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401ENE\ART 8, FRACC V, INC O\"/>
    </mc:Choice>
  </mc:AlternateContent>
  <bookViews>
    <workbookView xWindow="0" yWindow="0" windowWidth="11745" windowHeight="5190" firstSheet="3" activeTab="3"/>
  </bookViews>
  <sheets>
    <sheet name="OBRA" sheetId="1" state="hidden" r:id="rId1"/>
    <sheet name="GRAL" sheetId="6" state="hidden" r:id="rId2"/>
    <sheet name="PE" sheetId="19" state="hidden" r:id="rId3"/>
    <sheet name="ADJUDICACION" sheetId="4" r:id="rId4"/>
    <sheet name="ADJ-SERV" sheetId="15"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ADJUDICACION!$A$6:$AD$783</definedName>
    <definedName name="_xlnm._FilterDatabase" localSheetId="10" hidden="1">GESTIÓN!$B$4:$Q$66</definedName>
    <definedName name="_xlnm._FilterDatabase" localSheetId="1" hidden="1">GRAL!$A$7:$AW$786</definedName>
    <definedName name="_xlnm._FilterDatabase" localSheetId="5" hidden="1">INVITACION!$A$6:$AN$784</definedName>
    <definedName name="_xlnm._FilterDatabase" localSheetId="6" hidden="1">MAQ!$A$6:$S$127</definedName>
    <definedName name="_xlnm._FilterDatabase" localSheetId="0" hidden="1">OBRA!$B$5:$BZ$783</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ADJUDICACION!$A$1:$AD$807</definedName>
    <definedName name="_xlnm.Print_Area" localSheetId="1">GRAL!$A$1:$AW$801</definedName>
    <definedName name="_xlnm.Print_Area" localSheetId="5">INVITACION!$A$1:$AO$801</definedName>
    <definedName name="_xlnm.Print_Area" localSheetId="6">MAQ!$A$1:$S$134</definedName>
    <definedName name="_xlnm.Print_Area" localSheetId="0">OBRA!$A$1:$BZ$793</definedName>
  </definedNames>
  <calcPr calcId="162913"/>
</workbook>
</file>

<file path=xl/calcChain.xml><?xml version="1.0" encoding="utf-8"?>
<calcChain xmlns="http://schemas.openxmlformats.org/spreadsheetml/2006/main">
  <c r="AM747" i="5" l="1"/>
  <c r="B747" i="5" l="1"/>
  <c r="AR726" i="1" l="1"/>
  <c r="K751" i="4"/>
  <c r="J751" i="4"/>
  <c r="K750" i="4"/>
  <c r="J750" i="4"/>
  <c r="K749" i="4"/>
  <c r="J749" i="4"/>
  <c r="K748" i="4"/>
  <c r="J748" i="4"/>
  <c r="K746" i="4"/>
  <c r="J746" i="4"/>
  <c r="AP752" i="1"/>
  <c r="BG744" i="1"/>
  <c r="BG753" i="1"/>
  <c r="BG752" i="1"/>
  <c r="BG751" i="1"/>
  <c r="BG750" i="1"/>
  <c r="BG748" i="1"/>
  <c r="BG746" i="1"/>
  <c r="BG745" i="1"/>
  <c r="BG743" i="1"/>
  <c r="BG742" i="1"/>
  <c r="BG739" i="1"/>
  <c r="AR744" i="1"/>
  <c r="AP744" i="1"/>
  <c r="AP742" i="1"/>
  <c r="AP739" i="1"/>
  <c r="AR738" i="1" l="1"/>
  <c r="AP738" i="1"/>
  <c r="AR737" i="1"/>
  <c r="AP737" i="1"/>
  <c r="AP735" i="1"/>
  <c r="AR734" i="1"/>
  <c r="AP734" i="1"/>
  <c r="AR733" i="1" l="1"/>
  <c r="AP733" i="1"/>
  <c r="AR730" i="1"/>
  <c r="AP731" i="1"/>
  <c r="AP730" i="1"/>
  <c r="AP729" i="1"/>
  <c r="M756" i="6" l="1"/>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51" i="6"/>
  <c r="M752" i="6"/>
  <c r="M753" i="6"/>
  <c r="M754" i="6"/>
  <c r="M755" i="6"/>
  <c r="AP728" i="1" l="1"/>
  <c r="AP727" i="1"/>
  <c r="AP726" i="1"/>
  <c r="AP725" i="1"/>
  <c r="AM745" i="5" l="1"/>
  <c r="AM739" i="5"/>
  <c r="AM738" i="5"/>
  <c r="AM724" i="5"/>
  <c r="K742" i="4" l="1"/>
  <c r="J742" i="4"/>
  <c r="K740" i="4"/>
  <c r="J740" i="4"/>
  <c r="K744" i="4"/>
  <c r="J744" i="4"/>
  <c r="K743" i="4"/>
  <c r="J743" i="4"/>
  <c r="K741" i="4"/>
  <c r="J741"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27" i="4"/>
  <c r="K727" i="4"/>
  <c r="J728" i="4"/>
  <c r="K728" i="4"/>
  <c r="J729" i="4"/>
  <c r="K729" i="4"/>
  <c r="J730" i="4"/>
  <c r="K730" i="4"/>
  <c r="J731" i="4"/>
  <c r="K731" i="4"/>
  <c r="J732" i="4"/>
  <c r="K732" i="4"/>
  <c r="J733" i="4"/>
  <c r="K733" i="4"/>
  <c r="J734" i="4"/>
  <c r="K734" i="4"/>
  <c r="J735" i="4"/>
  <c r="K735" i="4"/>
  <c r="J736" i="4"/>
  <c r="K736" i="4"/>
  <c r="AP736" i="1" l="1"/>
  <c r="W745" i="6" l="1"/>
  <c r="W746" i="6"/>
  <c r="W747" i="6"/>
  <c r="W748" i="6"/>
  <c r="W749" i="6"/>
  <c r="W750" i="6"/>
  <c r="AE739" i="6" l="1"/>
  <c r="AE738" i="6"/>
  <c r="M741" i="6"/>
  <c r="M742" i="6"/>
  <c r="M743" i="6"/>
  <c r="M744" i="6"/>
  <c r="M745" i="6"/>
  <c r="M746" i="6"/>
  <c r="M747" i="6"/>
  <c r="M748" i="6"/>
  <c r="M749" i="6"/>
  <c r="M750" i="6"/>
  <c r="M659" i="6" l="1"/>
  <c r="M658" i="6"/>
  <c r="O800" i="1" l="1"/>
  <c r="O805" i="1"/>
  <c r="O798" i="1"/>
  <c r="P789" i="1"/>
  <c r="O812" i="1" l="1"/>
  <c r="K78" i="18"/>
  <c r="P78" i="18" s="1"/>
  <c r="K77" i="18"/>
  <c r="P77" i="18" s="1"/>
  <c r="AE737" i="6" l="1"/>
  <c r="AE726" i="6" l="1"/>
  <c r="Y734" i="6" l="1"/>
  <c r="Y740" i="6"/>
  <c r="Y698" i="6"/>
  <c r="Y732" i="6"/>
  <c r="Y735" i="6"/>
  <c r="Y733" i="6"/>
  <c r="R678" i="6"/>
  <c r="S678" i="6"/>
  <c r="T678" i="6"/>
  <c r="U678" i="6"/>
  <c r="AF694" i="6" l="1"/>
  <c r="AF695" i="6"/>
  <c r="AF696" i="6"/>
  <c r="AF697" i="6"/>
  <c r="AF698" i="6"/>
  <c r="AF699" i="6"/>
  <c r="AF700" i="6"/>
  <c r="AF701" i="6"/>
  <c r="AF702" i="6"/>
  <c r="AF703" i="6"/>
  <c r="AF704" i="6"/>
  <c r="AF705" i="6"/>
  <c r="AF706" i="6"/>
  <c r="AF707" i="6"/>
  <c r="AF708" i="6"/>
  <c r="AF709" i="6"/>
  <c r="AF710" i="6"/>
  <c r="AF711" i="6"/>
  <c r="AF712" i="6"/>
  <c r="AF713" i="6"/>
  <c r="AF714" i="6"/>
  <c r="AF715" i="6"/>
  <c r="AF693" i="6"/>
  <c r="AD710" i="6"/>
  <c r="AD699" i="6"/>
  <c r="AD696" i="6"/>
  <c r="AD684" i="6"/>
  <c r="AD685" i="6"/>
  <c r="AD674" i="6"/>
  <c r="AD675" i="6"/>
  <c r="AD676" i="6"/>
  <c r="AD678" i="6"/>
  <c r="AD677" i="6"/>
  <c r="AD667" i="6"/>
  <c r="AD688" i="6"/>
  <c r="AD687" i="6"/>
  <c r="AD686" i="6"/>
  <c r="AD682" i="6"/>
  <c r="J678" i="6" l="1"/>
  <c r="P710" i="1"/>
  <c r="P709" i="1"/>
  <c r="P708" i="1"/>
  <c r="P707" i="1"/>
  <c r="P706" i="1"/>
  <c r="P705" i="1"/>
  <c r="P704" i="1"/>
  <c r="P703" i="1"/>
  <c r="P702" i="1"/>
  <c r="P699" i="1"/>
  <c r="P698" i="1"/>
  <c r="P701" i="1"/>
  <c r="P700" i="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697" i="1" l="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663" i="6"/>
  <c r="P696" i="1"/>
  <c r="P695" i="1" l="1"/>
  <c r="P694" i="1"/>
  <c r="P69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Q684" i="4" s="1"/>
  <c r="P685" i="1"/>
  <c r="P683" i="15" s="1"/>
  <c r="P684" i="1"/>
  <c r="AD682" i="5" s="1"/>
  <c r="P683" i="1"/>
  <c r="P682" i="1"/>
  <c r="P681" i="1"/>
  <c r="P679" i="15" s="1"/>
  <c r="P679" i="1"/>
  <c r="AD677" i="5" s="1"/>
  <c r="P678" i="1"/>
  <c r="P677" i="1"/>
  <c r="P676" i="1"/>
  <c r="O678" i="6" s="1"/>
  <c r="P678" i="6" s="1"/>
  <c r="P680" i="1"/>
  <c r="P678" i="15" s="1"/>
  <c r="P675" i="1"/>
  <c r="P674" i="1"/>
  <c r="P673" i="1"/>
  <c r="AD671" i="5" s="1"/>
  <c r="P672" i="1"/>
  <c r="P670" i="15" s="1"/>
  <c r="P671" i="1"/>
  <c r="Q669" i="4" s="1"/>
  <c r="P670" i="1"/>
  <c r="P669" i="1"/>
  <c r="P668" i="1"/>
  <c r="A702" i="5"/>
  <c r="H702" i="5"/>
  <c r="J702" i="5"/>
  <c r="L702" i="5"/>
  <c r="N702" i="5"/>
  <c r="R702" i="5"/>
  <c r="T702" i="5"/>
  <c r="U702" i="5"/>
  <c r="W702" i="5"/>
  <c r="Z702" i="5"/>
  <c r="AB702" i="5"/>
  <c r="AC702" i="5"/>
  <c r="AD702" i="5"/>
  <c r="AE702" i="5"/>
  <c r="AF702" i="5"/>
  <c r="AG702" i="5"/>
  <c r="AM702" i="5"/>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D711" i="5"/>
  <c r="AE711" i="5"/>
  <c r="AF711" i="5"/>
  <c r="AG711" i="5"/>
  <c r="AM711" i="5"/>
  <c r="A696" i="5"/>
  <c r="H696" i="5"/>
  <c r="J696" i="5"/>
  <c r="L696" i="5"/>
  <c r="N696" i="5"/>
  <c r="R696" i="5"/>
  <c r="T696" i="5"/>
  <c r="U696" i="5"/>
  <c r="W696" i="5"/>
  <c r="Z696" i="5"/>
  <c r="AB696" i="5"/>
  <c r="AC696" i="5"/>
  <c r="AD696" i="5"/>
  <c r="AE696" i="5"/>
  <c r="AF696" i="5"/>
  <c r="AG696" i="5"/>
  <c r="AM696" i="5"/>
  <c r="A697" i="5"/>
  <c r="H697" i="5"/>
  <c r="J697" i="5"/>
  <c r="L697" i="5"/>
  <c r="N697" i="5"/>
  <c r="R697" i="5"/>
  <c r="T697" i="5"/>
  <c r="U697" i="5"/>
  <c r="W697" i="5"/>
  <c r="Z697" i="5"/>
  <c r="AB697" i="5"/>
  <c r="AC697" i="5"/>
  <c r="AD697" i="5"/>
  <c r="AE697" i="5"/>
  <c r="AF697" i="5"/>
  <c r="AG697" i="5"/>
  <c r="AM697"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D680" i="5"/>
  <c r="AE680" i="5"/>
  <c r="AF680" i="5"/>
  <c r="AG680" i="5"/>
  <c r="AM680" i="5"/>
  <c r="A681" i="5"/>
  <c r="H681" i="5"/>
  <c r="J681" i="5"/>
  <c r="L681" i="5"/>
  <c r="N681" i="5"/>
  <c r="R681" i="5"/>
  <c r="T681" i="5"/>
  <c r="U681" i="5"/>
  <c r="W681" i="5"/>
  <c r="Z681" i="5"/>
  <c r="AB681" i="5"/>
  <c r="AC681" i="5"/>
  <c r="AD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P710" i="15"/>
  <c r="R710" i="15"/>
  <c r="S710" i="15"/>
  <c r="X710" i="15"/>
  <c r="AB710" i="15"/>
  <c r="B711" i="15"/>
  <c r="C711" i="15"/>
  <c r="D711" i="15"/>
  <c r="I711" i="15"/>
  <c r="J711" i="15"/>
  <c r="K711" i="15"/>
  <c r="L711" i="15"/>
  <c r="M711" i="15"/>
  <c r="O711" i="15"/>
  <c r="P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P680" i="15"/>
  <c r="R680" i="15"/>
  <c r="S680" i="15"/>
  <c r="X680" i="15"/>
  <c r="AB680" i="15"/>
  <c r="B681" i="15"/>
  <c r="C681" i="15"/>
  <c r="D681" i="15"/>
  <c r="I681" i="15"/>
  <c r="J681" i="15"/>
  <c r="K681" i="15"/>
  <c r="L681" i="15"/>
  <c r="M681" i="15"/>
  <c r="O681" i="15"/>
  <c r="P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6" i="4"/>
  <c r="C696" i="4"/>
  <c r="E696" i="4"/>
  <c r="L696" i="4"/>
  <c r="M696" i="4"/>
  <c r="N696" i="4"/>
  <c r="P696" i="4"/>
  <c r="Q696" i="4"/>
  <c r="R696" i="4"/>
  <c r="S696" i="4"/>
  <c r="X696" i="4"/>
  <c r="AB696" i="4"/>
  <c r="B697" i="4"/>
  <c r="C697" i="4"/>
  <c r="E697" i="4"/>
  <c r="L697" i="4"/>
  <c r="M697" i="4"/>
  <c r="N697" i="4"/>
  <c r="P697" i="4"/>
  <c r="Q697" i="4"/>
  <c r="R697" i="4"/>
  <c r="S697" i="4"/>
  <c r="X697" i="4"/>
  <c r="AB697" i="4"/>
  <c r="B702" i="4"/>
  <c r="C702" i="4"/>
  <c r="E702" i="4"/>
  <c r="L702" i="4"/>
  <c r="M702" i="4"/>
  <c r="N702" i="4"/>
  <c r="P702" i="4"/>
  <c r="Q702" i="4"/>
  <c r="R702" i="4"/>
  <c r="S702" i="4"/>
  <c r="X702" i="4"/>
  <c r="AB702"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Q711" i="4"/>
  <c r="R711" i="4"/>
  <c r="S711" i="4"/>
  <c r="X711" i="4"/>
  <c r="AB711"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Q680" i="4"/>
  <c r="R680" i="4"/>
  <c r="S680" i="4"/>
  <c r="X680" i="4"/>
  <c r="AB680" i="4"/>
  <c r="B681" i="4"/>
  <c r="C681" i="4"/>
  <c r="E681" i="4"/>
  <c r="L681" i="4"/>
  <c r="M681" i="4"/>
  <c r="N681" i="4"/>
  <c r="P681" i="4"/>
  <c r="Q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AD715" i="6"/>
  <c r="Y715" i="6"/>
  <c r="AA715" i="6" s="1"/>
  <c r="W715" i="6"/>
  <c r="AG715" i="6" s="1"/>
  <c r="U715" i="6"/>
  <c r="T715" i="6"/>
  <c r="S715" i="6"/>
  <c r="R715" i="6"/>
  <c r="O715" i="6"/>
  <c r="P715" i="6" s="1"/>
  <c r="J715" i="6"/>
  <c r="I715" i="6"/>
  <c r="H715" i="6"/>
  <c r="AD714" i="6"/>
  <c r="Y714" i="6"/>
  <c r="AA714" i="6" s="1"/>
  <c r="W714" i="6"/>
  <c r="AG714" i="6" s="1"/>
  <c r="U714" i="6"/>
  <c r="T714" i="6"/>
  <c r="S714" i="6"/>
  <c r="R714" i="6"/>
  <c r="O714" i="6"/>
  <c r="P714" i="6" s="1"/>
  <c r="J714" i="6"/>
  <c r="I714" i="6"/>
  <c r="H714" i="6"/>
  <c r="AD713" i="6"/>
  <c r="Y713" i="6"/>
  <c r="AA713" i="6" s="1"/>
  <c r="W713" i="6"/>
  <c r="AG713" i="6" s="1"/>
  <c r="U713" i="6"/>
  <c r="T713" i="6"/>
  <c r="S713" i="6"/>
  <c r="R713" i="6"/>
  <c r="O713" i="6"/>
  <c r="P713" i="6" s="1"/>
  <c r="J713" i="6"/>
  <c r="I713" i="6"/>
  <c r="H713" i="6"/>
  <c r="AD712" i="6"/>
  <c r="Y712" i="6"/>
  <c r="W712" i="6"/>
  <c r="AG712" i="6" s="1"/>
  <c r="U712" i="6"/>
  <c r="T712" i="6"/>
  <c r="S712" i="6"/>
  <c r="R712" i="6"/>
  <c r="O712" i="6"/>
  <c r="P712" i="6" s="1"/>
  <c r="J712" i="6"/>
  <c r="I712" i="6"/>
  <c r="H712" i="6"/>
  <c r="AD711" i="6"/>
  <c r="Y711" i="6"/>
  <c r="W711" i="6"/>
  <c r="AG711" i="6" s="1"/>
  <c r="U711" i="6"/>
  <c r="T711" i="6"/>
  <c r="S711" i="6"/>
  <c r="R711" i="6"/>
  <c r="O711" i="6"/>
  <c r="P711" i="6" s="1"/>
  <c r="J711" i="6"/>
  <c r="I711" i="6"/>
  <c r="H711" i="6"/>
  <c r="Y710" i="6"/>
  <c r="W710" i="6"/>
  <c r="AG710" i="6" s="1"/>
  <c r="U710" i="6"/>
  <c r="T710" i="6"/>
  <c r="S710" i="6"/>
  <c r="R710" i="6"/>
  <c r="O710" i="6"/>
  <c r="P710" i="6" s="1"/>
  <c r="J710" i="6"/>
  <c r="I710" i="6"/>
  <c r="H710" i="6"/>
  <c r="AD709" i="6"/>
  <c r="Y709" i="6"/>
  <c r="W709" i="6"/>
  <c r="AG709" i="6" s="1"/>
  <c r="U709" i="6"/>
  <c r="T709" i="6"/>
  <c r="S709" i="6"/>
  <c r="R709" i="6"/>
  <c r="O709" i="6"/>
  <c r="P709" i="6" s="1"/>
  <c r="J709" i="6"/>
  <c r="I709" i="6"/>
  <c r="H709"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AD706" i="6"/>
  <c r="Y706" i="6"/>
  <c r="W706" i="6"/>
  <c r="AG706" i="6" s="1"/>
  <c r="U706" i="6"/>
  <c r="T706" i="6"/>
  <c r="S706" i="6"/>
  <c r="R706" i="6"/>
  <c r="O706" i="6"/>
  <c r="P706" i="6" s="1"/>
  <c r="J706" i="6"/>
  <c r="I706" i="6"/>
  <c r="H706" i="6"/>
  <c r="E715" i="6"/>
  <c r="E714" i="6"/>
  <c r="E713" i="6"/>
  <c r="E712" i="6"/>
  <c r="E711" i="6"/>
  <c r="E710" i="6"/>
  <c r="E709" i="6"/>
  <c r="E708" i="6"/>
  <c r="E707" i="6"/>
  <c r="E706" i="6"/>
  <c r="A715" i="6"/>
  <c r="A714" i="6"/>
  <c r="A713" i="6"/>
  <c r="A712" i="6"/>
  <c r="A711" i="6"/>
  <c r="A710" i="6"/>
  <c r="A709" i="6"/>
  <c r="A708" i="6"/>
  <c r="A707" i="6"/>
  <c r="A706" i="6"/>
  <c r="AD701" i="6"/>
  <c r="Y701" i="6"/>
  <c r="W701" i="6"/>
  <c r="AG701" i="6" s="1"/>
  <c r="U701" i="6"/>
  <c r="T701" i="6"/>
  <c r="S701" i="6"/>
  <c r="R701" i="6"/>
  <c r="O701" i="6"/>
  <c r="P701" i="6" s="1"/>
  <c r="J701" i="6"/>
  <c r="I701" i="6"/>
  <c r="H701" i="6"/>
  <c r="AD700" i="6"/>
  <c r="Y700" i="6"/>
  <c r="W700" i="6"/>
  <c r="AG700" i="6" s="1"/>
  <c r="U700" i="6"/>
  <c r="T700" i="6"/>
  <c r="S700" i="6"/>
  <c r="R700" i="6"/>
  <c r="O700" i="6"/>
  <c r="P700" i="6" s="1"/>
  <c r="J700" i="6"/>
  <c r="I700" i="6"/>
  <c r="H700" i="6"/>
  <c r="E701" i="6"/>
  <c r="E700" i="6"/>
  <c r="A701" i="6"/>
  <c r="A700" i="6"/>
  <c r="AD692" i="6"/>
  <c r="Y692" i="6"/>
  <c r="AA692" i="6" s="1"/>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Y689" i="6"/>
  <c r="AA689" i="6" s="1"/>
  <c r="W689" i="6"/>
  <c r="AG689" i="6" s="1"/>
  <c r="U689" i="6"/>
  <c r="T689" i="6"/>
  <c r="S689" i="6"/>
  <c r="R689" i="6"/>
  <c r="O689" i="6"/>
  <c r="P689" i="6" s="1"/>
  <c r="J689" i="6"/>
  <c r="I689" i="6"/>
  <c r="H689" i="6"/>
  <c r="Y688" i="6"/>
  <c r="AA688" i="6" s="1"/>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O685" i="6"/>
  <c r="P685" i="6" s="1"/>
  <c r="J685" i="6"/>
  <c r="I685" i="6"/>
  <c r="H685" i="6"/>
  <c r="Y684" i="6"/>
  <c r="W684" i="6"/>
  <c r="AG684" i="6" s="1"/>
  <c r="U684" i="6"/>
  <c r="T684" i="6"/>
  <c r="S684" i="6"/>
  <c r="R684" i="6"/>
  <c r="O684" i="6"/>
  <c r="P684" i="6" s="1"/>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0" i="5" l="1"/>
  <c r="O682" i="6"/>
  <c r="P682" i="6" s="1"/>
  <c r="Q682" i="4"/>
  <c r="Q677" i="4"/>
  <c r="Q674" i="4"/>
  <c r="Q670" i="4"/>
  <c r="AD674" i="5"/>
  <c r="O681" i="6"/>
  <c r="P681" i="6" s="1"/>
  <c r="O674" i="6"/>
  <c r="P674" i="6" s="1"/>
  <c r="O686" i="6"/>
  <c r="P686" i="6" s="1"/>
  <c r="P671" i="15"/>
  <c r="O688" i="6"/>
  <c r="P688" i="6" s="1"/>
  <c r="AD684" i="5"/>
  <c r="Q683" i="4"/>
  <c r="P677" i="15"/>
  <c r="N724" i="5"/>
  <c r="H727" i="6" l="1"/>
  <c r="B736" i="4"/>
  <c r="B735" i="4"/>
  <c r="B734" i="4"/>
  <c r="B733" i="4"/>
  <c r="B732" i="4"/>
  <c r="B731" i="4"/>
  <c r="B730" i="4"/>
  <c r="B729" i="4"/>
  <c r="B728" i="4"/>
  <c r="B727" i="4"/>
  <c r="B726" i="4"/>
  <c r="B725" i="4"/>
  <c r="B723" i="4"/>
  <c r="B722" i="4"/>
  <c r="AP724" i="1" l="1"/>
  <c r="M732" i="6"/>
  <c r="M733" i="6"/>
  <c r="M734" i="6"/>
  <c r="M735" i="6"/>
  <c r="M736" i="6"/>
  <c r="M737" i="6"/>
  <c r="M738" i="6"/>
  <c r="M739" i="6"/>
  <c r="M740" i="6"/>
  <c r="E793" i="6" l="1"/>
  <c r="AE788" i="6" l="1"/>
  <c r="AR789" i="1"/>
  <c r="Q801" i="1" l="1"/>
  <c r="Q800" i="1"/>
  <c r="Q799" i="1"/>
  <c r="Q798" i="1"/>
  <c r="AE533" i="6" l="1"/>
  <c r="K726" i="4" l="1"/>
  <c r="J726" i="4"/>
  <c r="K725" i="4"/>
  <c r="J725" i="4"/>
  <c r="K723" i="4"/>
  <c r="J723" i="4"/>
  <c r="K722" i="4"/>
  <c r="J722" i="4"/>
  <c r="M731" i="6"/>
  <c r="M717" i="6"/>
  <c r="M718" i="6"/>
  <c r="M719" i="6"/>
  <c r="M720" i="6"/>
  <c r="M721" i="6"/>
  <c r="M722" i="6"/>
  <c r="M723" i="6"/>
  <c r="M724" i="6"/>
  <c r="M725" i="6"/>
  <c r="M726" i="6"/>
  <c r="M727" i="6"/>
  <c r="M728" i="6"/>
  <c r="M729" i="6"/>
  <c r="M730" i="6"/>
  <c r="M716" i="6"/>
  <c r="BG738" i="1"/>
  <c r="BG737" i="1"/>
  <c r="BG736" i="1"/>
  <c r="BG734" i="1"/>
  <c r="BG733" i="1"/>
  <c r="BG732" i="1"/>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Z741" i="5"/>
  <c r="AB741" i="5"/>
  <c r="AC741" i="5"/>
  <c r="AD741" i="5"/>
  <c r="AE741" i="5"/>
  <c r="AF741" i="5"/>
  <c r="AG741" i="5"/>
  <c r="AM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B745" i="5" s="1"/>
  <c r="Z745" i="5"/>
  <c r="AB745" i="5"/>
  <c r="AC745" i="5"/>
  <c r="AD745" i="5"/>
  <c r="AE745" i="5"/>
  <c r="AF745" i="5"/>
  <c r="AG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M752" i="5"/>
  <c r="A753" i="5"/>
  <c r="H753" i="5"/>
  <c r="J753" i="5"/>
  <c r="L753" i="5"/>
  <c r="N753" i="5"/>
  <c r="R753" i="5"/>
  <c r="T753" i="5"/>
  <c r="U753" i="5"/>
  <c r="W753" i="5"/>
  <c r="Z753" i="5"/>
  <c r="AB753" i="5"/>
  <c r="AC753" i="5"/>
  <c r="AD753" i="5"/>
  <c r="AE753" i="5"/>
  <c r="AF753" i="5"/>
  <c r="AG753" i="5"/>
  <c r="AM753" i="5"/>
  <c r="A754" i="5"/>
  <c r="H754" i="5"/>
  <c r="J754" i="5"/>
  <c r="L754" i="5"/>
  <c r="N754" i="5"/>
  <c r="R754" i="5"/>
  <c r="T754" i="5"/>
  <c r="U754" i="5"/>
  <c r="W754" i="5"/>
  <c r="Z754" i="5"/>
  <c r="AB754" i="5"/>
  <c r="AC754" i="5"/>
  <c r="AD754" i="5"/>
  <c r="AE754" i="5"/>
  <c r="AF754" i="5"/>
  <c r="AG754" i="5"/>
  <c r="AM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M759" i="5"/>
  <c r="A760" i="5"/>
  <c r="H760" i="5"/>
  <c r="J760" i="5"/>
  <c r="L760" i="5"/>
  <c r="N760" i="5"/>
  <c r="R760" i="5"/>
  <c r="T760" i="5"/>
  <c r="U760" i="5"/>
  <c r="W760" i="5"/>
  <c r="Z760" i="5"/>
  <c r="AB760" i="5"/>
  <c r="AC760" i="5"/>
  <c r="AD760" i="5"/>
  <c r="AE760" i="5"/>
  <c r="AF760" i="5"/>
  <c r="AG760" i="5"/>
  <c r="AM760" i="5"/>
  <c r="A761" i="5"/>
  <c r="H761" i="5"/>
  <c r="J761" i="5"/>
  <c r="L761" i="5"/>
  <c r="N761" i="5"/>
  <c r="R761" i="5"/>
  <c r="T761" i="5"/>
  <c r="U761" i="5"/>
  <c r="W761" i="5"/>
  <c r="Z761" i="5"/>
  <c r="AB761" i="5"/>
  <c r="AC761" i="5"/>
  <c r="AD761" i="5"/>
  <c r="AE761" i="5"/>
  <c r="AF761" i="5"/>
  <c r="AG761" i="5"/>
  <c r="AM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W780" i="5"/>
  <c r="Z780" i="5"/>
  <c r="AB780" i="5"/>
  <c r="AC780" i="5"/>
  <c r="AD780" i="5"/>
  <c r="AE780" i="5"/>
  <c r="AF780" i="5"/>
  <c r="AG780" i="5"/>
  <c r="AM780" i="5"/>
  <c r="A781" i="5"/>
  <c r="H781" i="5"/>
  <c r="J781" i="5"/>
  <c r="L781" i="5"/>
  <c r="N781" i="5"/>
  <c r="R781" i="5"/>
  <c r="T781" i="5"/>
  <c r="U781" i="5"/>
  <c r="W781" i="5"/>
  <c r="Z781" i="5"/>
  <c r="AB781" i="5"/>
  <c r="AC781" i="5"/>
  <c r="AD781" i="5"/>
  <c r="AE781" i="5"/>
  <c r="AF781" i="5"/>
  <c r="AG781" i="5"/>
  <c r="AM781" i="5"/>
  <c r="A782" i="5"/>
  <c r="H782" i="5"/>
  <c r="J782" i="5"/>
  <c r="L782" i="5"/>
  <c r="N782" i="5"/>
  <c r="R782" i="5"/>
  <c r="T782" i="5"/>
  <c r="U782" i="5"/>
  <c r="W782" i="5"/>
  <c r="Z782" i="5"/>
  <c r="AB782" i="5"/>
  <c r="AC782" i="5"/>
  <c r="AD782" i="5"/>
  <c r="AE782" i="5"/>
  <c r="AF782" i="5"/>
  <c r="AG782" i="5"/>
  <c r="AM782" i="5"/>
  <c r="A783" i="5"/>
  <c r="H783" i="5"/>
  <c r="J783" i="5"/>
  <c r="L783" i="5"/>
  <c r="N783" i="5"/>
  <c r="R783" i="5"/>
  <c r="T783" i="5"/>
  <c r="U783" i="5"/>
  <c r="W783" i="5"/>
  <c r="Z783" i="5"/>
  <c r="AB783" i="5"/>
  <c r="AC783" i="5"/>
  <c r="AD783" i="5"/>
  <c r="AE783" i="5"/>
  <c r="AF783" i="5"/>
  <c r="AG783" i="5"/>
  <c r="AM783" i="5"/>
  <c r="A784" i="5"/>
  <c r="H784" i="5"/>
  <c r="J784" i="5"/>
  <c r="L784" i="5"/>
  <c r="N784" i="5"/>
  <c r="R784" i="5"/>
  <c r="T784" i="5"/>
  <c r="U784" i="5"/>
  <c r="W784" i="5"/>
  <c r="Z784" i="5"/>
  <c r="AB784" i="5"/>
  <c r="AC784" i="5"/>
  <c r="AD784" i="5"/>
  <c r="AE784" i="5"/>
  <c r="AF784" i="5"/>
  <c r="AG784" i="5"/>
  <c r="AM784"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83" i="4"/>
  <c r="X783" i="4"/>
  <c r="S783" i="4"/>
  <c r="R783" i="4"/>
  <c r="Q783" i="4"/>
  <c r="P783" i="4"/>
  <c r="N783" i="4"/>
  <c r="M783" i="4"/>
  <c r="L783" i="4"/>
  <c r="E783" i="4"/>
  <c r="AB782" i="4"/>
  <c r="X782" i="4"/>
  <c r="S782" i="4"/>
  <c r="R782" i="4"/>
  <c r="Q782" i="4"/>
  <c r="P782" i="4"/>
  <c r="N782" i="4"/>
  <c r="M782" i="4"/>
  <c r="L782" i="4"/>
  <c r="E782" i="4"/>
  <c r="AB781" i="4"/>
  <c r="X781" i="4"/>
  <c r="S781" i="4"/>
  <c r="R781" i="4"/>
  <c r="Q781" i="4"/>
  <c r="P781" i="4"/>
  <c r="N781" i="4"/>
  <c r="M781" i="4"/>
  <c r="L781" i="4"/>
  <c r="E781" i="4"/>
  <c r="AB780" i="4"/>
  <c r="X780" i="4"/>
  <c r="S780" i="4"/>
  <c r="R780" i="4"/>
  <c r="Q780" i="4"/>
  <c r="P780" i="4"/>
  <c r="N780" i="4"/>
  <c r="M780" i="4"/>
  <c r="L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AB733" i="4"/>
  <c r="X733" i="4"/>
  <c r="S733" i="4"/>
  <c r="R733" i="4"/>
  <c r="Q733" i="4"/>
  <c r="P733" i="4"/>
  <c r="N733" i="4"/>
  <c r="M733" i="4"/>
  <c r="L733" i="4"/>
  <c r="E733" i="4"/>
  <c r="AB732" i="4"/>
  <c r="X732" i="4"/>
  <c r="S732" i="4"/>
  <c r="R732" i="4"/>
  <c r="Q732" i="4"/>
  <c r="P732" i="4"/>
  <c r="N732" i="4"/>
  <c r="M732" i="4"/>
  <c r="L732" i="4"/>
  <c r="E732" i="4"/>
  <c r="AB731" i="4"/>
  <c r="X731" i="4"/>
  <c r="S731" i="4"/>
  <c r="R731" i="4"/>
  <c r="Q731" i="4"/>
  <c r="P731" i="4"/>
  <c r="N731" i="4"/>
  <c r="M731" i="4"/>
  <c r="L731" i="4"/>
  <c r="E731" i="4"/>
  <c r="AB730" i="4"/>
  <c r="X730" i="4"/>
  <c r="S730" i="4"/>
  <c r="R730" i="4"/>
  <c r="Q730" i="4"/>
  <c r="P730" i="4"/>
  <c r="N730" i="4"/>
  <c r="M730" i="4"/>
  <c r="L730" i="4"/>
  <c r="E730"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C733" i="4"/>
  <c r="C732" i="4"/>
  <c r="C731" i="4"/>
  <c r="C730" i="4"/>
  <c r="AD786" i="6"/>
  <c r="Y786" i="6"/>
  <c r="AA786" i="6" s="1"/>
  <c r="W786" i="6"/>
  <c r="AG786" i="6" s="1"/>
  <c r="U786" i="6"/>
  <c r="T786" i="6"/>
  <c r="S786" i="6"/>
  <c r="R786" i="6"/>
  <c r="O786" i="6"/>
  <c r="P786" i="6" s="1"/>
  <c r="J786" i="6"/>
  <c r="I786" i="6"/>
  <c r="H786" i="6"/>
  <c r="AD785" i="6"/>
  <c r="Y785" i="6"/>
  <c r="AA785" i="6" s="1"/>
  <c r="W785" i="6"/>
  <c r="AG785" i="6" s="1"/>
  <c r="U785" i="6"/>
  <c r="T785" i="6"/>
  <c r="S785" i="6"/>
  <c r="R785" i="6"/>
  <c r="O785" i="6"/>
  <c r="P785" i="6" s="1"/>
  <c r="J785" i="6"/>
  <c r="I785" i="6"/>
  <c r="H785" i="6"/>
  <c r="AD784" i="6"/>
  <c r="Y784" i="6"/>
  <c r="AA784" i="6" s="1"/>
  <c r="W784" i="6"/>
  <c r="AG784" i="6" s="1"/>
  <c r="U784" i="6"/>
  <c r="T784" i="6"/>
  <c r="S784" i="6"/>
  <c r="R784" i="6"/>
  <c r="O784" i="6"/>
  <c r="P784" i="6" s="1"/>
  <c r="J784" i="6"/>
  <c r="I784" i="6"/>
  <c r="H784" i="6"/>
  <c r="AD783" i="6"/>
  <c r="Y783" i="6"/>
  <c r="AA783" i="6" s="1"/>
  <c r="W783" i="6"/>
  <c r="AG783" i="6" s="1"/>
  <c r="U783" i="6"/>
  <c r="T783" i="6"/>
  <c r="S783" i="6"/>
  <c r="R783" i="6"/>
  <c r="O783" i="6"/>
  <c r="P783" i="6" s="1"/>
  <c r="J783" i="6"/>
  <c r="I783" i="6"/>
  <c r="H783" i="6"/>
  <c r="AD782" i="6"/>
  <c r="Y782" i="6"/>
  <c r="AA782" i="6" s="1"/>
  <c r="W782" i="6"/>
  <c r="AG782" i="6" s="1"/>
  <c r="U782" i="6"/>
  <c r="T782" i="6"/>
  <c r="S782" i="6"/>
  <c r="R782" i="6"/>
  <c r="O782" i="6"/>
  <c r="P782" i="6" s="1"/>
  <c r="J782" i="6"/>
  <c r="I782" i="6"/>
  <c r="H782" i="6"/>
  <c r="AD781" i="6"/>
  <c r="Y781" i="6"/>
  <c r="AA781" i="6" s="1"/>
  <c r="W781" i="6"/>
  <c r="AG781" i="6" s="1"/>
  <c r="U781" i="6"/>
  <c r="T781" i="6"/>
  <c r="S781" i="6"/>
  <c r="R781" i="6"/>
  <c r="O781" i="6"/>
  <c r="P781" i="6" s="1"/>
  <c r="J781" i="6"/>
  <c r="I781" i="6"/>
  <c r="H781" i="6"/>
  <c r="AD780" i="6"/>
  <c r="Y780" i="6"/>
  <c r="AA780" i="6" s="1"/>
  <c r="W780" i="6"/>
  <c r="AG780" i="6" s="1"/>
  <c r="U780" i="6"/>
  <c r="T780" i="6"/>
  <c r="S780" i="6"/>
  <c r="R780" i="6"/>
  <c r="O780" i="6"/>
  <c r="P780" i="6" s="1"/>
  <c r="J780" i="6"/>
  <c r="I780" i="6"/>
  <c r="H780" i="6"/>
  <c r="AD779" i="6"/>
  <c r="Y779" i="6"/>
  <c r="AA779" i="6" s="1"/>
  <c r="W779" i="6"/>
  <c r="AG779" i="6" s="1"/>
  <c r="U779" i="6"/>
  <c r="T779" i="6"/>
  <c r="S779" i="6"/>
  <c r="R779" i="6"/>
  <c r="O779" i="6"/>
  <c r="P779" i="6" s="1"/>
  <c r="J779" i="6"/>
  <c r="I779" i="6"/>
  <c r="H779" i="6"/>
  <c r="AD778" i="6"/>
  <c r="Y778" i="6"/>
  <c r="AA778" i="6" s="1"/>
  <c r="W778" i="6"/>
  <c r="AG778" i="6" s="1"/>
  <c r="U778" i="6"/>
  <c r="T778" i="6"/>
  <c r="S778" i="6"/>
  <c r="R778" i="6"/>
  <c r="O778" i="6"/>
  <c r="P778" i="6" s="1"/>
  <c r="J778" i="6"/>
  <c r="I778" i="6"/>
  <c r="H778" i="6"/>
  <c r="AD777" i="6"/>
  <c r="Y777" i="6"/>
  <c r="AA777" i="6" s="1"/>
  <c r="W777" i="6"/>
  <c r="AG777" i="6" s="1"/>
  <c r="U777" i="6"/>
  <c r="T777" i="6"/>
  <c r="S777" i="6"/>
  <c r="R777" i="6"/>
  <c r="O777" i="6"/>
  <c r="P777" i="6" s="1"/>
  <c r="J777" i="6"/>
  <c r="I777" i="6"/>
  <c r="H777" i="6"/>
  <c r="AD776" i="6"/>
  <c r="Y776" i="6"/>
  <c r="AA776" i="6" s="1"/>
  <c r="W776" i="6"/>
  <c r="AG776" i="6" s="1"/>
  <c r="U776" i="6"/>
  <c r="T776" i="6"/>
  <c r="S776" i="6"/>
  <c r="R776" i="6"/>
  <c r="O776" i="6"/>
  <c r="P776" i="6" s="1"/>
  <c r="J776" i="6"/>
  <c r="I776" i="6"/>
  <c r="H776" i="6"/>
  <c r="AD775" i="6"/>
  <c r="Y775" i="6"/>
  <c r="AA775" i="6" s="1"/>
  <c r="W775" i="6"/>
  <c r="AG775" i="6" s="1"/>
  <c r="U775" i="6"/>
  <c r="T775" i="6"/>
  <c r="S775" i="6"/>
  <c r="R775" i="6"/>
  <c r="O775" i="6"/>
  <c r="P775" i="6" s="1"/>
  <c r="J775" i="6"/>
  <c r="I775" i="6"/>
  <c r="H775" i="6"/>
  <c r="AD774" i="6"/>
  <c r="Y774" i="6"/>
  <c r="AA774" i="6" s="1"/>
  <c r="W774" i="6"/>
  <c r="AG774" i="6" s="1"/>
  <c r="U774" i="6"/>
  <c r="T774" i="6"/>
  <c r="S774" i="6"/>
  <c r="R774" i="6"/>
  <c r="O774" i="6"/>
  <c r="P774" i="6" s="1"/>
  <c r="J774" i="6"/>
  <c r="I774" i="6"/>
  <c r="H774" i="6"/>
  <c r="AD773" i="6"/>
  <c r="Y773" i="6"/>
  <c r="AA773" i="6" s="1"/>
  <c r="W773" i="6"/>
  <c r="AG773" i="6" s="1"/>
  <c r="U773" i="6"/>
  <c r="T773" i="6"/>
  <c r="S773" i="6"/>
  <c r="R773" i="6"/>
  <c r="O773" i="6"/>
  <c r="P773" i="6" s="1"/>
  <c r="J773" i="6"/>
  <c r="I773" i="6"/>
  <c r="H773" i="6"/>
  <c r="AD772" i="6"/>
  <c r="Y772" i="6"/>
  <c r="AA772" i="6" s="1"/>
  <c r="W772" i="6"/>
  <c r="AG772" i="6" s="1"/>
  <c r="U772" i="6"/>
  <c r="T772" i="6"/>
  <c r="S772" i="6"/>
  <c r="R772" i="6"/>
  <c r="O772" i="6"/>
  <c r="P772" i="6" s="1"/>
  <c r="J772" i="6"/>
  <c r="I772" i="6"/>
  <c r="H772" i="6"/>
  <c r="AD771" i="6"/>
  <c r="Y771" i="6"/>
  <c r="AA771" i="6" s="1"/>
  <c r="W771" i="6"/>
  <c r="AG771" i="6" s="1"/>
  <c r="U771" i="6"/>
  <c r="T771" i="6"/>
  <c r="S771" i="6"/>
  <c r="R771" i="6"/>
  <c r="O771" i="6"/>
  <c r="P771" i="6" s="1"/>
  <c r="J771" i="6"/>
  <c r="I771" i="6"/>
  <c r="H771" i="6"/>
  <c r="AD770" i="6"/>
  <c r="Y770" i="6"/>
  <c r="AA770" i="6" s="1"/>
  <c r="W770" i="6"/>
  <c r="AG770" i="6" s="1"/>
  <c r="U770" i="6"/>
  <c r="T770" i="6"/>
  <c r="S770" i="6"/>
  <c r="R770" i="6"/>
  <c r="O770" i="6"/>
  <c r="P770" i="6" s="1"/>
  <c r="J770" i="6"/>
  <c r="I770" i="6"/>
  <c r="H770" i="6"/>
  <c r="AD769" i="6"/>
  <c r="Y769" i="6"/>
  <c r="AA769" i="6" s="1"/>
  <c r="W769" i="6"/>
  <c r="AG769" i="6" s="1"/>
  <c r="U769" i="6"/>
  <c r="T769" i="6"/>
  <c r="S769" i="6"/>
  <c r="R769" i="6"/>
  <c r="O769" i="6"/>
  <c r="P769" i="6" s="1"/>
  <c r="J769" i="6"/>
  <c r="I769" i="6"/>
  <c r="H769" i="6"/>
  <c r="AD768" i="6"/>
  <c r="Y768" i="6"/>
  <c r="AA768" i="6" s="1"/>
  <c r="W768" i="6"/>
  <c r="AG768" i="6" s="1"/>
  <c r="U768" i="6"/>
  <c r="T768" i="6"/>
  <c r="S768" i="6"/>
  <c r="R768" i="6"/>
  <c r="O768" i="6"/>
  <c r="P768" i="6" s="1"/>
  <c r="J768" i="6"/>
  <c r="I768" i="6"/>
  <c r="H768" i="6"/>
  <c r="AD767" i="6"/>
  <c r="Y767" i="6"/>
  <c r="AA767" i="6" s="1"/>
  <c r="W767" i="6"/>
  <c r="AG767" i="6" s="1"/>
  <c r="U767" i="6"/>
  <c r="T767" i="6"/>
  <c r="S767" i="6"/>
  <c r="R767" i="6"/>
  <c r="O767" i="6"/>
  <c r="P767" i="6" s="1"/>
  <c r="J767" i="6"/>
  <c r="I767" i="6"/>
  <c r="H767" i="6"/>
  <c r="AD766" i="6"/>
  <c r="Y766" i="6"/>
  <c r="AA766" i="6" s="1"/>
  <c r="W766" i="6"/>
  <c r="AG766" i="6" s="1"/>
  <c r="U766" i="6"/>
  <c r="T766" i="6"/>
  <c r="S766" i="6"/>
  <c r="R766" i="6"/>
  <c r="O766" i="6"/>
  <c r="P766" i="6" s="1"/>
  <c r="J766" i="6"/>
  <c r="I766" i="6"/>
  <c r="H766" i="6"/>
  <c r="AD765" i="6"/>
  <c r="Y765" i="6"/>
  <c r="AA765" i="6" s="1"/>
  <c r="W765" i="6"/>
  <c r="AG765" i="6" s="1"/>
  <c r="U765" i="6"/>
  <c r="T765" i="6"/>
  <c r="S765" i="6"/>
  <c r="R765" i="6"/>
  <c r="O765" i="6"/>
  <c r="P765" i="6" s="1"/>
  <c r="J765" i="6"/>
  <c r="I765" i="6"/>
  <c r="H765" i="6"/>
  <c r="AD764" i="6"/>
  <c r="Y764" i="6"/>
  <c r="AA764" i="6" s="1"/>
  <c r="W764" i="6"/>
  <c r="AG764" i="6" s="1"/>
  <c r="U764" i="6"/>
  <c r="T764" i="6"/>
  <c r="S764" i="6"/>
  <c r="R764" i="6"/>
  <c r="O764" i="6"/>
  <c r="P764" i="6" s="1"/>
  <c r="J764" i="6"/>
  <c r="I764" i="6"/>
  <c r="H764" i="6"/>
  <c r="AD763" i="6"/>
  <c r="Y763" i="6"/>
  <c r="AA763" i="6" s="1"/>
  <c r="W763" i="6"/>
  <c r="AG763" i="6" s="1"/>
  <c r="U763" i="6"/>
  <c r="T763" i="6"/>
  <c r="S763" i="6"/>
  <c r="R763" i="6"/>
  <c r="O763" i="6"/>
  <c r="P763" i="6" s="1"/>
  <c r="J763" i="6"/>
  <c r="I763" i="6"/>
  <c r="H763" i="6"/>
  <c r="AD762" i="6"/>
  <c r="Y762" i="6"/>
  <c r="AA762" i="6" s="1"/>
  <c r="W762" i="6"/>
  <c r="AG762" i="6" s="1"/>
  <c r="U762" i="6"/>
  <c r="T762" i="6"/>
  <c r="S762" i="6"/>
  <c r="R762" i="6"/>
  <c r="O762" i="6"/>
  <c r="P762" i="6" s="1"/>
  <c r="J762" i="6"/>
  <c r="I762" i="6"/>
  <c r="H762" i="6"/>
  <c r="AD761" i="6"/>
  <c r="Y761" i="6"/>
  <c r="AA761" i="6" s="1"/>
  <c r="W761" i="6"/>
  <c r="AG761" i="6" s="1"/>
  <c r="U761" i="6"/>
  <c r="T761" i="6"/>
  <c r="S761" i="6"/>
  <c r="R761" i="6"/>
  <c r="O761" i="6"/>
  <c r="P761" i="6" s="1"/>
  <c r="J761" i="6"/>
  <c r="I761" i="6"/>
  <c r="H761" i="6"/>
  <c r="AD760" i="6"/>
  <c r="Y760" i="6"/>
  <c r="AA760" i="6" s="1"/>
  <c r="W760" i="6"/>
  <c r="AG760" i="6" s="1"/>
  <c r="U760" i="6"/>
  <c r="T760" i="6"/>
  <c r="S760" i="6"/>
  <c r="R760" i="6"/>
  <c r="O760" i="6"/>
  <c r="P760" i="6" s="1"/>
  <c r="J760" i="6"/>
  <c r="I760" i="6"/>
  <c r="H760" i="6"/>
  <c r="AD759" i="6"/>
  <c r="Y759" i="6"/>
  <c r="AA759" i="6" s="1"/>
  <c r="W759" i="6"/>
  <c r="AG759" i="6" s="1"/>
  <c r="U759" i="6"/>
  <c r="T759" i="6"/>
  <c r="S759" i="6"/>
  <c r="R759" i="6"/>
  <c r="O759" i="6"/>
  <c r="P759" i="6" s="1"/>
  <c r="J759" i="6"/>
  <c r="I759" i="6"/>
  <c r="H759" i="6"/>
  <c r="AD758" i="6"/>
  <c r="Y758" i="6"/>
  <c r="AA758" i="6" s="1"/>
  <c r="W758" i="6"/>
  <c r="AG758" i="6" s="1"/>
  <c r="U758" i="6"/>
  <c r="T758" i="6"/>
  <c r="S758" i="6"/>
  <c r="R758" i="6"/>
  <c r="O758" i="6"/>
  <c r="P758" i="6" s="1"/>
  <c r="J758" i="6"/>
  <c r="I758" i="6"/>
  <c r="H758" i="6"/>
  <c r="AD757" i="6"/>
  <c r="Y757" i="6"/>
  <c r="AA757" i="6" s="1"/>
  <c r="W757" i="6"/>
  <c r="AG757" i="6" s="1"/>
  <c r="U757" i="6"/>
  <c r="T757" i="6"/>
  <c r="S757" i="6"/>
  <c r="R757" i="6"/>
  <c r="O757" i="6"/>
  <c r="P757" i="6" s="1"/>
  <c r="J757" i="6"/>
  <c r="I757" i="6"/>
  <c r="H757" i="6"/>
  <c r="AD756" i="6"/>
  <c r="Y756" i="6"/>
  <c r="AA756" i="6" s="1"/>
  <c r="W756" i="6"/>
  <c r="AG756" i="6" s="1"/>
  <c r="U756" i="6"/>
  <c r="T756" i="6"/>
  <c r="S756" i="6"/>
  <c r="R756" i="6"/>
  <c r="O756" i="6"/>
  <c r="P756" i="6" s="1"/>
  <c r="J756" i="6"/>
  <c r="I756" i="6"/>
  <c r="H756" i="6"/>
  <c r="AD755" i="6"/>
  <c r="Y755" i="6"/>
  <c r="AA755" i="6" s="1"/>
  <c r="W755" i="6"/>
  <c r="AG755" i="6" s="1"/>
  <c r="U755" i="6"/>
  <c r="T755" i="6"/>
  <c r="S755" i="6"/>
  <c r="R755" i="6"/>
  <c r="O755" i="6"/>
  <c r="P755" i="6" s="1"/>
  <c r="J755" i="6"/>
  <c r="I755" i="6"/>
  <c r="H755" i="6"/>
  <c r="AD754" i="6"/>
  <c r="Y754" i="6"/>
  <c r="AA754" i="6" s="1"/>
  <c r="W754" i="6"/>
  <c r="AG754" i="6" s="1"/>
  <c r="U754" i="6"/>
  <c r="T754" i="6"/>
  <c r="S754" i="6"/>
  <c r="R754" i="6"/>
  <c r="O754" i="6"/>
  <c r="P754" i="6" s="1"/>
  <c r="J754" i="6"/>
  <c r="I754" i="6"/>
  <c r="H754" i="6"/>
  <c r="AD753" i="6"/>
  <c r="Y753" i="6"/>
  <c r="W753" i="6"/>
  <c r="AG753" i="6" s="1"/>
  <c r="U753" i="6"/>
  <c r="T753" i="6"/>
  <c r="S753" i="6"/>
  <c r="R753" i="6"/>
  <c r="O753" i="6"/>
  <c r="P753" i="6" s="1"/>
  <c r="J753" i="6"/>
  <c r="I753" i="6"/>
  <c r="H753" i="6"/>
  <c r="AD752" i="6"/>
  <c r="Y752" i="6"/>
  <c r="W752" i="6"/>
  <c r="AG752" i="6" s="1"/>
  <c r="U752" i="6"/>
  <c r="T752" i="6"/>
  <c r="S752" i="6"/>
  <c r="R752" i="6"/>
  <c r="O752" i="6"/>
  <c r="P752" i="6" s="1"/>
  <c r="J752" i="6"/>
  <c r="I752" i="6"/>
  <c r="H752" i="6"/>
  <c r="AD751" i="6"/>
  <c r="Y751" i="6"/>
  <c r="W751" i="6"/>
  <c r="AG751" i="6" s="1"/>
  <c r="U751" i="6"/>
  <c r="T751" i="6"/>
  <c r="S751" i="6"/>
  <c r="R751" i="6"/>
  <c r="O751" i="6"/>
  <c r="P751" i="6" s="1"/>
  <c r="J751" i="6"/>
  <c r="I751" i="6"/>
  <c r="H751" i="6"/>
  <c r="AD750" i="6"/>
  <c r="Y750" i="6"/>
  <c r="AG750" i="6"/>
  <c r="U750" i="6"/>
  <c r="T750" i="6"/>
  <c r="S750" i="6"/>
  <c r="R750" i="6"/>
  <c r="O750" i="6"/>
  <c r="P750" i="6" s="1"/>
  <c r="J750" i="6"/>
  <c r="I750" i="6"/>
  <c r="H750" i="6"/>
  <c r="AD749" i="6"/>
  <c r="Y749" i="6"/>
  <c r="AG749" i="6"/>
  <c r="U749" i="6"/>
  <c r="T749" i="6"/>
  <c r="S749" i="6"/>
  <c r="R749" i="6"/>
  <c r="O749" i="6"/>
  <c r="P749" i="6" s="1"/>
  <c r="J749" i="6"/>
  <c r="I749" i="6"/>
  <c r="H749" i="6"/>
  <c r="AD748" i="6"/>
  <c r="AG748" i="6"/>
  <c r="U748" i="6"/>
  <c r="T748" i="6"/>
  <c r="S748" i="6"/>
  <c r="R748" i="6"/>
  <c r="O748" i="6"/>
  <c r="P748" i="6" s="1"/>
  <c r="J748" i="6"/>
  <c r="I748" i="6"/>
  <c r="H748" i="6"/>
  <c r="AD747" i="6"/>
  <c r="Y747" i="6"/>
  <c r="AG747" i="6"/>
  <c r="U747" i="6"/>
  <c r="T747" i="6"/>
  <c r="S747" i="6"/>
  <c r="R747" i="6"/>
  <c r="O747" i="6"/>
  <c r="P747" i="6" s="1"/>
  <c r="J747" i="6"/>
  <c r="I747" i="6"/>
  <c r="H747" i="6"/>
  <c r="AD746" i="6"/>
  <c r="Y746" i="6"/>
  <c r="AA746" i="6" s="1"/>
  <c r="AG746" i="6"/>
  <c r="U746" i="6"/>
  <c r="T746" i="6"/>
  <c r="S746" i="6"/>
  <c r="R746" i="6"/>
  <c r="O746" i="6"/>
  <c r="P746" i="6" s="1"/>
  <c r="J746" i="6"/>
  <c r="I746" i="6"/>
  <c r="H746" i="6"/>
  <c r="AD745" i="6"/>
  <c r="Y745" i="6"/>
  <c r="AG745" i="6"/>
  <c r="U745" i="6"/>
  <c r="T745" i="6"/>
  <c r="S745" i="6"/>
  <c r="R745" i="6"/>
  <c r="O745" i="6"/>
  <c r="P745" i="6" s="1"/>
  <c r="J745" i="6"/>
  <c r="I745" i="6"/>
  <c r="H745" i="6"/>
  <c r="AD744" i="6"/>
  <c r="Y744" i="6"/>
  <c r="AA744" i="6" s="1"/>
  <c r="W744" i="6"/>
  <c r="AG744" i="6" s="1"/>
  <c r="U744" i="6"/>
  <c r="T744" i="6"/>
  <c r="S744" i="6"/>
  <c r="R744" i="6"/>
  <c r="O744" i="6"/>
  <c r="P744" i="6" s="1"/>
  <c r="J744" i="6"/>
  <c r="I744" i="6"/>
  <c r="H744" i="6"/>
  <c r="AD743" i="6"/>
  <c r="Y743" i="6"/>
  <c r="W743" i="6"/>
  <c r="AG743" i="6" s="1"/>
  <c r="U743" i="6"/>
  <c r="T743" i="6"/>
  <c r="S743" i="6"/>
  <c r="R743" i="6"/>
  <c r="O743" i="6"/>
  <c r="P743" i="6" s="1"/>
  <c r="J743" i="6"/>
  <c r="I743" i="6"/>
  <c r="H743" i="6"/>
  <c r="AD742" i="6"/>
  <c r="Y742" i="6"/>
  <c r="AA742" i="6" s="1"/>
  <c r="W742" i="6"/>
  <c r="AG742" i="6" s="1"/>
  <c r="U742" i="6"/>
  <c r="T742" i="6"/>
  <c r="S742" i="6"/>
  <c r="R742" i="6"/>
  <c r="O742" i="6"/>
  <c r="P742" i="6" s="1"/>
  <c r="J742" i="6"/>
  <c r="I742" i="6"/>
  <c r="H742" i="6"/>
  <c r="AD741" i="6"/>
  <c r="Y741" i="6"/>
  <c r="AA741" i="6" s="1"/>
  <c r="W741" i="6"/>
  <c r="AG741" i="6" s="1"/>
  <c r="U741" i="6"/>
  <c r="T741" i="6"/>
  <c r="S741" i="6"/>
  <c r="R741" i="6"/>
  <c r="O741" i="6"/>
  <c r="P741" i="6" s="1"/>
  <c r="J741" i="6"/>
  <c r="I741" i="6"/>
  <c r="H741" i="6"/>
  <c r="AD740" i="6"/>
  <c r="W740" i="6"/>
  <c r="AG740" i="6" s="1"/>
  <c r="U740" i="6"/>
  <c r="T740" i="6"/>
  <c r="S740" i="6"/>
  <c r="R740" i="6"/>
  <c r="O740" i="6"/>
  <c r="P740" i="6" s="1"/>
  <c r="L740" i="6"/>
  <c r="J740" i="6"/>
  <c r="I740" i="6"/>
  <c r="H740" i="6"/>
  <c r="AD739" i="6"/>
  <c r="Y739" i="6"/>
  <c r="W739" i="6"/>
  <c r="AG739" i="6" s="1"/>
  <c r="U739" i="6"/>
  <c r="T739" i="6"/>
  <c r="S739" i="6"/>
  <c r="R739" i="6"/>
  <c r="O739" i="6"/>
  <c r="P739" i="6" s="1"/>
  <c r="J739" i="6"/>
  <c r="I739" i="6"/>
  <c r="H739" i="6"/>
  <c r="AD738" i="6"/>
  <c r="Y738" i="6"/>
  <c r="W738" i="6"/>
  <c r="AG738" i="6" s="1"/>
  <c r="U738" i="6"/>
  <c r="T738" i="6"/>
  <c r="S738" i="6"/>
  <c r="R738" i="6"/>
  <c r="O738" i="6"/>
  <c r="P738" i="6" s="1"/>
  <c r="J738" i="6"/>
  <c r="I738" i="6"/>
  <c r="H738" i="6"/>
  <c r="AD737" i="6"/>
  <c r="Y737" i="6"/>
  <c r="AA737" i="6" s="1"/>
  <c r="W737" i="6"/>
  <c r="AG737" i="6" s="1"/>
  <c r="U737" i="6"/>
  <c r="T737" i="6"/>
  <c r="S737" i="6"/>
  <c r="R737" i="6"/>
  <c r="O737" i="6"/>
  <c r="P737" i="6" s="1"/>
  <c r="J737" i="6"/>
  <c r="I737" i="6"/>
  <c r="H737" i="6"/>
  <c r="AD736" i="6"/>
  <c r="Y736" i="6"/>
  <c r="AA736" i="6" s="1"/>
  <c r="W736" i="6"/>
  <c r="AG736" i="6" s="1"/>
  <c r="U736" i="6"/>
  <c r="T736" i="6"/>
  <c r="S736" i="6"/>
  <c r="R736" i="6"/>
  <c r="O736" i="6"/>
  <c r="P736" i="6" s="1"/>
  <c r="J736" i="6"/>
  <c r="I736" i="6"/>
  <c r="H736" i="6"/>
  <c r="AD735" i="6"/>
  <c r="W735" i="6"/>
  <c r="AG735" i="6" s="1"/>
  <c r="U735" i="6"/>
  <c r="T735" i="6"/>
  <c r="S735" i="6"/>
  <c r="R735" i="6"/>
  <c r="O735" i="6"/>
  <c r="P735" i="6" s="1"/>
  <c r="L735" i="6"/>
  <c r="J735" i="6"/>
  <c r="I735" i="6"/>
  <c r="H735" i="6"/>
  <c r="AD734" i="6"/>
  <c r="W734" i="6"/>
  <c r="AG734" i="6" s="1"/>
  <c r="U734" i="6"/>
  <c r="T734" i="6"/>
  <c r="S734" i="6"/>
  <c r="R734" i="6"/>
  <c r="O734" i="6"/>
  <c r="P734" i="6" s="1"/>
  <c r="J734" i="6"/>
  <c r="I734" i="6"/>
  <c r="H734"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BG731" i="1"/>
  <c r="BG723" i="1"/>
  <c r="BG722" i="1"/>
  <c r="BG721" i="1"/>
  <c r="BG720" i="1"/>
  <c r="BG719" i="1"/>
  <c r="BG718" i="1"/>
  <c r="BG717" i="1"/>
  <c r="BG716" i="1"/>
  <c r="BG715" i="1"/>
  <c r="BG714"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692" i="1" l="1"/>
  <c r="P691" i="1"/>
  <c r="P665" i="1"/>
  <c r="P664" i="1"/>
  <c r="P663" i="1"/>
  <c r="P662" i="1"/>
  <c r="P661" i="1"/>
  <c r="P633" i="1" l="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Z656" i="5"/>
  <c r="AB656" i="5"/>
  <c r="AC656" i="5"/>
  <c r="AD656" i="5"/>
  <c r="AE656" i="5"/>
  <c r="AF656" i="5"/>
  <c r="AG656" i="5"/>
  <c r="AM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89" i="5"/>
  <c r="H689" i="5"/>
  <c r="J689" i="5"/>
  <c r="L689" i="5"/>
  <c r="N689" i="5"/>
  <c r="R689" i="5"/>
  <c r="T689" i="5"/>
  <c r="U689" i="5"/>
  <c r="W689" i="5"/>
  <c r="Z689" i="5"/>
  <c r="AB689" i="5"/>
  <c r="AC689" i="5"/>
  <c r="AD689" i="5"/>
  <c r="AE689" i="5"/>
  <c r="AF689" i="5"/>
  <c r="AG689" i="5"/>
  <c r="AM689" i="5"/>
  <c r="A690" i="5"/>
  <c r="H690" i="5"/>
  <c r="J690" i="5"/>
  <c r="L690" i="5"/>
  <c r="N690" i="5"/>
  <c r="R690" i="5"/>
  <c r="T690" i="5"/>
  <c r="U690" i="5"/>
  <c r="W690" i="5"/>
  <c r="Z690" i="5"/>
  <c r="AB690" i="5"/>
  <c r="AC690" i="5"/>
  <c r="AD690" i="5"/>
  <c r="AE690" i="5"/>
  <c r="AF690" i="5"/>
  <c r="AG690" i="5"/>
  <c r="AM690" i="5"/>
  <c r="A691" i="5"/>
  <c r="H691" i="5"/>
  <c r="J691" i="5"/>
  <c r="L691" i="5"/>
  <c r="N691" i="5"/>
  <c r="R691" i="5"/>
  <c r="T691" i="5"/>
  <c r="U691" i="5"/>
  <c r="W691" i="5"/>
  <c r="Z691" i="5"/>
  <c r="AB691" i="5"/>
  <c r="AC691" i="5"/>
  <c r="AD691" i="5"/>
  <c r="AE691" i="5"/>
  <c r="AF691" i="5"/>
  <c r="AG691" i="5"/>
  <c r="AM691" i="5"/>
  <c r="A692" i="5"/>
  <c r="H692" i="5"/>
  <c r="J692" i="5"/>
  <c r="L692" i="5"/>
  <c r="N692" i="5"/>
  <c r="R692" i="5"/>
  <c r="T692" i="5"/>
  <c r="U692" i="5"/>
  <c r="W692" i="5"/>
  <c r="Z692" i="5"/>
  <c r="AB692" i="5"/>
  <c r="AC692" i="5"/>
  <c r="AD692" i="5"/>
  <c r="AE692" i="5"/>
  <c r="AF692" i="5"/>
  <c r="AG692" i="5"/>
  <c r="AM692" i="5"/>
  <c r="A693" i="5"/>
  <c r="H693" i="5"/>
  <c r="J693" i="5"/>
  <c r="L693" i="5"/>
  <c r="N693" i="5"/>
  <c r="R693" i="5"/>
  <c r="T693" i="5"/>
  <c r="U693" i="5"/>
  <c r="W693" i="5"/>
  <c r="Z693" i="5"/>
  <c r="AB693" i="5"/>
  <c r="AC693" i="5"/>
  <c r="AD693" i="5"/>
  <c r="AE693" i="5"/>
  <c r="AF693" i="5"/>
  <c r="AG693" i="5"/>
  <c r="AM693" i="5"/>
  <c r="A694" i="5"/>
  <c r="H694" i="5"/>
  <c r="J694" i="5"/>
  <c r="L694" i="5"/>
  <c r="N694" i="5"/>
  <c r="R694" i="5"/>
  <c r="T694" i="5"/>
  <c r="U694" i="5"/>
  <c r="W694" i="5"/>
  <c r="Z694" i="5"/>
  <c r="AB694" i="5"/>
  <c r="AC694" i="5"/>
  <c r="AD694" i="5"/>
  <c r="AE694" i="5"/>
  <c r="AF694" i="5"/>
  <c r="AG694" i="5"/>
  <c r="AM694" i="5"/>
  <c r="A695" i="5"/>
  <c r="H695" i="5"/>
  <c r="J695" i="5"/>
  <c r="L695" i="5"/>
  <c r="N695" i="5"/>
  <c r="R695" i="5"/>
  <c r="T695" i="5"/>
  <c r="U695" i="5"/>
  <c r="W695" i="5"/>
  <c r="Z695" i="5"/>
  <c r="AB695" i="5"/>
  <c r="AC695" i="5"/>
  <c r="AD695" i="5"/>
  <c r="AE695" i="5"/>
  <c r="AF695" i="5"/>
  <c r="AG695" i="5"/>
  <c r="AM695" i="5"/>
  <c r="A698" i="5"/>
  <c r="H698" i="5"/>
  <c r="J698" i="5"/>
  <c r="L698" i="5"/>
  <c r="N698" i="5"/>
  <c r="R698" i="5"/>
  <c r="T698" i="5"/>
  <c r="U698" i="5"/>
  <c r="W698" i="5"/>
  <c r="Z698" i="5"/>
  <c r="AB698" i="5"/>
  <c r="AC698" i="5"/>
  <c r="AD698" i="5"/>
  <c r="AE698" i="5"/>
  <c r="AF698" i="5"/>
  <c r="AG698" i="5"/>
  <c r="AM698"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12" i="5"/>
  <c r="H712" i="5"/>
  <c r="J712" i="5"/>
  <c r="L712" i="5"/>
  <c r="N712" i="5"/>
  <c r="R712" i="5"/>
  <c r="T712" i="5"/>
  <c r="U712" i="5"/>
  <c r="W712" i="5"/>
  <c r="Z712" i="5"/>
  <c r="AB712" i="5"/>
  <c r="AC712" i="5"/>
  <c r="AD712" i="5"/>
  <c r="AE712" i="5"/>
  <c r="AF712" i="5"/>
  <c r="AG712" i="5"/>
  <c r="AM712" i="5"/>
  <c r="A713" i="5"/>
  <c r="H713" i="5"/>
  <c r="J713" i="5"/>
  <c r="L713" i="5"/>
  <c r="N713" i="5"/>
  <c r="R713" i="5"/>
  <c r="T713" i="5"/>
  <c r="U713" i="5"/>
  <c r="W713" i="5"/>
  <c r="Z713" i="5"/>
  <c r="AB713" i="5"/>
  <c r="AC713" i="5"/>
  <c r="AD713" i="5"/>
  <c r="AE713" i="5"/>
  <c r="AF713" i="5"/>
  <c r="AG713" i="5"/>
  <c r="AM713" i="5"/>
  <c r="A714" i="5"/>
  <c r="H714" i="5"/>
  <c r="J714" i="5"/>
  <c r="L714" i="5"/>
  <c r="N714" i="5"/>
  <c r="R714" i="5"/>
  <c r="T714" i="5"/>
  <c r="U714" i="5"/>
  <c r="W714" i="5"/>
  <c r="Z714" i="5"/>
  <c r="AB714" i="5"/>
  <c r="AC714" i="5"/>
  <c r="AD714" i="5"/>
  <c r="AE714" i="5"/>
  <c r="AF714" i="5"/>
  <c r="AG714" i="5"/>
  <c r="AM714" i="5"/>
  <c r="A715" i="5"/>
  <c r="H715" i="5"/>
  <c r="J715" i="5"/>
  <c r="L715" i="5"/>
  <c r="N715" i="5"/>
  <c r="R715" i="5"/>
  <c r="T715" i="5"/>
  <c r="U715" i="5"/>
  <c r="W715" i="5"/>
  <c r="Z715" i="5"/>
  <c r="AB715" i="5"/>
  <c r="AC715" i="5"/>
  <c r="AD715" i="5"/>
  <c r="AE715" i="5"/>
  <c r="AF715" i="5"/>
  <c r="AG715" i="5"/>
  <c r="AM715"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R724" i="5"/>
  <c r="T724" i="5"/>
  <c r="U724" i="5"/>
  <c r="W724" i="5"/>
  <c r="B724" i="5" s="1"/>
  <c r="Z724" i="5"/>
  <c r="AB724" i="5"/>
  <c r="AC724" i="5"/>
  <c r="AD724" i="5"/>
  <c r="AE724" i="5"/>
  <c r="AF724" i="5"/>
  <c r="AG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N728" i="5"/>
  <c r="R728" i="5"/>
  <c r="T728" i="5"/>
  <c r="U728" i="5"/>
  <c r="W728" i="5"/>
  <c r="Z728" i="5"/>
  <c r="AB728" i="5"/>
  <c r="AC728" i="5"/>
  <c r="AD728" i="5"/>
  <c r="AE728" i="5"/>
  <c r="AF728" i="5"/>
  <c r="AG728" i="5"/>
  <c r="AM728" i="5"/>
  <c r="A729" i="5"/>
  <c r="H729" i="5"/>
  <c r="J729" i="5"/>
  <c r="L729" i="5"/>
  <c r="N729" i="5"/>
  <c r="R729" i="5"/>
  <c r="T729" i="5"/>
  <c r="U729" i="5"/>
  <c r="W729" i="5"/>
  <c r="Z729" i="5"/>
  <c r="AB729" i="5"/>
  <c r="AC729" i="5"/>
  <c r="AD729" i="5"/>
  <c r="AE729" i="5"/>
  <c r="AF729" i="5"/>
  <c r="AG729" i="5"/>
  <c r="AM729"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89" i="4"/>
  <c r="X690" i="4"/>
  <c r="X691" i="4"/>
  <c r="X692" i="4"/>
  <c r="X693" i="4"/>
  <c r="X694" i="4"/>
  <c r="X695" i="4"/>
  <c r="X698" i="4"/>
  <c r="X699" i="4"/>
  <c r="X700" i="4"/>
  <c r="X701" i="4"/>
  <c r="X712" i="4"/>
  <c r="X713" i="4"/>
  <c r="X714" i="4"/>
  <c r="X715" i="4"/>
  <c r="X716" i="4"/>
  <c r="X717" i="4"/>
  <c r="X718" i="4"/>
  <c r="X719" i="4"/>
  <c r="X720" i="4"/>
  <c r="X721" i="4"/>
  <c r="X722" i="4"/>
  <c r="X723" i="4"/>
  <c r="X724" i="4"/>
  <c r="X725" i="4"/>
  <c r="X726" i="4"/>
  <c r="X727" i="4"/>
  <c r="X728" i="4"/>
  <c r="X729"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15" i="4"/>
  <c r="S715" i="4"/>
  <c r="R715" i="4"/>
  <c r="Q715" i="4"/>
  <c r="P715" i="4"/>
  <c r="N715" i="4"/>
  <c r="M715" i="4"/>
  <c r="L715" i="4"/>
  <c r="AB714" i="4"/>
  <c r="S714" i="4"/>
  <c r="R714" i="4"/>
  <c r="Q714" i="4"/>
  <c r="P714" i="4"/>
  <c r="N714" i="4"/>
  <c r="M714" i="4"/>
  <c r="L714" i="4"/>
  <c r="AB713" i="4"/>
  <c r="S713" i="4"/>
  <c r="R713" i="4"/>
  <c r="Q713" i="4"/>
  <c r="P713" i="4"/>
  <c r="N713" i="4"/>
  <c r="M713" i="4"/>
  <c r="L713" i="4"/>
  <c r="AB712" i="4"/>
  <c r="S712" i="4"/>
  <c r="R712" i="4"/>
  <c r="Q712" i="4"/>
  <c r="P712" i="4"/>
  <c r="N712" i="4"/>
  <c r="M712" i="4"/>
  <c r="L712" i="4"/>
  <c r="AB701" i="4"/>
  <c r="S701" i="4"/>
  <c r="R701" i="4"/>
  <c r="Q701" i="4"/>
  <c r="P701" i="4"/>
  <c r="N701" i="4"/>
  <c r="M701" i="4"/>
  <c r="L701" i="4"/>
  <c r="AB700" i="4"/>
  <c r="S700" i="4"/>
  <c r="R700" i="4"/>
  <c r="Q700" i="4"/>
  <c r="P700" i="4"/>
  <c r="N700" i="4"/>
  <c r="M700" i="4"/>
  <c r="L700" i="4"/>
  <c r="AB699" i="4"/>
  <c r="S699" i="4"/>
  <c r="R699" i="4"/>
  <c r="Q699" i="4"/>
  <c r="P699" i="4"/>
  <c r="N699" i="4"/>
  <c r="M699" i="4"/>
  <c r="L699" i="4"/>
  <c r="AB698" i="4"/>
  <c r="S698" i="4"/>
  <c r="R698" i="4"/>
  <c r="Q698" i="4"/>
  <c r="P698" i="4"/>
  <c r="N698" i="4"/>
  <c r="M698" i="4"/>
  <c r="L698"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29" i="4"/>
  <c r="C729" i="4"/>
  <c r="E728" i="4"/>
  <c r="C728" i="4"/>
  <c r="E727" i="4"/>
  <c r="C727" i="4"/>
  <c r="E726" i="4"/>
  <c r="C726" i="4"/>
  <c r="E725" i="4"/>
  <c r="C725" i="4"/>
  <c r="E724" i="4"/>
  <c r="C724" i="4"/>
  <c r="B724" i="4"/>
  <c r="E723" i="4"/>
  <c r="C723" i="4"/>
  <c r="E722" i="4"/>
  <c r="C722" i="4"/>
  <c r="E721" i="4"/>
  <c r="C721" i="4"/>
  <c r="B721" i="4"/>
  <c r="E720" i="4"/>
  <c r="C720" i="4"/>
  <c r="B720" i="4"/>
  <c r="E719" i="4"/>
  <c r="C719" i="4"/>
  <c r="B719" i="4"/>
  <c r="E718" i="4"/>
  <c r="C718" i="4"/>
  <c r="B718" i="4"/>
  <c r="E717" i="4"/>
  <c r="C717" i="4"/>
  <c r="B717" i="4"/>
  <c r="E716" i="4"/>
  <c r="C716" i="4"/>
  <c r="B716" i="4"/>
  <c r="E715" i="4"/>
  <c r="C715" i="4"/>
  <c r="B715" i="4"/>
  <c r="E714" i="4"/>
  <c r="C714" i="4"/>
  <c r="B714" i="4"/>
  <c r="E713" i="4"/>
  <c r="C713" i="4"/>
  <c r="B713" i="4"/>
  <c r="E712" i="4"/>
  <c r="C712" i="4"/>
  <c r="B712" i="4"/>
  <c r="E701" i="4"/>
  <c r="C701" i="4"/>
  <c r="B701" i="4"/>
  <c r="E700" i="4"/>
  <c r="C700" i="4"/>
  <c r="B700" i="4"/>
  <c r="E699" i="4"/>
  <c r="C699" i="4"/>
  <c r="B699" i="4"/>
  <c r="E698" i="4"/>
  <c r="C698" i="4"/>
  <c r="B698" i="4"/>
  <c r="E695" i="4"/>
  <c r="C695" i="4"/>
  <c r="B695" i="4"/>
  <c r="E694" i="4"/>
  <c r="C694" i="4"/>
  <c r="B694" i="4"/>
  <c r="E693" i="4"/>
  <c r="C693" i="4"/>
  <c r="B693" i="4"/>
  <c r="E692" i="4"/>
  <c r="C692" i="4"/>
  <c r="B692" i="4"/>
  <c r="E691" i="4"/>
  <c r="C691" i="4"/>
  <c r="B691" i="4"/>
  <c r="E690" i="4"/>
  <c r="C690" i="4"/>
  <c r="B690" i="4"/>
  <c r="E689" i="4"/>
  <c r="C689" i="4"/>
  <c r="B68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8" i="6"/>
  <c r="AD669" i="6"/>
  <c r="AD670" i="6"/>
  <c r="AD671" i="6"/>
  <c r="AD672" i="6"/>
  <c r="AD693" i="6"/>
  <c r="AD694" i="6"/>
  <c r="AD695" i="6"/>
  <c r="AD697" i="6"/>
  <c r="AD698" i="6"/>
  <c r="AD702" i="6"/>
  <c r="AD703" i="6"/>
  <c r="AD704" i="6"/>
  <c r="AD705" i="6"/>
  <c r="AD716" i="6"/>
  <c r="AD717" i="6"/>
  <c r="AD718" i="6"/>
  <c r="AD719" i="6"/>
  <c r="AD720" i="6"/>
  <c r="AD721" i="6"/>
  <c r="AD722" i="6"/>
  <c r="AD723" i="6"/>
  <c r="AD724" i="6"/>
  <c r="AD725" i="6"/>
  <c r="AD726" i="6"/>
  <c r="AD727" i="6"/>
  <c r="AD728" i="6"/>
  <c r="AD729" i="6"/>
  <c r="AD730" i="6"/>
  <c r="AD731" i="6"/>
  <c r="AD732" i="6"/>
  <c r="AD733"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Y659" i="6"/>
  <c r="AA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Y661" i="6"/>
  <c r="AA661" i="6" s="1"/>
  <c r="A662" i="6"/>
  <c r="E662" i="6"/>
  <c r="H662" i="6"/>
  <c r="I662" i="6"/>
  <c r="J662" i="6"/>
  <c r="O662" i="6"/>
  <c r="P662" i="6" s="1"/>
  <c r="R662" i="6"/>
  <c r="S662" i="6"/>
  <c r="T662" i="6"/>
  <c r="U662" i="6"/>
  <c r="W662" i="6"/>
  <c r="AG662" i="6" s="1"/>
  <c r="Y662" i="6"/>
  <c r="AA662" i="6" s="1"/>
  <c r="A663" i="6"/>
  <c r="E663" i="6"/>
  <c r="H663" i="6"/>
  <c r="I663" i="6"/>
  <c r="J663" i="6"/>
  <c r="O663" i="6"/>
  <c r="P663" i="6" s="1"/>
  <c r="R663" i="6"/>
  <c r="S663" i="6"/>
  <c r="T663" i="6"/>
  <c r="U663" i="6"/>
  <c r="W663" i="6"/>
  <c r="AG663" i="6" s="1"/>
  <c r="Y663" i="6"/>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693" i="6"/>
  <c r="E693" i="6"/>
  <c r="H693" i="6"/>
  <c r="I693" i="6"/>
  <c r="J693" i="6"/>
  <c r="O693" i="6"/>
  <c r="P693" i="6" s="1"/>
  <c r="R693" i="6"/>
  <c r="S693" i="6"/>
  <c r="T693" i="6"/>
  <c r="U693" i="6"/>
  <c r="W693" i="6"/>
  <c r="AG693" i="6" s="1"/>
  <c r="Y693" i="6"/>
  <c r="A694" i="6"/>
  <c r="E694" i="6"/>
  <c r="H694" i="6"/>
  <c r="I694" i="6"/>
  <c r="J694" i="6"/>
  <c r="O694" i="6"/>
  <c r="P694" i="6" s="1"/>
  <c r="R694" i="6"/>
  <c r="S694" i="6"/>
  <c r="T694" i="6"/>
  <c r="U694" i="6"/>
  <c r="W694" i="6"/>
  <c r="AG694" i="6" s="1"/>
  <c r="Y694" i="6"/>
  <c r="A695" i="6"/>
  <c r="E695" i="6"/>
  <c r="H695" i="6"/>
  <c r="I695" i="6"/>
  <c r="J695" i="6"/>
  <c r="O695" i="6"/>
  <c r="P695" i="6" s="1"/>
  <c r="R695" i="6"/>
  <c r="S695" i="6"/>
  <c r="T695" i="6"/>
  <c r="U695" i="6"/>
  <c r="W695" i="6"/>
  <c r="AG695" i="6" s="1"/>
  <c r="Y695" i="6"/>
  <c r="A696" i="6"/>
  <c r="E696" i="6"/>
  <c r="H696" i="6"/>
  <c r="I696" i="6"/>
  <c r="J696" i="6"/>
  <c r="O696" i="6"/>
  <c r="P696" i="6" s="1"/>
  <c r="R696" i="6"/>
  <c r="S696" i="6"/>
  <c r="T696" i="6"/>
  <c r="U696" i="6"/>
  <c r="W696" i="6"/>
  <c r="AG696" i="6" s="1"/>
  <c r="Y696" i="6"/>
  <c r="A697" i="6"/>
  <c r="E697" i="6"/>
  <c r="H697" i="6"/>
  <c r="I697" i="6"/>
  <c r="J697" i="6"/>
  <c r="O697" i="6"/>
  <c r="P697" i="6" s="1"/>
  <c r="R697" i="6"/>
  <c r="S697" i="6"/>
  <c r="T697" i="6"/>
  <c r="U697" i="6"/>
  <c r="W697" i="6"/>
  <c r="AG697" i="6" s="1"/>
  <c r="Y697" i="6"/>
  <c r="A698" i="6"/>
  <c r="E698" i="6"/>
  <c r="H698" i="6"/>
  <c r="I698" i="6"/>
  <c r="J698" i="6"/>
  <c r="O698" i="6"/>
  <c r="P698" i="6" s="1"/>
  <c r="R698" i="6"/>
  <c r="S698" i="6"/>
  <c r="T698" i="6"/>
  <c r="U698" i="6"/>
  <c r="W698" i="6"/>
  <c r="AG698" i="6" s="1"/>
  <c r="A699" i="6"/>
  <c r="E699" i="6"/>
  <c r="H699" i="6"/>
  <c r="I699" i="6"/>
  <c r="J699" i="6"/>
  <c r="O699" i="6"/>
  <c r="P699" i="6" s="1"/>
  <c r="R699" i="6"/>
  <c r="S699" i="6"/>
  <c r="T699" i="6"/>
  <c r="U699" i="6"/>
  <c r="W699" i="6"/>
  <c r="AG699" i="6" s="1"/>
  <c r="Y699" i="6"/>
  <c r="A702" i="6"/>
  <c r="E702" i="6"/>
  <c r="H702" i="6"/>
  <c r="I702" i="6"/>
  <c r="J702" i="6"/>
  <c r="O702" i="6"/>
  <c r="P702" i="6" s="1"/>
  <c r="R702" i="6"/>
  <c r="S702" i="6"/>
  <c r="T702" i="6"/>
  <c r="U702" i="6"/>
  <c r="W702" i="6"/>
  <c r="AG702" i="6" s="1"/>
  <c r="Y702" i="6"/>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16" i="6"/>
  <c r="E716" i="6"/>
  <c r="H716" i="6"/>
  <c r="I716" i="6"/>
  <c r="J716" i="6"/>
  <c r="O716" i="6"/>
  <c r="P716" i="6" s="1"/>
  <c r="R716" i="6"/>
  <c r="S716" i="6"/>
  <c r="T716" i="6"/>
  <c r="U716" i="6"/>
  <c r="W716" i="6"/>
  <c r="AG716" i="6" s="1"/>
  <c r="Y716" i="6"/>
  <c r="AA716" i="6" s="1"/>
  <c r="A717" i="6"/>
  <c r="E717" i="6"/>
  <c r="H717" i="6"/>
  <c r="I717" i="6"/>
  <c r="J717" i="6"/>
  <c r="O717" i="6"/>
  <c r="P717" i="6" s="1"/>
  <c r="R717" i="6"/>
  <c r="S717" i="6"/>
  <c r="T717" i="6"/>
  <c r="U717" i="6"/>
  <c r="W717" i="6"/>
  <c r="AG717" i="6" s="1"/>
  <c r="Y717" i="6"/>
  <c r="AA717" i="6" s="1"/>
  <c r="A718" i="6"/>
  <c r="E718" i="6"/>
  <c r="H718" i="6"/>
  <c r="I718" i="6"/>
  <c r="J718" i="6"/>
  <c r="O718" i="6"/>
  <c r="P718" i="6" s="1"/>
  <c r="R718" i="6"/>
  <c r="S718" i="6"/>
  <c r="T718" i="6"/>
  <c r="U718" i="6"/>
  <c r="W718" i="6"/>
  <c r="AG718" i="6" s="1"/>
  <c r="Y718" i="6"/>
  <c r="AA718" i="6" s="1"/>
  <c r="A719" i="6"/>
  <c r="E719" i="6"/>
  <c r="H719" i="6"/>
  <c r="I719" i="6"/>
  <c r="J719" i="6"/>
  <c r="O719" i="6"/>
  <c r="P719" i="6" s="1"/>
  <c r="R719" i="6"/>
  <c r="S719" i="6"/>
  <c r="T719" i="6"/>
  <c r="U719" i="6"/>
  <c r="W719" i="6"/>
  <c r="AG719" i="6" s="1"/>
  <c r="Y719" i="6"/>
  <c r="AA719" i="6" s="1"/>
  <c r="A720" i="6"/>
  <c r="E720" i="6"/>
  <c r="H720" i="6"/>
  <c r="I720" i="6"/>
  <c r="J720" i="6"/>
  <c r="O720" i="6"/>
  <c r="P720" i="6" s="1"/>
  <c r="R720" i="6"/>
  <c r="S720" i="6"/>
  <c r="T720" i="6"/>
  <c r="U720" i="6"/>
  <c r="W720" i="6"/>
  <c r="AG720" i="6" s="1"/>
  <c r="Y720" i="6"/>
  <c r="AA720" i="6" s="1"/>
  <c r="A721" i="6"/>
  <c r="E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727" i="6"/>
  <c r="E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729" i="6"/>
  <c r="E729" i="6"/>
  <c r="H729" i="6"/>
  <c r="I729" i="6"/>
  <c r="J729" i="6"/>
  <c r="O729" i="6"/>
  <c r="P729" i="6" s="1"/>
  <c r="R729" i="6"/>
  <c r="S729" i="6"/>
  <c r="T729" i="6"/>
  <c r="U729" i="6"/>
  <c r="W729" i="6"/>
  <c r="AG729" i="6" s="1"/>
  <c r="Y729" i="6"/>
  <c r="A730" i="6"/>
  <c r="E730" i="6"/>
  <c r="H730" i="6"/>
  <c r="I730" i="6"/>
  <c r="J730" i="6"/>
  <c r="O730" i="6"/>
  <c r="P730" i="6" s="1"/>
  <c r="R730" i="6"/>
  <c r="S730" i="6"/>
  <c r="T730" i="6"/>
  <c r="U730" i="6"/>
  <c r="W730" i="6"/>
  <c r="AG730" i="6" s="1"/>
  <c r="Y730" i="6"/>
  <c r="A731" i="6"/>
  <c r="E731" i="6"/>
  <c r="H731" i="6"/>
  <c r="I731" i="6"/>
  <c r="J731" i="6"/>
  <c r="O731" i="6"/>
  <c r="P731" i="6" s="1"/>
  <c r="R731" i="6"/>
  <c r="S731" i="6"/>
  <c r="T731" i="6"/>
  <c r="U731" i="6"/>
  <c r="W731" i="6"/>
  <c r="AG731" i="6" s="1"/>
  <c r="Y731" i="6"/>
  <c r="A732" i="6"/>
  <c r="E732" i="6"/>
  <c r="H732" i="6"/>
  <c r="I732" i="6"/>
  <c r="J732" i="6"/>
  <c r="O732" i="6"/>
  <c r="P732" i="6" s="1"/>
  <c r="R732" i="6"/>
  <c r="S732" i="6"/>
  <c r="T732" i="6"/>
  <c r="U732" i="6"/>
  <c r="W732" i="6"/>
  <c r="AG732" i="6" s="1"/>
  <c r="A733" i="6"/>
  <c r="E733" i="6"/>
  <c r="H733" i="6"/>
  <c r="I733" i="6"/>
  <c r="J733" i="6"/>
  <c r="O733" i="6"/>
  <c r="P733" i="6" s="1"/>
  <c r="R733" i="6"/>
  <c r="S733" i="6"/>
  <c r="T733" i="6"/>
  <c r="U733" i="6"/>
  <c r="W733" i="6"/>
  <c r="AG733"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79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793"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788"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783"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<sst xmlns="http://schemas.openxmlformats.org/spreadsheetml/2006/main" count="43471" uniqueCount="6098">
  <si>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</si>
  <si>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</si>
  <si>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</si>
  <si>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</si>
  <si>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</si>
  <si>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</si>
  <si>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</si>
  <si>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</si>
  <si>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</si>
  <si>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</si>
  <si>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</si>
  <si>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</si>
  <si>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</si>
  <si>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</si>
  <si>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</si>
  <si>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</si>
  <si>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</si>
  <si>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</si>
  <si>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</si>
  <si>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</si>
  <si>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</si>
  <si>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</si>
  <si>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</si>
  <si>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</si>
  <si>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</si>
  <si>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</si>
  <si>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</si>
  <si>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</si>
  <si>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</si>
  <si>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</si>
  <si>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</si>
  <si>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</si>
  <si>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</si>
  <si>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</si>
  <si>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</si>
  <si>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</si>
  <si>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</si>
  <si>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</si>
  <si>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</si>
  <si>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</si>
  <si>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</si>
  <si>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</si>
  <si>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</si>
  <si>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</si>
  <si>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</si>
  <si>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</si>
  <si>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</si>
  <si>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</si>
  <si>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</si>
  <si>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</si>
  <si>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</si>
  <si>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</si>
  <si>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</si>
  <si>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</si>
  <si>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</si>
  <si>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</si>
  <si>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</si>
  <si>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</si>
  <si>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</si>
  <si>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</si>
  <si>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</si>
  <si>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</si>
  <si>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</si>
  <si>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</si>
  <si>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</si>
  <si>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</si>
  <si>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</si>
  <si>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</si>
  <si>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</si>
  <si>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</si>
  <si>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</si>
  <si>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</si>
  <si>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</si>
  <si>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</si>
  <si>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</si>
  <si>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</si>
  <si>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</si>
  <si>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</si>
  <si>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</si>
  <si>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</si>
  <si>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</si>
  <si>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</si>
  <si>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</si>
  <si>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</si>
  <si>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</si>
  <si>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</si>
  <si>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</si>
  <si>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</si>
  <si>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</si>
  <si>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</si>
  <si>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</si>
  <si>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</si>
  <si>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</si>
  <si>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</si>
  <si>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</si>
  <si>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</si>
  <si>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</si>
  <si>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</si>
  <si>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</si>
  <si>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</si>
  <si>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</si>
  <si>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</si>
  <si>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</si>
  <si>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</si>
  <si>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</si>
  <si>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</si>
  <si>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</si>
  <si>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</si>
  <si>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</si>
  <si>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</si>
  <si>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</si>
  <si>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</si>
  <si>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</si>
  <si>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</si>
  <si>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</si>
  <si>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</si>
  <si>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</si>
  <si>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</si>
  <si>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</si>
  <si>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</si>
  <si>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</si>
  <si>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</si>
  <si>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</si>
  <si>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</si>
  <si>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</si>
  <si>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</si>
  <si>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</si>
  <si>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</si>
  <si>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</si>
  <si>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</si>
  <si>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</si>
  <si>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</si>
  <si>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</si>
  <si>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</si>
  <si>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</si>
  <si>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</si>
  <si>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</si>
  <si>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</si>
  <si>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</si>
  <si>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</si>
  <si>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</si>
  <si>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</si>
  <si>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</si>
  <si>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</si>
  <si>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</si>
  <si>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</si>
  <si>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</si>
  <si>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</si>
  <si>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</si>
  <si>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</si>
  <si>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</si>
  <si>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</si>
  <si>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</si>
  <si>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</si>
  <si>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</si>
  <si>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</si>
  <si>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</si>
  <si>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</si>
  <si>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</si>
  <si>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</si>
  <si>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</si>
  <si>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</si>
  <si>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</si>
  <si>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</si>
  <si>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</si>
  <si>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</si>
  <si>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</si>
  <si>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</si>
  <si>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</si>
  <si>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</si>
  <si>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</si>
  <si>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</si>
  <si>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</si>
  <si>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</si>
  <si>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</si>
  <si>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</si>
  <si>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</si>
  <si>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</si>
  <si>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</si>
  <si>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</si>
  <si>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</si>
  <si>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</si>
  <si>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</si>
  <si>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</si>
  <si>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</si>
  <si>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</si>
  <si>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</si>
  <si>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</si>
  <si>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</si>
  <si>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</si>
  <si>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</si>
  <si>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</si>
  <si>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</si>
  <si>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</si>
  <si>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</si>
  <si>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</si>
  <si>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</si>
  <si>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</si>
  <si>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</si>
  <si>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</si>
  <si>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</si>
  <si>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</si>
  <si>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</si>
  <si>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</si>
  <si>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</si>
  <si>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</si>
  <si>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</si>
  <si>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</si>
  <si>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</si>
  <si>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</si>
  <si>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</si>
  <si>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</si>
  <si>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</si>
  <si>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</si>
  <si>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</si>
  <si>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</si>
  <si>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</si>
  <si>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</si>
  <si>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</si>
  <si>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</si>
  <si>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</si>
  <si>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</si>
  <si>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</si>
  <si>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</si>
  <si>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</si>
  <si>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</si>
  <si>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</si>
  <si>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</si>
  <si>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</si>
  <si>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</si>
  <si>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</si>
  <si>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</si>
  <si>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</si>
  <si>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</si>
  <si>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</si>
  <si>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</si>
  <si>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</si>
  <si>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</si>
  <si>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</si>
  <si>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</si>
  <si>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</si>
  <si>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</si>
  <si>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</si>
  <si>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</si>
  <si>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</si>
  <si>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</si>
  <si>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</si>
  <si>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</si>
  <si>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</si>
  <si>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</si>
  <si>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</si>
  <si>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</si>
  <si>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</si>
  <si>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</si>
  <si>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</si>
  <si>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</si>
  <si>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</si>
  <si>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</si>
  <si>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</si>
  <si>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</si>
  <si>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</si>
  <si>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</si>
  <si>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</si>
  <si>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</si>
  <si>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</si>
  <si>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</si>
  <si>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</si>
  <si>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</si>
  <si>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</si>
  <si>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</si>
  <si>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</si>
  <si>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</si>
  <si>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</si>
  <si>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</si>
  <si>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</si>
  <si>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</si>
  <si>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</si>
  <si>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</si>
  <si>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</si>
  <si>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</si>
  <si>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</si>
  <si>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</si>
  <si>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</si>
  <si>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</si>
  <si>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</si>
  <si>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</si>
  <si>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</si>
  <si>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</si>
  <si>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</si>
  <si>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</si>
  <si>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</si>
  <si>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</si>
  <si>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</si>
  <si>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</si>
  <si>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</si>
  <si>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</si>
  <si>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</si>
  <si>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</si>
  <si>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</si>
  <si>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</si>
  <si>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</si>
  <si>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</si>
  <si>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</si>
  <si>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</si>
  <si>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</si>
  <si>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</si>
  <si>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</si>
  <si>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</si>
  <si>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</si>
  <si>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</si>
  <si>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</si>
  <si>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</si>
  <si>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</si>
  <si>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</si>
  <si>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</si>
  <si>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</si>
  <si>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</si>
  <si>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</si>
  <si>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</si>
  <si>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</si>
  <si>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</si>
  <si>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</si>
  <si>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</si>
  <si>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</si>
  <si>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</si>
  <si>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</si>
  <si>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</si>
  <si>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</si>
  <si>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</si>
  <si>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</si>
  <si>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</si>
  <si>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</si>
  <si>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</si>
  <si>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</si>
  <si>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</si>
  <si>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</si>
  <si>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</si>
  <si>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</si>
  <si>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</si>
  <si>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</si>
  <si>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</si>
  <si>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</si>
  <si>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</si>
  <si>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</si>
  <si>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</si>
  <si>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</si>
  <si>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</si>
  <si>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</si>
  <si>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</si>
  <si>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</si>
  <si>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</si>
  <si>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</si>
  <si>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</si>
  <si>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</si>
  <si>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</si>
  <si>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</si>
  <si>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</si>
  <si>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</si>
  <si>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</si>
  <si>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</si>
  <si>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</si>
  <si>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</si>
  <si>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</si>
  <si>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</si>
  <si>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</si>
  <si>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</si>
  <si>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</si>
  <si>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</si>
  <si>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</si>
  <si>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</si>
  <si>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</si>
  <si>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</si>
  <si>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</si>
  <si>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</si>
  <si>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</si>
  <si>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</si>
  <si>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</si>
  <si>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</si>
  <si>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</si>
  <si>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</si>
  <si>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</si>
  <si>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</si>
  <si>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</si>
  <si>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</si>
  <si>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</si>
  <si>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</si>
  <si>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</si>
  <si>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</si>
  <si>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</si>
  <si>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</si>
  <si>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</si>
  <si>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</si>
  <si>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</si>
  <si>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</si>
  <si>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</si>
  <si>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</si>
  <si>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</si>
  <si>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</si>
  <si>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</si>
  <si>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</si>
  <si>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</si>
  <si>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</si>
  <si>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</si>
  <si>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</si>
  <si>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</si>
  <si>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</si>
  <si>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</si>
  <si>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</si>
  <si>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</si>
  <si>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</si>
  <si>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</si>
  <si>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</si>
  <si>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</si>
  <si>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</si>
  <si>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</si>
  <si>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</si>
  <si>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</si>
  <si>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</si>
  <si>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</si>
  <si>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</si>
  <si>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</si>
  <si>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</si>
  <si>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</si>
  <si>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</si>
  <si>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</si>
  <si>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</si>
  <si>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</si>
  <si>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</si>
  <si>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</si>
  <si>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</si>
  <si>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</si>
  <si>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</si>
  <si>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</si>
  <si>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</si>
  <si>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</si>
  <si>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</si>
  <si>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</si>
  <si>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</si>
  <si>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</si>
  <si>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</si>
  <si>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</si>
  <si>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</si>
  <si>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</si>
  <si>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</si>
  <si>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</si>
  <si>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</si>
  <si>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</si>
  <si>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</si>
  <si>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</si>
  <si>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</si>
  <si>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</si>
  <si>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</si>
  <si>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</si>
  <si>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</si>
  <si>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</si>
  <si>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</si>
  <si>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</si>
  <si>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</si>
  <si>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</si>
  <si>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</si>
  <si>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</si>
  <si>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</si>
  <si>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</si>
  <si>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</si>
  <si>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</si>
  <si>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</si>
  <si>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</si>
  <si>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</si>
  <si>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</si>
  <si>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</si>
  <si>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</si>
  <si>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</si>
  <si>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</si>
  <si>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</si>
  <si>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</si>
  <si>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</si>
  <si>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</si>
  <si>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</si>
  <si>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</si>
  <si>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</si>
  <si>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</si>
  <si>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</si>
  <si>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</si>
  <si>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</si>
  <si>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</si>
  <si>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</si>
  <si>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</si>
  <si>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</si>
  <si>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</si>
  <si>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</si>
  <si>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</si>
  <si>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</si>
  <si>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</si>
  <si>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</si>
  <si>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</si>
  <si>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</si>
  <si>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</si>
  <si>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</si>
  <si>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</si>
  <si>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</si>
  <si>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</si>
  <si>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</si>
  <si>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</si>
  <si>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</si>
  <si>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</si>
  <si>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</si>
  <si>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</si>
  <si>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</si>
  <si>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</si>
  <si>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</si>
  <si>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</si>
  <si>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</si>
  <si>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</si>
  <si>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</si>
  <si>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</si>
  <si>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</si>
  <si>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</si>
  <si>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</si>
  <si>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</si>
  <si>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</si>
  <si>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</si>
  <si>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</si>
  <si>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</si>
  <si>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</si>
  <si>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</si>
  <si>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</si>
  <si>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</si>
  <si>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</si>
  <si>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</si>
  <si>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</si>
  <si>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</si>
  <si>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</si>
  <si>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</si>
  <si>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</si>
  <si>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</si>
  <si>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</si>
  <si>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</si>
  <si>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</si>
  <si>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</si>
  <si>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</si>
  <si>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</si>
  <si>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</si>
  <si>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</si>
  <si>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</si>
  <si>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</si>
  <si>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</si>
  <si>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</si>
  <si>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</si>
  <si>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</si>
  <si>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</si>
  <si>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</si>
  <si>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</si>
  <si>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</si>
  <si>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</si>
  <si>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</si>
  <si>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</si>
  <si>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</si>
  <si>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</si>
  <si>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</si>
  <si>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</si>
  <si>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</si>
  <si>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</si>
  <si>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</si>
  <si>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</si>
  <si>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</si>
  <si>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</si>
  <si>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</si>
  <si>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</si>
  <si>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</si>
  <si>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</si>
  <si>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</si>
  <si>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</si>
  <si>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</si>
  <si>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</si>
  <si>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</si>
  <si>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</si>
  <si>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</si>
  <si>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</si>
  <si>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</si>
  <si>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</si>
  <si>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</si>
  <si>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</si>
  <si>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</si>
  <si>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</si>
  <si>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</si>
  <si>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</si>
  <si>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</si>
  <si>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</si>
  <si>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</si>
  <si>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</si>
  <si>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</si>
  <si>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</si>
  <si>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</si>
  <si>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</si>
  <si>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</si>
  <si>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</si>
  <si>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</si>
  <si>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</si>
  <si>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</si>
  <si>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</si>
  <si>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</si>
  <si>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</si>
  <si>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</si>
  <si>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</si>
  <si>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</si>
  <si>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</si>
  <si>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</si>
  <si>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</si>
  <si>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</si>
  <si>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</si>
  <si>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</si>
  <si>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</si>
  <si>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</si>
  <si>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</si>
  <si>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</si>
  <si>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</si>
  <si>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</si>
  <si>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</si>
  <si>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</si>
  <si>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</si>
  <si>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</si>
  <si>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</si>
  <si>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</si>
  <si>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</si>
  <si>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</si>
  <si>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</si>
  <si>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</si>
  <si>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</si>
  <si>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</si>
  <si>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</si>
  <si>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</si>
  <si>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</si>
  <si>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</si>
  <si>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</si>
  <si>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</si>
  <si>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</si>
  <si>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</si>
  <si>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</si>
  <si>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</si>
  <si>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</si>
  <si>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</si>
  <si>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</si>
  <si>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</si>
  <si>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</si>
  <si>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</si>
  <si>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</si>
  <si>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</si>
  <si>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</si>
  <si>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</si>
  <si>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</si>
  <si>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</si>
  <si>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</si>
  <si>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</si>
  <si>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</si>
  <si>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</si>
  <si>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</si>
  <si>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</si>
  <si>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</si>
  <si>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</si>
  <si>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</si>
  <si>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</si>
  <si>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</si>
  <si>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</si>
  <si>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</si>
  <si>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</si>
  <si>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</si>
  <si>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</si>
  <si>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</si>
  <si>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</si>
  <si>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</si>
  <si>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</si>
  <si>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</si>
  <si>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</si>
  <si>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</si>
  <si>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</si>
  <si>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</si>
  <si>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</si>
  <si>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</si>
  <si>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</si>
  <si>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</si>
  <si>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</si>
  <si>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</si>
  <si>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</si>
  <si>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</si>
  <si>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</si>
  <si>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</si>
  <si>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</si>
  <si>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</si>
  <si>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</si>
  <si>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</si>
  <si>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</si>
  <si>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</si>
  <si>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</si>
  <si>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</si>
  <si>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</si>
  <si>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</si>
  <si>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</si>
  <si>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</si>
  <si>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</si>
  <si>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</si>
  <si>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</si>
  <si>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</si>
  <si>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</si>
  <si>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</si>
  <si>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</si>
  <si>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</si>
  <si>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</si>
  <si>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</si>
  <si>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</si>
  <si>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</si>
  <si>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</si>
  <si>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</si>
  <si>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</si>
  <si>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</si>
  <si>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</si>
  <si>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</si>
  <si>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</si>
  <si>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</si>
  <si>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</si>
  <si>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</si>
  <si>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</si>
  <si>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</si>
  <si>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</si>
  <si>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</si>
  <si>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</si>
  <si>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</si>
  <si>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</si>
  <si>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</si>
  <si>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</si>
  <si>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</si>
  <si>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</si>
  <si>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</si>
  <si>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</si>
  <si>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</si>
  <si>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</si>
  <si>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</si>
  <si>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</si>
  <si>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</si>
  <si>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</si>
  <si>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</si>
  <si>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</si>
  <si>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</si>
  <si>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</si>
  <si>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</si>
  <si>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</si>
  <si>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</si>
  <si>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</si>
  <si>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</si>
  <si>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</si>
  <si>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</si>
  <si>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</si>
  <si>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</si>
  <si>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</si>
  <si>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</si>
  <si>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</si>
  <si>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</si>
  <si>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</si>
  <si>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</si>
  <si>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</si>
  <si>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</si>
  <si>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</si>
  <si>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</si>
  <si>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</si>
  <si>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</si>
  <si>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</si>
  <si>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</si>
  <si>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</si>
  <si>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</si>
  <si>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</si>
  <si>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</si>
  <si>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</si>
  <si>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</si>
  <si>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</si>
  <si>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</si>
  <si>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</si>
  <si>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</si>
  <si>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</si>
  <si>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</si>
  <si>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</si>
  <si>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</si>
  <si>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</si>
  <si>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</si>
  <si>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</si>
  <si>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</si>
  <si>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</si>
  <si>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</si>
  <si>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</si>
  <si>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</si>
  <si>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</si>
  <si>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</si>
  <si>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</si>
  <si>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</si>
  <si>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</si>
  <si>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</si>
  <si>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</si>
  <si>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</si>
  <si>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</si>
  <si>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</si>
  <si>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</si>
  <si>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</si>
  <si>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</si>
  <si>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</si>
  <si>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</si>
  <si>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</si>
  <si>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</si>
  <si>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</si>
  <si>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</si>
  <si>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</si>
  <si>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</si>
  <si>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</si>
  <si>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</si>
  <si>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</si>
  <si>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</si>
  <si>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</si>
  <si>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</si>
  <si>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</si>
  <si>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</si>
  <si>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</si>
  <si>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</si>
  <si>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</si>
  <si>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</si>
  <si>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</si>
  <si>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</si>
  <si>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</si>
  <si>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</si>
  <si>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</si>
  <si>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</si>
  <si>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</si>
  <si>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</si>
  <si>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</si>
  <si>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</si>
  <si>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</si>
  <si>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</si>
  <si>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</si>
  <si>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</si>
  <si>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</si>
  <si>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</si>
  <si>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</si>
  <si>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</si>
  <si>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</si>
  <si>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</si>
  <si>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</si>
  <si>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</si>
  <si>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</si>
  <si>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</si>
  <si>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</si>
  <si>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</si>
  <si>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</si>
  <si>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</si>
  <si>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</si>
  <si>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</si>
  <si>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</si>
  <si>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</si>
  <si>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</si>
  <si>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</si>
  <si>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</si>
  <si>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</si>
  <si>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</si>
  <si>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</si>
  <si>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</si>
  <si>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</si>
  <si>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</si>
  <si>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</si>
  <si>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</si>
  <si>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</si>
  <si>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</si>
  <si>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</si>
  <si>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</si>
  <si>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</si>
  <si>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</si>
  <si>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</si>
  <si>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</si>
  <si>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</si>
  <si>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</si>
  <si>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</si>
  <si>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</si>
  <si>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</si>
  <si>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</si>
  <si>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</si>
  <si>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</si>
  <si>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</si>
  <si>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</si>
  <si>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</si>
  <si>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</si>
  <si>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</si>
  <si>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</si>
  <si>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</si>
  <si>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</si>
  <si>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</si>
  <si>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</si>
  <si>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</si>
  <si>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</si>
  <si>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</si>
  <si>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</si>
  <si>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</si>
  <si>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</si>
  <si>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</si>
  <si>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</si>
  <si>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</si>
  <si>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</si>
  <si>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</si>
  <si>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</si>
  <si>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</si>
  <si>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</si>
  <si>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</si>
  <si>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</si>
  <si>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</si>
  <si>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</si>
  <si>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</si>
  <si>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</si>
  <si>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</si>
  <si>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</si>
  <si>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</si>
  <si>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</si>
  <si>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</si>
  <si>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</si>
  <si>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</si>
  <si>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</si>
  <si>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</si>
  <si>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</si>
  <si>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</si>
  <si>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</si>
  <si>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</si>
  <si>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</si>
  <si>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</si>
  <si>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</si>
  <si>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</si>
  <si>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</si>
  <si>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</si>
  <si>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</si>
  <si>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</si>
  <si>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</si>
  <si>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</si>
  <si>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</si>
  <si>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</si>
  <si>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</si>
  <si>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</si>
  <si>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</si>
  <si>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</si>
  <si>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</si>
  <si>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</si>
  <si>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</si>
  <si>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</si>
  <si>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</si>
  <si>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</si>
  <si>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</si>
  <si>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</si>
  <si>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</si>
  <si>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</si>
  <si>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</si>
  <si>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</si>
  <si>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</si>
  <si>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</si>
  <si>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</si>
  <si>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</si>
  <si>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</si>
  <si>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</si>
  <si>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</si>
  <si>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</si>
  <si>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</si>
  <si>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</si>
  <si>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</si>
  <si>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</si>
  <si>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</si>
  <si>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</si>
  <si>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</si>
  <si>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</si>
  <si>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</si>
  <si>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</si>
  <si>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</si>
  <si>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</si>
  <si>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</si>
  <si>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</si>
  <si>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</si>
  <si>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</si>
  <si>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</si>
  <si>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</si>
  <si>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</si>
  <si>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</si>
  <si>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</si>
  <si>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</si>
  <si>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</si>
  <si>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</si>
  <si>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</si>
  <si>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</si>
  <si>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</si>
  <si>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</si>
  <si>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</si>
  <si>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</si>
  <si>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</si>
  <si>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</si>
  <si>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</si>
  <si>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</si>
  <si>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</si>
  <si>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</si>
  <si>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</si>
  <si>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</si>
  <si>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</si>
  <si>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</si>
  <si>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</si>
  <si>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</si>
  <si>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</si>
  <si>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</si>
  <si>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</si>
  <si>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</si>
  <si>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</si>
  <si>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</si>
  <si>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</si>
  <si>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</si>
  <si>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</si>
  <si>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</si>
  <si>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</si>
  <si>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</si>
  <si>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</si>
  <si>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</si>
  <si>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</si>
  <si>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</si>
  <si>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</si>
  <si>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</si>
  <si>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</si>
  <si>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</si>
  <si>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</si>
  <si>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</si>
  <si>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</si>
  <si>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</si>
  <si>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</si>
  <si>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</si>
  <si>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</si>
  <si>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</si>
  <si>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</si>
  <si>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</si>
  <si>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</si>
  <si>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</si>
  <si>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</si>
  <si>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</si>
  <si>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</si>
  <si>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</si>
  <si>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</si>
  <si>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</si>
  <si>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</si>
  <si>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</si>
  <si>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</si>
  <si>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</si>
  <si>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</si>
  <si>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</si>
  <si>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</si>
  <si>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</si>
  <si>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</si>
  <si>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</si>
  <si>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</si>
  <si>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</si>
  <si>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</si>
  <si>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</si>
  <si>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</si>
  <si>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</si>
  <si>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</si>
  <si>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</si>
  <si>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</si>
  <si>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</si>
  <si>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</si>
  <si>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</si>
  <si>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</si>
  <si>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</si>
  <si>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</si>
  <si>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</si>
  <si>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</si>
  <si>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</si>
  <si>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</si>
  <si>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</si>
  <si>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</si>
  <si>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</si>
  <si>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</si>
  <si>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</si>
  <si>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</si>
  <si>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</si>
  <si>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</si>
  <si>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</si>
  <si>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</si>
  <si>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</si>
  <si>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</si>
  <si>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</si>
  <si>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</si>
  <si>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</si>
  <si>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</si>
  <si>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</si>
  <si>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</si>
  <si>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</si>
  <si>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</si>
  <si>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</si>
  <si>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</si>
  <si>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</si>
  <si>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</si>
  <si>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</si>
  <si>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</si>
  <si>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</si>
  <si>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</si>
  <si>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</si>
  <si>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</si>
  <si>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</si>
  <si>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</si>
  <si>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</si>
  <si>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</si>
  <si>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</si>
  <si>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</si>
  <si>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</si>
  <si>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</si>
  <si>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</si>
  <si>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</si>
  <si>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</si>
  <si>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</si>
  <si>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</si>
  <si>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</si>
  <si>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</si>
  <si>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</si>
  <si>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</si>
  <si>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</si>
  <si>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</si>
  <si>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</si>
  <si>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</si>
  <si>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</si>
  <si>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</si>
  <si>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</si>
  <si>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</si>
  <si>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</si>
  <si>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</si>
  <si>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</si>
  <si>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</si>
  <si>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</si>
  <si>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</si>
  <si>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</si>
  <si>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</si>
  <si>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</si>
  <si>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</si>
  <si>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</si>
  <si>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</si>
  <si>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</si>
  <si>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</si>
  <si>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</si>
  <si>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</si>
  <si>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</si>
  <si>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</si>
  <si>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</si>
  <si>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</si>
  <si>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</si>
  <si>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</si>
  <si>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</si>
  <si>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</si>
  <si>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</si>
  <si>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</si>
  <si>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</si>
  <si>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</si>
  <si>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</si>
  <si>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</si>
  <si>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</si>
  <si>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</si>
  <si>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</si>
  <si>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</si>
  <si>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</si>
  <si>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</si>
  <si>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</si>
  <si>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</si>
  <si>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</si>
  <si>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</si>
  <si>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</si>
  <si>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</si>
  <si>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</si>
  <si>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</si>
  <si>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</si>
  <si>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</si>
  <si>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</si>
  <si>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</si>
  <si>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</si>
  <si>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</si>
  <si>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</si>
  <si>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</si>
  <si>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</si>
  <si>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</si>
  <si>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</si>
  <si>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</si>
  <si>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</si>
  <si>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</si>
  <si>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</si>
  <si>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</si>
  <si>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</si>
  <si>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</si>
  <si>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</si>
  <si>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</si>
  <si>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</si>
  <si>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</si>
  <si>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</si>
  <si>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</si>
  <si>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</si>
  <si>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</si>
  <si>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</si>
  <si>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</si>
  <si>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</si>
  <si>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</si>
  <si>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</si>
  <si>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</si>
  <si>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</si>
  <si>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</si>
  <si>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</si>
  <si>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</si>
  <si>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</si>
  <si>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</si>
  <si>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</si>
  <si>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</si>
  <si>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</si>
  <si>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</si>
  <si>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</si>
  <si>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</si>
  <si>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</si>
  <si>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</si>
  <si>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</si>
  <si>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</si>
  <si>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</si>
  <si>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</si>
  <si>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</si>
  <si>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</si>
  <si>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</si>
  <si>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</si>
  <si>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</si>
  <si>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</si>
  <si>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</si>
  <si>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</si>
  <si>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</si>
  <si>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</si>
  <si>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</si>
  <si>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</si>
  <si>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</si>
  <si>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</si>
  <si>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</si>
  <si>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</si>
  <si>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</si>
  <si>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</si>
  <si>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</si>
  <si>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</si>
  <si>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</si>
  <si>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</si>
  <si>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</si>
  <si>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</si>
  <si>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</si>
  <si>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</si>
  <si>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</si>
  <si>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</si>
  <si>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</si>
  <si>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</si>
  <si>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</si>
  <si>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</si>
  <si>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</si>
  <si>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</si>
  <si>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</si>
  <si>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</si>
  <si>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</si>
  <si>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</si>
  <si>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</si>
  <si>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</si>
  <si>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</si>
  <si>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</si>
  <si>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</si>
  <si>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</si>
  <si>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</si>
  <si>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</si>
  <si>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</si>
  <si>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</si>
  <si>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</si>
  <si>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</si>
  <si>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</si>
  <si>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</si>
  <si>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</si>
  <si>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</si>
  <si>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</si>
  <si>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</si>
  <si>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</si>
  <si>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</si>
  <si>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</si>
  <si>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</si>
  <si>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</si>
  <si>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</si>
  <si>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</si>
  <si>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</si>
  <si>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</si>
  <si>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</si>
  <si>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</si>
  <si>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</si>
  <si>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</si>
  <si>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</si>
  <si>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</si>
  <si>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</si>
  <si>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</si>
  <si>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</si>
  <si>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</si>
  <si>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</si>
  <si>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</si>
  <si>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</si>
  <si>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</si>
  <si>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</si>
  <si>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</si>
  <si>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</si>
  <si>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</si>
  <si>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</si>
  <si>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</si>
  <si>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</si>
  <si>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</si>
  <si>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</si>
  <si>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</si>
  <si>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</si>
  <si>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</si>
  <si>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</si>
  <si>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</si>
  <si>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</si>
  <si>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</si>
  <si>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</si>
  <si>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</si>
  <si>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</si>
  <si>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</si>
  <si>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</si>
  <si>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</si>
  <si>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</si>
  <si>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</si>
  <si>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</si>
  <si>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</si>
  <si>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</si>
  <si>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</si>
  <si>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</si>
  <si>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</si>
  <si>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</si>
  <si>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</si>
  <si>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</si>
  <si>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</si>
  <si>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</si>
  <si>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</si>
  <si>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</si>
  <si>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</si>
  <si>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</si>
  <si>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</si>
  <si>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</si>
  <si>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</si>
  <si>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</si>
  <si>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</si>
  <si>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</si>
  <si>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</si>
  <si>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</si>
  <si>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</si>
  <si>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</si>
  <si>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</si>
  <si>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</si>
  <si>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</si>
  <si>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</si>
  <si>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</si>
  <si>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</si>
  <si>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</si>
  <si>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</si>
  <si>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</si>
  <si>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</si>
  <si>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</si>
  <si>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</si>
  <si>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</si>
  <si>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</si>
  <si>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</si>
  <si>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</si>
  <si>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</si>
  <si>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</si>
  <si>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</si>
  <si>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</si>
  <si>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</si>
  <si>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</si>
  <si>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</si>
  <si>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</si>
  <si>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</si>
  <si>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</si>
  <si>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</si>
  <si>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</si>
  <si>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</si>
  <si>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</si>
  <si>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</si>
  <si>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</si>
  <si>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</si>
  <si>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</si>
  <si>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</si>
  <si>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</si>
  <si>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</si>
  <si>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</si>
  <si>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</si>
  <si>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</si>
  <si>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</si>
  <si>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</si>
  <si>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</si>
  <si>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</si>
  <si>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</si>
  <si>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</si>
  <si>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</si>
  <si>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</si>
  <si>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</si>
  <si>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</si>
  <si>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</si>
  <si>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</si>
  <si>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</si>
  <si>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</si>
  <si>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</si>
  <si>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</si>
  <si>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</si>
  <si>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</si>
  <si>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</si>
  <si>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</si>
  <si>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</si>
  <si>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</si>
  <si>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</si>
  <si>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</si>
  <si>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</si>
  <si>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</si>
  <si>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</si>
  <si>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</si>
  <si>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</si>
  <si>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</si>
  <si>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</si>
  <si>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</si>
  <si>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</si>
  <si>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</si>
  <si>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</si>
  <si>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</si>
  <si>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</si>
  <si>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</si>
  <si>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</si>
  <si>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</si>
  <si>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</si>
  <si>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</si>
  <si>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</si>
  <si>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</si>
  <si>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</si>
  <si>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</si>
  <si>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</si>
  <si>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</si>
  <si>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</si>
  <si>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</si>
  <si>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</si>
  <si>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</si>
  <si>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</si>
  <si>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</si>
  <si>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</si>
  <si>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</si>
  <si>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</si>
  <si>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</si>
  <si>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</si>
  <si>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</si>
  <si>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</si>
  <si>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</si>
  <si>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</si>
  <si>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</si>
  <si>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</si>
  <si>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</si>
  <si>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</si>
  <si>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</si>
  <si>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</si>
  <si>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</si>
  <si>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</si>
  <si>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</si>
  <si>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</si>
  <si>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</si>
  <si>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</si>
  <si>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</si>
  <si>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</si>
  <si>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</si>
  <si>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</si>
  <si>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</si>
  <si>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</si>
  <si>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</si>
  <si>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</si>
  <si>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</si>
  <si>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</si>
  <si>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</si>
  <si>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</si>
  <si>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</si>
  <si>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</si>
  <si>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</si>
  <si>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</si>
  <si>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</si>
  <si>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</si>
  <si>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</si>
  <si>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</si>
  <si>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</si>
  <si>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</si>
  <si>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</si>
  <si>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</si>
  <si>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</si>
  <si>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</si>
  <si>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</si>
  <si>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</si>
  <si>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</si>
  <si>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</si>
  <si>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</si>
  <si>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</si>
  <si>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</si>
  <si>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</si>
  <si>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</si>
  <si>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</si>
  <si>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</si>
  <si>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</si>
  <si>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</si>
  <si>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</si>
  <si>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</si>
  <si>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</si>
  <si>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</si>
  <si>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</si>
  <si>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</si>
  <si>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</si>
  <si>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</si>
  <si>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</si>
  <si>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</si>
  <si>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</si>
  <si>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</si>
  <si>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</si>
  <si>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</si>
  <si>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</si>
  <si>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</si>
  <si>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</si>
  <si>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</si>
  <si>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</si>
  <si>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</si>
  <si>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</si>
  <si>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</si>
  <si>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</si>
  <si>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</si>
  <si>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</si>
  <si>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</si>
  <si>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</si>
  <si>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</si>
  <si>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</si>
  <si>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</si>
  <si>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</si>
  <si>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</si>
  <si>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</si>
  <si>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</si>
  <si>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</si>
  <si>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</si>
  <si>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</si>
  <si>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</si>
  <si>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</si>
  <si>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</si>
  <si>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</si>
  <si>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</si>
  <si>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</si>
  <si>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</si>
  <si>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</si>
  <si>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</si>
  <si>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</si>
  <si>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</si>
  <si>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</si>
  <si>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</si>
  <si>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</si>
  <si>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</si>
  <si>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</si>
  <si>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</si>
  <si>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</si>
  <si>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</si>
  <si>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</si>
  <si>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</si>
  <si>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</si>
  <si>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</si>
  <si>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</si>
  <si>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</si>
  <si>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</si>
  <si>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</si>
  <si>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</si>
  <si>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</si>
  <si>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</si>
  <si>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</si>
  <si>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</si>
  <si>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</si>
  <si>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</si>
  <si>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</si>
  <si>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</si>
  <si>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</si>
  <si>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</si>
  <si>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</si>
  <si>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</si>
  <si>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</si>
  <si>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</si>
  <si>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</si>
  <si>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</si>
  <si>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</si>
  <si>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</si>
  <si>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</si>
  <si>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</si>
  <si>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</si>
  <si>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</si>
  <si>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</si>
  <si>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</si>
  <si>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</si>
  <si>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</si>
  <si>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</si>
  <si>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</si>
  <si>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</si>
  <si>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</si>
  <si>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</si>
  <si>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</si>
  <si>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</si>
  <si>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</si>
  <si>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</si>
  <si>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</si>
  <si>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</si>
  <si>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</si>
  <si>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</si>
  <si>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</si>
  <si>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</si>
  <si>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</si>
  <si>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</si>
  <si>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</si>
  <si>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</si>
  <si>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</si>
  <si>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</si>
  <si>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</si>
  <si>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</si>
  <si>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</si>
  <si>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</si>
  <si>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</si>
  <si>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</si>
  <si>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</si>
  <si>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</si>
  <si>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</si>
  <si>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</si>
  <si>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</si>
  <si>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</si>
  <si>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</si>
  <si>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</si>
  <si>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</si>
  <si>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</si>
  <si>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</si>
  <si>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</si>
  <si>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</si>
  <si>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</si>
  <si>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</si>
  <si>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</si>
  <si>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</si>
  <si>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</si>
  <si>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</si>
  <si>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</si>
  <si>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</si>
  <si>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</si>
  <si>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</si>
  <si>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</si>
  <si>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</si>
  <si>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</si>
  <si>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</si>
  <si>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</si>
  <si>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</si>
  <si>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</si>
  <si>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</si>
  <si>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</si>
  <si>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</si>
  <si>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</si>
  <si>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</si>
  <si>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</si>
  <si>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</si>
  <si>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</si>
  <si>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</si>
  <si>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</si>
  <si>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</si>
  <si>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</si>
  <si>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</si>
  <si>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</si>
  <si>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</si>
  <si>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</si>
  <si>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</si>
  <si>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</si>
  <si>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</si>
  <si>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</si>
  <si>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</si>
  <si>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</si>
  <si>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</si>
  <si>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</si>
  <si>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</si>
  <si>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</si>
  <si>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</si>
  <si>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</si>
  <si>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</si>
  <si>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</si>
  <si>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</si>
  <si>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</si>
  <si>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</si>
  <si>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</si>
  <si>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</si>
  <si>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</si>
  <si>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</si>
  <si>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</si>
  <si>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</si>
  <si>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</si>
  <si>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</si>
  <si>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</si>
  <si>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</si>
  <si>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</si>
  <si>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</si>
  <si>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</si>
  <si>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</si>
  <si>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</si>
  <si>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</si>
  <si>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</si>
  <si>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</si>
  <si>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</si>
  <si>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</si>
  <si>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</si>
  <si>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</si>
  <si>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</si>
  <si>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</si>
  <si>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</si>
  <si>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</si>
  <si>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</si>
  <si>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</si>
  <si>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</si>
  <si>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</si>
  <si>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</si>
  <si>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</si>
  <si>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</si>
  <si>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</si>
  <si>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</si>
  <si>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</si>
  <si>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</si>
  <si>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</si>
  <si>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</si>
  <si>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</si>
  <si>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</si>
  <si>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</si>
  <si>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</si>
  <si>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</si>
  <si>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</si>
  <si>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</si>
  <si>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</si>
  <si>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</si>
  <si>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</si>
  <si>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</si>
  <si>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</si>
  <si>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</si>
  <si>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</si>
  <si>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</si>
  <si>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</si>
  <si>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</si>
  <si>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</si>
  <si>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</si>
  <si>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</si>
  <si>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</si>
  <si>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</si>
  <si>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</si>
  <si>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</si>
  <si>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</si>
  <si>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</si>
  <si>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</si>
  <si>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</si>
  <si>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</si>
  <si>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</si>
  <si>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</si>
  <si>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</si>
  <si>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</si>
  <si>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</si>
  <si>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</si>
  <si>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</si>
  <si>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</si>
  <si>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</si>
  <si>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</si>
  <si>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</si>
  <si>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</si>
  <si>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</si>
  <si>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</si>
  <si>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</si>
  <si>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</si>
  <si>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</si>
  <si>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</si>
  <si>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</si>
  <si>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</si>
  <si>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</si>
  <si>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</si>
  <si>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</si>
  <si>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</si>
  <si>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</si>
  <si>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</si>
  <si>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</si>
  <si>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</si>
  <si>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</si>
  <si>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</si>
  <si>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</si>
  <si>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</si>
  <si>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</si>
  <si>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</si>
  <si>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</si>
  <si>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</si>
  <si>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</si>
  <si>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</si>
  <si>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</si>
  <si>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</si>
  <si>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</si>
  <si>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</si>
  <si>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</si>
  <si>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</si>
  <si>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</si>
  <si>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</si>
  <si>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</si>
  <si>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</si>
  <si>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</si>
  <si>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</si>
  <si>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</si>
  <si>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</si>
  <si>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</si>
  <si>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</si>
  <si>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</si>
  <si>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</si>
  <si>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</si>
  <si>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</si>
  <si>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</si>
  <si>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</si>
  <si>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</si>
  <si>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</si>
  <si>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</si>
  <si>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</si>
  <si>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</si>
  <si>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</si>
  <si>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</si>
  <si>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</si>
  <si>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</si>
  <si>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</si>
  <si>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</si>
  <si>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</si>
  <si>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</si>
  <si>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</si>
  <si>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</si>
  <si>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</si>
  <si>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</si>
  <si>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</si>
  <si>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</si>
  <si>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</si>
  <si>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</si>
  <si>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</si>
  <si>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</si>
  <si>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</si>
  <si>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</si>
  <si>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</si>
  <si>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</si>
  <si>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</si>
  <si>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</si>
  <si>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</si>
  <si>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</si>
  <si>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</si>
  <si>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</si>
  <si>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</si>
  <si>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</si>
  <si>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</si>
  <si>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</si>
  <si>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</si>
  <si>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</si>
  <si>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</si>
  <si>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</si>
  <si>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</si>
  <si>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</si>
  <si>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</si>
  <si>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</si>
  <si>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</si>
  <si>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</si>
  <si>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</si>
  <si>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</si>
  <si>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</si>
  <si>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</si>
  <si>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</si>
  <si>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</si>
  <si>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</si>
  <si>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</si>
  <si>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</si>
  <si>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</si>
  <si>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</si>
  <si>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</si>
  <si>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</si>
  <si>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</si>
  <si>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</si>
  <si>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</si>
  <si>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</si>
  <si>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</si>
  <si>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</si>
  <si>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</si>
  <si>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</si>
  <si>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</si>
  <si>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</si>
  <si>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</si>
  <si>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</si>
  <si>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</si>
  <si>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</si>
  <si>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</si>
  <si>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</si>
  <si>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</si>
  <si>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</si>
  <si>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</si>
  <si>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</si>
  <si>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</si>
  <si>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</si>
  <si>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</si>
  <si>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</si>
  <si>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</si>
  <si>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</si>
  <si>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</si>
  <si>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</si>
  <si>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</si>
  <si>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</si>
  <si>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</si>
  <si>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</si>
  <si>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</si>
  <si>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</si>
  <si>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</si>
  <si>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</si>
  <si>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</si>
  <si>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</si>
  <si>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</si>
  <si>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</si>
  <si>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</si>
  <si>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</si>
  <si>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</si>
  <si>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</si>
  <si>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</si>
  <si>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</si>
  <si>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</si>
  <si>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</si>
  <si>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</si>
  <si>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</si>
  <si>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</si>
  <si>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</si>
  <si>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</si>
  <si>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</si>
  <si>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</si>
  <si>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</si>
  <si>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</si>
  <si>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</si>
  <si>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</si>
  <si>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</si>
  <si>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</si>
  <si>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</si>
  <si>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</si>
  <si>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</si>
  <si>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</si>
  <si>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</si>
  <si>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</si>
  <si>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</si>
  <si>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</si>
  <si>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</si>
  <si>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</si>
  <si>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</si>
  <si>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</si>
  <si>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</si>
  <si>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</si>
  <si>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</si>
  <si>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</si>
  <si>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</si>
  <si>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</si>
  <si>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</si>
  <si>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</si>
  <si>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</si>
  <si>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</si>
  <si>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</si>
  <si>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</si>
  <si>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</si>
  <si>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</si>
  <si>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</si>
  <si>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</si>
  <si>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</si>
  <si>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</si>
  <si>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</si>
  <si>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</si>
  <si>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</si>
  <si>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</si>
  <si>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</si>
  <si>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</si>
  <si>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</si>
  <si>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</si>
  <si>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</si>
  <si>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</si>
  <si>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</si>
  <si>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</si>
  <si>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</si>
  <si>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</si>
  <si>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</si>
  <si>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</si>
  <si>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</si>
  <si>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</si>
  <si>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</si>
  <si>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</si>
  <si>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</si>
  <si>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</si>
  <si>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</si>
  <si>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</si>
  <si>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</si>
  <si>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</si>
  <si>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</si>
  <si>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</si>
  <si>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</si>
  <si>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</si>
  <si>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</si>
  <si>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</si>
  <si>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</si>
  <si>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</si>
  <si>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</si>
  <si>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</si>
  <si>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</si>
  <si>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</si>
  <si>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</si>
  <si>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</si>
  <si>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</si>
  <si>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</si>
  <si>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</si>
  <si>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</si>
  <si>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</si>
  <si>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</si>
  <si>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</si>
  <si>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</si>
  <si>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</si>
  <si>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</si>
  <si>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</si>
  <si>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</si>
  <si>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</si>
  <si>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</si>
  <si>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</si>
  <si>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</si>
  <si>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</si>
  <si>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</si>
  <si>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</si>
  <si>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</si>
  <si>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</si>
  <si>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</si>
  <si>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</si>
  <si>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</si>
  <si>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</si>
  <si>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</si>
  <si>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</si>
  <si>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</si>
  <si>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</si>
  <si>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</si>
  <si>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</si>
  <si>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</si>
  <si>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</si>
  <si>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</si>
  <si>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</si>
  <si>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</si>
  <si>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</si>
  <si>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</si>
  <si>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</si>
  <si>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</si>
  <si>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</si>
  <si>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</si>
  <si>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</si>
  <si>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</si>
  <si>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</si>
  <si>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</si>
  <si>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</si>
  <si>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</si>
  <si>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</si>
  <si>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</si>
  <si>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</si>
  <si>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</si>
  <si>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</si>
  <si>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</si>
  <si>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</si>
  <si>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</si>
  <si>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</si>
  <si>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</si>
  <si>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</si>
  <si>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</si>
  <si>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</si>
  <si>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</si>
  <si>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</si>
  <si>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</si>
  <si>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</si>
  <si>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</si>
  <si>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</si>
  <si>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</si>
  <si>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</si>
  <si>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</si>
  <si>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</si>
  <si>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</si>
  <si>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</si>
  <si>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</si>
  <si>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</si>
  <si>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</si>
  <si>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</si>
  <si>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</si>
  <si>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</si>
  <si>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</si>
  <si>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</si>
  <si>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</si>
  <si>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</si>
  <si>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</si>
  <si>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</si>
  <si>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</si>
  <si>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</si>
  <si>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</si>
  <si>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</si>
  <si>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</si>
  <si>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</si>
  <si>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</si>
  <si>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</si>
  <si>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</si>
  <si>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</si>
  <si>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</si>
  <si>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</si>
  <si>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</si>
  <si>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</si>
  <si>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</si>
  <si>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</si>
  <si>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</si>
  <si>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</si>
  <si>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</si>
  <si>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</si>
  <si>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</si>
  <si>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</si>
  <si>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</si>
  <si>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</si>
  <si>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</si>
  <si>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</si>
  <si>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</si>
  <si>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</si>
  <si>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</si>
  <si>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</si>
  <si>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</si>
  <si>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</si>
  <si>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</si>
  <si>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</si>
  <si>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</si>
  <si>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</si>
  <si>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</si>
  <si>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</si>
  <si>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</si>
  <si>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</si>
  <si>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</si>
  <si>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</si>
  <si>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</si>
  <si>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</si>
  <si>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</si>
  <si>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</si>
  <si>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</si>
  <si>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</si>
  <si>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</si>
  <si>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</si>
  <si>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</si>
  <si>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</si>
  <si>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</si>
  <si>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</si>
  <si>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</si>
  <si>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</si>
  <si>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</si>
  <si>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</si>
  <si>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</si>
  <si>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</si>
  <si>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</si>
  <si>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</si>
  <si>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</si>
  <si>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</si>
  <si>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</si>
  <si>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</si>
  <si>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</si>
  <si>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</si>
  <si>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</si>
  <si>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</si>
  <si>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</si>
  <si>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</si>
  <si>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</si>
  <si>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</si>
  <si>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</si>
  <si>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</si>
  <si>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</si>
  <si>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</si>
  <si>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</si>
  <si>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</si>
  <si>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</si>
  <si>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</si>
  <si>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</si>
  <si>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</si>
  <si>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</si>
  <si>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</si>
  <si>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</si>
  <si>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</si>
  <si>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</si>
  <si>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</si>
  <si>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</si>
  <si>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</si>
  <si>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</si>
  <si>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</si>
  <si>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</si>
  <si>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</si>
  <si>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</si>
  <si>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</si>
  <si>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</si>
  <si>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</si>
  <si>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</si>
  <si>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</si>
  <si>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</si>
  <si>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</si>
  <si>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</si>
  <si>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</si>
  <si>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</si>
  <si>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</si>
  <si>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</si>
  <si>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</si>
  <si>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</si>
  <si>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</si>
  <si>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</si>
  <si>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</si>
  <si>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</si>
  <si>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</si>
  <si>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</si>
  <si>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</si>
  <si>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</si>
  <si>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</si>
  <si>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</si>
  <si>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</si>
  <si>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</si>
  <si>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</si>
  <si>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</si>
  <si>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</si>
  <si>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</si>
  <si>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</si>
  <si>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</si>
  <si>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</si>
  <si>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</si>
  <si>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</si>
  <si>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</si>
  <si>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</si>
  <si>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</si>
  <si>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</si>
  <si>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</si>
  <si>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</si>
  <si>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</si>
  <si>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</si>
  <si>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</si>
  <si>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</si>
  <si>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</si>
  <si>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</si>
  <si>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</si>
  <si>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</si>
  <si>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</si>
  <si>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</si>
  <si>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</si>
  <si>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</si>
  <si>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</si>
  <si>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</si>
  <si>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</si>
  <si>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</si>
  <si>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</si>
  <si>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</si>
  <si>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</si>
  <si>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</si>
  <si>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</si>
  <si>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</si>
  <si>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</si>
  <si>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</si>
  <si>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</si>
  <si>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</si>
  <si>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</si>
  <si>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</si>
  <si>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</si>
  <si>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</si>
  <si>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</si>
  <si>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</si>
  <si>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</si>
  <si>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</si>
  <si>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</si>
  <si>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</si>
  <si>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</si>
  <si>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</si>
  <si>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</si>
  <si>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</si>
  <si>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</si>
  <si>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</si>
  <si>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</si>
  <si>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</si>
  <si>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</si>
  <si>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</si>
  <si>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</si>
  <si>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</si>
  <si>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</si>
  <si>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</si>
  <si>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</si>
  <si>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</si>
  <si>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</si>
  <si>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</si>
  <si>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</si>
  <si>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</si>
  <si>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</si>
  <si>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</si>
  <si>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</si>
  <si>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</si>
  <si>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</si>
  <si>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</si>
  <si>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</si>
  <si>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</si>
  <si>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</si>
  <si>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</si>
  <si>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</si>
  <si>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</si>
  <si>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</si>
  <si>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</si>
  <si>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</si>
  <si>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</si>
  <si>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</si>
  <si>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</si>
  <si>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</si>
  <si>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</si>
  <si>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</si>
  <si>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</si>
  <si>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</si>
  <si>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</si>
  <si>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</si>
  <si>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</si>
  <si>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</si>
  <si>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</si>
  <si>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</si>
  <si>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</si>
  <si>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</si>
  <si>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</si>
  <si>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</si>
  <si>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</si>
  <si>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</si>
  <si>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</si>
  <si>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</si>
  <si>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</si>
  <si>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</si>
  <si>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</si>
  <si>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</si>
  <si>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</si>
  <si>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</si>
  <si>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</si>
  <si>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</si>
  <si>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</si>
  <si>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</si>
  <si>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</si>
  <si>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</si>
  <si>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</si>
  <si>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</si>
  <si>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</si>
  <si>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</si>
  <si>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</si>
  <si>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</si>
  <si>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</si>
  <si>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</si>
  <si>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</si>
  <si>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</si>
  <si>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</si>
  <si>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</si>
  <si>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</si>
  <si>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</si>
  <si>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</si>
  <si>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</si>
  <si>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</si>
  <si>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</si>
  <si>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</si>
  <si>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</si>
  <si>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</si>
  <si>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</si>
  <si>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</si>
  <si>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</si>
  <si>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</si>
  <si>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</si>
  <si>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</si>
  <si>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</si>
  <si>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</si>
  <si>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</si>
  <si>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</si>
  <si>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</si>
  <si>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</si>
  <si>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</si>
  <si>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</si>
  <si>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</si>
  <si>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</si>
  <si>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</si>
  <si>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</si>
  <si>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</si>
  <si>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</si>
  <si>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</si>
  <si>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</si>
  <si>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</si>
  <si>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</si>
  <si>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</si>
  <si>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</si>
  <si>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</si>
  <si>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</si>
  <si>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</si>
  <si>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</si>
  <si>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</si>
  <si>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</si>
  <si>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</si>
  <si>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</si>
  <si>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</si>
  <si>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</si>
  <si>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</si>
  <si>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</si>
  <si>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</si>
  <si>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</si>
  <si>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</si>
  <si>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</si>
  <si>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</si>
  <si>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</si>
  <si>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</si>
  <si>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</si>
  <si>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</si>
  <si>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</si>
  <si>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</si>
  <si>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</si>
  <si>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</si>
  <si>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</si>
  <si>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</si>
  <si>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</si>
  <si>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</si>
  <si>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</si>
  <si>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</si>
  <si>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</si>
  <si>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</si>
  <si>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</si>
  <si>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</si>
  <si>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</si>
  <si>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</si>
  <si>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</si>
  <si>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</si>
  <si>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</si>
  <si>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</si>
  <si>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</si>
  <si>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</si>
  <si>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</si>
  <si>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</si>
  <si>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</si>
  <si>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</si>
  <si>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</si>
  <si>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</si>
  <si>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</si>
  <si>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</si>
  <si>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</si>
  <si>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</si>
  <si>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</si>
  <si>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</si>
  <si>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</si>
  <si>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</si>
  <si>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</si>
  <si>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</si>
  <si>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</si>
  <si>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</si>
  <si>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</si>
  <si>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</si>
  <si>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</si>
  <si>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</si>
  <si>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</si>
  <si>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</si>
  <si>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</si>
  <si>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</si>
  <si>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</si>
  <si>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</si>
  <si>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</si>
  <si>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</si>
  <si>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</si>
  <si>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</si>
  <si>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</si>
  <si>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</si>
  <si>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</si>
  <si>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</si>
  <si>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</si>
  <si>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</si>
  <si>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</si>
  <si>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</si>
  <si>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</si>
  <si>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</si>
  <si>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</si>
  <si>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</si>
  <si>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</si>
  <si>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</si>
  <si>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</si>
  <si>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</si>
  <si>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</si>
  <si>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</si>
  <si>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</si>
  <si>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</si>
  <si>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</si>
  <si>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</si>
  <si>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</si>
  <si>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</si>
  <si>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</si>
  <si>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</si>
  <si>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</si>
  <si>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</si>
  <si>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</si>
  <si>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</si>
  <si>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</si>
  <si>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</si>
  <si>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</si>
  <si>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</si>
  <si>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</si>
  <si>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</si>
  <si>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</si>
  <si>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</si>
  <si>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</si>
  <si>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</si>
  <si>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</si>
  <si>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</si>
  <si>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</si>
  <si>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</si>
  <si>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</si>
  <si>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</si>
  <si>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</si>
  <si>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</si>
  <si>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</si>
  <si>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</si>
  <si>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</si>
  <si>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</si>
  <si>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</si>
  <si>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</si>
  <si>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</si>
  <si>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</si>
  <si>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</si>
  <si>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</si>
  <si>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</si>
  <si>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</si>
  <si>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</si>
  <si>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</si>
  <si>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</si>
  <si>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</si>
  <si>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</si>
  <si>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</si>
  <si>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</si>
  <si>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</si>
  <si>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</si>
  <si>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</si>
  <si>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</si>
  <si>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</si>
  <si>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</si>
  <si>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</si>
  <si>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</si>
  <si>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</si>
  <si>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</si>
  <si>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</si>
  <si>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</si>
  <si>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</si>
  <si>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</si>
  <si>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</si>
  <si>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</si>
  <si>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</si>
  <si>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</si>
  <si>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</si>
  <si>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</si>
  <si>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</si>
  <si>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</si>
  <si>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</si>
  <si>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</si>
  <si>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</si>
  <si>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</si>
  <si>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</si>
  <si>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</si>
  <si>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</si>
  <si>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</si>
  <si>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</si>
  <si>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</si>
  <si>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</si>
  <si>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</si>
  <si>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</si>
  <si>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</si>
  <si>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</si>
  <si>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</si>
  <si>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</si>
  <si>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</si>
  <si>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</si>
  <si>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</si>
  <si>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</si>
  <si>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</si>
  <si>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</si>
  <si>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</si>
  <si>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</si>
  <si>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</si>
  <si>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</si>
  <si>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</si>
  <si>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</si>
  <si>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</si>
  <si>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</si>
  <si>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</si>
  <si>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</si>
  <si>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</si>
  <si>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</si>
  <si>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</si>
  <si>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</si>
  <si>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</si>
  <si>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</si>
  <si>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</si>
  <si>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</si>
  <si>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</si>
  <si>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</si>
  <si>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</si>
  <si>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</si>
  <si>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</si>
  <si>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</si>
  <si>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</si>
  <si>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</si>
  <si>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</si>
  <si>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</si>
  <si>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</si>
  <si>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</si>
  <si>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</si>
  <si>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</si>
  <si>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</si>
  <si>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</si>
  <si>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</si>
  <si>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</si>
  <si>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</si>
  <si>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</si>
  <si>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</si>
  <si>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</si>
  <si>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</si>
  <si>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</si>
  <si>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</si>
  <si>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</si>
  <si>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</si>
  <si>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</si>
  <si>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</si>
  <si>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</si>
  <si>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</si>
  <si>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</si>
  <si>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</si>
  <si>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</si>
  <si>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</si>
  <si>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</si>
  <si>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</si>
  <si>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</si>
  <si>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</si>
  <si>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</si>
  <si>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</si>
  <si>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</si>
  <si>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</si>
  <si>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</si>
  <si>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</si>
  <si>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</si>
  <si>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</si>
  <si>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</si>
  <si>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</si>
  <si>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</si>
  <si>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</si>
  <si>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</si>
  <si>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</si>
  <si>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</si>
  <si>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</si>
  <si>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</si>
  <si>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</si>
  <si>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</si>
  <si>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</si>
  <si>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</si>
  <si>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</si>
  <si>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</si>
  <si>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</si>
  <si>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</si>
  <si>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</si>
  <si>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</si>
  <si>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</si>
  <si>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</si>
  <si>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</si>
  <si>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</si>
  <si>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</si>
  <si>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</si>
  <si>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</si>
  <si>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</si>
  <si>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</si>
  <si>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</si>
  <si>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</si>
  <si>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</si>
  <si>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</si>
  <si>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</si>
  <si>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</si>
  <si>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</si>
  <si>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</si>
  <si>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</si>
  <si>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</si>
  <si>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</si>
  <si>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</si>
  <si>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</si>
  <si>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</si>
  <si>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</si>
  <si>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</si>
  <si>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</si>
  <si>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</si>
  <si>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</si>
  <si>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</si>
  <si>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</si>
  <si>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</si>
  <si>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</si>
  <si>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</si>
  <si>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</si>
  <si>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</si>
  <si>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</si>
  <si>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</si>
  <si>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</si>
  <si>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</si>
  <si>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</si>
  <si>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</si>
  <si>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</si>
  <si>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</si>
  <si>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</si>
  <si>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</si>
  <si>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</si>
  <si>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</si>
  <si>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</si>
  <si>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</si>
  <si>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</si>
  <si>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</si>
  <si>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</si>
  <si>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</si>
  <si>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</si>
  <si>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</si>
  <si>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</si>
  <si>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</si>
  <si>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</si>
  <si>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</si>
  <si>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</si>
  <si>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</si>
  <si>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</si>
  <si>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</si>
  <si>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</si>
  <si>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</si>
  <si>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</si>
  <si>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</si>
  <si>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</si>
  <si>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</si>
  <si>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</si>
  <si>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</si>
  <si>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</si>
  <si>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</si>
  <si>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</si>
  <si>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</si>
  <si>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</si>
  <si>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</si>
  <si>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</si>
  <si>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</si>
  <si>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</si>
  <si>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</si>
  <si>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</si>
  <si>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</si>
  <si>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</si>
  <si>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</si>
  <si>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</si>
  <si>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</si>
  <si>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</si>
  <si>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</si>
  <si>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</si>
  <si>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</si>
  <si>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</si>
  <si>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</si>
  <si>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</si>
  <si>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</si>
  <si>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</si>
  <si>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</si>
  <si>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</si>
  <si>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</si>
  <si>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</si>
  <si>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</si>
  <si>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</si>
  <si>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</si>
  <si>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</si>
  <si>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</si>
  <si>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</si>
  <si>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</si>
  <si>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</si>
  <si>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</si>
  <si>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</si>
  <si>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</si>
  <si>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</si>
  <si>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</si>
  <si>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</si>
  <si>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</si>
  <si>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</si>
  <si>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</si>
  <si>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</si>
  <si>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</si>
  <si>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</si>
  <si>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</si>
  <si>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</si>
  <si>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</si>
  <si>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</si>
  <si>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</si>
  <si>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</si>
  <si>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</si>
  <si>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</si>
  <si>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</si>
  <si>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</si>
  <si>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</si>
  <si>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</si>
  <si>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</si>
  <si>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</si>
  <si>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</si>
  <si>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</si>
  <si>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</si>
  <si>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</si>
  <si>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</si>
  <si>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</si>
  <si>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</si>
  <si>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</si>
  <si>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</si>
  <si>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</si>
  <si>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</si>
  <si>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</si>
  <si>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</si>
  <si>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</si>
  <si>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</si>
  <si>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</si>
  <si>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</si>
  <si>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</si>
  <si>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</si>
  <si>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</si>
  <si>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</si>
  <si>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</si>
  <si>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</si>
  <si>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</si>
  <si>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</si>
  <si>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</si>
  <si>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</si>
  <si>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</si>
  <si>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</si>
  <si>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</si>
  <si>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</si>
  <si>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</si>
  <si>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</si>
  <si>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</si>
  <si>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</si>
  <si>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</si>
  <si>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</si>
  <si>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</si>
  <si>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</si>
  <si>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</si>
  <si>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</si>
  <si>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</si>
  <si>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</si>
  <si>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</si>
  <si>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</si>
  <si>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</si>
  <si>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</si>
  <si>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</si>
  <si>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</si>
  <si>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</si>
  <si>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</si>
  <si>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</si>
  <si>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</si>
  <si>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</si>
  <si>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</si>
  <si>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</si>
  <si>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</si>
  <si>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</si>
  <si>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</si>
  <si>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</si>
  <si>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</si>
  <si>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</si>
  <si>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</si>
  <si>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</si>
  <si>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</si>
  <si>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</si>
  <si>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</si>
  <si>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</si>
  <si>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</si>
  <si>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</si>
  <si>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</si>
  <si>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</si>
  <si>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</si>
  <si>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</si>
  <si>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</si>
  <si>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</si>
  <si>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</si>
  <si>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</si>
  <si>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</si>
  <si>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</si>
  <si>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</si>
  <si>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</si>
  <si>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</si>
  <si>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</si>
  <si>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</si>
  <si>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</si>
  <si>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</si>
  <si>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</si>
  <si>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</si>
  <si>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</si>
  <si>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</si>
  <si>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</si>
  <si>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</si>
  <si>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</si>
  <si>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</si>
  <si>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</si>
  <si>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</si>
  <si>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</si>
  <si>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</si>
  <si>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</si>
  <si>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</si>
  <si>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</si>
  <si>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</si>
  <si>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</si>
  <si>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</si>
  <si>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</si>
  <si>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</si>
  <si>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</si>
  <si>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</si>
  <si>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</si>
  <si>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</si>
  <si>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</si>
  <si>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</si>
  <si>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</si>
  <si>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</si>
  <si>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</si>
  <si>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</si>
  <si>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</si>
  <si>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</si>
  <si>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</si>
  <si>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</si>
  <si>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</si>
  <si>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</si>
  <si>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</si>
  <si>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</si>
  <si>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</si>
  <si>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</si>
  <si>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</si>
  <si>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</si>
  <si>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</si>
  <si>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</si>
  <si>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</si>
  <si>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</si>
  <si>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</si>
  <si>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</si>
  <si>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</si>
  <si>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</si>
  <si>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</si>
  <si>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</si>
  <si>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</si>
  <si>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</si>
  <si>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</si>
  <si>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</si>
  <si>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</si>
  <si>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</si>
  <si>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</si>
  <si>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</si>
  <si>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</si>
  <si>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</si>
  <si>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</si>
  <si>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</si>
  <si>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</si>
  <si>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</si>
  <si>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</si>
  <si>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</si>
  <si>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</si>
  <si>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</si>
  <si>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</si>
  <si>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</si>
  <si>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</si>
  <si>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</si>
  <si>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</si>
  <si>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</si>
  <si>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</si>
  <si>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</si>
  <si>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</si>
  <si>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</si>
  <si>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</si>
  <si>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</si>
  <si>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</si>
  <si>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</si>
  <si>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</si>
  <si>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</si>
  <si>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</si>
  <si>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</si>
  <si>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</si>
  <si>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</si>
  <si>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</si>
  <si>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</si>
  <si>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</si>
  <si>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</si>
  <si>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</si>
  <si>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</si>
  <si>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</si>
  <si>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</si>
  <si>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</si>
  <si>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</si>
  <si>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</si>
  <si>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</si>
  <si>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</si>
  <si>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</si>
  <si>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</si>
  <si>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</si>
  <si>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</si>
  <si>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</si>
  <si>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</si>
  <si>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</si>
  <si>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</si>
  <si>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</si>
  <si>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</si>
  <si>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</si>
  <si>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</si>
  <si>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</si>
  <si>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</si>
  <si>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</si>
  <si>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</si>
  <si>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</si>
  <si>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</si>
  <si>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</si>
  <si>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</si>
  <si>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</si>
  <si>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</si>
  <si>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</si>
  <si>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</si>
  <si>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</si>
  <si>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</si>
  <si>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</si>
  <si>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</si>
  <si>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</si>
  <si>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</si>
  <si>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</si>
  <si>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</si>
  <si>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</si>
  <si>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</si>
  <si>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</si>
  <si>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</si>
  <si>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</si>
  <si>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</si>
  <si>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</si>
  <si>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</si>
  <si>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</si>
  <si>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</si>
  <si>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</si>
  <si>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</si>
  <si>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</si>
  <si>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</si>
  <si>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</si>
  <si>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</si>
  <si>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</si>
  <si>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</si>
  <si>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</si>
  <si>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</si>
  <si>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</si>
  <si>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</si>
  <si>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</si>
  <si>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</si>
  <si>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</si>
  <si>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</si>
  <si>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</si>
  <si>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</si>
  <si>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</si>
  <si>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</si>
  <si>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</si>
  <si>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</si>
  <si>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</si>
  <si>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</si>
  <si>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</si>
  <si>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</si>
  <si>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</si>
  <si>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</si>
  <si>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</si>
  <si>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</si>
  <si>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</si>
  <si>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</si>
  <si>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</si>
  <si>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</si>
  <si>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</si>
  <si>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</si>
  <si>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</si>
  <si>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</si>
  <si>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</si>
  <si>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</si>
  <si>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</si>
  <si>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</si>
  <si>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</si>
  <si>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</si>
  <si>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</si>
  <si>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</si>
  <si>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</si>
  <si>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</si>
  <si>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</si>
  <si>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</si>
  <si>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</si>
  <si>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</si>
  <si>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</si>
  <si>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</si>
  <si>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</si>
  <si>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</si>
  <si>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</si>
  <si>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</si>
  <si>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</si>
  <si>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</si>
  <si>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</si>
  <si>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</si>
  <si>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</si>
  <si>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</si>
  <si>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</si>
  <si>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</si>
  <si>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</si>
  <si>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</si>
  <si>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</si>
  <si>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</si>
  <si>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</si>
  <si>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</si>
  <si>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</si>
  <si>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</si>
  <si>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</si>
  <si>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</si>
  <si>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</si>
  <si>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</si>
  <si>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</si>
  <si>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</si>
  <si>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</si>
  <si>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</si>
  <si>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</si>
  <si>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</si>
  <si>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</si>
  <si>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</si>
  <si>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</si>
  <si>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</si>
  <si>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</si>
  <si>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</si>
  <si>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</si>
  <si>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</si>
  <si>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</si>
  <si>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</si>
  <si>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</si>
  <si>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</si>
  <si>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</si>
  <si>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</si>
  <si>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</si>
  <si>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</si>
  <si>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</si>
  <si>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</si>
  <si>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</si>
  <si>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</si>
  <si>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</si>
  <si>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</si>
  <si>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</si>
  <si>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</si>
  <si>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</si>
  <si>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</si>
  <si>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</si>
  <si>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</si>
  <si>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</si>
  <si>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</si>
  <si>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</si>
  <si>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</si>
  <si>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</si>
  <si>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</si>
  <si>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</si>
  <si>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</si>
  <si>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</si>
  <si>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</si>
  <si>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</si>
  <si>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</si>
  <si>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</si>
  <si>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</si>
  <si>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</si>
  <si>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</si>
  <si>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</si>
  <si>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</si>
  <si>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</si>
  <si>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</si>
  <si>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</si>
  <si>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</si>
  <si>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</si>
  <si>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</si>
  <si>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</si>
  <si>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</si>
  <si>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</si>
  <si>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</si>
  <si>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</si>
  <si>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</si>
  <si>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</si>
  <si>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</si>
  <si>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</si>
  <si>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</si>
  <si>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</si>
  <si>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</si>
  <si>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</si>
  <si>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</si>
  <si>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</si>
  <si>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</si>
  <si>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</si>
  <si>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</si>
  <si>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</si>
  <si>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</si>
  <si>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</si>
  <si>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</si>
  <si>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</si>
  <si>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</si>
  <si>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</si>
  <si>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</si>
  <si>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</si>
  <si>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</si>
  <si>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</si>
  <si>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</si>
  <si>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</si>
  <si>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</si>
  <si>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</si>
  <si>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</si>
  <si>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</si>
  <si>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</si>
  <si>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</si>
  <si>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</si>
  <si>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</si>
  <si>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</si>
  <si>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</si>
  <si>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</si>
  <si>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</si>
  <si>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</si>
  <si>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</si>
  <si>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</si>
  <si>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</si>
  <si>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</si>
  <si>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</si>
  <si>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</si>
  <si>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</si>
  <si>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</si>
  <si>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</si>
  <si>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</si>
  <si>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</si>
  <si>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</si>
  <si>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</si>
  <si>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</si>
  <si>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</si>
  <si>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</si>
  <si>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</si>
  <si>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</si>
  <si>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</si>
  <si>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</si>
  <si>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</si>
  <si>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</si>
  <si>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</si>
  <si>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</si>
  <si>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</si>
  <si>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</si>
  <si>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</si>
  <si>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</si>
  <si>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</si>
  <si>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</si>
  <si>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</si>
  <si>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</si>
  <si>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</si>
  <si>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</si>
  <si>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</si>
  <si>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</si>
  <si>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</si>
  <si>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</si>
  <si>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</si>
  <si>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</si>
  <si>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</si>
  <si>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</si>
  <si>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</si>
  <si>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</si>
  <si>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</si>
  <si>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</si>
  <si>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</si>
  <si>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</si>
  <si>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</si>
  <si>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</si>
  <si>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</si>
  <si>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</si>
  <si>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</si>
  <si>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</si>
  <si>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</si>
  <si>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</si>
  <si>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</si>
  <si>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</si>
  <si>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</si>
  <si>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</si>
  <si>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</si>
  <si>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</si>
  <si>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</si>
  <si>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</si>
  <si>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</si>
  <si>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</si>
  <si>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</si>
  <si>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</si>
  <si>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</si>
  <si>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</si>
  <si>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</si>
  <si>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</si>
  <si>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</si>
  <si>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</si>
  <si>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</si>
  <si>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</si>
  <si>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</si>
  <si>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</si>
  <si>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</si>
  <si>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</si>
  <si>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</si>
  <si>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</si>
  <si>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</si>
  <si>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</si>
  <si>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</si>
  <si>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</si>
  <si>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</si>
  <si>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</si>
  <si>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</si>
  <si>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</si>
  <si>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</si>
  <si>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</si>
  <si>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</si>
  <si>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</si>
  <si>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</si>
  <si>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</si>
  <si>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</si>
  <si>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</si>
  <si>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</si>
  <si>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</si>
  <si>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</si>
  <si>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</si>
  <si>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</si>
  <si>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</si>
  <si>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</si>
  <si>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</si>
  <si>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</si>
  <si>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</si>
  <si>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</si>
  <si>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</si>
  <si>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</si>
  <si>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</si>
  <si>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</si>
  <si>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</si>
  <si>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</si>
  <si>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</si>
  <si>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</si>
  <si>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</si>
  <si>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</si>
  <si>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</si>
  <si>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</si>
  <si>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</si>
  <si>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</si>
  <si>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</si>
  <si>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</si>
  <si>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</si>
  <si>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</si>
  <si>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</si>
  <si>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</si>
  <si>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</si>
  <si>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</si>
  <si>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</si>
  <si>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</si>
  <si>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</si>
  <si>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</si>
  <si>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</si>
  <si>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</si>
  <si>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</si>
  <si>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</si>
  <si>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</si>
  <si>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</si>
  <si>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</si>
  <si>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</si>
  <si>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</si>
  <si>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</si>
  <si>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</si>
  <si>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</si>
  <si>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</si>
  <si>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</si>
  <si>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</si>
  <si>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</si>
  <si>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</si>
  <si>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</si>
  <si>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</si>
  <si>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</si>
  <si>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</si>
  <si>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</si>
  <si>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</si>
  <si>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</si>
  <si>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</si>
  <si>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</si>
  <si>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</si>
  <si>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</si>
  <si>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</si>
  <si>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</si>
  <si>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</si>
  <si>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</si>
  <si>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</si>
  <si>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</si>
  <si>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</si>
  <si>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</si>
  <si>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</si>
  <si>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</si>
  <si>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</si>
  <si>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</si>
  <si>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</si>
  <si>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</si>
  <si>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</si>
  <si>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</si>
  <si>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</si>
  <si>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</si>
  <si>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</si>
  <si>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</si>
  <si>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</si>
  <si>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</si>
  <si>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</si>
  <si>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</si>
  <si>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</si>
  <si>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</si>
  <si>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</si>
  <si>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</si>
  <si>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</si>
  <si>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</si>
  <si>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</si>
  <si>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</si>
  <si>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</si>
  <si>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</si>
  <si>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</si>
  <si>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</si>
  <si>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</si>
  <si>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</si>
  <si>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</si>
  <si>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</si>
  <si>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</si>
  <si>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</si>
  <si>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</si>
  <si>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</si>
  <si>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</si>
  <si>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</si>
  <si>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</si>
  <si>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</si>
  <si>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</si>
  <si>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</si>
  <si>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</si>
  <si>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</si>
  <si>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</si>
  <si>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</si>
  <si>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</si>
  <si>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</si>
  <si>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</si>
  <si>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</si>
  <si>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</si>
  <si>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</si>
  <si>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</si>
  <si>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</si>
  <si>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</si>
  <si>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</si>
  <si>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</si>
  <si>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</si>
  <si>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</si>
  <si>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</si>
  <si>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</si>
  <si>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</si>
  <si>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</si>
  <si>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</si>
  <si>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</si>
  <si>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</si>
  <si>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</si>
  <si>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</si>
  <si>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</si>
  <si>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</si>
  <si>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</si>
  <si>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</si>
  <si>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</si>
  <si>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</si>
  <si>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</si>
  <si>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</si>
  <si>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</si>
  <si>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</si>
  <si>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</si>
  <si>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</si>
  <si>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</si>
  <si>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</si>
  <si>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</si>
  <si>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</si>
  <si>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</si>
  <si>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</si>
  <si>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</si>
  <si>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</si>
  <si>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</si>
  <si>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</si>
  <si>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</si>
  <si>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</si>
  <si>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</si>
  <si>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</si>
  <si>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</si>
  <si>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</si>
  <si>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</si>
  <si>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</si>
  <si>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</si>
  <si>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</si>
  <si>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</si>
  <si>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</si>
  <si>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</si>
  <si>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</si>
  <si>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</si>
  <si>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</si>
  <si>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</si>
  <si>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</si>
  <si>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</si>
  <si>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</si>
  <si>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</si>
  <si>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</si>
  <si>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</si>
  <si>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</si>
  <si>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</si>
  <si>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</si>
  <si>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</si>
  <si>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</si>
  <si>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</si>
  <si>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</si>
  <si>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</si>
  <si>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</si>
  <si>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</si>
  <si>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</si>
  <si>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</si>
  <si>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</si>
  <si>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</si>
  <si>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</si>
  <si>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</si>
  <si>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</si>
  <si>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</si>
  <si>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</si>
  <si>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</si>
  <si>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</si>
  <si>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</si>
  <si>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</si>
  <si>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</si>
  <si>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</si>
  <si>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</si>
  <si>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</si>
  <si>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</si>
  <si>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</si>
  <si>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</si>
  <si>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</si>
  <si>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</si>
  <si>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</si>
  <si>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</si>
  <si>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</si>
  <si>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</si>
  <si>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</si>
  <si>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</si>
  <si>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</si>
  <si>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</si>
  <si>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</si>
  <si>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</si>
  <si>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</si>
  <si>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</si>
  <si>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</si>
  <si>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</si>
  <si>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</si>
  <si>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</si>
  <si>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</si>
  <si>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</si>
  <si>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</si>
  <si>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</si>
  <si>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</si>
  <si>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</si>
  <si>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</si>
  <si>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</si>
  <si>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</si>
  <si>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</si>
  <si>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</si>
  <si>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</si>
  <si>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</si>
  <si>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</si>
  <si>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</si>
  <si>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</si>
  <si>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</si>
  <si>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</si>
  <si>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</si>
  <si>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</si>
  <si>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</si>
  <si>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</si>
  <si>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</si>
  <si>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</si>
  <si>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</si>
  <si>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</si>
  <si>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</si>
  <si>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</si>
  <si>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</si>
  <si>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</si>
  <si>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</si>
  <si>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</si>
  <si>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</si>
  <si>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</si>
  <si>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</si>
  <si>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</si>
  <si>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</si>
  <si>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</si>
  <si>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</si>
  <si>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</si>
  <si>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</si>
  <si>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</si>
  <si>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</si>
  <si>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</si>
  <si>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</si>
  <si>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</si>
  <si>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</si>
  <si>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</si>
  <si>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</si>
  <si>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</si>
  <si>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</si>
  <si>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</si>
  <si>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</si>
  <si>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</si>
  <si>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</si>
  <si>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</si>
  <si>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</si>
  <si>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</si>
  <si>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</si>
  <si>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</si>
  <si>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</si>
  <si>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</si>
  <si>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</si>
  <si>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</si>
  <si>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</si>
  <si>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</si>
  <si>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</si>
  <si>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</si>
  <si>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</si>
  <si>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</si>
  <si>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</si>
  <si>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</si>
  <si>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</si>
  <si>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</si>
  <si>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</si>
  <si>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</si>
  <si>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</si>
  <si>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</si>
  <si>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</si>
  <si>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</si>
  <si>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</si>
  <si>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</si>
  <si>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</si>
  <si>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</si>
  <si>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</si>
  <si>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</si>
  <si>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</si>
  <si>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</si>
  <si>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</si>
  <si>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</si>
  <si>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</si>
  <si>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</si>
  <si>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</si>
  <si>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</si>
  <si>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</si>
  <si>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</si>
  <si>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</si>
  <si>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</si>
  <si>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</si>
  <si>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</si>
  <si>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</si>
  <si>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</si>
  <si>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</si>
  <si>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</si>
  <si>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</si>
  <si>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</si>
  <si>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</si>
  <si>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</si>
  <si>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</si>
  <si>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</si>
  <si>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</si>
  <si>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</si>
  <si>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</si>
  <si>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</si>
  <si>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</si>
  <si>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</si>
  <si>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</si>
  <si>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</si>
  <si>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</si>
  <si>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</si>
  <si>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</si>
  <si>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</si>
  <si>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</si>
  <si>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</si>
  <si>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</si>
  <si>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</si>
  <si>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</si>
  <si>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</si>
  <si>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</si>
  <si>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</si>
  <si>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</si>
  <si>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</si>
  <si>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</si>
  <si>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</si>
  <si>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</si>
  <si>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</si>
  <si>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</si>
  <si>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</si>
  <si>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</si>
  <si>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</si>
  <si>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</si>
  <si>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</si>
  <si>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</si>
  <si>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</si>
  <si>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</si>
  <si>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</si>
  <si>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</si>
  <si>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</si>
  <si>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</si>
  <si>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</si>
  <si>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</si>
  <si>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</si>
  <si>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</si>
  <si>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</si>
  <si>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</si>
  <si>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</si>
  <si>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</si>
  <si>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</si>
  <si>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</si>
  <si>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</si>
  <si>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</si>
  <si>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</si>
  <si>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</si>
  <si>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</si>
  <si>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</si>
  <si>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</si>
  <si>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</si>
  <si>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</si>
  <si>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</si>
  <si>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</si>
  <si>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</si>
  <si>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</si>
  <si>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</si>
  <si>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</si>
  <si>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</si>
  <si>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</si>
  <si>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</si>
  <si>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</si>
  <si>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</si>
  <si>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</si>
  <si>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</si>
  <si>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</si>
  <si>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</si>
  <si>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</si>
  <si>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</si>
  <si>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</si>
  <si>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</si>
  <si>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</si>
  <si>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</si>
  <si>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</si>
  <si>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</si>
  <si>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</si>
  <si>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</si>
  <si>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</si>
  <si>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</si>
  <si>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</si>
  <si>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</si>
  <si>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</si>
  <si>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</si>
  <si>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</si>
  <si>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</si>
  <si>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</si>
  <si>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</si>
  <si>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</si>
  <si>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</si>
  <si>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</si>
  <si>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</si>
  <si>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</si>
  <si>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</si>
  <si>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</si>
  <si>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</si>
  <si>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</si>
  <si>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</si>
  <si>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</si>
  <si>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</si>
  <si>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</si>
  <si>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</si>
  <si>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</si>
  <si>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</si>
  <si>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</si>
  <si>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</si>
  <si>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</si>
  <si>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</si>
  <si>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</si>
  <si>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</si>
  <si>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</si>
  <si>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</si>
  <si>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</si>
  <si>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</si>
  <si>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</si>
  <si>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</si>
  <si>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</si>
  <si>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</si>
  <si>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</si>
  <si>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</si>
  <si>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</si>
  <si>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</si>
  <si>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</si>
  <si>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</si>
  <si>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</si>
  <si>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</si>
  <si>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</si>
  <si>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</si>
  <si>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</si>
  <si>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</si>
  <si>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</si>
  <si>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</si>
  <si>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</si>
  <si>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</si>
  <si>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</si>
  <si>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</si>
  <si>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</si>
  <si>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</si>
  <si>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</si>
  <si>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</si>
  <si>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</si>
  <si>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</si>
  <si>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</si>
  <si>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</si>
  <si>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</si>
  <si>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</si>
  <si>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</si>
  <si>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</si>
  <si>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</si>
  <si>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</si>
  <si>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</si>
  <si>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</si>
  <si>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</si>
  <si>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</si>
  <si>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</si>
  <si>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</si>
  <si>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</si>
  <si>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</si>
  <si>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</si>
  <si>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</si>
  <si>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</si>
  <si>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</si>
  <si>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</si>
  <si>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</si>
  <si>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</si>
  <si>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</si>
  <si>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</si>
  <si>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</si>
  <si>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</si>
  <si>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</si>
  <si>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</si>
  <si>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</si>
  <si>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</si>
  <si>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</si>
  <si>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</si>
  <si>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</si>
  <si>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</si>
  <si>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</si>
  <si>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</si>
  <si>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</si>
  <si>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</si>
  <si>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</si>
  <si>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</si>
  <si>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</si>
  <si>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</si>
  <si>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</si>
  <si>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</si>
  <si>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</si>
  <si>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</si>
  <si>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</si>
  <si>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</si>
  <si>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</si>
  <si>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</si>
  <si>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</si>
  <si>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</si>
  <si>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</si>
  <si>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</si>
  <si>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</si>
  <si>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</si>
  <si>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</si>
  <si>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</si>
  <si>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</si>
  <si>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</si>
  <si>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</si>
  <si>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</si>
  <si>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</si>
  <si>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</si>
  <si>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</si>
  <si>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</si>
  <si>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</si>
  <si>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</si>
  <si>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</si>
  <si>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</si>
  <si>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</si>
  <si>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</si>
  <si>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</si>
  <si>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</si>
  <si>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</si>
  <si>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</si>
  <si>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</si>
  <si>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</si>
  <si>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</si>
  <si>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</si>
  <si>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</si>
  <si>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</si>
  <si>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</si>
  <si>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</si>
  <si>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</si>
  <si>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</si>
  <si>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</si>
  <si>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</si>
  <si>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</si>
  <si>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</si>
  <si>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</si>
  <si>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</si>
  <si>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</si>
  <si>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</si>
  <si>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</si>
  <si>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</si>
  <si>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</si>
  <si>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</si>
  <si>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</si>
  <si>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</si>
  <si>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</si>
  <si>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</si>
  <si>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</si>
  <si>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</si>
  <si>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</si>
  <si>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</si>
  <si>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</si>
  <si>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</si>
  <si>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</si>
  <si>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</si>
  <si>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</si>
  <si>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</si>
  <si>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</si>
  <si>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</si>
  <si>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</si>
  <si>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</si>
  <si>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</si>
  <si>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</si>
  <si>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</si>
  <si>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</si>
  <si>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</si>
  <si>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</si>
  <si>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</si>
  <si>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</si>
  <si>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</si>
  <si>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</si>
  <si>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</si>
  <si>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</si>
  <si>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</si>
  <si>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</si>
  <si>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</si>
  <si>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</si>
  <si>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</si>
  <si>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</si>
  <si>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</si>
  <si>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</si>
  <si>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</si>
  <si>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</si>
  <si>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</si>
  <si>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</si>
  <si>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</si>
  <si>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</si>
  <si>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</si>
  <si>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</si>
  <si>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</si>
  <si>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</si>
  <si>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</si>
  <si>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</si>
  <si>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</si>
  <si>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</si>
  <si>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</si>
  <si>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</si>
  <si>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</si>
  <si>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</si>
  <si>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</si>
  <si>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</si>
  <si>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</si>
  <si>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</si>
  <si>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</si>
  <si>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</si>
  <si>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</si>
  <si>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</si>
  <si>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</si>
  <si>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</si>
  <si>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</si>
  <si>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</si>
  <si>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</si>
  <si>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</si>
  <si>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</si>
  <si>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</si>
  <si>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</si>
  <si>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</si>
  <si>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</si>
  <si>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</si>
  <si>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</si>
  <si>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</si>
  <si>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</si>
  <si>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</si>
  <si>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</si>
  <si>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</si>
  <si>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</si>
  <si>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</si>
  <si>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</si>
  <si>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</si>
  <si>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</si>
  <si>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</si>
  <si>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</si>
  <si>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</si>
  <si>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</si>
  <si>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</si>
  <si>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</si>
  <si>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</si>
  <si>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</si>
  <si>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</si>
  <si>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</si>
  <si>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</si>
  <si>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</si>
  <si>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</si>
  <si>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</si>
  <si>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</si>
  <si>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</si>
  <si>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</si>
  <si>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</si>
  <si>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</si>
  <si>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</si>
  <si>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</si>
  <si>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</si>
  <si>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</si>
  <si>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</si>
  <si>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</si>
  <si>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</si>
  <si>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</si>
  <si>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</si>
  <si>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</si>
  <si>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</si>
  <si>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</si>
  <si>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</si>
  <si>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</si>
  <si>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</si>
  <si>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</si>
  <si>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</si>
  <si>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</si>
  <si>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</si>
  <si>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</si>
  <si>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</si>
  <si>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</si>
  <si>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</si>
  <si>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</si>
  <si>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</si>
  <si>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</si>
  <si>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</si>
  <si>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</si>
  <si>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</si>
  <si>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</si>
  <si>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</si>
  <si>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</si>
  <si>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</si>
  <si>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</si>
  <si>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</si>
  <si>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</si>
  <si>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</si>
  <si>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</si>
  <si>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</si>
  <si>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</si>
  <si>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</si>
  <si>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</si>
  <si>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</si>
  <si>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</si>
  <si>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</si>
  <si>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</si>
  <si>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</si>
  <si>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</si>
  <si>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</si>
  <si>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</si>
  <si>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</si>
  <si>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</si>
  <si>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</si>
  <si>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</si>
  <si>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</si>
  <si>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</si>
  <si>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</si>
  <si>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</si>
  <si>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</si>
  <si>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</si>
  <si>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</si>
  <si>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</si>
  <si>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</si>
  <si>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</si>
  <si>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</si>
  <si>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</si>
  <si>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</si>
  <si>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</si>
  <si>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</si>
  <si>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</si>
  <si>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</si>
  <si>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</si>
  <si>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</si>
  <si>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</si>
  <si>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</si>
  <si>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</si>
  <si>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</si>
  <si>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</si>
  <si>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</si>
  <si>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</si>
  <si>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</si>
  <si>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</si>
  <si>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</si>
  <si>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</si>
  <si>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</si>
  <si>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</si>
  <si>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</si>
  <si>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</si>
  <si>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</si>
  <si>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</si>
  <si>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</si>
  <si>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</si>
  <si>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</si>
  <si>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</si>
  <si>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</si>
  <si>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</si>
  <si>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</si>
  <si>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</si>
  <si>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</si>
  <si>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</si>
  <si>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</si>
  <si>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</si>
  <si>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</si>
  <si>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</si>
  <si>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</si>
  <si>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</si>
  <si>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</si>
  <si>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</si>
  <si>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</si>
  <si>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</si>
  <si>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</si>
  <si>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</si>
  <si>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</si>
  <si>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</si>
  <si>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</si>
  <si>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</si>
  <si>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</si>
  <si>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</si>
  <si>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</si>
  <si>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</si>
  <si>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</si>
  <si>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</si>
  <si>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</si>
  <si>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</si>
  <si>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</si>
  <si>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</si>
  <si>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</si>
  <si>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</si>
  <si>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</si>
  <si>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</si>
  <si>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</si>
  <si>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</si>
  <si>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</si>
  <si>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</si>
  <si>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</si>
  <si>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</si>
  <si>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</si>
  <si>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</si>
  <si>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</si>
  <si>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</si>
  <si>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</si>
  <si>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</si>
  <si>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</si>
  <si>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</si>
  <si>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</si>
  <si>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</si>
  <si>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</si>
  <si>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</si>
  <si>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</si>
  <si>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</si>
  <si>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</si>
  <si>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</si>
  <si>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</si>
  <si>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</si>
  <si>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</si>
  <si>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</si>
  <si>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</si>
  <si>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</si>
  <si>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</si>
  <si>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</si>
  <si>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</si>
  <si>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</si>
  <si>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</si>
  <si>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</si>
  <si>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</si>
  <si>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</si>
  <si>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</si>
  <si>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</si>
  <si>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</si>
  <si>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</si>
  <si>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</si>
  <si>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</si>
  <si>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</si>
  <si>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</si>
  <si>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</si>
  <si>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</si>
  <si>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</si>
  <si>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</si>
  <si>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</si>
  <si>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</si>
  <si>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</si>
  <si>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</si>
  <si>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</si>
  <si>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</si>
  <si>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</si>
  <si>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</si>
  <si>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</si>
  <si>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</si>
  <si>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</si>
  <si>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</si>
  <si>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</si>
  <si>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</si>
  <si>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</si>
  <si>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</si>
  <si>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</si>
  <si>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</si>
  <si>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</si>
  <si>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</si>
  <si>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</si>
  <si>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</si>
  <si>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</si>
  <si>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</si>
  <si>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</si>
  <si>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</si>
  <si>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</si>
  <si>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</si>
  <si>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</si>
  <si>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</si>
  <si>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</si>
  <si>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</si>
  <si>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</si>
  <si>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</si>
  <si>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</si>
  <si>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</si>
  <si>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</si>
  <si>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</si>
  <si>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</si>
  <si>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</si>
  <si>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</si>
  <si>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</si>
  <si>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</si>
  <si>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</si>
  <si>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</si>
  <si>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</si>
  <si>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</si>
  <si>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</si>
  <si>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</si>
  <si>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</si>
  <si>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</si>
  <si>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</si>
  <si>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</si>
  <si>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</si>
  <si>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</si>
  <si>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</si>
  <si>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</si>
  <si>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</si>
  <si>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</si>
  <si>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</si>
  <si>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</si>
  <si>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</si>
  <si>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</si>
  <si>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</si>
  <si>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</si>
  <si>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</si>
  <si>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</si>
  <si>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</si>
  <si>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</si>
  <si>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</si>
  <si>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</si>
  <si>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</si>
  <si>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</si>
  <si>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</si>
  <si>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</si>
  <si>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</si>
  <si>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</si>
  <si>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</si>
  <si>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</si>
  <si>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</si>
  <si>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</si>
  <si>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</si>
  <si>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</si>
  <si>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</si>
  <si>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</si>
  <si>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</si>
  <si>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</si>
  <si>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</si>
  <si>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</si>
  <si>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</si>
  <si>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</si>
  <si>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</si>
  <si>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</si>
  <si>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</si>
  <si>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</si>
  <si>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</si>
  <si>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</si>
  <si>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</si>
  <si>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</si>
  <si>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</si>
  <si>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</si>
  <si>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</si>
  <si>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</si>
  <si>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</si>
  <si>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</si>
  <si>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</si>
  <si>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</si>
  <si>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</si>
  <si>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</si>
  <si>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</si>
  <si>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</si>
  <si>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</si>
  <si>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</si>
  <si>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</si>
  <si>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</si>
  <si>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</si>
  <si>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</si>
  <si>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</si>
  <si>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</si>
  <si>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</si>
  <si>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</si>
  <si>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</si>
  <si>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</si>
  <si>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</si>
  <si>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</si>
  <si>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</si>
  <si>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</si>
  <si>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</si>
  <si>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</si>
  <si>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</si>
  <si>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</si>
  <si>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</si>
  <si>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</si>
  <si>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</si>
  <si>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</si>
  <si>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</si>
  <si>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</si>
  <si>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</si>
  <si>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</si>
  <si>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</si>
  <si>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</si>
  <si>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</si>
  <si>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</si>
  <si>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</si>
  <si>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</si>
  <si>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</si>
  <si>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</si>
  <si>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</si>
  <si>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</si>
  <si>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</si>
  <si>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</si>
  <si>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</si>
  <si>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</si>
  <si>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</si>
  <si>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</si>
  <si>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</si>
  <si>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</si>
  <si>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</si>
  <si>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</si>
  <si>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</si>
  <si>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</si>
  <si>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</si>
  <si>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</si>
  <si>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</si>
  <si>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</si>
  <si>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</si>
  <si>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</si>
  <si>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</si>
  <si>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</si>
  <si>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</si>
  <si>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</si>
  <si>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</si>
  <si>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</si>
  <si>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</si>
  <si>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</si>
  <si>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</si>
  <si>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</si>
  <si>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</si>
  <si>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</si>
  <si>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</si>
  <si>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</si>
  <si>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</si>
  <si>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</si>
  <si>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</si>
  <si>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</si>
  <si>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</si>
  <si>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</si>
  <si>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</si>
  <si>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</si>
  <si>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</si>
  <si>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</si>
  <si>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</si>
  <si>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</si>
  <si>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</si>
  <si>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</si>
  <si>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</si>
  <si>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</si>
  <si>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</si>
  <si>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</si>
  <si>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</si>
  <si>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</si>
  <si>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</si>
  <si>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</si>
  <si>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</si>
  <si>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</si>
  <si>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</si>
  <si>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</si>
  <si>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</si>
  <si>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</si>
  <si>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</si>
  <si>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</si>
  <si>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</si>
  <si>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</si>
  <si>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</si>
  <si>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</si>
  <si>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</si>
  <si>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</si>
  <si>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</si>
  <si>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</si>
  <si>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</si>
  <si>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</si>
  <si>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</si>
  <si>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</si>
  <si>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</si>
  <si>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</si>
  <si>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</si>
  <si>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</si>
  <si>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</si>
  <si>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</si>
  <si>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</si>
  <si>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</si>
  <si>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</si>
  <si>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</si>
  <si>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</si>
  <si>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</si>
  <si>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</si>
  <si>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</si>
  <si>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</si>
  <si>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</si>
  <si>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</si>
  <si>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</si>
  <si>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</si>
  <si>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</si>
  <si>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</si>
  <si>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</si>
  <si>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</si>
  <si>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</si>
  <si>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</si>
  <si>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</si>
  <si>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</si>
  <si>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</si>
  <si>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</si>
  <si>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</si>
  <si>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</si>
  <si>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</si>
  <si>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</si>
  <si>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</si>
  <si>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</si>
  <si>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</si>
  <si>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</si>
  <si>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</si>
  <si>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</si>
  <si>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</si>
  <si>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</si>
  <si>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</si>
  <si>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</si>
  <si>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</si>
  <si>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</si>
  <si>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</si>
  <si>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</si>
  <si>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</si>
  <si>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</si>
  <si>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</si>
  <si>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</si>
  <si>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</si>
  <si>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</si>
  <si>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</si>
  <si>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</si>
  <si>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</si>
  <si>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</si>
  <si>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</si>
  <si>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</si>
  <si>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</si>
  <si>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</si>
  <si>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</si>
  <si>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</si>
  <si>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</si>
  <si>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</si>
  <si>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</si>
  <si>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</si>
  <si>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</si>
  <si>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</si>
  <si>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</si>
  <si>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</si>
  <si>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</si>
  <si>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</si>
  <si>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</si>
  <si>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</si>
  <si>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</si>
  <si>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</si>
  <si>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</si>
  <si>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</si>
  <si>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</si>
  <si>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</si>
  <si>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</si>
  <si>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</si>
  <si>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</si>
  <si>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</si>
  <si>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</si>
  <si>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</si>
  <si>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</si>
  <si>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</si>
  <si>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</si>
  <si>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</si>
  <si>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</si>
  <si>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</si>
  <si>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</si>
  <si>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</si>
  <si>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</si>
  <si>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</si>
  <si>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</si>
  <si>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</si>
  <si>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</si>
  <si>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</si>
  <si>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</si>
  <si>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</si>
  <si>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</si>
  <si>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</si>
  <si>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</si>
  <si>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</si>
  <si>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</si>
  <si>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</si>
  <si>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</si>
  <si>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</si>
  <si>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</si>
  <si>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</si>
  <si>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</si>
  <si>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</si>
  <si>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</si>
  <si>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</si>
  <si>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</si>
  <si>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</si>
  <si>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</si>
  <si>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</si>
  <si>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</si>
  <si>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</si>
  <si>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</si>
  <si>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</si>
  <si>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</si>
  <si>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</si>
  <si>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</si>
  <si>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</si>
  <si>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</si>
  <si>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</si>
  <si>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</si>
  <si>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</si>
  <si>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</si>
  <si>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</si>
  <si>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</si>
  <si>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</si>
  <si>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</si>
  <si>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</si>
  <si>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</si>
  <si>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</si>
  <si>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</si>
  <si>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</si>
  <si>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</si>
  <si>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</si>
  <si>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</si>
  <si>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</si>
  <si>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</si>
  <si>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</si>
  <si>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</si>
  <si>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</si>
  <si>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</si>
  <si>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</si>
  <si>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</si>
  <si>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</si>
  <si>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</si>
  <si>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</si>
  <si>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</si>
  <si>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</si>
  <si>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</si>
  <si>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</si>
  <si>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</si>
  <si>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</si>
  <si>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</si>
  <si>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</si>
  <si>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</si>
  <si>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</si>
  <si>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</si>
  <si>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</si>
  <si>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</si>
  <si>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</si>
  <si>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</si>
  <si>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</si>
  <si>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</si>
  <si>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</si>
  <si>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</si>
  <si>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</si>
  <si>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</si>
  <si>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</si>
  <si>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</si>
  <si>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</si>
  <si>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</si>
  <si>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</si>
  <si>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</si>
  <si>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</si>
  <si>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</si>
  <si>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</si>
  <si>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</si>
  <si>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</si>
  <si>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</si>
  <si>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</si>
  <si>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</si>
  <si>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</si>
  <si>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</si>
  <si>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</si>
  <si>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</si>
  <si>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</si>
  <si>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</si>
  <si>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</si>
  <si>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</si>
  <si>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</si>
  <si>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</si>
  <si>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</si>
  <si>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</si>
  <si>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</si>
  <si>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</si>
  <si>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</si>
  <si>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</si>
  <si>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</si>
  <si>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</si>
  <si>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</si>
  <si>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</si>
  <si>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</si>
  <si>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</si>
  <si>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</si>
  <si>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</si>
  <si>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</si>
  <si>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</si>
  <si>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</si>
  <si>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</si>
  <si>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</si>
  <si>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</si>
  <si>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</si>
  <si>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</si>
  <si>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</si>
  <si>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</si>
  <si>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</si>
  <si>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</si>
  <si>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</si>
  <si>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</si>
  <si>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</si>
  <si>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</si>
  <si>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</si>
  <si>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</si>
  <si>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</si>
  <si>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</si>
  <si>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</si>
  <si>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</si>
  <si>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</si>
  <si>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</si>
  <si>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</si>
  <si>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</si>
  <si>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</si>
  <si>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</si>
  <si>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</si>
  <si>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</si>
  <si>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</si>
  <si>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</si>
  <si>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</si>
  <si>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</si>
  <si>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</si>
  <si>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</si>
  <si>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</si>
  <si>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</si>
  <si>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</si>
  <si>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</si>
  <si>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</si>
  <si>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</si>
  <si>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</si>
  <si>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</si>
  <si>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</si>
  <si>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</si>
  <si>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</si>
  <si>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</si>
  <si>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</si>
  <si>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</si>
  <si>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</si>
  <si>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</si>
  <si>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</si>
  <si>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</si>
  <si>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</si>
  <si>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</si>
  <si>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</si>
  <si>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</si>
  <si>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</si>
  <si>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</si>
  <si>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</si>
  <si>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</si>
  <si>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</si>
  <si>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</si>
  <si>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</si>
  <si>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</si>
  <si>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</si>
  <si>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</si>
  <si>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</si>
  <si>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</si>
  <si>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</si>
  <si>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</si>
  <si>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</si>
  <si>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</si>
  <si>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</si>
  <si>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</si>
  <si>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</si>
  <si>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</si>
  <si>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</si>
  <si>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</si>
  <si>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</si>
  <si>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</si>
  <si>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</si>
  <si>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</si>
  <si>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</si>
  <si>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</si>
  <si>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</si>
  <si>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</si>
  <si>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</si>
  <si>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</si>
  <si>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</si>
  <si>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</si>
  <si>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</si>
  <si>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</si>
  <si>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</si>
  <si>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</si>
  <si>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</si>
  <si>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</si>
  <si>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</si>
  <si>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</si>
  <si>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</si>
  <si>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</si>
  <si>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</si>
  <si>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</si>
  <si>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</si>
  <si>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</si>
  <si>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</si>
  <si>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</si>
  <si>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</si>
  <si>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</si>
  <si>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</si>
  <si>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</si>
  <si>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</si>
  <si>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</si>
  <si>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</si>
  <si>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</si>
  <si>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</si>
  <si>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</si>
  <si>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</si>
  <si>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</si>
  <si>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</si>
  <si>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</si>
  <si>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</si>
  <si>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</si>
  <si>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</si>
  <si>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</si>
  <si>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</si>
  <si>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</si>
  <si>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</si>
  <si>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</si>
  <si>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</si>
  <si>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</si>
  <si>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</si>
  <si>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</si>
  <si>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</si>
  <si>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</si>
  <si>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</si>
  <si>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</si>
  <si>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</si>
  <si>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</si>
  <si>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</si>
  <si>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</si>
  <si>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</si>
  <si>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</si>
  <si>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</si>
  <si>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</si>
  <si>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</si>
  <si>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</si>
  <si>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</si>
  <si>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</si>
  <si>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</si>
  <si>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</si>
  <si>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</si>
  <si>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</si>
  <si>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</si>
  <si>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</si>
  <si>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</si>
  <si>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</si>
  <si>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</si>
  <si>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</si>
  <si>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</si>
  <si>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</si>
  <si>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</si>
  <si>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</si>
  <si>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</si>
  <si>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</si>
  <si>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</si>
  <si>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</si>
  <si>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</si>
  <si>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</si>
  <si>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</si>
  <si>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</si>
  <si>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</si>
  <si>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</si>
  <si>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</si>
  <si>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</si>
  <si>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</si>
  <si>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</si>
  <si>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</si>
  <si>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</si>
  <si>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</si>
  <si>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</si>
  <si>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</si>
  <si>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</si>
  <si>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</si>
  <si>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</si>
  <si>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</si>
  <si>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</si>
  <si>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</si>
  <si>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</si>
  <si>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</si>
  <si>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</si>
  <si>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</si>
  <si>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</si>
  <si>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</si>
  <si>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</si>
  <si>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</si>
  <si>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</si>
  <si>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</si>
  <si>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</si>
  <si>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</si>
  <si>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</si>
  <si>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</si>
  <si>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</si>
  <si>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</si>
  <si>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</si>
  <si>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</si>
  <si>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</si>
  <si>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</si>
  <si>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</si>
  <si>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</si>
  <si>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</si>
  <si>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</si>
  <si>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</si>
  <si>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</si>
  <si>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</si>
  <si>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</si>
  <si>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</si>
  <si>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</si>
  <si>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</si>
  <si>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</si>
  <si>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</si>
  <si>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</si>
  <si>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</si>
  <si>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</si>
  <si>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</si>
  <si>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</si>
  <si>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</si>
  <si>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</si>
  <si>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</si>
  <si>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</si>
  <si>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</si>
  <si>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</si>
  <si>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</si>
  <si>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</si>
  <si>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</si>
  <si>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</si>
  <si>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</si>
  <si>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</si>
  <si>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</si>
  <si>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</si>
  <si>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</si>
  <si>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</si>
  <si>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</si>
  <si>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</si>
  <si>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</si>
  <si>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</si>
  <si>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</si>
  <si>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</si>
  <si>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</si>
  <si>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</si>
  <si>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</si>
  <si>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</si>
  <si>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</si>
  <si>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</si>
  <si>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</si>
  <si>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</si>
  <si>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</si>
  <si>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</si>
  <si>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</si>
  <si>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</si>
  <si>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</si>
  <si>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</si>
  <si>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</si>
  <si>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</si>
  <si>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</si>
  <si>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</si>
  <si>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</si>
  <si>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</si>
  <si>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</si>
  <si>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</si>
  <si>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</si>
  <si>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</si>
  <si>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</si>
  <si>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</si>
  <si>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</si>
  <si>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</si>
  <si>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</si>
  <si>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</si>
  <si>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</si>
  <si>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</si>
  <si>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</si>
  <si>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</si>
  <si>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</si>
  <si>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</si>
  <si>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</si>
  <si>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</si>
  <si>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</si>
  <si>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</si>
  <si>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</si>
  <si>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CONVENIOS</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</si>
  <si>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</si>
  <si>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</si>
  <si>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</si>
  <si>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</si>
  <si>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</si>
  <si>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</si>
  <si>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</si>
  <si>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</si>
  <si>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</si>
  <si>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</si>
  <si>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</si>
  <si>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</si>
  <si>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</si>
  <si>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</si>
  <si>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</si>
  <si>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</si>
  <si>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</si>
  <si>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</si>
  <si>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</si>
  <si>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</si>
  <si>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</si>
  <si>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</si>
  <si>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</si>
  <si>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</si>
  <si>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</si>
  <si>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</si>
  <si>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</si>
  <si>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</si>
  <si>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</si>
  <si>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</si>
  <si>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</si>
  <si>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</si>
  <si>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</si>
  <si>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</si>
  <si>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</si>
  <si>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</si>
  <si>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ESTUDIO GEOHIDROLÓGICO-GEOFÍSICO Y PROSPECCIÓN GEOFÍSICA CON FINES DE LOCALIZAR AGUA SUBTERRÁNEA</t>
  </si>
  <si>
    <t xml:space="preserve">ESTUDIO GEOHIDROLÓGICO-GEOFÍSICO Y PROSPECCIÓN GEOFÍSICA CON FINES DE LOCALIZAR AGUA SUBTERRÁNEA </t>
  </si>
  <si>
    <t xml:space="preserve"> J. TRINIDAD NUÑEZ BRITO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</si>
  <si>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</si>
  <si>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</si>
  <si>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</si>
  <si>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</si>
  <si>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</si>
  <si>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</si>
  <si>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</si>
  <si>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</si>
  <si>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</si>
  <si>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</si>
  <si>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</si>
  <si>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</si>
  <si>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</si>
  <si>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</si>
  <si>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</si>
  <si>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</si>
  <si>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</si>
  <si>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</si>
  <si>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</si>
  <si>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</si>
  <si>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</si>
  <si>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</si>
  <si>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</si>
  <si>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</si>
  <si>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</si>
  <si>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</si>
  <si>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</si>
  <si>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</si>
  <si>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</si>
  <si>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</si>
  <si>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</si>
  <si>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</si>
  <si>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</si>
  <si>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</si>
  <si>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</si>
  <si>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</si>
  <si>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</si>
  <si>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</si>
  <si>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</si>
  <si>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</si>
  <si>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</si>
  <si>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</si>
  <si>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</si>
  <si>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</si>
  <si>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</si>
  <si>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</si>
  <si>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</si>
  <si>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</si>
  <si>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</si>
  <si>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</si>
  <si>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</si>
  <si>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</si>
  <si>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</si>
  <si>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</si>
  <si>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</si>
  <si>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</si>
  <si>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</si>
  <si>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</si>
  <si>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</si>
  <si>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</si>
  <si>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</si>
  <si>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</si>
  <si>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</si>
  <si>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</si>
  <si>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</si>
  <si>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</si>
  <si>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</si>
  <si>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</si>
  <si>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</si>
  <si>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</si>
  <si>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</si>
  <si>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</si>
  <si>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</si>
  <si>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</si>
  <si>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</si>
  <si>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</si>
  <si>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</si>
  <si>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</si>
  <si>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</si>
  <si>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</si>
  <si>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</si>
  <si>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</si>
  <si>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</si>
  <si>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</si>
  <si>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</si>
  <si>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</si>
  <si>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</si>
  <si>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</si>
  <si>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</si>
  <si>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</si>
  <si>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</si>
  <si>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</si>
  <si>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</si>
  <si>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</si>
  <si>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</si>
  <si>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</si>
  <si>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</si>
  <si>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</si>
  <si>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</si>
  <si>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</si>
  <si>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</si>
  <si>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</si>
  <si>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</si>
  <si>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</si>
  <si>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</si>
  <si>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</si>
  <si>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</si>
  <si>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</si>
  <si>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</si>
  <si>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</si>
  <si>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</si>
  <si>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</si>
  <si>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</si>
  <si>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</si>
  <si>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</si>
  <si>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</si>
  <si>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</si>
  <si>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</si>
  <si>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</si>
  <si>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</si>
  <si>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</si>
  <si>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</si>
  <si>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</si>
  <si>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</si>
  <si>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</si>
  <si>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</si>
  <si>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</si>
  <si>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</si>
  <si>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</si>
  <si>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</si>
  <si>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</si>
  <si>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</si>
  <si>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</si>
  <si>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</si>
  <si>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</si>
  <si>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</si>
  <si>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</si>
  <si>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</si>
  <si>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</si>
  <si>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</si>
  <si>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</si>
  <si>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</si>
  <si>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</si>
  <si>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</si>
  <si>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</si>
  <si>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</si>
  <si>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F2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</si>
  <si>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</si>
  <si>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</si>
  <si>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</si>
  <si>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</si>
  <si>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</si>
  <si>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</si>
  <si>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</si>
  <si>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</si>
  <si>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</si>
  <si>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</si>
  <si>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</si>
  <si>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</si>
  <si>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</si>
  <si>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</si>
  <si>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</si>
  <si>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</si>
  <si>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</si>
  <si>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</si>
  <si>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</si>
  <si>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</si>
  <si>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</si>
  <si>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</si>
  <si>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</si>
  <si>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</si>
  <si>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</si>
  <si>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</si>
  <si>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</si>
  <si>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</si>
  <si>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</si>
  <si>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</si>
  <si>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</si>
  <si>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</si>
  <si>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</si>
  <si>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</si>
  <si>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</si>
  <si>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</si>
  <si>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</si>
  <si>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</si>
  <si>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</si>
  <si>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</si>
  <si>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</si>
  <si>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</si>
  <si>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</si>
  <si>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</si>
  <si>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</si>
  <si>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</si>
  <si>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</si>
  <si>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</si>
  <si>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</si>
  <si>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</si>
  <si>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</si>
  <si>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</si>
  <si>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</si>
  <si>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</si>
  <si>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</si>
  <si>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</si>
  <si>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</si>
  <si>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</si>
  <si>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</si>
  <si>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</si>
  <si>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</si>
  <si>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</si>
  <si>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</si>
  <si>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</si>
  <si>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</si>
  <si>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</si>
  <si>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</si>
  <si>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</si>
  <si>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</si>
  <si>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</si>
  <si>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</si>
  <si>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</si>
  <si>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</si>
  <si>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</si>
  <si>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</si>
  <si>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</si>
  <si>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</si>
  <si>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</si>
  <si>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</si>
  <si>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</si>
  <si>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</si>
  <si>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</si>
  <si>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</si>
  <si>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</si>
  <si>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</si>
  <si>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</si>
  <si>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</si>
  <si>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</si>
  <si>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</si>
  <si>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</si>
  <si>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</si>
  <si>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</si>
  <si>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</si>
  <si>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</si>
  <si>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</si>
  <si>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</si>
  <si>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</si>
  <si>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</si>
  <si>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</si>
  <si>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</si>
  <si>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</si>
  <si>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</si>
  <si>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</si>
  <si>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</si>
  <si>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</si>
  <si>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</si>
  <si>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</si>
  <si>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</si>
  <si>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</si>
  <si>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</si>
  <si>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</si>
  <si>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</si>
  <si>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</si>
  <si>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</si>
  <si>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</si>
  <si>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</si>
  <si>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</si>
  <si>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</si>
  <si>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</si>
  <si>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</si>
  <si>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</si>
  <si>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</si>
  <si>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</si>
  <si>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</si>
  <si>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</si>
  <si>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</si>
  <si>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</si>
  <si>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</si>
  <si>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</si>
  <si>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</si>
  <si>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</si>
  <si>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</si>
  <si>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</si>
  <si>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</si>
  <si>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</si>
  <si>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</si>
  <si>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</si>
  <si>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</si>
  <si>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</si>
  <si>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</si>
  <si>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</si>
  <si>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</si>
  <si>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</si>
  <si>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</si>
  <si>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</si>
  <si>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</si>
  <si>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</si>
  <si>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</si>
  <si>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</si>
  <si>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</si>
  <si>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</si>
  <si>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</si>
  <si>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</si>
  <si>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</si>
  <si>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</si>
  <si>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</si>
  <si>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</si>
  <si>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</si>
  <si>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</si>
  <si>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</si>
  <si>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</si>
  <si>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</si>
  <si>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</si>
  <si>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</si>
  <si>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</si>
  <si>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</si>
  <si>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</si>
  <si>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</si>
  <si>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</si>
  <si>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</si>
  <si>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</si>
  <si>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</si>
  <si>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</si>
  <si>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</si>
  <si>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</si>
  <si>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</si>
  <si>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</si>
  <si>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</si>
  <si>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</si>
  <si>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</si>
  <si>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</si>
  <si>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</si>
  <si>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</si>
  <si>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</si>
  <si>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</si>
  <si>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</si>
  <si>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</si>
  <si>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</si>
  <si>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</si>
  <si>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</si>
  <si>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</si>
  <si>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</si>
  <si>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</si>
  <si>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</si>
  <si>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</si>
  <si>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</si>
  <si>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</si>
  <si>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</si>
  <si>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</si>
  <si>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</si>
  <si>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</si>
  <si>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</si>
  <si>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</si>
  <si>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</si>
  <si>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</si>
  <si>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</si>
  <si>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</si>
  <si>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</si>
  <si>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</si>
  <si>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</si>
  <si>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</si>
  <si>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</si>
  <si>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</si>
  <si>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</si>
  <si>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</si>
  <si>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</si>
  <si>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</si>
  <si>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</si>
  <si>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</si>
  <si>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</si>
  <si>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</si>
  <si>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</si>
  <si>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</si>
  <si>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</si>
  <si>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</si>
  <si>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</si>
  <si>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</si>
  <si>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</si>
  <si>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</si>
  <si>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</si>
  <si>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</si>
  <si>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</si>
  <si>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</si>
  <si>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</si>
  <si>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</si>
  <si>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</si>
  <si>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</si>
  <si>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</si>
  <si>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</si>
  <si>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</si>
  <si>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</si>
  <si>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</si>
  <si>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</si>
  <si>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</si>
  <si>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</si>
  <si>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</si>
  <si>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</si>
  <si>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</si>
  <si>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</si>
  <si>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</si>
  <si>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</si>
  <si>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</si>
  <si>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</si>
  <si>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</si>
  <si>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</si>
  <si>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</si>
  <si>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</si>
  <si>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</si>
  <si>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</si>
  <si>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</si>
  <si>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</si>
  <si>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</si>
  <si>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</si>
  <si>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</si>
  <si>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</si>
  <si>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</si>
  <si>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</si>
  <si>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</si>
  <si>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</si>
  <si>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</si>
  <si>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</si>
  <si>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</si>
  <si>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</si>
  <si>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</si>
  <si>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</si>
  <si>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</si>
  <si>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</si>
  <si>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</si>
  <si>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</si>
  <si>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</si>
  <si>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</si>
  <si>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</si>
  <si>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</si>
  <si>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</si>
  <si>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</si>
  <si>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</si>
  <si>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</si>
  <si>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</si>
  <si>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</si>
  <si>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</si>
  <si>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</si>
  <si>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</si>
  <si>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</si>
  <si>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</si>
  <si>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</si>
  <si>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</si>
  <si>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</si>
  <si>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</si>
  <si>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</si>
  <si>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</si>
  <si>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</si>
  <si>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</si>
  <si>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</si>
  <si>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</si>
  <si>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</si>
  <si>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</si>
  <si>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</si>
  <si>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</si>
  <si>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</si>
  <si>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</si>
  <si>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</si>
  <si>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</si>
  <si>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</si>
  <si>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</si>
  <si>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</si>
  <si>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</si>
  <si>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</si>
  <si>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</si>
  <si>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</si>
  <si>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</si>
  <si>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</si>
  <si>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</si>
  <si>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</si>
  <si>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</si>
  <si>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</si>
  <si>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</si>
  <si>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</si>
  <si>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</si>
  <si>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</si>
  <si>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</si>
  <si>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</si>
  <si>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</si>
  <si>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</si>
  <si>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</si>
  <si>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</si>
  <si>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</si>
  <si>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</si>
  <si>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</si>
  <si>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</si>
  <si>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</si>
  <si>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</si>
  <si>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</si>
  <si>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</si>
  <si>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</si>
  <si>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</si>
  <si>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</si>
  <si>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</si>
  <si>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</si>
  <si>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</si>
  <si>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</si>
  <si>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</si>
  <si>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</si>
  <si>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</si>
  <si>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</si>
  <si>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</si>
  <si>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</si>
  <si>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</si>
  <si>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</si>
  <si>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</si>
  <si>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</si>
  <si>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</si>
  <si>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</si>
  <si>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</si>
  <si>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</si>
  <si>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</si>
  <si>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</si>
  <si>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</si>
  <si>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</si>
  <si>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</si>
  <si>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</si>
  <si>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</si>
  <si>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</si>
  <si>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</si>
  <si>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</si>
  <si>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</si>
  <si>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</si>
  <si>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</si>
  <si>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</si>
  <si>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</si>
  <si>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6241-2-25.1-050-356 / 6231-2-25.1-050-357</t>
  </si>
  <si>
    <t>ARTURO HERNÁNDEZ HERNÁNDEZ</t>
  </si>
  <si>
    <t>ETC220211Q32</t>
  </si>
  <si>
    <t>C. JOSEFA ORTIZ DE DOMINGUEZ DE CALLE ALDAMA A CALLE FILÓSOFOS</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</si>
  <si>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</si>
  <si>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</si>
  <si>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</si>
  <si>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C. FILÓSOFOS ENTRE C. JOSEFA ORTÍZ DE DOMINGUEZ E HIDALGO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</si>
  <si>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</si>
  <si>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</si>
  <si>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</si>
  <si>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</si>
  <si>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</si>
  <si>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</si>
  <si>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</si>
  <si>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</si>
  <si>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</si>
  <si>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</si>
  <si>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</si>
  <si>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</si>
  <si>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</si>
  <si>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</si>
  <si>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</si>
  <si>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</si>
  <si>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</si>
  <si>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</si>
  <si>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</si>
  <si>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</si>
  <si>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</si>
  <si>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</si>
  <si>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</si>
  <si>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</si>
  <si>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</si>
  <si>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</si>
  <si>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</si>
  <si>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</si>
  <si>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DGC</t>
  </si>
  <si>
    <t>ESTATUS</t>
  </si>
  <si>
    <t>GESTIÓN</t>
  </si>
  <si>
    <t xml:space="preserve">CONSERVACIÓN PERIÓDICA DEL CAMINO CÓDIGO 137, E.C. (MEX 15) - HUEJOTITAN, EN EL MUNICIPIO DE JOCOTEPEC, JALISCO. </t>
  </si>
  <si>
    <t>SIOP-E-ICAR-OB-CSS-128-2023</t>
  </si>
  <si>
    <t>CONCURSO</t>
  </si>
  <si>
    <t>INGRESO A HUEJO</t>
  </si>
  <si>
    <t>MEDIDAS</t>
  </si>
  <si>
    <t>DGIC</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</si>
  <si>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</si>
  <si>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</si>
  <si>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</si>
  <si>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</si>
  <si>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</si>
  <si>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</si>
  <si>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CEAJ</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</si>
  <si>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</si>
  <si>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</si>
  <si>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</si>
  <si>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</si>
  <si>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</si>
  <si>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</si>
  <si>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</si>
  <si>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</si>
  <si>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</si>
  <si>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</si>
  <si>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</si>
  <si>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</si>
  <si>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</si>
  <si>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</si>
  <si>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</si>
  <si>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</si>
  <si>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</si>
  <si>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</si>
  <si>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</si>
  <si>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</si>
  <si>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</si>
  <si>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</si>
  <si>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</si>
  <si>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</si>
  <si>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</si>
  <si>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</si>
  <si>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</si>
  <si>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</si>
  <si>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</si>
  <si>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</si>
  <si>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</si>
  <si>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</si>
  <si>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</si>
  <si>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</si>
  <si>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</si>
  <si>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</si>
  <si>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</si>
  <si>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</si>
  <si>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</si>
  <si>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</si>
  <si>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</si>
  <si>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</si>
  <si>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</si>
  <si>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t>cc</t>
  </si>
  <si>
    <t>r33</t>
  </si>
  <si>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</si>
  <si>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</si>
  <si>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</si>
  <si>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</si>
  <si>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</si>
  <si>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</si>
  <si>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</si>
  <si>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</si>
  <si>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</si>
  <si>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</si>
  <si>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</si>
  <si>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</si>
  <si>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</si>
  <si>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</si>
  <si>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</si>
  <si>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</si>
  <si>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</si>
  <si>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</si>
  <si>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</si>
  <si>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</si>
  <si>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</si>
  <si>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</si>
  <si>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</si>
  <si>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</si>
  <si>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</si>
  <si>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</si>
  <si>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REHABILITACIÓN DE LÍNEAS HIDROSANITARIAS, COLECTOR DE DRENAJE PLUVIAL, BANQUETAS Y SUPERFICIE DE RODAMIENTO EN C. COLÓN ENTRE MORELOS Y JOSÉ SANTANA, Y PRIVADAS: JOSÉ VACA FLORES, JUAN PABLO II, Y COLÓN</t>
  </si>
  <si>
    <t>C. INDENDENCIA NORTE ENTRE ITURBIDE Y ALDAMA, EN LA CABECERA MUNICIPAL</t>
  </si>
  <si>
    <t>OBRAS GESTIONAS Y EJECUTADAS POR SIOP</t>
  </si>
  <si>
    <t>FINACIAMIENTO EDUCATIVO</t>
  </si>
  <si>
    <t>C. JOSEFA ORTIZ DE DOMINGUEZ DE FILÓSOFOS HASTA LIBRAMIENTO</t>
  </si>
  <si>
    <t>C. JOSEFA ORTíZ DE DOMíNGUEZ DEL LIBRAMIENTO AL DEPOSITO DE AGUA</t>
  </si>
  <si>
    <t>C. JOSEFA ORTíZ DE DOMÍNGUEZ DEL LIBRAMIENTO A C. FILÓSOFOS</t>
  </si>
  <si>
    <t>C. FILÓSOFOS ENTRE C. HIDALGO Y C. ALLENDE</t>
  </si>
  <si>
    <t>C. FILÓSOFOS ENTRE C. INDEPENDENCIA Y C. JOSEFA ORTÍZ DE DOMÍNGUEZ</t>
  </si>
  <si>
    <t>C. PLAYAS DE LA LAGUNA ENTRE C. PLAYA AZUL Y C. CUAUHTEMOC</t>
  </si>
  <si>
    <t>C. PLAYA AZUL ENTRE C. PLAYA DEL SOL Y C. PLAYAS DE LA LAGUNA</t>
  </si>
  <si>
    <t>https://portaltransparencia.jocotepec.gob.mx/informacion/4871</t>
  </si>
  <si>
    <t>C.A. 07° S.O. 3ª 2023</t>
  </si>
  <si>
    <t>6241-2-25.1-050 / 6231-2-25.1-050 / 6151-2-25.1-050</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</si>
  <si>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</si>
  <si>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</si>
  <si>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</si>
  <si>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</si>
  <si>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</si>
  <si>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</si>
  <si>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</si>
  <si>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</si>
  <si>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</si>
  <si>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</si>
  <si>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</si>
  <si>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</si>
  <si>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</si>
  <si>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</si>
  <si>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</si>
  <si>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</si>
  <si>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</si>
  <si>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</si>
  <si>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</si>
  <si>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</si>
  <si>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</si>
  <si>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</si>
  <si>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</si>
  <si>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</si>
  <si>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</si>
  <si>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</si>
  <si>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</si>
  <si>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</si>
  <si>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</si>
  <si>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</si>
  <si>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</si>
  <si>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</si>
  <si>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</si>
  <si>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</si>
  <si>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</si>
  <si>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</si>
  <si>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</si>
  <si>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</si>
  <si>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</si>
  <si>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</si>
  <si>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</si>
  <si>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</si>
  <si>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</si>
  <si>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</si>
  <si>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</si>
  <si>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</si>
  <si>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</si>
  <si>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</si>
  <si>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</si>
  <si>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</si>
  <si>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</si>
  <si>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</si>
  <si>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</si>
  <si>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</si>
  <si>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</si>
  <si>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</si>
  <si>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</si>
  <si>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</si>
  <si>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</si>
  <si>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</si>
  <si>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</si>
  <si>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</si>
  <si>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</si>
  <si>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</si>
  <si>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</si>
  <si>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</si>
  <si>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</si>
  <si>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</si>
  <si>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</si>
  <si>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</si>
  <si>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</si>
  <si>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</si>
  <si>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</si>
  <si>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</si>
  <si>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</si>
  <si>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</si>
  <si>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</si>
  <si>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</si>
  <si>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</si>
  <si>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</si>
  <si>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</si>
  <si>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</si>
  <si>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</si>
  <si>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</si>
  <si>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</si>
  <si>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</si>
  <si>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</si>
  <si>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PRIV. GUADALUPE VICTORIA, EN LA LOCALIDAD DE SAN JUAN COSALÁ</t>
  </si>
  <si>
    <t>POZO PROFUNDO "LA ERMITA", EN SAN PEDRO TESISTÁN</t>
  </si>
  <si>
    <t>POZO PROFUNDO "LA AZOTERA", EN SAN PEDRO TESISTÁN</t>
  </si>
  <si>
    <t>UNIDAD DEPORTIVA DONATO GUERRA SUR, EN LA CABECERA MUNICIPAL</t>
  </si>
  <si>
    <t>UNIDAD DEPORTIVA ZARAGOZA NORTE, EN LA CABECERA MUNICIPAL</t>
  </si>
  <si>
    <t>EN CALLE FLAMINGOS, EN NEXTIPAC</t>
  </si>
  <si>
    <t>EN CALLE LA PUERTA, EN SAN JUAN COSALÁ</t>
  </si>
  <si>
    <t>PREDIO UBICADO EN CALLE 24 DE FEBRERO CRUCE CON ZARAGOZA SUR, DE LA CABECERA MUNICIPAL</t>
  </si>
  <si>
    <t>EN CALLE ITURBIDE ENTRE CALLE LA PAZ Y ENTROQUE CON CARR. JOCOTEPEC-CHAPALA, EN SAN JUAN COSALÁ</t>
  </si>
  <si>
    <t>EN CALLE LA PAZ ENTRE C. HIDALGO Y C. MATAMOROS, EN SAN JUAN COSALÁ</t>
  </si>
  <si>
    <t>PREDIO DENOMINADO COMO "LA AZOTERA", EN SAN PEDRO TESISTÁN</t>
  </si>
  <si>
    <t>PREDIO DENOMINADO COMO "LA PUERTA", EN SAN JUAN COSALÁ</t>
  </si>
  <si>
    <t>CALLE VICENTE GUERRERO NORTE, EN SAN JUAN COSALÁ</t>
  </si>
  <si>
    <t>ATRIO DEL TEMPLO DEL SR. DEL MONTE, EN LA CABECERA MUNICIPAL</t>
  </si>
  <si>
    <t>PLAZA PRINCIPAL DE HUEJOPTITÁN</t>
  </si>
  <si>
    <t>VARIAS CALLES DEL MUNICIPIO (PROGRAMA SADER 2021)</t>
  </si>
  <si>
    <t>POZO "LOS ARCOS" EN LA CABECERA MUNICIPAL</t>
  </si>
  <si>
    <t>POZO CAMICHINES, EN LA CABECERA MUNICIPAL</t>
  </si>
  <si>
    <t>CALLES; JAVIER MINA, HIDALGO, ALDAMA, VICENTE GUERRERO, EN LAS TROJES</t>
  </si>
  <si>
    <t>CARR. JOCOTEPEC-CHAPALA, (DESDE AJIJIC HASTA C. CHUECA EN CHANTEPEC)</t>
  </si>
  <si>
    <t>CARR. JOCOTEPEC-CHAPALA, (DESDE SAN JUAN COSALA HASTA NEXTIPAC)</t>
  </si>
  <si>
    <t>CALLE ZARAGOZA ENTRE JOSÉ SANTANA Y VICENTE GUERRERO, EN LA CABECERA MUNICIPAL</t>
  </si>
  <si>
    <t>ZONA ORIENTE, DE LA CABECERA MUNICIPAL</t>
  </si>
  <si>
    <t>CALLES, VIALIDADES, ZONAS PÚBLICAS Y ZONAS FEDERALES, DEL MUNICIPIO</t>
  </si>
  <si>
    <t>INGRESO A LA TROJES</t>
  </si>
  <si>
    <t>ARROYOS DE LAS AGENCIAS, DELEGACIONES Y CABECERA MUNICPAL</t>
  </si>
  <si>
    <t>CALLE FILÓSOFOS ENTRE JOSEFA ORTIZ DE DOMINGUEZ E HIDALGO, EN LA CABECERA MUNICPAL</t>
  </si>
  <si>
    <t>DE CALLE LIBERTAD A BANCO DE BALASTRE, EN EL MOLINO</t>
  </si>
  <si>
    <t>https://portaltransparencia.jocotepec.gob.mx/informacion/4973</t>
  </si>
  <si>
    <t>https://portaltransparencia.jocotepec.gob.mx/informacion/4974</t>
  </si>
  <si>
    <t>C- OP 013/2023</t>
  </si>
  <si>
    <t>https://portaltransparencia.jocotepec.gob.mx/informacion/4975</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</si>
  <si>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</si>
  <si>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</si>
  <si>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</si>
  <si>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</si>
  <si>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</si>
  <si>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</si>
  <si>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</si>
  <si>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</si>
  <si>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</si>
  <si>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</si>
  <si>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</si>
  <si>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</si>
  <si>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LEV</t>
  </si>
  <si>
    <t>EST</t>
  </si>
  <si>
    <t>SERVICIO DE RADIESTESIA PARA LOCALIZACIÓN DE AGUA</t>
  </si>
  <si>
    <t>ESTUDIO DE MECÁNICA DE SUELOS PARA LA CONSTRUCCIÓN DE LA ESCUELA JOSÉ SANTANA</t>
  </si>
  <si>
    <t>ESTUDIO DE MECÁNICA DE SUELOS PARA LA CONSTRUCCIÓN DE REDES HIDROSANITARIAS CON SUPERFICIE DE RODAMIENTO</t>
  </si>
  <si>
    <t>ESTUDIO GEOHIDROLÓGICO-GEOFÍSICO</t>
  </si>
  <si>
    <t xml:space="preserve">LEVANTAMIENTO TOPOGRÁFICO </t>
  </si>
  <si>
    <t>LEVANTAMIENTO TOPOGRAFICO DE LA LÍNEA DE DRENAJE SANITARIO</t>
  </si>
  <si>
    <t>ESTUDIOS GEOLÓGICA-GEOHIDROLÓGICA REFORZADA CON GEOFÍSICAS-ELECTROMAGNÉTICAS</t>
  </si>
  <si>
    <t>LEVANTAMIENTO TOPOGRAFICO PARA COLECTOR SANITARIO</t>
  </si>
  <si>
    <t>LEVANTAMIENTO TOPOGRAFICO DE EMPEDRADOS</t>
  </si>
  <si>
    <t xml:space="preserve">CENSO EN LA MEDICIÓN DE LAS LUMINARIAS </t>
  </si>
  <si>
    <t xml:space="preserve">REHABILITACIÓN DE ACOMETIDAS Y REACOMODO DE LA BAJA TENSIÓN </t>
  </si>
  <si>
    <t>ADECUACIONES COMPLEMENTARIAS EN EL SERVICIO ELÉCTRICO</t>
  </si>
  <si>
    <t>LEVANTAMIENTO TOPOGRAFICO DE REDES HIDROSANITARIOS CON SUPERFICIE DE RODAMIENTO</t>
  </si>
  <si>
    <t>3261-1-11-050</t>
  </si>
  <si>
    <t>RENTA DE RETROEXCAVADORA PARA MANTENIMIENTOS</t>
  </si>
  <si>
    <t xml:space="preserve">RENTA DE CAMIÓN (VOLTEO 7 M3) PARA MANTENIMIENTOS </t>
  </si>
  <si>
    <t>RENTA DE PIPA PARA OBRAS ESPECIFICAS</t>
  </si>
  <si>
    <t>RENTA DE RETROEXCAVADORA PARA OBRA ESPECIFICA</t>
  </si>
  <si>
    <t>RENTA DE PIPA PARA ACARREO DE AGUA</t>
  </si>
  <si>
    <t>RENTA DE EXCAVADORA PARA DESAZOLVE DE ARROYOS</t>
  </si>
  <si>
    <t>RENTA DE EXCAVADORA PARA MANTENIMIENTOS</t>
  </si>
  <si>
    <t>RENTA DE CAMIÓN PARA DESAZOLVES DE ARROYOS</t>
  </si>
  <si>
    <t>RENTA DE CAMIÓN PARA BALASTREO DE CALLES</t>
  </si>
  <si>
    <t>RENTA DE CAMIÓN PARA OBRA ESPECIFICA</t>
  </si>
  <si>
    <t>RENTA DE BAILARINA PARA OBRA ESPECIFICA</t>
  </si>
  <si>
    <t>RENTA DE CAMIÓN PARA BALASTREO DE CALLES Y CAMINOS EJIDALES</t>
  </si>
  <si>
    <t>3321-1-11-050</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</si>
  <si>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</si>
  <si>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</si>
  <si>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</si>
  <si>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</si>
  <si>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</si>
  <si>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</si>
  <si>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</si>
  <si>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</si>
  <si>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</si>
  <si>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</si>
  <si>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</si>
  <si>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</si>
  <si>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</si>
  <si>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https://portaltransparencia.jocotepec.gob.mx/informacion/4863</t>
  </si>
  <si>
    <t>https://portaltransparencia.jocotepec.gob.mx/informacion/4627</t>
  </si>
  <si>
    <t>https://portaltransparencia.jocotepec.gob.mx/informacion/4867</t>
  </si>
  <si>
    <t>AV. SAN JACITO N°530J INT 301, COL. SAN RAFAEL, GUADALAJARA , JALISCO</t>
  </si>
  <si>
    <t>MARTÍN MARTINEZ ZARAGOZA</t>
  </si>
  <si>
    <t>CEL170925T12</t>
  </si>
  <si>
    <t>C. GUERRERO N° 138, CHAPALA, JALISCO, C.P. 45900</t>
  </si>
  <si>
    <t>C. JUSTICIA N° 2732, COL. CIRCUNVALACIÓN GUEVARA, GUADALAJARA, JALISCO.</t>
  </si>
  <si>
    <t>PERFORACIÓN DE UN POZO PROFUNDO PARA LA EXTRACIÓN DE AGUA POTABLE</t>
  </si>
  <si>
    <t>PAVIMENTACIÓN CON CONCRETO HIDRAULICO, RED DE AGUA POTABLE, RED DE DRENAJE SANITARIO Y COLECTOR PRINCIPAL SANITARIO, EN CALLE JOSÉ SANTANA ENTRE LAS CALLES INDEPENDENCIA E HIDALGO.</t>
  </si>
  <si>
    <t>C. JOSÉ SANTANA ENTRE C. HIDALGO E INDEPENDENCIA</t>
  </si>
  <si>
    <t xml:space="preserve">PAVIMENTACIÓN CON CONCRETO HIDRAULICO, RED DE AGUA POTABLE, RED DE DRENAJE SANITARIO Y COLECTOR PRINCIPAL SANITARIO, EN CALLE MORELOS ENTRE NICÓLAS BRAVO Y MATAMOROS </t>
  </si>
  <si>
    <t>C. MORELOS ENTRE NICÓLAS BRAVO Y MATAMOROS</t>
  </si>
  <si>
    <t>CONSTRUCCIÓN DE PUENTE VEHICULAR EN EL INGRESO A ZAPOTITÁN DE HIDALGO</t>
  </si>
  <si>
    <t>LP-687-2023</t>
  </si>
  <si>
    <t>RUTAES INFRAESTRUCTURA, S.A. DE C.V.</t>
  </si>
  <si>
    <t>6231-2-25.1-050-349</t>
  </si>
  <si>
    <t>6221-2-11.1-050-368</t>
  </si>
  <si>
    <t>6231-2-11.1-050-369</t>
  </si>
  <si>
    <t>6231-2-11.1-050-371</t>
  </si>
  <si>
    <t>6231-2-11.1-050-370</t>
  </si>
  <si>
    <t>6231-2-11.1-050-375 / 6241-2-11.1-050-376</t>
  </si>
  <si>
    <t>6231-2-25.1-050-373 / 6241-2-25.1-050-374</t>
  </si>
  <si>
    <t>6231-2-25.1-050-382 / 6241-2-25.1-050-383</t>
  </si>
  <si>
    <t>6231-2-25.1-050-384 / 6241-2-25.1-050-385</t>
  </si>
  <si>
    <t>6231-2-11.1-050-386</t>
  </si>
  <si>
    <t>AÑO TERM</t>
  </si>
  <si>
    <t>$ 2022 TERM</t>
  </si>
  <si>
    <t>$ 2023 TERM</t>
  </si>
  <si>
    <t xml:space="preserve">PAVIMENTACIÓN CON EMPEDRADO AHOGADO EN CONCRETO HIDRAULICO, RED DE AGUA POTABLE Y DRENAJE SANITARIO, EN LA CALLE ITURBIDE </t>
  </si>
  <si>
    <t>pozos</t>
  </si>
  <si>
    <t>depoitos</t>
  </si>
  <si>
    <t>lineas AP 6"</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</si>
  <si>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</si>
  <si>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</si>
  <si>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</si>
  <si>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</si>
  <si>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</si>
  <si>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</si>
  <si>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</si>
  <si>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</si>
  <si>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</si>
  <si>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</si>
  <si>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</si>
  <si>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</si>
  <si>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</si>
  <si>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</si>
  <si>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</si>
  <si>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</si>
  <si>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</si>
  <si>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</si>
  <si>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</si>
  <si>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</si>
  <si>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</si>
  <si>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</si>
  <si>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</si>
  <si>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</si>
  <si>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PLAZA PRINCIPAL DE HUEJOTITÁN</t>
  </si>
  <si>
    <t>C. LA PAZ, EN SAN JUAN COSALÁ</t>
  </si>
  <si>
    <t>PAVM4911162W2</t>
  </si>
  <si>
    <t>CARR. GUADALAJARA A MORELIA N° 40, C.P. 45800, JOCOTEPEC, JALISCO.</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</si>
  <si>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</si>
  <si>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</si>
  <si>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</si>
  <si>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</si>
  <si>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</si>
  <si>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</si>
  <si>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</si>
  <si>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</si>
  <si>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</si>
  <si>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</si>
  <si>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https://portaltransparencia.jocotepec.gob.mx/informacion/5018</t>
  </si>
  <si>
    <t>FORMACIÓN DE COMITÉ, SUPERVISIÓN POR PARTE DE COMITÉ-OBRA PÚBLICA-SIOP, REGISTRO DE BITÁCORA.</t>
  </si>
  <si>
    <t>C.A. 23° S.O. 06ª 2023</t>
  </si>
  <si>
    <t>https://portaltransparencia.jocotepec.gob.mx/informacion/5026</t>
  </si>
  <si>
    <t>https://portaltransparencia.jocotepec.gob.mx/informacion/5025</t>
  </si>
  <si>
    <t>https://portaltransparencia.jocotepec.gob.mx/informacion/5023</t>
  </si>
  <si>
    <t>https://portaltransparencia.jocotepec.gob.mx/informacion/5024</t>
  </si>
  <si>
    <t>HIVA850324KV8</t>
  </si>
  <si>
    <t>C. PASEO DEL ATARDECER N° 5863B, COL. VILLAS DE IRAPUATO, IRAPUATO, GUANAJUATO</t>
  </si>
  <si>
    <t>6151-2-25.1-050-388</t>
  </si>
  <si>
    <t>6151-2-25.1-050-389</t>
  </si>
  <si>
    <t>FORMACIÓN DE COMITÉ, SUPERVISIÓN POR PARTE DE COMITÉ-OBRA PÚBLICA, REGISTRO DE BITÁCORA.</t>
  </si>
  <si>
    <t>6151-2-26.3-050-387</t>
  </si>
  <si>
    <t>6221-2-11.1-050-342</t>
  </si>
  <si>
    <t>C. JUSTICIA N° 2732, COL. CIRCUNVALACIÓN VALLARTA, GUADALAJARA, JALISCO. 44680</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</si>
  <si>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</si>
  <si>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</si>
  <si>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</si>
  <si>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</si>
  <si>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</si>
  <si>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</si>
  <si>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</si>
  <si>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</si>
  <si>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</si>
  <si>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</si>
  <si>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</si>
  <si>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</si>
  <si>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</si>
  <si>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</si>
  <si>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</si>
  <si>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</si>
  <si>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</si>
  <si>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</si>
  <si>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</si>
  <si>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</si>
  <si>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</si>
  <si>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</si>
  <si>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</si>
  <si>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</si>
  <si>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</si>
  <si>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</si>
  <si>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</si>
  <si>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</si>
  <si>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</si>
  <si>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</si>
  <si>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</si>
  <si>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</si>
  <si>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</si>
  <si>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</si>
  <si>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</si>
  <si>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</si>
  <si>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</si>
  <si>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</si>
  <si>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</si>
  <si>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</si>
  <si>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</si>
  <si>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</si>
  <si>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</si>
  <si>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</si>
  <si>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</si>
  <si>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</si>
  <si>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</si>
  <si>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</si>
  <si>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</si>
  <si>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</si>
  <si>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</si>
  <si>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</si>
  <si>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</si>
  <si>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</si>
  <si>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</si>
  <si>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</si>
  <si>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</si>
  <si>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</si>
  <si>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</si>
  <si>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</si>
  <si>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</si>
  <si>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</si>
  <si>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</si>
  <si>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</si>
  <si>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</si>
  <si>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</si>
  <si>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</si>
  <si>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</si>
  <si>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</si>
  <si>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</si>
  <si>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</si>
  <si>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</si>
  <si>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</si>
  <si>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</si>
  <si>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</si>
  <si>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</si>
  <si>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</si>
  <si>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</si>
  <si>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</si>
  <si>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</si>
  <si>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</si>
  <si>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</si>
  <si>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</si>
  <si>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</si>
  <si>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</si>
  <si>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</si>
  <si>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</si>
  <si>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</si>
  <si>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</si>
  <si>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</si>
  <si>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</si>
  <si>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</si>
  <si>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</si>
  <si>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</si>
  <si>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</si>
  <si>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</si>
  <si>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</si>
  <si>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</si>
  <si>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</si>
  <si>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</si>
  <si>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</si>
  <si>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</si>
  <si>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</si>
  <si>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</si>
  <si>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</si>
  <si>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</si>
  <si>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</si>
  <si>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</si>
  <si>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</si>
  <si>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</si>
  <si>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</si>
  <si>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</si>
  <si>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GMJ 021- OP/2023</t>
  </si>
  <si>
    <t>"CONSTRUCCIÓN DE BANQUETAS E IMAGEN URBANA EN CALLE LA PAZ DE CALLE HIDALGO A CALLE ROTARIO Y CALLE ROTARIO DE CALLE LA PAZ A CARRETERA JOCOTEPEC-CHAPALA", EN LA LOCALIDAD DE SAN JUAN COSALÁ, MUNICIPIO DE JOCOTEPEC, JALISCO.</t>
  </si>
  <si>
    <t>6151-2-25.1-050-390</t>
  </si>
  <si>
    <t>C. MORELOS, COL. CENTRO, JOCOTEPEC, JALISCO</t>
  </si>
  <si>
    <t>GMJ 022 OP/2023</t>
  </si>
  <si>
    <t>"ELECTRIFICACIÓN DE POZO CAMICHINES UBICADO EN CALLE FRANCISCO VILLA", EN LA CABECERA MUNICIPAL DE JOCOTEPEC, JALISCO.</t>
  </si>
  <si>
    <t>6231-2-11.1-050-377</t>
  </si>
  <si>
    <t>GMJ 023 OP/2023</t>
  </si>
  <si>
    <t>"ELECTRIFICACIÓN DE POZO EN PRIVADA GUADALUPE VICTORIA", EN LA LOCALIDAD DE SAN JUAN COSALÁ, MUNICIPIO DE JOCOTEPEC, JALISCO.</t>
  </si>
  <si>
    <t>POZO CAMICHINES, C. FCO VILLA, EN LA CABECERA MUNICIPAL</t>
  </si>
  <si>
    <t>POZO GPE VICTORIA, EN PRIV. GUADALUPE VICTORIA</t>
  </si>
  <si>
    <t>6231-2-11.1-050-378</t>
  </si>
  <si>
    <t>https://portaltransparencia.jocotepec.gob.mx/informacion/5027</t>
  </si>
  <si>
    <t>"CONSTRUCCIÓN DE 29 LOCALES COMERCIALES EN PLAZOLETA", EN LA LOCALIDAD DE CHANTEPEC, MUNICIPIO DE JOCOTEPEC, JALISCO.</t>
  </si>
  <si>
    <t>PLAZA PRINCIPAL UBICADA EN C. XOCHITL, EN LA LOCALIDAD DE CHANTEPEC</t>
  </si>
  <si>
    <t>CSS-OP-CC-024/2023</t>
  </si>
  <si>
    <t>6121-2-11.1-050-392</t>
  </si>
  <si>
    <t>6121-2-11.1-050-299</t>
  </si>
  <si>
    <t>OCTAVA CUATRO VISITAS, S.A. DE C.V.</t>
  </si>
  <si>
    <t>OCV230921UH4</t>
  </si>
  <si>
    <t>JUAN PABLO ENRIQUEZ CASILLAS</t>
  </si>
  <si>
    <t>C. XOCHITL N° 73, CHANTEPEC, MUNICIPIO DE JOCOTEPEC, JALISCO. C.P. 45825</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</si>
  <si>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</si>
  <si>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</si>
  <si>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</si>
  <si>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</si>
  <si>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</si>
  <si>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</si>
  <si>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</si>
  <si>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</si>
  <si>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</si>
  <si>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</si>
  <si>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</si>
  <si>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</si>
  <si>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</si>
  <si>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</si>
  <si>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</si>
  <si>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</si>
  <si>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</si>
  <si>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</si>
  <si>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</si>
  <si>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</si>
  <si>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</si>
  <si>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</si>
  <si>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</si>
  <si>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</si>
  <si>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</si>
  <si>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</si>
  <si>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</si>
  <si>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</si>
  <si>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</si>
  <si>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</si>
  <si>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</si>
  <si>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</si>
  <si>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</si>
  <si>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</si>
  <si>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</si>
  <si>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</si>
  <si>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REGULARIZACIÓN DE VEHÍCULOS DE PROCEDENCIA EXTRANJERA, 2022</t>
  </si>
  <si>
    <t>C. INDEPENDENCIA NORTE ENTRE C. MORELOS Y C. DEGOLLADO</t>
  </si>
  <si>
    <t>C. MORELOS ENTRE C. NIÑOS HÉROES Y C. ZARAGOZA, DEL BARRIO DE LA CALABAZA</t>
  </si>
  <si>
    <t>3511-11-050</t>
  </si>
  <si>
    <t>3511-1-26.3-050</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</si>
  <si>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</si>
  <si>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</si>
  <si>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https://portaltransparencia.jocotepec.gob.mx/informacion/5030</t>
  </si>
  <si>
    <t>https://portaltransparencia.jocotepec.gob.mx/informacion/5029</t>
  </si>
  <si>
    <t>https://portaltransparencia.jocotepec.gob.mx/informacion/5172</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</si>
  <si>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</si>
  <si>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</si>
  <si>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</si>
  <si>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</si>
  <si>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</si>
  <si>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</si>
  <si>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</si>
  <si>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</si>
  <si>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</si>
  <si>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</si>
  <si>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</si>
  <si>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</si>
  <si>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6231-2-11.1-050-372</t>
  </si>
  <si>
    <t>5 VOL-EXC</t>
  </si>
  <si>
    <t>DIFIRIMIENTO</t>
  </si>
  <si>
    <t>https://portaltransparencia.jocotepec.gob.mx/informacion/5163</t>
  </si>
  <si>
    <t>GMJ 012 C-OP/2023</t>
  </si>
  <si>
    <t>VOL-EXC, DIFERIMTO</t>
  </si>
  <si>
    <t>https://portaltransparencia.jocotepec.gob.mx/informacion/5164</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</si>
  <si>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</si>
  <si>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</si>
  <si>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</si>
  <si>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</si>
  <si>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</si>
  <si>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</si>
  <si>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</si>
  <si>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</si>
  <si>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</si>
  <si>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</si>
  <si>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</si>
  <si>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</si>
  <si>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</si>
  <si>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https://portaltransparencia.jocotepec.gob.mx/informacion/5160</t>
  </si>
  <si>
    <t>C.A. 07° S.O. 1ª 2023</t>
  </si>
  <si>
    <t>https://portaltransparencia.jocotepec.gob.mx/informacion/5168</t>
  </si>
  <si>
    <t>C.A. 09° S.O. 10ª 2023</t>
  </si>
  <si>
    <t>3678-05622-5</t>
  </si>
  <si>
    <t>3678-05621-4</t>
  </si>
  <si>
    <t>GMJ 021 /2023</t>
  </si>
  <si>
    <t>https://portaltransparencia.jocotepec.gob.mx/informacion/5158</t>
  </si>
  <si>
    <t>https://portaltransparencia.jocotepec.gob.mx/informacion/5166</t>
  </si>
  <si>
    <t>https://portaltransparencia.jocotepec.gob.mx/informacion/5167</t>
  </si>
  <si>
    <t>C.A. 03° S.O. 1ª 2023</t>
  </si>
  <si>
    <t>3678-05746-8</t>
  </si>
  <si>
    <t>UNIDAD DEPORTIVA, EN CHANTEPEC</t>
  </si>
  <si>
    <t>MALECÓN, JOCOTEPEC</t>
  </si>
  <si>
    <t>DE PRIV. GUADALUPE VICTORIA A RED PRINCIPAL</t>
  </si>
  <si>
    <t>C. ANDRÉS HERNÁNDEZ HERNÁNDEZ</t>
  </si>
  <si>
    <t>C. JUSTICIA N° 2732, COL. CIRCUNVALACIÓN VALLARTA, GUADALAJARA, JALISCO. CP. 44680</t>
  </si>
  <si>
    <t>CLAUDIA LORENA RAMÍREZ RODRÍGUEZ</t>
  </si>
  <si>
    <t>DFA210203FR3</t>
  </si>
  <si>
    <t>C. COLOMOS N° 2604, COL. PROVIDENCIA 2ª SECCIÓN, GUADALAJARA, JALISCO. CP. 44630</t>
  </si>
  <si>
    <t>EMMA MICHELLE VILLEGAS ARAUJO</t>
  </si>
  <si>
    <t>ACO201208</t>
  </si>
  <si>
    <t>C. AURELIO LUIS GALLARDO N° 661,  COL. LADRÓN DE GUEVARA, GUADALAJARA, JALISCO. CP. 44600</t>
  </si>
  <si>
    <t>C.A. 05° S.O.10ª 2023</t>
  </si>
  <si>
    <t xml:space="preserve">1. URBAMENTAL, S.A. DE C.V.
2. GROUP BETA CIMENTACIONES, S.A. DE C.V.
3. ALSERCON, S.A. DE C.V.
4. GERENCIA EN CONSTRUCCIÓN O&amp;R, S.A. DE C.V.
5. SUPERVICIÓN, PROYECTOS Y LABORATORIO DE CONSTRUCCIÓN, S.A. DE C.V.
</t>
  </si>
  <si>
    <t xml:space="preserve">1. GAL DAR, S.A. DE C.V.
2. ESTRUCTURAS PLANEADAS DE OCCIDENTE, S.A. DE C.V.
3. C. REFUGIO GUTIERREZ NIEVES
4. C. SERGI CABRERA
5. PIXIDE CONSTRUCTORA, S.A. DE C.V.
</t>
  </si>
  <si>
    <t xml:space="preserve">1. GRUPO NAYCOVAX, S.A. DE C.V.
2. ACROX CONSTRUCCIONES, S.A. DE C.V.
3. OCTAVA CUATRO VISITAS, S.A. DE C.V.
4. EDIFICACIONES Y TERRACERIAS CH, S.A. DE C.V.
5. C. SERGIO CABRERA
</t>
  </si>
  <si>
    <t>C.A. 10° S.O.10ª 2023</t>
  </si>
  <si>
    <t>C. RIBERA DEL LAGO ESQ. C. JOSÉ SANTANA, JUNTO A LA PLANTA DE TRATAMIENTO</t>
  </si>
  <si>
    <t>6241-2-11.1-050-396 / 6241-2-25.1-050-398</t>
  </si>
  <si>
    <t>https://portaltransparencia.jocotepec.gob.mx/informacion/5170</t>
  </si>
  <si>
    <t>DEL 01 DE ENERO 2023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</si>
</sst>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245">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165" fontId="0" fillId="14" borderId="30" xfId="0" applyNumberFormat="1" applyFill="1" applyBorder="1" applyAlignment="1">
      <alignment horizontal="center" vertical="center"/>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Fill="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0" fontId="0" fillId="0" borderId="57" xfId="0" applyFill="1" applyBorder="1" applyAlignment="1">
      <alignment horizontal="center" vertical="center"/>
    </xf>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Fill="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Fill="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Fill="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14" fontId="0" fillId="14" borderId="2" xfId="0" applyNumberFormat="1" applyFont="1" applyFill="1" applyBorder="1" applyAlignment="1">
      <alignment horizontal="center" vertical="center" wrapText="1"/>
    </xf>
    <xf numFmtId="0" fontId="9" fillId="14" borderId="2" xfId="0" applyFont="1" applyFill="1" applyBorder="1" applyAlignment="1">
      <alignment horizontal="center" vertical="center" wrapText="1"/>
    </xf>
    <xf numFmtId="14" fontId="9" fillId="0" borderId="2" xfId="0" applyNumberFormat="1" applyFont="1" applyFill="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8"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0" fontId="26" fillId="0" borderId="1" xfId="0" applyFont="1" applyBorder="1" applyAlignment="1">
      <alignment horizontal="center" vertical="center" wrapText="1"/>
    </xf>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0" fillId="10" borderId="47" xfId="0" applyNumberForma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Font="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0" fontId="26" fillId="0" borderId="8" xfId="0" applyFont="1" applyBorder="1" applyAlignment="1">
      <alignment horizontal="center" vertical="center" wrapText="1"/>
    </xf>
    <xf numFmtId="14" fontId="15" fillId="14" borderId="17" xfId="0" applyNumberFormat="1" applyFont="1" applyFill="1" applyBorder="1" applyAlignment="1">
      <alignment horizontal="center" vertical="center"/>
    </xf>
    <xf numFmtId="1" fontId="10" fillId="0" borderId="45" xfId="0" applyNumberFormat="1" applyFont="1" applyFill="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Fill="1" applyBorder="1" applyAlignment="1">
      <alignment horizontal="center" vertical="center"/>
    </xf>
    <xf numFmtId="14" fontId="31" fillId="0" borderId="45" xfId="0" applyNumberFormat="1" applyFont="1" applyFill="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Fill="1" applyBorder="1" applyAlignment="1">
      <alignment horizontal="center" vertical="center" wrapText="1"/>
    </xf>
    <xf numFmtId="0" fontId="0" fillId="0" borderId="71" xfId="0" applyFill="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Border="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0" fontId="0" fillId="0" borderId="0" xfId="0" applyFill="1" applyAlignment="1">
      <alignment wrapText="1"/>
    </xf>
    <xf numFmtId="0" fontId="0" fillId="2" borderId="20" xfId="0" applyFill="1" applyBorder="1" applyAlignment="1">
      <alignment horizontal="center" vertical="center" textRotation="90"/>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0" fontId="3" fillId="0" borderId="0" xfId="0" applyFont="1" applyFill="1" applyBorder="1" applyAlignment="1">
      <alignment horizontal="center" vertical="center"/>
    </xf>
    <xf numFmtId="0" fontId="0" fillId="0" borderId="40" xfId="0" applyFill="1" applyBorder="1" applyAlignment="1">
      <alignment horizontal="left" vertical="center" wrapText="1"/>
    </xf>
    <xf numFmtId="44" fontId="0" fillId="0" borderId="40" xfId="1" applyFont="1" applyFill="1" applyBorder="1" applyAlignment="1">
      <alignment horizontal="center" vertical="center"/>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9" borderId="27" xfId="0" applyFont="1" applyFill="1" applyBorder="1" applyAlignment="1">
      <alignment horizontal="center" vertical="center"/>
    </xf>
    <xf numFmtId="44" fontId="0" fillId="10" borderId="1" xfId="0" applyNumberFormat="1" applyFill="1" applyBorder="1" applyAlignment="1">
      <alignment horizontal="center" vertical="center" wrapText="1"/>
    </xf>
    <xf numFmtId="0" fontId="0" fillId="14" borderId="50" xfId="0" applyFill="1" applyBorder="1" applyAlignment="1">
      <alignment horizontal="center" vertical="center" wrapText="1"/>
    </xf>
    <xf numFmtId="14" fontId="0" fillId="14" borderId="49" xfId="0" applyNumberFormat="1" applyFill="1" applyBorder="1" applyAlignment="1">
      <alignment horizontal="center" vertical="center"/>
    </xf>
    <xf numFmtId="14" fontId="0" fillId="14" borderId="51" xfId="0" applyNumberFormat="1" applyFill="1" applyBorder="1" applyAlignment="1">
      <alignment horizontal="center" vertical="center" wrapText="1"/>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NumberFormat="1" applyFill="1" applyBorder="1" applyAlignment="1">
      <alignment horizontal="center" vertical="center" wrapText="1"/>
    </xf>
    <xf numFmtId="0" fontId="0" fillId="0" borderId="57" xfId="0" applyNumberFormat="1" applyFill="1" applyBorder="1" applyAlignment="1">
      <alignment horizontal="center" vertical="center" wrapText="1"/>
    </xf>
    <xf numFmtId="0" fontId="0" fillId="0" borderId="57" xfId="0" applyNumberFormat="1" applyBorder="1" applyAlignment="1">
      <alignment horizontal="center" vertical="center" wrapText="1"/>
    </xf>
    <xf numFmtId="0" fontId="3" fillId="0" borderId="0" xfId="0" applyFont="1" applyFill="1" applyBorder="1" applyAlignment="1">
      <alignment horizontal="center" vertical="center"/>
    </xf>
    <xf numFmtId="0" fontId="3" fillId="0" borderId="51" xfId="0" applyFont="1" applyFill="1" applyBorder="1" applyAlignment="1">
      <alignment horizontal="center" vertical="center"/>
    </xf>
    <xf numFmtId="0" fontId="13" fillId="2" borderId="0" xfId="0" applyFont="1" applyFill="1" applyBorder="1" applyAlignment="1">
      <alignment horizontal="center" vertical="center" wrapText="1"/>
    </xf>
    <xf numFmtId="14" fontId="10" fillId="14" borderId="54" xfId="0" applyNumberFormat="1" applyFont="1" applyFill="1" applyBorder="1" applyAlignment="1">
      <alignment horizontal="center" vertical="center"/>
    </xf>
    <xf numFmtId="4" fontId="0" fillId="10" borderId="50" xfId="0" applyNumberFormat="1" applyFill="1" applyBorder="1" applyAlignment="1">
      <alignment horizontal="left" vertical="center" wrapText="1"/>
    </xf>
    <xf numFmtId="0" fontId="0" fillId="0" borderId="0" xfId="0" applyAlignment="1">
      <alignment horizontal="center"/>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Fill="1"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9" fontId="0" fillId="14" borderId="27" xfId="5" applyFont="1" applyFill="1" applyBorder="1" applyAlignment="1">
      <alignment horizontal="center" vertical="center" wrapText="1"/>
    </xf>
    <xf numFmtId="0" fontId="2"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Fill="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Fill="1" applyBorder="1" applyAlignment="1">
      <alignment horizontal="center" vertical="center" wrapText="1"/>
    </xf>
    <xf numFmtId="14" fontId="10" fillId="0" borderId="46" xfId="0" applyNumberFormat="1" applyFont="1" applyFill="1" applyBorder="1" applyAlignment="1">
      <alignment horizontal="center" vertical="center" wrapText="1"/>
    </xf>
    <xf numFmtId="20" fontId="0" fillId="0" borderId="45" xfId="1" applyNumberFormat="1" applyFont="1" applyFill="1" applyBorder="1" applyAlignment="1">
      <alignment horizontal="center" vertical="center" wrapText="1"/>
    </xf>
    <xf numFmtId="0" fontId="0" fillId="0" borderId="1" xfId="1" applyNumberFormat="1" applyFont="1" applyFill="1" applyBorder="1" applyAlignment="1">
      <alignment horizontal="center" vertical="center"/>
    </xf>
    <xf numFmtId="0" fontId="0" fillId="0" borderId="71" xfId="0" applyFill="1" applyBorder="1" applyAlignment="1">
      <alignment horizontal="center" vertical="center" textRotation="90" wrapText="1"/>
    </xf>
    <xf numFmtId="0" fontId="2" fillId="0" borderId="45" xfId="0" applyFont="1" applyFill="1" applyBorder="1" applyAlignment="1">
      <alignment horizontal="center" vertical="center" wrapText="1"/>
    </xf>
    <xf numFmtId="0" fontId="0" fillId="0" borderId="30" xfId="0" applyFill="1" applyBorder="1" applyAlignment="1">
      <alignment horizontal="center" vertical="center" textRotation="90"/>
    </xf>
    <xf numFmtId="0" fontId="0" fillId="0" borderId="46"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14" fontId="0" fillId="0" borderId="33" xfId="0" applyNumberFormat="1" applyFill="1" applyBorder="1" applyAlignment="1">
      <alignment horizontal="center" vertical="center"/>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cellStyle name="Porcentaje" xfId="5" builtinId="5"/>
  </cellStyles>
  <dxfs count="0"/>
  <tableStyles count="0" defaultTableStyle="TableStyleMedium2" defaultPivotStyle="PivotStyleLight16"/>
  <colors>
    <mruColors>
      <color rgb="FF1A03C3"/>
      <color rgb="FF99FF66"/>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16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402" Type="http://schemas.openxmlformats.org/officeDocument/2006/relationships/hyperlink" Target="https://portaltransparencia.jocotepec.gob.mx/informacion/4918" TargetMode="External"/><Relationship Id="rId279" Type="http://schemas.openxmlformats.org/officeDocument/2006/relationships/hyperlink" Target="https://portaltransparencia.jocotepec.gob.mx/informacion/4258" TargetMode="External"/><Relationship Id="rId444" Type="http://schemas.openxmlformats.org/officeDocument/2006/relationships/hyperlink" Target="https://portaltransparencia.jocotepec.gob.mx/informacion/5023" TargetMode="External"/><Relationship Id="rId486" Type="http://schemas.openxmlformats.org/officeDocument/2006/relationships/hyperlink" Target="https://portaltransparencia.jocotepec.gob.mx/informacion/5162"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46" Type="http://schemas.openxmlformats.org/officeDocument/2006/relationships/hyperlink" Target="https://portaltransparencia.jocotepec.gob.mx/informacion/4843" TargetMode="External"/><Relationship Id="rId388" Type="http://schemas.openxmlformats.org/officeDocument/2006/relationships/hyperlink" Target="https://portaltransparencia.jocotepec.gob.mx/informacion/4916" TargetMode="External"/><Relationship Id="rId511" Type="http://schemas.openxmlformats.org/officeDocument/2006/relationships/hyperlink" Target="https://portaltransparencia.jocotepec.gob.mx/informacion/516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4974"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915" TargetMode="External"/><Relationship Id="rId497" Type="http://schemas.openxmlformats.org/officeDocument/2006/relationships/hyperlink" Target="https://portaltransparencia.jocotepec.gob.mx/informacion/5026"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printerSettings" Target="../printerSettings/printerSettings2.bin"/><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18"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280" TargetMode="External"/><Relationship Id="rId466" Type="http://schemas.openxmlformats.org/officeDocument/2006/relationships/hyperlink" Target="https://portaltransparencia.jocotepec.gob.mx/informacion/5029"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5026" TargetMode="External"/><Relationship Id="rId477" Type="http://schemas.openxmlformats.org/officeDocument/2006/relationships/hyperlink" Target="https://portaltransparencia.jocotepec.gob.mx/informacion/487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487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869" TargetMode="External"/><Relationship Id="rId404" Type="http://schemas.openxmlformats.org/officeDocument/2006/relationships/hyperlink" Target="https://portaltransparencia.jocotepec.gob.mx/informacion/4917" TargetMode="External"/><Relationship Id="rId446" Type="http://schemas.openxmlformats.org/officeDocument/2006/relationships/hyperlink" Target="https://portaltransparencia.jocotepec.gob.mx/informacion/502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163"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7"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4691" TargetMode="External"/><Relationship Id="rId457" Type="http://schemas.openxmlformats.org/officeDocument/2006/relationships/hyperlink" Target="https://portaltransparencia.jocotepec.gob.mx/informacion/492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160"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4686"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7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920"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5025" TargetMode="External"/><Relationship Id="rId479" Type="http://schemas.openxmlformats.org/officeDocument/2006/relationships/hyperlink" Target="https://portaltransparencia.jocotepec.gob.mx/informacion/5161"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163" TargetMode="External"/><Relationship Id="rId504"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4917"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868" TargetMode="External"/><Relationship Id="rId448" Type="http://schemas.openxmlformats.org/officeDocument/2006/relationships/hyperlink" Target="https://portaltransparencia.jocotepec.gob.mx/informacion/5024"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018"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4975" TargetMode="External"/><Relationship Id="rId459" Type="http://schemas.openxmlformats.org/officeDocument/2006/relationships/hyperlink" Target="https://portaltransparencia.jocotepec.gob.mx/informacion/4969"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5029"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4280"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915" TargetMode="External"/><Relationship Id="rId439" Type="http://schemas.openxmlformats.org/officeDocument/2006/relationships/hyperlink" Target="https://portaltransparencia.jocotepec.gob.mx/informacion/5025"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969" TargetMode="External"/><Relationship Id="rId506" Type="http://schemas.openxmlformats.org/officeDocument/2006/relationships/hyperlink" Target="https://portaltransparencia.jocotepec.gob.mx/informacion/515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68" TargetMode="External"/><Relationship Id="rId408" Type="http://schemas.openxmlformats.org/officeDocument/2006/relationships/hyperlink" Target="https://portaltransparencia.jocotepec.gob.mx/informacion/496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4969" TargetMode="External"/><Relationship Id="rId517" Type="http://schemas.openxmlformats.org/officeDocument/2006/relationships/hyperlink" Target="https://portaltransparencia.jocotepec.gob.mx/informacion/5027"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3330"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4280"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517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5023" TargetMode="External"/><Relationship Id="rId483" Type="http://schemas.openxmlformats.org/officeDocument/2006/relationships/hyperlink" Target="https://portaltransparencia.jocotepec.gob.mx/informacion/4918"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915"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90" TargetMode="External"/><Relationship Id="rId452" Type="http://schemas.openxmlformats.org/officeDocument/2006/relationships/hyperlink" Target="https://portaltransparencia.jocotepec.gob.mx/informacion/5027" TargetMode="External"/><Relationship Id="rId494" Type="http://schemas.openxmlformats.org/officeDocument/2006/relationships/hyperlink" Target="https://portaltransparencia.jocotepec.gob.mx/informacion/5164" TargetMode="External"/><Relationship Id="rId508" Type="http://schemas.openxmlformats.org/officeDocument/2006/relationships/hyperlink" Target="https://portaltransparencia.jocotepec.gob.mx/informacion/5166"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870"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867" TargetMode="External"/><Relationship Id="rId463" Type="http://schemas.openxmlformats.org/officeDocument/2006/relationships/hyperlink" Target="https://portaltransparencia.jocotepec.gob.mx/informacion/4969" TargetMode="External"/><Relationship Id="rId519"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686" TargetMode="External"/><Relationship Id="rId474" Type="http://schemas.openxmlformats.org/officeDocument/2006/relationships/hyperlink" Target="https://portaltransparencia.jocotepec.gob.mx/informacion/5030"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4918" TargetMode="External"/><Relationship Id="rId443" Type="http://schemas.openxmlformats.org/officeDocument/2006/relationships/hyperlink" Target="https://portaltransparencia.jocotepec.gob.mx/informacion/5023"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916" TargetMode="External"/><Relationship Id="rId510" Type="http://schemas.openxmlformats.org/officeDocument/2006/relationships/hyperlink" Target="https://portaltransparencia.jocotepec.gob.mx/informacion/5166"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97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916" TargetMode="External"/><Relationship Id="rId496" Type="http://schemas.openxmlformats.org/officeDocument/2006/relationships/hyperlink" Target="https://portaltransparencia.jocotepec.gob.mx/informacion/516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870" TargetMode="External"/><Relationship Id="rId521" Type="http://schemas.openxmlformats.org/officeDocument/2006/relationships/hyperlink" Target="https://portaltransparencia.jocotepec.gob.mx/informacion/5170"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28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029"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871" TargetMode="External"/><Relationship Id="rId476" Type="http://schemas.openxmlformats.org/officeDocument/2006/relationships/hyperlink" Target="https://portaltransparencia.jocotepec.gob.mx/informacion/486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160"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4871" TargetMode="External"/><Relationship Id="rId403" Type="http://schemas.openxmlformats.org/officeDocument/2006/relationships/hyperlink" Target="https://portaltransparencia.jocotepec.gob.mx/informacion/487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5024" TargetMode="External"/><Relationship Id="rId487" Type="http://schemas.openxmlformats.org/officeDocument/2006/relationships/hyperlink" Target="https://portaltransparencia.jocotepec.gob.mx/informacion/491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86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4974" TargetMode="External"/><Relationship Id="rId456" Type="http://schemas.openxmlformats.org/officeDocument/2006/relationships/hyperlink" Target="https://portaltransparencia.jocotepec.gob.mx/informacion/4916" TargetMode="External"/><Relationship Id="rId498" Type="http://schemas.openxmlformats.org/officeDocument/2006/relationships/hyperlink" Target="https://portaltransparencia.jocotepec.gob.mx/informacion/502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7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920" TargetMode="External"/><Relationship Id="rId436" Type="http://schemas.openxmlformats.org/officeDocument/2006/relationships/hyperlink" Target="https://portaltransparencia.jocotepec.gob.mx/informacion/502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1"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1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869" TargetMode="External"/><Relationship Id="rId405" Type="http://schemas.openxmlformats.org/officeDocument/2006/relationships/hyperlink" Target="https://portaltransparencia.jocotepec.gob.mx/informacion/4917" TargetMode="External"/><Relationship Id="rId447" Type="http://schemas.openxmlformats.org/officeDocument/2006/relationships/hyperlink" Target="https://portaltransparencia.jocotepec.gob.mx/informacion/5024"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163"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01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469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92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4686" TargetMode="External"/><Relationship Id="rId469" Type="http://schemas.openxmlformats.org/officeDocument/2006/relationships/hyperlink" Target="https://portaltransparencia.jocotepec.gob.mx/informacion/5029"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920" TargetMode="External"/><Relationship Id="rId438" Type="http://schemas.openxmlformats.org/officeDocument/2006/relationships/hyperlink" Target="https://portaltransparencia.jocotepec.gob.mx/informacion/5025"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163" TargetMode="External"/><Relationship Id="rId505" Type="http://schemas.openxmlformats.org/officeDocument/2006/relationships/hyperlink" Target="https://portaltransparencia.jocotepec.gob.mx/informacion/515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868" TargetMode="External"/><Relationship Id="rId407" Type="http://schemas.openxmlformats.org/officeDocument/2006/relationships/hyperlink" Target="https://portaltransparencia.jocotepec.gob.mx/informacion/4969" TargetMode="External"/><Relationship Id="rId449"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4969" TargetMode="External"/><Relationship Id="rId516" Type="http://schemas.openxmlformats.org/officeDocument/2006/relationships/hyperlink" Target="https://portaltransparencia.jocotepec.gob.mx/informacion/5018"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4975"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5172"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468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5025"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915"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969" TargetMode="External"/><Relationship Id="rId493" Type="http://schemas.openxmlformats.org/officeDocument/2006/relationships/hyperlink" Target="https://portaltransparencia.jocotepec.gob.mx/informacion/5164" TargetMode="External"/><Relationship Id="rId507" Type="http://schemas.openxmlformats.org/officeDocument/2006/relationships/hyperlink" Target="https://portaltransparencia.jocotepec.gob.mx/informacion/5158"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868" TargetMode="External"/><Relationship Id="rId409" Type="http://schemas.openxmlformats.org/officeDocument/2006/relationships/hyperlink" Target="https://portaltransparencia.jocotepec.gob.mx/informacion/469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4627"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5105" TargetMode="External"/><Relationship Id="rId518" Type="http://schemas.openxmlformats.org/officeDocument/2006/relationships/hyperlink" Target="https://portaltransparencia.jocotepec.gob.mx/informacion/5027"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5018" TargetMode="External"/><Relationship Id="rId473" Type="http://schemas.openxmlformats.org/officeDocument/2006/relationships/hyperlink" Target="https://portaltransparencia.jocotepec.gob.mx/informacion/517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4918" TargetMode="External"/><Relationship Id="rId442" Type="http://schemas.openxmlformats.org/officeDocument/2006/relationships/hyperlink" Target="https://portaltransparencia.jocotepec.gob.mx/informacion/5023" TargetMode="External"/><Relationship Id="rId484" Type="http://schemas.openxmlformats.org/officeDocument/2006/relationships/hyperlink" Target="https://portaltransparencia.jocotepec.gob.mx/informacion/516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91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973" TargetMode="External"/><Relationship Id="rId453" Type="http://schemas.openxmlformats.org/officeDocument/2006/relationships/hyperlink" Target="https://portaltransparencia.jocotepec.gob.mx/informacion/4915" TargetMode="External"/><Relationship Id="rId509" Type="http://schemas.openxmlformats.org/officeDocument/2006/relationships/hyperlink" Target="https://portaltransparencia.jocotepec.gob.mx/informacion/5166"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16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870" TargetMode="External"/><Relationship Id="rId520" Type="http://schemas.openxmlformats.org/officeDocument/2006/relationships/hyperlink" Target="https://portaltransparencia.jocotepec.gob.mx/informacion/5170"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2719" TargetMode="External"/><Relationship Id="rId464" Type="http://schemas.openxmlformats.org/officeDocument/2006/relationships/hyperlink" Target="https://portaltransparencia.jocotepec.gob.mx/informacion/5030"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6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4869"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5164"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5026" TargetMode="External"/><Relationship Id="rId304" Type="http://schemas.openxmlformats.org/officeDocument/2006/relationships/hyperlink" Target="https://portaltransparencia.jocotepec.gob.mx/informacion/4870" TargetMode="External"/><Relationship Id="rId346" Type="http://schemas.openxmlformats.org/officeDocument/2006/relationships/hyperlink" Target="https://portaltransparencia.jocotepec.gob.mx/informacion/5158"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4917"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259" Type="http://schemas.openxmlformats.org/officeDocument/2006/relationships/hyperlink" Target="https://portaltransparencia.jocotepec.gob.mx/informacion/4671"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5026"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969" TargetMode="External"/><Relationship Id="rId306" Type="http://schemas.openxmlformats.org/officeDocument/2006/relationships/hyperlink" Target="https://portaltransparencia.jocotepec.gob.mx/informacion/5161"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6"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163"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1" Type="http://schemas.openxmlformats.org/officeDocument/2006/relationships/hyperlink" Target="https://portaltransparencia.jocotepec.gob.mx/informacion/4478|"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293" Type="http://schemas.openxmlformats.org/officeDocument/2006/relationships/hyperlink" Target="https://portaltransparencia.jocotepec.gob.mx/informacion/4969" TargetMode="External"/><Relationship Id="rId307" Type="http://schemas.openxmlformats.org/officeDocument/2006/relationships/hyperlink" Target="https://portaltransparencia.jocotepec.gob.mx/informacion/5161" TargetMode="External"/><Relationship Id="rId328" Type="http://schemas.openxmlformats.org/officeDocument/2006/relationships/hyperlink" Target="https://portaltransparencia.jocotepec.gob.mx/informacion/5025" TargetMode="External"/><Relationship Id="rId349" Type="http://schemas.openxmlformats.org/officeDocument/2006/relationships/hyperlink" Target="https://portaltransparencia.jocotepec.gob.mx/informacion/5167"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283"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163" TargetMode="External"/><Relationship Id="rId339"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5167"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52" Type="http://schemas.openxmlformats.org/officeDocument/2006/relationships/hyperlink" Target="https://portaltransparencia.jocotepec.gob.mx/informacion/4472" TargetMode="External"/><Relationship Id="rId273" Type="http://schemas.openxmlformats.org/officeDocument/2006/relationships/hyperlink" Target="https://portaltransparencia.jocotepec.gob.mx/informacion/4868" TargetMode="External"/><Relationship Id="rId294" Type="http://schemas.openxmlformats.org/officeDocument/2006/relationships/hyperlink" Target="https://portaltransparencia.jocotepec.gob.mx/informacion/4969" TargetMode="External"/><Relationship Id="rId308" Type="http://schemas.openxmlformats.org/officeDocument/2006/relationships/hyperlink" Target="https://portaltransparencia.jocotepec.gob.mx/informacion/5161" TargetMode="External"/><Relationship Id="rId329" Type="http://schemas.openxmlformats.org/officeDocument/2006/relationships/hyperlink" Target="https://portaltransparencia.jocotepec.gob.mx/informacion/5023"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68"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263" Type="http://schemas.openxmlformats.org/officeDocument/2006/relationships/hyperlink" Target="https://portaltransparencia.jocotepec.gob.mx/informacion/4871" TargetMode="External"/><Relationship Id="rId284" Type="http://schemas.openxmlformats.org/officeDocument/2006/relationships/hyperlink" Target="https://portaltransparencia.jocotepec.gob.mx/informacion/4969" TargetMode="External"/><Relationship Id="rId319" Type="http://schemas.openxmlformats.org/officeDocument/2006/relationships/hyperlink" Target="https://portaltransparencia.jocotepec.gob.mx/informacion/5163"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330" Type="http://schemas.openxmlformats.org/officeDocument/2006/relationships/hyperlink" Target="https://portaltransparencia.jocotepec.gob.mx/informacion/5023"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53" Type="http://schemas.openxmlformats.org/officeDocument/2006/relationships/hyperlink" Target="https://portaltransparencia.jocotepec.gob.mx/informacion/4472" TargetMode="External"/><Relationship Id="rId274" Type="http://schemas.openxmlformats.org/officeDocument/2006/relationships/hyperlink" Target="https://portaltransparencia.jocotepec.gob.mx/informacion/4870" TargetMode="External"/><Relationship Id="rId295" Type="http://schemas.openxmlformats.org/officeDocument/2006/relationships/hyperlink" Target="https://portaltransparencia.jocotepec.gob.mx/informacion/4916" TargetMode="External"/><Relationship Id="rId309"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320" Type="http://schemas.openxmlformats.org/officeDocument/2006/relationships/hyperlink" Target="https://portaltransparencia.jocotepec.gob.mx/informacion/516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341" Type="http://schemas.openxmlformats.org/officeDocument/2006/relationships/hyperlink" Target="https://portaltransparencia.jocotepec.gob.mx/informacion/5168"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264" Type="http://schemas.openxmlformats.org/officeDocument/2006/relationships/hyperlink" Target="https://portaltransparencia.jocotepec.gob.mx/informacion/4915" TargetMode="External"/><Relationship Id="rId285" Type="http://schemas.openxmlformats.org/officeDocument/2006/relationships/hyperlink" Target="https://portaltransparencia.jocotepec.gob.mx/informacion/49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310" Type="http://schemas.openxmlformats.org/officeDocument/2006/relationships/hyperlink" Target="https://portaltransparencia.jocotepec.gob.mx/informacion/4918"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331" Type="http://schemas.openxmlformats.org/officeDocument/2006/relationships/hyperlink" Target="https://portaltransparencia.jocotepec.gob.mx/informacion/5023" TargetMode="External"/><Relationship Id="rId352" Type="http://schemas.openxmlformats.org/officeDocument/2006/relationships/hyperlink" Target="https://portaltransparencia.jocotepec.gob.mx/informacion/4969"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4915" TargetMode="External"/><Relationship Id="rId300" Type="http://schemas.openxmlformats.org/officeDocument/2006/relationships/hyperlink" Target="https://portaltransparencia.jocotepec.gob.mx/informacion/4869"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4" TargetMode="External"/><Relationship Id="rId342" Type="http://schemas.openxmlformats.org/officeDocument/2006/relationships/hyperlink" Target="https://portaltransparencia.jocotepec.gob.mx/informacion/4969"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502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918" TargetMode="External"/><Relationship Id="rId332" Type="http://schemas.openxmlformats.org/officeDocument/2006/relationships/hyperlink" Target="https://portaltransparencia.jocotepec.gob.mx/informacion/5023" TargetMode="External"/><Relationship Id="rId353" Type="http://schemas.openxmlformats.org/officeDocument/2006/relationships/printerSettings" Target="../printerSettings/printerSettings4.bin"/><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491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868" TargetMode="External"/><Relationship Id="rId322" Type="http://schemas.openxmlformats.org/officeDocument/2006/relationships/hyperlink" Target="https://portaltransparencia.jocotepec.gob.mx/informacion/5164" TargetMode="External"/><Relationship Id="rId343" Type="http://schemas.openxmlformats.org/officeDocument/2006/relationships/hyperlink" Target="https://portaltransparencia.jocotepec.gob.mx/informacion/515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5025"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2" TargetMode="External"/><Relationship Id="rId333" Type="http://schemas.openxmlformats.org/officeDocument/2006/relationships/hyperlink" Target="https://portaltransparencia.jocotepec.gob.mx/informacion/502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491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868" TargetMode="External"/><Relationship Id="rId323" Type="http://schemas.openxmlformats.org/officeDocument/2006/relationships/hyperlink" Target="https://portaltransparencia.jocotepec.gob.mx/informacion/5164" TargetMode="External"/><Relationship Id="rId344" Type="http://schemas.openxmlformats.org/officeDocument/2006/relationships/hyperlink" Target="https://portaltransparencia.jocotepec.gob.mx/informacion/5158"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5025"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502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303" Type="http://schemas.openxmlformats.org/officeDocument/2006/relationships/hyperlink" Target="https://portaltransparencia.jocotepec.gob.mx/informacion/4870"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5026"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91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5026"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5160"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969" TargetMode="External"/><Relationship Id="rId305" Type="http://schemas.openxmlformats.org/officeDocument/2006/relationships/hyperlink" Target="https://portaltransparencia.jocotepec.gob.mx/informacion/5161" TargetMode="External"/><Relationship Id="rId347" Type="http://schemas.openxmlformats.org/officeDocument/2006/relationships/hyperlink" Target="https://portaltransparencia.jocotepec.gob.mx/informacion/516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3"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025"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516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05"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5027" TargetMode="External"/><Relationship Id="rId149" Type="http://schemas.openxmlformats.org/officeDocument/2006/relationships/hyperlink" Target="https://portaltransparencia.jocotepec.gob.mx/informacion/3884"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4" Type="http://schemas.openxmlformats.org/officeDocument/2006/relationships/hyperlink" Target="https://portaltransparencia.jocotepec.gob.mx/informacion/5105" TargetMode="External"/><Relationship Id="rId139" Type="http://schemas.openxmlformats.org/officeDocument/2006/relationships/hyperlink" Target="https://portaltransparencia.jocotepec.gob.mx/informacion/4969"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3884" TargetMode="External"/><Relationship Id="rId155" Type="http://schemas.openxmlformats.org/officeDocument/2006/relationships/printerSettings" Target="../printerSettings/printerSettings6.bin"/><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08" Type="http://schemas.openxmlformats.org/officeDocument/2006/relationships/hyperlink" Target="https://portaltransparencia.jocotepec.gob.mx/informacion/4488" TargetMode="External"/><Relationship Id="rId124" Type="http://schemas.openxmlformats.org/officeDocument/2006/relationships/hyperlink" Target="https://portaltransparencia.jocotepec.gob.mx/informacion/5018" TargetMode="External"/><Relationship Id="rId129" Type="http://schemas.openxmlformats.org/officeDocument/2006/relationships/hyperlink" Target="https://portaltransparencia.jocotepec.gob.mx/informacion/5027" TargetMode="External"/><Relationship Id="rId54" Type="http://schemas.openxmlformats.org/officeDocument/2006/relationships/hyperlink" Target="https://portaltransparencia.jocotepec.gob.mx/informacion/3423"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4920" TargetMode="External"/><Relationship Id="rId145" Type="http://schemas.openxmlformats.org/officeDocument/2006/relationships/hyperlink" Target="https://portaltransparencia.jocotepec.gob.mx/informacion/342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5027" TargetMode="External"/><Relationship Id="rId135" Type="http://schemas.openxmlformats.org/officeDocument/2006/relationships/hyperlink" Target="https://portaltransparencia.jocotepec.gob.mx/informacion/5105" TargetMode="External"/><Relationship Id="rId151" Type="http://schemas.openxmlformats.org/officeDocument/2006/relationships/hyperlink" Target="https://portaltransparencia.jocotepec.gob.mx/informacion/2719"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5018" TargetMode="External"/><Relationship Id="rId141" Type="http://schemas.openxmlformats.org/officeDocument/2006/relationships/hyperlink" Target="https://portaltransparencia.jocotepec.gob.mx/informacion/4920" TargetMode="External"/><Relationship Id="rId146" Type="http://schemas.openxmlformats.org/officeDocument/2006/relationships/hyperlink" Target="https://portaltransparencia.jocotepec.gob.mx/informacion/3423"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5027" TargetMode="External"/><Relationship Id="rId136" Type="http://schemas.openxmlformats.org/officeDocument/2006/relationships/hyperlink" Target="https://portaltransparencia.jocotepec.gob.mx/informacion/5105"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3423"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4969" TargetMode="External"/><Relationship Id="rId147" Type="http://schemas.openxmlformats.org/officeDocument/2006/relationships/hyperlink" Target="https://portaltransparencia.jocotepec.gob.mx/informacion/3884"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5018" TargetMode="External"/><Relationship Id="rId142"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5027" TargetMode="External"/><Relationship Id="rId153" Type="http://schemas.openxmlformats.org/officeDocument/2006/relationships/hyperlink" Target="https://portaltransparencia.jocotepec.gob.mx/informacion/448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4969"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5018" TargetMode="External"/><Relationship Id="rId143" Type="http://schemas.openxmlformats.org/officeDocument/2006/relationships/hyperlink" Target="https://portaltransparencia.jocotepec.gob.mx/informacion/3884" TargetMode="External"/><Relationship Id="rId148" Type="http://schemas.openxmlformats.org/officeDocument/2006/relationships/hyperlink" Target="https://portaltransparencia.jocotepec.gob.mx/informacion/3884"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5105" TargetMode="External"/><Relationship Id="rId154" Type="http://schemas.openxmlformats.org/officeDocument/2006/relationships/hyperlink" Target="https://portaltransparencia.jocotepec.gob.mx/informacion/5018"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5018" TargetMode="External"/><Relationship Id="rId144" Type="http://schemas.openxmlformats.org/officeDocument/2006/relationships/hyperlink" Target="https://portaltransparencia.jocotepec.gob.mx/informacion/3423" TargetMode="External"/><Relationship Id="rId90"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J813"/>
  <sheetViews>
    <sheetView view="pageBreakPreview" topLeftCell="G1" zoomScale="55" zoomScaleSheetLayoutView="55" workbookViewId="0">
      <selection activeCell="N740" sqref="N740"/>
    </sheetView>
  </sheetViews>
  <sheetFormatPr baseColWidth="10" defaultColWidth="11.42578125" defaultRowHeight="15"/>
  <cols>
    <col min="1" max="1" width="3.28515625" style="1711" customWidth="1"/>
    <col min="2" max="4" width="3.7109375" customWidth="1"/>
    <col min="5" max="7" width="3.7109375" style="128" customWidth="1"/>
    <col min="8" max="8" width="3.7109375" style="363" customWidth="1"/>
    <col min="9" max="9" width="4" customWidth="1"/>
    <col min="10" max="10" width="4" hidden="1"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2096" t="s">
        <v>4671</v>
      </c>
      <c r="C1" s="2096"/>
      <c r="D1" s="2096"/>
      <c r="E1" s="2096"/>
      <c r="F1" s="2096"/>
      <c r="G1" s="2096"/>
      <c r="H1" s="2096"/>
      <c r="I1" s="2096"/>
      <c r="J1" s="2097"/>
      <c r="K1" s="2096"/>
      <c r="L1" s="2096"/>
      <c r="M1" s="2096"/>
      <c r="N1" s="2096"/>
      <c r="O1" s="2096"/>
      <c r="P1" s="2096"/>
      <c r="Q1" s="2096"/>
      <c r="R1" s="2096"/>
      <c r="S1" s="2096"/>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2"/>
      <c r="BC1" s="1922"/>
      <c r="BD1" s="1922"/>
      <c r="BE1" s="1922"/>
      <c r="BF1" s="1922"/>
      <c r="BG1" s="1922"/>
      <c r="BH1" s="1922"/>
      <c r="BI1" s="1922"/>
      <c r="BJ1" s="1922"/>
      <c r="BK1" s="1922"/>
      <c r="BL1" s="1922"/>
      <c r="BM1" s="1922"/>
      <c r="BN1" s="1922"/>
      <c r="BO1" s="1922"/>
      <c r="BP1" s="1922"/>
      <c r="BQ1" s="1922"/>
      <c r="BR1" s="1922"/>
      <c r="BS1" s="1922"/>
      <c r="BT1" s="1922"/>
      <c r="BU1" s="1922"/>
      <c r="BV1" s="1922"/>
      <c r="BW1" s="1922"/>
      <c r="BX1" s="1922"/>
      <c r="BY1" s="1922"/>
      <c r="BZ1" s="1922"/>
    </row>
    <row r="2" spans="1:86" ht="41.25" customHeight="1" thickBot="1">
      <c r="A2"/>
      <c r="B2" s="11"/>
      <c r="C2" s="11"/>
      <c r="D2" s="11"/>
      <c r="E2" s="125"/>
      <c r="F2" s="125"/>
      <c r="G2" s="125"/>
      <c r="H2" s="367"/>
      <c r="I2" s="10"/>
      <c r="J2" s="10"/>
      <c r="K2" s="10"/>
      <c r="L2" s="10"/>
      <c r="M2" s="10"/>
      <c r="N2" s="1062" t="s">
        <v>0</v>
      </c>
      <c r="O2" s="1062"/>
      <c r="P2" s="1063" t="s">
        <v>1</v>
      </c>
      <c r="Q2" s="10"/>
      <c r="R2" s="10"/>
      <c r="S2" s="10"/>
      <c r="T2" s="10"/>
      <c r="U2" s="10"/>
      <c r="V2" s="10"/>
      <c r="AR2" s="77"/>
      <c r="BG2" s="77">
        <f>BG387+BG388</f>
        <v>1217540.3799999999</v>
      </c>
    </row>
    <row r="3" spans="1:86" ht="33" customHeight="1" thickTop="1" thickBot="1">
      <c r="B3" s="516"/>
      <c r="C3" s="141"/>
      <c r="D3" s="141"/>
      <c r="E3" s="126"/>
      <c r="F3" s="126"/>
      <c r="G3" s="126"/>
      <c r="H3" s="577"/>
      <c r="I3" s="41"/>
      <c r="J3" s="1673"/>
      <c r="K3" s="42"/>
      <c r="L3" s="2108" t="s">
        <v>2</v>
      </c>
      <c r="M3" s="2109"/>
      <c r="N3" s="2109"/>
      <c r="O3" s="2109"/>
      <c r="P3" s="2109"/>
      <c r="Q3" s="2109"/>
      <c r="R3" s="2109"/>
      <c r="S3" s="2110"/>
      <c r="T3" s="22" t="s">
        <v>3</v>
      </c>
      <c r="U3" s="2119" t="s">
        <v>4</v>
      </c>
      <c r="V3" s="2120"/>
      <c r="W3" s="33" t="s">
        <v>3911</v>
      </c>
      <c r="X3" s="1639" t="s">
        <v>3909</v>
      </c>
      <c r="Y3" s="2117" t="s">
        <v>5</v>
      </c>
      <c r="Z3" s="2118"/>
      <c r="AA3" s="2118"/>
      <c r="AB3" s="2106"/>
      <c r="AC3" s="2107"/>
      <c r="AD3" s="2105" t="s">
        <v>6</v>
      </c>
      <c r="AE3" s="2106"/>
      <c r="AF3" s="2106"/>
      <c r="AG3" s="2106"/>
      <c r="AH3" s="2107"/>
      <c r="AI3" s="2123" t="s">
        <v>7</v>
      </c>
      <c r="AJ3" s="2124"/>
      <c r="AK3" s="2124"/>
      <c r="AL3" s="2124"/>
      <c r="AM3" s="2124"/>
      <c r="AN3" s="2124"/>
      <c r="AO3" s="2124"/>
      <c r="AP3" s="2125"/>
      <c r="AQ3" s="2131" t="s">
        <v>8</v>
      </c>
      <c r="AR3" s="2132"/>
      <c r="AS3" s="2133"/>
      <c r="AT3" s="2111" t="s">
        <v>9</v>
      </c>
      <c r="AU3" s="2112"/>
      <c r="AV3" s="2121" t="s">
        <v>10</v>
      </c>
      <c r="AW3" s="2122"/>
      <c r="AX3" s="2126" t="s">
        <v>11</v>
      </c>
      <c r="AY3" s="2127"/>
      <c r="AZ3" s="2127"/>
      <c r="BA3" s="2128"/>
      <c r="BB3" s="2113" t="s">
        <v>12</v>
      </c>
      <c r="BC3" s="2114"/>
      <c r="BD3" s="2115"/>
      <c r="BE3" s="2115"/>
      <c r="BF3" s="2115"/>
      <c r="BG3" s="2116"/>
      <c r="BH3" s="790" t="s">
        <v>13</v>
      </c>
      <c r="BI3" s="2099" t="s">
        <v>14</v>
      </c>
      <c r="BJ3" s="2100"/>
      <c r="BK3" s="2100"/>
      <c r="BL3" s="2100"/>
      <c r="BM3" s="2100"/>
      <c r="BN3" s="2100"/>
      <c r="BO3" s="2100"/>
      <c r="BP3" s="2100"/>
      <c r="BQ3" s="2100"/>
      <c r="BR3" s="2100"/>
      <c r="BS3" s="2101"/>
      <c r="BT3" s="39"/>
      <c r="BU3" s="39"/>
      <c r="BV3" s="39"/>
      <c r="BW3" s="39"/>
      <c r="BX3" s="39"/>
      <c r="BY3" s="39"/>
      <c r="BZ3" s="39"/>
      <c r="CA3" s="613"/>
      <c r="CB3" s="613"/>
      <c r="CC3" s="613"/>
      <c r="CD3" s="613"/>
      <c r="CE3" s="613"/>
      <c r="CF3" s="613"/>
      <c r="CG3" s="613"/>
      <c r="CH3" s="13"/>
    </row>
    <row r="4" spans="1:86" ht="55.5" customHeight="1" thickTop="1" thickBot="1">
      <c r="B4" s="49"/>
      <c r="C4" s="2093" t="s">
        <v>15</v>
      </c>
      <c r="D4" s="2094"/>
      <c r="E4" s="127" t="s">
        <v>16</v>
      </c>
      <c r="F4" s="1870" t="s">
        <v>4532</v>
      </c>
      <c r="G4" s="127" t="s">
        <v>17</v>
      </c>
      <c r="H4" s="362" t="s">
        <v>18</v>
      </c>
      <c r="I4" s="47" t="s">
        <v>19</v>
      </c>
      <c r="J4" s="1674" t="s">
        <v>4013</v>
      </c>
      <c r="K4" s="48" t="s">
        <v>20</v>
      </c>
      <c r="L4" s="43" t="s">
        <v>21</v>
      </c>
      <c r="M4" s="44" t="s">
        <v>22</v>
      </c>
      <c r="N4" s="45" t="s">
        <v>23</v>
      </c>
      <c r="O4" s="45" t="s">
        <v>4426</v>
      </c>
      <c r="P4" s="45" t="s">
        <v>24</v>
      </c>
      <c r="Q4" s="45" t="s">
        <v>25</v>
      </c>
      <c r="R4" s="45" t="s">
        <v>26</v>
      </c>
      <c r="S4" s="46" t="s">
        <v>27</v>
      </c>
      <c r="T4" s="50" t="s">
        <v>25</v>
      </c>
      <c r="U4" s="43" t="s">
        <v>28</v>
      </c>
      <c r="V4" s="46" t="s">
        <v>29</v>
      </c>
      <c r="W4" s="50" t="s">
        <v>25</v>
      </c>
      <c r="X4" s="49" t="s">
        <v>4429</v>
      </c>
      <c r="Y4" s="43" t="s">
        <v>30</v>
      </c>
      <c r="Z4" s="45" t="s">
        <v>25</v>
      </c>
      <c r="AA4" s="45" t="s">
        <v>24</v>
      </c>
      <c r="AB4" s="45" t="s">
        <v>31</v>
      </c>
      <c r="AC4" s="46" t="s">
        <v>24</v>
      </c>
      <c r="AD4" s="43" t="s">
        <v>32</v>
      </c>
      <c r="AE4" s="115" t="s">
        <v>33</v>
      </c>
      <c r="AF4" s="121" t="s">
        <v>34</v>
      </c>
      <c r="AG4" s="118" t="s">
        <v>35</v>
      </c>
      <c r="AH4" s="115" t="s">
        <v>36</v>
      </c>
      <c r="AI4" s="43" t="s">
        <v>37</v>
      </c>
      <c r="AJ4" s="45" t="s">
        <v>38</v>
      </c>
      <c r="AK4" s="45" t="s">
        <v>25</v>
      </c>
      <c r="AL4" s="45" t="s">
        <v>39</v>
      </c>
      <c r="AM4" s="45" t="s">
        <v>25</v>
      </c>
      <c r="AN4" s="45" t="s">
        <v>40</v>
      </c>
      <c r="AO4" s="45" t="s">
        <v>25</v>
      </c>
      <c r="AP4" s="53" t="s">
        <v>41</v>
      </c>
      <c r="AQ4" s="43" t="s">
        <v>42</v>
      </c>
      <c r="AR4" s="162" t="s">
        <v>43</v>
      </c>
      <c r="AS4" s="809" t="s">
        <v>44</v>
      </c>
      <c r="AT4" s="43" t="s">
        <v>26</v>
      </c>
      <c r="AU4" s="46" t="s">
        <v>27</v>
      </c>
      <c r="AV4" s="43" t="s">
        <v>45</v>
      </c>
      <c r="AW4" s="53" t="s">
        <v>46</v>
      </c>
      <c r="AX4" s="43" t="s">
        <v>25</v>
      </c>
      <c r="AY4" s="45" t="s">
        <v>26</v>
      </c>
      <c r="AZ4" s="45" t="s">
        <v>27</v>
      </c>
      <c r="BA4" s="51" t="s">
        <v>47</v>
      </c>
      <c r="BB4" s="43" t="s">
        <v>25</v>
      </c>
      <c r="BC4" s="1968" t="s">
        <v>4893</v>
      </c>
      <c r="BD4" s="45" t="s">
        <v>48</v>
      </c>
      <c r="BE4" s="45" t="s">
        <v>49</v>
      </c>
      <c r="BF4" s="45" t="s">
        <v>50</v>
      </c>
      <c r="BG4" s="46" t="s">
        <v>51</v>
      </c>
      <c r="BH4" s="50" t="s">
        <v>25</v>
      </c>
      <c r="BI4" s="421" t="s">
        <v>52</v>
      </c>
      <c r="BJ4" s="162" t="s">
        <v>53</v>
      </c>
      <c r="BK4" s="162" t="s">
        <v>54</v>
      </c>
      <c r="BL4" s="162" t="s">
        <v>3656</v>
      </c>
      <c r="BM4" s="162" t="s">
        <v>3659</v>
      </c>
      <c r="BN4" s="1481" t="s">
        <v>3657</v>
      </c>
      <c r="BO4" s="162" t="s">
        <v>3658</v>
      </c>
      <c r="BP4" s="162" t="s">
        <v>55</v>
      </c>
      <c r="BQ4" s="1661" t="s">
        <v>3964</v>
      </c>
      <c r="BR4" s="1662" t="s">
        <v>5076</v>
      </c>
      <c r="BS4" s="1066" t="s">
        <v>56</v>
      </c>
      <c r="BT4" s="52" t="s">
        <v>57</v>
      </c>
      <c r="BU4" s="1188" t="s">
        <v>58</v>
      </c>
      <c r="BV4" s="1188" t="s">
        <v>1422</v>
      </c>
      <c r="BW4" s="1188" t="s">
        <v>3246</v>
      </c>
      <c r="BX4" s="1392" t="s">
        <v>3247</v>
      </c>
      <c r="BY4" s="1188" t="s">
        <v>1410</v>
      </c>
      <c r="BZ4" s="52" t="s">
        <v>59</v>
      </c>
      <c r="CA4" s="622" t="s">
        <v>3</v>
      </c>
      <c r="CB4" s="623" t="s">
        <v>60</v>
      </c>
      <c r="CC4" s="623" t="s">
        <v>61</v>
      </c>
      <c r="CD4" s="623" t="s">
        <v>62</v>
      </c>
      <c r="CE4" s="623" t="s">
        <v>7</v>
      </c>
      <c r="CF4" s="623" t="s">
        <v>9</v>
      </c>
      <c r="CG4" s="623" t="s">
        <v>63</v>
      </c>
      <c r="CH4" s="15"/>
    </row>
    <row r="5" spans="1:86" s="833" customFormat="1" ht="20.25" customHeight="1" thickTop="1">
      <c r="A5" s="1711"/>
      <c r="B5" s="836"/>
      <c r="C5" s="813"/>
      <c r="D5" s="813"/>
      <c r="E5" s="837"/>
      <c r="F5" s="837"/>
      <c r="G5" s="837"/>
      <c r="H5" s="835"/>
      <c r="I5" s="814"/>
      <c r="J5" s="834"/>
      <c r="K5" s="815"/>
      <c r="L5" s="819"/>
      <c r="M5" s="838"/>
      <c r="N5" s="829"/>
      <c r="O5" s="829"/>
      <c r="P5" s="829"/>
      <c r="Q5" s="829"/>
      <c r="R5" s="829"/>
      <c r="S5" s="815"/>
      <c r="T5" s="839"/>
      <c r="U5" s="819"/>
      <c r="V5" s="826"/>
      <c r="W5" s="840"/>
      <c r="X5" s="813"/>
      <c r="Y5" s="819"/>
      <c r="Z5" s="829"/>
      <c r="AA5" s="829"/>
      <c r="AB5" s="829"/>
      <c r="AC5" s="815"/>
      <c r="AD5" s="819"/>
      <c r="AE5" s="841"/>
      <c r="AF5" s="842"/>
      <c r="AG5" s="828"/>
      <c r="AH5" s="843"/>
      <c r="AI5" s="819"/>
      <c r="AJ5" s="829"/>
      <c r="AK5" s="829"/>
      <c r="AL5" s="829"/>
      <c r="AM5" s="829"/>
      <c r="AN5" s="829"/>
      <c r="AO5" s="829"/>
      <c r="AP5" s="827"/>
      <c r="AQ5" s="819"/>
      <c r="AR5" s="845"/>
      <c r="AS5" s="818"/>
      <c r="AT5" s="819"/>
      <c r="AU5" s="815"/>
      <c r="AV5" s="819"/>
      <c r="AW5" s="827"/>
      <c r="AX5" s="819"/>
      <c r="AY5" s="829"/>
      <c r="AZ5" s="829"/>
      <c r="BA5" s="832"/>
      <c r="BB5" s="819"/>
      <c r="BC5" s="828"/>
      <c r="BD5" s="829"/>
      <c r="BE5" s="829"/>
      <c r="BF5" s="829"/>
      <c r="BG5" s="815"/>
      <c r="BH5" s="827"/>
      <c r="BI5" s="844"/>
      <c r="BJ5" s="845"/>
      <c r="BK5" s="845"/>
      <c r="BL5" s="845"/>
      <c r="BM5" s="845"/>
      <c r="BN5" s="845"/>
      <c r="BO5" s="845"/>
      <c r="BP5" s="845"/>
      <c r="BQ5" s="818"/>
      <c r="BR5" s="818"/>
      <c r="BS5" s="818"/>
      <c r="BT5" s="846"/>
      <c r="BU5" s="846"/>
      <c r="BV5" s="846"/>
      <c r="BW5" s="846"/>
      <c r="BX5" s="846"/>
      <c r="BY5" s="846"/>
      <c r="BZ5" s="846"/>
      <c r="CA5" s="847"/>
      <c r="CB5" s="848"/>
      <c r="CC5" s="848"/>
      <c r="CD5" s="848"/>
      <c r="CE5" s="848"/>
      <c r="CF5" s="848"/>
      <c r="CG5" s="848"/>
      <c r="CH5" s="849"/>
    </row>
    <row r="6" spans="1:86" ht="90" hidden="1" customHeight="1" thickTop="1">
      <c r="A6"/>
      <c r="B6" s="23"/>
      <c r="C6" s="23"/>
      <c r="D6" s="23"/>
      <c r="E6" s="23"/>
      <c r="F6" s="23"/>
      <c r="G6" s="1368"/>
      <c r="H6" s="490"/>
      <c r="I6" s="17">
        <v>2013</v>
      </c>
      <c r="J6" s="1675"/>
      <c r="K6" s="355" t="s">
        <v>64</v>
      </c>
      <c r="L6" s="207" t="s">
        <v>65</v>
      </c>
      <c r="M6" s="208" t="s">
        <v>66</v>
      </c>
      <c r="N6" s="209" t="s">
        <v>67</v>
      </c>
      <c r="O6" s="209"/>
      <c r="P6" s="210">
        <v>2564102.67</v>
      </c>
      <c r="Q6" s="211">
        <v>41501</v>
      </c>
      <c r="R6" s="212">
        <v>41518</v>
      </c>
      <c r="S6" s="213">
        <v>41608</v>
      </c>
      <c r="T6" s="14" t="s">
        <v>68</v>
      </c>
      <c r="U6" s="218" t="s">
        <v>69</v>
      </c>
      <c r="V6" s="219" t="s">
        <v>70</v>
      </c>
      <c r="W6" s="220" t="s">
        <v>68</v>
      </c>
      <c r="X6" s="406"/>
      <c r="Y6" s="228" t="s">
        <v>71</v>
      </c>
      <c r="Z6" s="212">
        <v>41606</v>
      </c>
      <c r="AA6" s="210">
        <v>2564102.5699999998</v>
      </c>
      <c r="AB6" s="229" t="s">
        <v>72</v>
      </c>
      <c r="AC6" s="230">
        <v>2748102.57</v>
      </c>
      <c r="AD6" s="233">
        <v>41488</v>
      </c>
      <c r="AE6" s="119" t="s">
        <v>68</v>
      </c>
      <c r="AF6" s="119" t="s">
        <v>68</v>
      </c>
      <c r="AG6" s="152">
        <v>41499</v>
      </c>
      <c r="AH6" s="234">
        <v>41499</v>
      </c>
      <c r="AI6" s="228" t="s">
        <v>73</v>
      </c>
      <c r="AJ6" s="229">
        <v>1651068</v>
      </c>
      <c r="AK6" s="212">
        <v>41501</v>
      </c>
      <c r="AL6" s="229">
        <v>1651066</v>
      </c>
      <c r="AM6" s="212">
        <v>41501</v>
      </c>
      <c r="AN6" s="236" t="s">
        <v>74</v>
      </c>
      <c r="AO6" s="229"/>
      <c r="AP6" s="305"/>
      <c r="AQ6" s="240">
        <v>0</v>
      </c>
      <c r="AR6" s="1030">
        <f>BG6</f>
        <v>2564102.67</v>
      </c>
      <c r="AS6" s="1017"/>
      <c r="AT6" s="242">
        <v>41506</v>
      </c>
      <c r="AU6" s="213">
        <v>41564</v>
      </c>
      <c r="AV6" s="243" t="s">
        <v>68</v>
      </c>
      <c r="AW6" s="244" t="s">
        <v>68</v>
      </c>
      <c r="AX6" s="254" t="s">
        <v>75</v>
      </c>
      <c r="AY6" s="212">
        <v>41518</v>
      </c>
      <c r="AZ6" s="212">
        <v>41598</v>
      </c>
      <c r="BA6" s="237"/>
      <c r="BB6" s="254" t="s">
        <v>75</v>
      </c>
      <c r="BC6" s="1941"/>
      <c r="BD6" s="212">
        <v>41518</v>
      </c>
      <c r="BE6" s="212">
        <v>41608</v>
      </c>
      <c r="BF6" s="212">
        <v>41608</v>
      </c>
      <c r="BG6" s="241">
        <v>2564102.67</v>
      </c>
      <c r="BH6" s="797" t="s">
        <v>74</v>
      </c>
      <c r="BI6" s="798" t="s">
        <v>68</v>
      </c>
      <c r="BJ6" s="796" t="s">
        <v>68</v>
      </c>
      <c r="BK6" s="796" t="s">
        <v>68</v>
      </c>
      <c r="BL6" s="794"/>
      <c r="BM6" s="794"/>
      <c r="BN6" s="794"/>
      <c r="BO6" s="794"/>
      <c r="BP6" s="794"/>
      <c r="BQ6" s="794"/>
      <c r="BR6" s="794"/>
      <c r="BS6" s="794" t="s">
        <v>68</v>
      </c>
      <c r="BT6" s="14"/>
      <c r="BU6" s="14"/>
      <c r="BV6" s="14"/>
      <c r="BW6" s="14"/>
      <c r="BX6" s="14"/>
      <c r="BY6" s="1431" t="s">
        <v>1430</v>
      </c>
      <c r="BZ6" s="40" t="s">
        <v>76</v>
      </c>
      <c r="CA6" s="563"/>
      <c r="CB6" s="563"/>
      <c r="CC6" s="563"/>
      <c r="CD6" s="563"/>
      <c r="CE6" s="563"/>
      <c r="CF6" s="563"/>
      <c r="CG6" s="563"/>
      <c r="CH6" s="13"/>
    </row>
    <row r="7" spans="1:86" ht="90" hidden="1" customHeight="1">
      <c r="A7"/>
      <c r="B7" s="23"/>
      <c r="C7" s="23"/>
      <c r="D7" s="23"/>
      <c r="E7" s="23"/>
      <c r="F7" s="23"/>
      <c r="G7" s="1368"/>
      <c r="H7" s="490"/>
      <c r="I7" s="17">
        <v>2013</v>
      </c>
      <c r="J7" s="1676"/>
      <c r="K7" s="18" t="s">
        <v>77</v>
      </c>
      <c r="L7" s="20" t="s">
        <v>78</v>
      </c>
      <c r="M7" s="2" t="s">
        <v>79</v>
      </c>
      <c r="N7" s="3" t="s">
        <v>80</v>
      </c>
      <c r="O7" s="3"/>
      <c r="P7" s="85">
        <v>666000</v>
      </c>
      <c r="Q7" s="69">
        <v>41610</v>
      </c>
      <c r="R7" s="5">
        <v>41612</v>
      </c>
      <c r="S7" s="12">
        <v>41638</v>
      </c>
      <c r="T7" s="216">
        <v>41610</v>
      </c>
      <c r="U7" s="123" t="s">
        <v>81</v>
      </c>
      <c r="V7" s="221" t="s">
        <v>70</v>
      </c>
      <c r="W7" s="64">
        <v>41582</v>
      </c>
      <c r="X7" s="111"/>
      <c r="Y7" s="20" t="s">
        <v>82</v>
      </c>
      <c r="Z7" s="5">
        <v>41478</v>
      </c>
      <c r="AA7" s="4">
        <v>250000</v>
      </c>
      <c r="AB7" s="1" t="s">
        <v>72</v>
      </c>
      <c r="AC7" s="34">
        <v>666000</v>
      </c>
      <c r="AD7" s="36" t="s">
        <v>68</v>
      </c>
      <c r="AE7" s="119" t="s">
        <v>68</v>
      </c>
      <c r="AF7" s="119" t="s">
        <v>68</v>
      </c>
      <c r="AG7" s="7" t="s">
        <v>68</v>
      </c>
      <c r="AH7" s="235" t="s">
        <v>68</v>
      </c>
      <c r="AI7" s="180" t="s">
        <v>73</v>
      </c>
      <c r="AJ7" s="1">
        <v>1701193</v>
      </c>
      <c r="AK7" s="5">
        <v>41624</v>
      </c>
      <c r="AL7" s="1">
        <v>1701231</v>
      </c>
      <c r="AM7" s="5">
        <v>41624</v>
      </c>
      <c r="AN7" s="1" t="s">
        <v>83</v>
      </c>
      <c r="AO7" s="1" t="s">
        <v>68</v>
      </c>
      <c r="AP7" s="306"/>
      <c r="AQ7" s="37">
        <v>0</v>
      </c>
      <c r="AR7" s="1031">
        <v>636723.75</v>
      </c>
      <c r="AS7" s="1018"/>
      <c r="AT7" s="78">
        <v>41610</v>
      </c>
      <c r="AU7" s="245">
        <v>41634</v>
      </c>
      <c r="AV7" s="78"/>
      <c r="AW7" s="246"/>
      <c r="AX7" s="124" t="s">
        <v>74</v>
      </c>
      <c r="AY7" s="1"/>
      <c r="AZ7" s="1"/>
      <c r="BA7" s="18"/>
      <c r="BB7" s="78">
        <v>41645</v>
      </c>
      <c r="BC7" s="344"/>
      <c r="BD7" s="5">
        <v>41612</v>
      </c>
      <c r="BE7" s="5">
        <v>41638</v>
      </c>
      <c r="BF7" s="5">
        <v>41640</v>
      </c>
      <c r="BG7" s="38">
        <v>665726.68000000005</v>
      </c>
      <c r="BH7" s="217" t="s">
        <v>74</v>
      </c>
      <c r="BI7" s="794" t="s">
        <v>68</v>
      </c>
      <c r="BJ7" s="795" t="s">
        <v>68</v>
      </c>
      <c r="BK7" s="795" t="s">
        <v>68</v>
      </c>
      <c r="BL7" s="794"/>
      <c r="BM7" s="794"/>
      <c r="BN7" s="794"/>
      <c r="BO7" s="794"/>
      <c r="BP7" s="794"/>
      <c r="BQ7" s="794"/>
      <c r="BR7" s="794"/>
      <c r="BS7" s="794" t="s">
        <v>68</v>
      </c>
      <c r="BT7" s="14"/>
      <c r="BU7" s="14"/>
      <c r="BV7" s="14"/>
      <c r="BW7" s="14"/>
      <c r="BX7" s="14"/>
      <c r="BY7" s="1431" t="s">
        <v>1430</v>
      </c>
      <c r="BZ7" s="40" t="s">
        <v>76</v>
      </c>
      <c r="CA7" s="563"/>
      <c r="CB7" s="563"/>
      <c r="CC7" s="563"/>
      <c r="CD7" s="563"/>
      <c r="CE7" s="563"/>
      <c r="CF7" s="563"/>
      <c r="CG7" s="563"/>
      <c r="CH7" s="13"/>
    </row>
    <row r="8" spans="1:86" ht="90" hidden="1" customHeight="1">
      <c r="A8"/>
      <c r="B8" s="23"/>
      <c r="C8" s="23"/>
      <c r="D8" s="23"/>
      <c r="E8" s="23"/>
      <c r="F8" s="23"/>
      <c r="G8" s="1368"/>
      <c r="H8" s="490"/>
      <c r="I8" s="17">
        <v>2013</v>
      </c>
      <c r="J8" s="1676"/>
      <c r="K8" s="18" t="s">
        <v>77</v>
      </c>
      <c r="L8" s="20" t="s">
        <v>84</v>
      </c>
      <c r="M8" s="2" t="s">
        <v>79</v>
      </c>
      <c r="N8" s="3" t="s">
        <v>85</v>
      </c>
      <c r="O8" s="3"/>
      <c r="P8" s="85">
        <v>160000</v>
      </c>
      <c r="Q8" s="69">
        <v>41610</v>
      </c>
      <c r="R8" s="5">
        <v>41617</v>
      </c>
      <c r="S8" s="12">
        <v>41638</v>
      </c>
      <c r="T8" s="64">
        <v>41610</v>
      </c>
      <c r="U8" s="123" t="s">
        <v>81</v>
      </c>
      <c r="V8" s="221" t="s">
        <v>70</v>
      </c>
      <c r="W8" s="64">
        <v>41478</v>
      </c>
      <c r="X8" s="111"/>
      <c r="Y8" s="20" t="s">
        <v>82</v>
      </c>
      <c r="Z8" s="5">
        <v>41478</v>
      </c>
      <c r="AA8" s="4">
        <v>93916.45</v>
      </c>
      <c r="AB8" s="1" t="s">
        <v>72</v>
      </c>
      <c r="AC8" s="34">
        <v>187832.9</v>
      </c>
      <c r="AD8" s="36" t="s">
        <v>68</v>
      </c>
      <c r="AE8" s="119" t="s">
        <v>68</v>
      </c>
      <c r="AF8" s="119" t="s">
        <v>68</v>
      </c>
      <c r="AG8" s="7" t="s">
        <v>68</v>
      </c>
      <c r="AH8" s="235" t="s">
        <v>68</v>
      </c>
      <c r="AI8" s="180" t="s">
        <v>73</v>
      </c>
      <c r="AJ8" s="1">
        <v>1701196</v>
      </c>
      <c r="AK8" s="5">
        <v>41624</v>
      </c>
      <c r="AL8" s="1">
        <v>1701244</v>
      </c>
      <c r="AM8" s="5">
        <v>41624</v>
      </c>
      <c r="AN8" s="1" t="s">
        <v>83</v>
      </c>
      <c r="AO8" s="1" t="s">
        <v>68</v>
      </c>
      <c r="AP8" s="306"/>
      <c r="AQ8" s="37">
        <v>0</v>
      </c>
      <c r="AR8" s="1031">
        <v>152401.41</v>
      </c>
      <c r="AS8" s="1018"/>
      <c r="AT8" s="78">
        <v>41617</v>
      </c>
      <c r="AU8" s="245">
        <v>41277</v>
      </c>
      <c r="AV8" s="78"/>
      <c r="AW8" s="246"/>
      <c r="AX8" s="124" t="s">
        <v>74</v>
      </c>
      <c r="AY8" s="1"/>
      <c r="AZ8" s="1"/>
      <c r="BA8" s="18"/>
      <c r="BB8" s="174"/>
      <c r="BC8" s="329"/>
      <c r="BD8" s="5">
        <v>41617</v>
      </c>
      <c r="BE8" s="5">
        <v>41638</v>
      </c>
      <c r="BF8" s="5">
        <v>41642</v>
      </c>
      <c r="BG8" s="38">
        <v>159366.24</v>
      </c>
      <c r="BH8" s="217" t="s">
        <v>74</v>
      </c>
      <c r="BI8" s="794" t="s">
        <v>68</v>
      </c>
      <c r="BJ8" s="795" t="s">
        <v>68</v>
      </c>
      <c r="BK8" s="795" t="s">
        <v>68</v>
      </c>
      <c r="BL8" s="794"/>
      <c r="BM8" s="794"/>
      <c r="BN8" s="794"/>
      <c r="BO8" s="794"/>
      <c r="BP8" s="794"/>
      <c r="BQ8" s="794"/>
      <c r="BR8" s="794"/>
      <c r="BS8" s="794" t="s">
        <v>68</v>
      </c>
      <c r="BT8" s="14"/>
      <c r="BU8" s="14"/>
      <c r="BV8" s="14"/>
      <c r="BW8" s="14"/>
      <c r="BX8" s="14"/>
      <c r="BY8" s="1431" t="s">
        <v>1430</v>
      </c>
      <c r="BZ8" s="40" t="s">
        <v>76</v>
      </c>
      <c r="CA8" s="563"/>
      <c r="CB8" s="563"/>
      <c r="CC8" s="563"/>
      <c r="CD8" s="563"/>
      <c r="CE8" s="563"/>
      <c r="CF8" s="563"/>
      <c r="CG8" s="563"/>
      <c r="CH8" s="13"/>
    </row>
    <row r="9" spans="1:86" ht="90" hidden="1" customHeight="1">
      <c r="A9"/>
      <c r="B9" s="23"/>
      <c r="C9" s="23"/>
      <c r="D9" s="23"/>
      <c r="E9" s="23"/>
      <c r="F9" s="23"/>
      <c r="G9" s="1368"/>
      <c r="H9" s="490"/>
      <c r="I9" s="17">
        <v>2013</v>
      </c>
      <c r="J9" s="1676"/>
      <c r="K9" s="18" t="s">
        <v>77</v>
      </c>
      <c r="L9" s="20" t="s">
        <v>86</v>
      </c>
      <c r="M9" s="2" t="s">
        <v>4077</v>
      </c>
      <c r="N9" s="3" t="s">
        <v>88</v>
      </c>
      <c r="O9" s="3"/>
      <c r="P9" s="4"/>
      <c r="Q9" s="6"/>
      <c r="R9" s="1"/>
      <c r="S9" s="18"/>
      <c r="T9" s="14" t="s">
        <v>68</v>
      </c>
      <c r="U9" s="20" t="s">
        <v>68</v>
      </c>
      <c r="V9" s="18"/>
      <c r="W9" s="64">
        <v>41463</v>
      </c>
      <c r="X9" s="111"/>
      <c r="Y9" s="20" t="s">
        <v>82</v>
      </c>
      <c r="Z9" s="5">
        <v>41478</v>
      </c>
      <c r="AA9" s="4">
        <v>81759.66</v>
      </c>
      <c r="AB9" s="4"/>
      <c r="AC9" s="34"/>
      <c r="AD9" s="36" t="s">
        <v>68</v>
      </c>
      <c r="AE9" s="119" t="s">
        <v>68</v>
      </c>
      <c r="AF9" s="119" t="s">
        <v>68</v>
      </c>
      <c r="AG9" s="7" t="s">
        <v>68</v>
      </c>
      <c r="AH9" s="235" t="s">
        <v>68</v>
      </c>
      <c r="AI9" s="35" t="s">
        <v>89</v>
      </c>
      <c r="AJ9" s="1"/>
      <c r="AK9" s="1"/>
      <c r="AL9" s="1"/>
      <c r="AM9" s="1"/>
      <c r="AN9" s="1"/>
      <c r="AO9" s="1"/>
      <c r="AP9" s="306"/>
      <c r="AQ9" s="240">
        <v>0</v>
      </c>
      <c r="AR9" s="1031">
        <f>BG9</f>
        <v>0</v>
      </c>
      <c r="AS9" s="1017"/>
      <c r="AT9" s="32">
        <v>41481</v>
      </c>
      <c r="AU9" s="12">
        <v>41493</v>
      </c>
      <c r="AV9" s="32"/>
      <c r="AW9" s="54"/>
      <c r="AX9" s="20"/>
      <c r="AY9" s="1"/>
      <c r="AZ9" s="1"/>
      <c r="BA9" s="18"/>
      <c r="BB9" s="20"/>
      <c r="BC9" s="13"/>
      <c r="BD9" s="1"/>
      <c r="BE9" s="1"/>
      <c r="BF9" s="1"/>
      <c r="BG9" s="18"/>
      <c r="BH9" s="14"/>
      <c r="BI9" s="794" t="s">
        <v>68</v>
      </c>
      <c r="BJ9" s="795" t="s">
        <v>68</v>
      </c>
      <c r="BK9" s="795" t="s">
        <v>68</v>
      </c>
      <c r="BL9" s="794"/>
      <c r="BM9" s="794"/>
      <c r="BN9" s="794"/>
      <c r="BO9" s="794"/>
      <c r="BP9" s="794"/>
      <c r="BQ9" s="794"/>
      <c r="BR9" s="794"/>
      <c r="BS9" s="794" t="s">
        <v>68</v>
      </c>
      <c r="BT9" s="14"/>
      <c r="BU9" s="14"/>
      <c r="BV9" s="14"/>
      <c r="BW9" s="14"/>
      <c r="BX9" s="14"/>
      <c r="BY9" s="1431" t="s">
        <v>1430</v>
      </c>
      <c r="BZ9" s="40" t="s">
        <v>76</v>
      </c>
      <c r="CA9" s="563"/>
      <c r="CB9" s="563"/>
      <c r="CC9" s="563"/>
      <c r="CD9" s="563"/>
      <c r="CE9" s="563"/>
      <c r="CF9" s="563"/>
      <c r="CG9" s="563"/>
      <c r="CH9" s="13"/>
    </row>
    <row r="10" spans="1:86" ht="90" hidden="1" customHeight="1">
      <c r="A10"/>
      <c r="B10" s="23"/>
      <c r="C10" s="23"/>
      <c r="D10" s="23"/>
      <c r="E10" s="23"/>
      <c r="F10" s="23"/>
      <c r="G10" s="1368"/>
      <c r="H10" s="490"/>
      <c r="I10" s="17">
        <v>2013</v>
      </c>
      <c r="J10" s="1676"/>
      <c r="K10" s="18" t="s">
        <v>77</v>
      </c>
      <c r="L10" s="20" t="s">
        <v>90</v>
      </c>
      <c r="M10" s="2" t="s">
        <v>4077</v>
      </c>
      <c r="N10" s="3" t="s">
        <v>91</v>
      </c>
      <c r="O10" s="3"/>
      <c r="P10" s="4">
        <v>234538.12</v>
      </c>
      <c r="Q10" s="6">
        <v>41479</v>
      </c>
      <c r="R10" s="5">
        <v>41479</v>
      </c>
      <c r="S10" s="12">
        <v>41486</v>
      </c>
      <c r="T10" s="14" t="s">
        <v>68</v>
      </c>
      <c r="U10" s="20" t="s">
        <v>68</v>
      </c>
      <c r="V10" s="12"/>
      <c r="W10" s="64">
        <v>41465</v>
      </c>
      <c r="X10" s="111"/>
      <c r="Y10" s="20" t="s">
        <v>82</v>
      </c>
      <c r="Z10" s="5">
        <v>41478</v>
      </c>
      <c r="AA10" s="4">
        <v>234538.12</v>
      </c>
      <c r="AB10" s="4"/>
      <c r="AC10" s="34"/>
      <c r="AD10" s="36" t="s">
        <v>68</v>
      </c>
      <c r="AE10" s="119" t="s">
        <v>68</v>
      </c>
      <c r="AF10" s="119" t="s">
        <v>68</v>
      </c>
      <c r="AG10" s="7" t="s">
        <v>68</v>
      </c>
      <c r="AH10" s="235" t="s">
        <v>68</v>
      </c>
      <c r="AI10" s="35"/>
      <c r="AJ10" s="1"/>
      <c r="AK10" s="1"/>
      <c r="AL10" s="1"/>
      <c r="AM10" s="1"/>
      <c r="AN10" s="1"/>
      <c r="AO10" s="1"/>
      <c r="AP10" s="306"/>
      <c r="AQ10" s="37">
        <v>52628.800000000003</v>
      </c>
      <c r="AR10" s="1031">
        <v>181909.28</v>
      </c>
      <c r="AS10" s="1018"/>
      <c r="AT10" s="32">
        <v>41481</v>
      </c>
      <c r="AU10" s="12">
        <v>41493</v>
      </c>
      <c r="AV10" s="32"/>
      <c r="AW10" s="54"/>
      <c r="AX10" s="20"/>
      <c r="AY10" s="1"/>
      <c r="AZ10" s="1"/>
      <c r="BA10" s="18"/>
      <c r="BB10" s="20"/>
      <c r="BC10" s="13"/>
      <c r="BD10" s="1"/>
      <c r="BE10" s="1"/>
      <c r="BF10" s="1"/>
      <c r="BG10" s="18"/>
      <c r="BH10" s="14"/>
      <c r="BI10" s="794" t="s">
        <v>68</v>
      </c>
      <c r="BJ10" s="795" t="s">
        <v>68</v>
      </c>
      <c r="BK10" s="795" t="s">
        <v>68</v>
      </c>
      <c r="BL10" s="794"/>
      <c r="BM10" s="794"/>
      <c r="BN10" s="794"/>
      <c r="BO10" s="794"/>
      <c r="BP10" s="794"/>
      <c r="BQ10" s="794"/>
      <c r="BR10" s="794"/>
      <c r="BS10" s="794" t="s">
        <v>68</v>
      </c>
      <c r="BT10" s="14"/>
      <c r="BU10" s="14"/>
      <c r="BV10" s="14"/>
      <c r="BW10" s="14"/>
      <c r="BX10" s="14"/>
      <c r="BY10" s="1431" t="s">
        <v>1430</v>
      </c>
      <c r="BZ10" s="40" t="s">
        <v>76</v>
      </c>
      <c r="CA10" s="563"/>
      <c r="CB10" s="563"/>
      <c r="CC10" s="563"/>
      <c r="CD10" s="563"/>
      <c r="CE10" s="563"/>
      <c r="CF10" s="563"/>
      <c r="CG10" s="563"/>
      <c r="CH10" s="13"/>
    </row>
    <row r="11" spans="1:86" ht="90" hidden="1" customHeight="1">
      <c r="A11"/>
      <c r="B11" s="23"/>
      <c r="C11" s="23"/>
      <c r="D11" s="23"/>
      <c r="E11" s="23"/>
      <c r="F11" s="23"/>
      <c r="G11" s="1368"/>
      <c r="H11" s="490"/>
      <c r="I11" s="17">
        <v>2013</v>
      </c>
      <c r="J11" s="1676"/>
      <c r="K11" s="18" t="s">
        <v>77</v>
      </c>
      <c r="L11" s="20" t="s">
        <v>92</v>
      </c>
      <c r="M11" s="2" t="s">
        <v>4077</v>
      </c>
      <c r="N11" s="3" t="s">
        <v>93</v>
      </c>
      <c r="O11" s="3"/>
      <c r="P11" s="4">
        <v>270189.96000000002</v>
      </c>
      <c r="Q11" s="6">
        <v>41484</v>
      </c>
      <c r="R11" s="5">
        <v>41479</v>
      </c>
      <c r="S11" s="12">
        <v>41510</v>
      </c>
      <c r="T11" s="14" t="s">
        <v>68</v>
      </c>
      <c r="U11" s="20" t="s">
        <v>68</v>
      </c>
      <c r="V11" s="12"/>
      <c r="W11" s="64">
        <v>41515</v>
      </c>
      <c r="X11" s="111"/>
      <c r="Y11" s="20" t="s">
        <v>82</v>
      </c>
      <c r="Z11" s="5">
        <v>41478</v>
      </c>
      <c r="AA11" s="4">
        <v>270189.96000000002</v>
      </c>
      <c r="AB11" s="4"/>
      <c r="AC11" s="34"/>
      <c r="AD11" s="36" t="s">
        <v>68</v>
      </c>
      <c r="AE11" s="119" t="s">
        <v>68</v>
      </c>
      <c r="AF11" s="119" t="s">
        <v>68</v>
      </c>
      <c r="AG11" s="7" t="s">
        <v>68</v>
      </c>
      <c r="AH11" s="235" t="s">
        <v>68</v>
      </c>
      <c r="AI11" s="35" t="s">
        <v>89</v>
      </c>
      <c r="AJ11" s="1" t="s">
        <v>68</v>
      </c>
      <c r="AK11" s="1"/>
      <c r="AL11" s="1" t="s">
        <v>68</v>
      </c>
      <c r="AM11" s="1"/>
      <c r="AN11" s="1" t="s">
        <v>68</v>
      </c>
      <c r="AO11" s="1"/>
      <c r="AP11" s="306"/>
      <c r="AQ11" s="37">
        <v>51088.49</v>
      </c>
      <c r="AR11" s="1031">
        <v>218894.32</v>
      </c>
      <c r="AS11" s="1018"/>
      <c r="AT11" s="32">
        <v>41479</v>
      </c>
      <c r="AU11" s="12">
        <v>41494</v>
      </c>
      <c r="AV11" s="32"/>
      <c r="AW11" s="54"/>
      <c r="AX11" s="20"/>
      <c r="AY11" s="1"/>
      <c r="AZ11" s="1"/>
      <c r="BA11" s="18"/>
      <c r="BB11" s="20"/>
      <c r="BC11" s="13"/>
      <c r="BD11" s="1"/>
      <c r="BE11" s="1"/>
      <c r="BF11" s="1"/>
      <c r="BG11" s="38">
        <v>269982.81</v>
      </c>
      <c r="BH11" s="14"/>
      <c r="BI11" s="794" t="s">
        <v>68</v>
      </c>
      <c r="BJ11" s="795" t="s">
        <v>68</v>
      </c>
      <c r="BK11" s="795" t="s">
        <v>68</v>
      </c>
      <c r="BL11" s="794"/>
      <c r="BM11" s="794"/>
      <c r="BN11" s="794"/>
      <c r="BO11" s="794"/>
      <c r="BP11" s="794"/>
      <c r="BQ11" s="794"/>
      <c r="BR11" s="794"/>
      <c r="BS11" s="794" t="s">
        <v>68</v>
      </c>
      <c r="BT11" s="14"/>
      <c r="BU11" s="14"/>
      <c r="BV11" s="14"/>
      <c r="BW11" s="14"/>
      <c r="BX11" s="14"/>
      <c r="BY11" s="1431" t="s">
        <v>1430</v>
      </c>
      <c r="BZ11" s="40" t="s">
        <v>76</v>
      </c>
      <c r="CA11" s="563"/>
      <c r="CB11" s="563"/>
      <c r="CC11" s="563"/>
      <c r="CD11" s="563"/>
      <c r="CE11" s="563"/>
      <c r="CF11" s="563"/>
      <c r="CG11" s="563"/>
      <c r="CH11" s="13"/>
    </row>
    <row r="12" spans="1:86" ht="90" hidden="1" customHeight="1">
      <c r="A12"/>
      <c r="B12" s="23"/>
      <c r="C12" s="23"/>
      <c r="D12" s="23"/>
      <c r="E12" s="23"/>
      <c r="F12" s="23"/>
      <c r="G12" s="1368"/>
      <c r="H12" s="490"/>
      <c r="I12" s="17">
        <v>2013</v>
      </c>
      <c r="J12" s="1676"/>
      <c r="K12" s="18" t="s">
        <v>77</v>
      </c>
      <c r="L12" s="20" t="s">
        <v>94</v>
      </c>
      <c r="M12" s="2" t="s">
        <v>4077</v>
      </c>
      <c r="N12" s="3" t="s">
        <v>95</v>
      </c>
      <c r="O12" s="3"/>
      <c r="P12" s="4">
        <v>297377.52</v>
      </c>
      <c r="Q12" s="6">
        <v>41479</v>
      </c>
      <c r="R12" s="5">
        <v>41479</v>
      </c>
      <c r="S12" s="12">
        <v>41501</v>
      </c>
      <c r="T12" s="14" t="s">
        <v>68</v>
      </c>
      <c r="U12" s="20" t="s">
        <v>68</v>
      </c>
      <c r="V12" s="12"/>
      <c r="W12" s="64">
        <v>41463</v>
      </c>
      <c r="X12" s="111"/>
      <c r="Y12" s="20" t="s">
        <v>82</v>
      </c>
      <c r="Z12" s="5">
        <v>41478</v>
      </c>
      <c r="AA12" s="4">
        <v>297377.52</v>
      </c>
      <c r="AB12" s="4"/>
      <c r="AC12" s="34"/>
      <c r="AD12" s="36" t="s">
        <v>68</v>
      </c>
      <c r="AE12" s="119" t="s">
        <v>68</v>
      </c>
      <c r="AF12" s="119" t="s">
        <v>68</v>
      </c>
      <c r="AG12" s="7" t="s">
        <v>68</v>
      </c>
      <c r="AH12" s="235" t="s">
        <v>68</v>
      </c>
      <c r="AI12" s="35" t="s">
        <v>89</v>
      </c>
      <c r="AJ12" s="1" t="s">
        <v>68</v>
      </c>
      <c r="AK12" s="1"/>
      <c r="AL12" s="1" t="s">
        <v>68</v>
      </c>
      <c r="AM12" s="1"/>
      <c r="AN12" s="1" t="s">
        <v>68</v>
      </c>
      <c r="AO12" s="1"/>
      <c r="AP12" s="306"/>
      <c r="AQ12" s="37">
        <v>77814.44</v>
      </c>
      <c r="AR12" s="1031">
        <v>216537.2</v>
      </c>
      <c r="AS12" s="1018"/>
      <c r="AT12" s="20"/>
      <c r="AU12" s="18"/>
      <c r="AV12" s="20"/>
      <c r="AW12" s="79"/>
      <c r="AX12" s="20"/>
      <c r="AY12" s="1"/>
      <c r="AZ12" s="1"/>
      <c r="BA12" s="18"/>
      <c r="BB12" s="20"/>
      <c r="BC12" s="13"/>
      <c r="BD12" s="1"/>
      <c r="BE12" s="1"/>
      <c r="BF12" s="1"/>
      <c r="BG12" s="38">
        <v>294351.64</v>
      </c>
      <c r="BH12" s="14"/>
      <c r="BI12" s="794" t="s">
        <v>68</v>
      </c>
      <c r="BJ12" s="795" t="s">
        <v>68</v>
      </c>
      <c r="BK12" s="795" t="s">
        <v>68</v>
      </c>
      <c r="BL12" s="794"/>
      <c r="BM12" s="794"/>
      <c r="BN12" s="794"/>
      <c r="BO12" s="794"/>
      <c r="BP12" s="794"/>
      <c r="BQ12" s="794"/>
      <c r="BR12" s="794"/>
      <c r="BS12" s="794" t="s">
        <v>68</v>
      </c>
      <c r="BT12" s="14"/>
      <c r="BU12" s="14"/>
      <c r="BV12" s="14"/>
      <c r="BW12" s="14"/>
      <c r="BX12" s="14"/>
      <c r="BY12" s="1431" t="s">
        <v>1430</v>
      </c>
      <c r="BZ12" s="40" t="s">
        <v>76</v>
      </c>
      <c r="CA12" s="563"/>
      <c r="CB12" s="563"/>
      <c r="CC12" s="563"/>
      <c r="CD12" s="563"/>
      <c r="CE12" s="563"/>
      <c r="CF12" s="563"/>
      <c r="CG12" s="563"/>
      <c r="CH12" s="13"/>
    </row>
    <row r="13" spans="1:86" ht="90" hidden="1" customHeight="1">
      <c r="A13"/>
      <c r="B13" s="23"/>
      <c r="C13" s="23"/>
      <c r="D13" s="23"/>
      <c r="E13" s="23"/>
      <c r="F13" s="23"/>
      <c r="G13" s="1368"/>
      <c r="H13" s="490"/>
      <c r="I13" s="17">
        <v>2013</v>
      </c>
      <c r="J13" s="1676"/>
      <c r="K13" s="18" t="s">
        <v>77</v>
      </c>
      <c r="L13" s="20" t="s">
        <v>96</v>
      </c>
      <c r="M13" s="2" t="s">
        <v>4077</v>
      </c>
      <c r="N13" s="3" t="s">
        <v>97</v>
      </c>
      <c r="O13" s="3"/>
      <c r="P13" s="4">
        <v>371000</v>
      </c>
      <c r="Q13" s="6">
        <v>41502</v>
      </c>
      <c r="R13" s="5">
        <v>41507</v>
      </c>
      <c r="S13" s="12">
        <v>41538</v>
      </c>
      <c r="T13" s="14" t="s">
        <v>68</v>
      </c>
      <c r="U13" s="20" t="s">
        <v>68</v>
      </c>
      <c r="V13" s="12"/>
      <c r="W13" s="64">
        <v>41506</v>
      </c>
      <c r="X13" s="111"/>
      <c r="Y13" s="20" t="s">
        <v>82</v>
      </c>
      <c r="Z13" s="5">
        <v>41478</v>
      </c>
      <c r="AA13" s="4">
        <v>371000</v>
      </c>
      <c r="AB13" s="4"/>
      <c r="AC13" s="34"/>
      <c r="AD13" s="36" t="s">
        <v>68</v>
      </c>
      <c r="AE13" s="119" t="s">
        <v>68</v>
      </c>
      <c r="AF13" s="119" t="s">
        <v>68</v>
      </c>
      <c r="AG13" s="7" t="s">
        <v>68</v>
      </c>
      <c r="AH13" s="235" t="s">
        <v>68</v>
      </c>
      <c r="AI13" s="35" t="s">
        <v>89</v>
      </c>
      <c r="AJ13" s="1" t="s">
        <v>68</v>
      </c>
      <c r="AK13" s="1"/>
      <c r="AL13" s="1" t="s">
        <v>68</v>
      </c>
      <c r="AM13" s="1"/>
      <c r="AN13" s="1" t="s">
        <v>68</v>
      </c>
      <c r="AO13" s="1"/>
      <c r="AP13" s="306"/>
      <c r="AQ13" s="37">
        <v>51973.11</v>
      </c>
      <c r="AR13" s="1031">
        <v>135751</v>
      </c>
      <c r="AS13" s="1018"/>
      <c r="AT13" s="32">
        <v>41494</v>
      </c>
      <c r="AU13" s="12">
        <v>41585</v>
      </c>
      <c r="AV13" s="32"/>
      <c r="AW13" s="54"/>
      <c r="AX13" s="20"/>
      <c r="AY13" s="1"/>
      <c r="AZ13" s="1"/>
      <c r="BA13" s="18"/>
      <c r="BB13" s="20"/>
      <c r="BC13" s="13"/>
      <c r="BD13" s="1"/>
      <c r="BE13" s="1"/>
      <c r="BF13" s="1"/>
      <c r="BG13" s="38">
        <v>187724.11</v>
      </c>
      <c r="BH13" s="14"/>
      <c r="BI13" s="794" t="s">
        <v>68</v>
      </c>
      <c r="BJ13" s="795" t="s">
        <v>68</v>
      </c>
      <c r="BK13" s="795" t="s">
        <v>68</v>
      </c>
      <c r="BL13" s="794"/>
      <c r="BM13" s="794"/>
      <c r="BN13" s="794"/>
      <c r="BO13" s="794"/>
      <c r="BP13" s="794"/>
      <c r="BQ13" s="794"/>
      <c r="BR13" s="794"/>
      <c r="BS13" s="794" t="s">
        <v>68</v>
      </c>
      <c r="BT13" s="14"/>
      <c r="BU13" s="14"/>
      <c r="BV13" s="14"/>
      <c r="BW13" s="14"/>
      <c r="BX13" s="14"/>
      <c r="BY13" s="1431" t="s">
        <v>1430</v>
      </c>
      <c r="BZ13" s="40" t="s">
        <v>76</v>
      </c>
      <c r="CA13" s="563"/>
      <c r="CB13" s="563"/>
      <c r="CC13" s="563"/>
      <c r="CD13" s="563"/>
      <c r="CE13" s="563"/>
      <c r="CF13" s="563"/>
      <c r="CG13" s="563"/>
      <c r="CH13" s="13"/>
    </row>
    <row r="14" spans="1:86" ht="90" hidden="1" customHeight="1">
      <c r="A14"/>
      <c r="B14" s="23"/>
      <c r="C14" s="23"/>
      <c r="D14" s="23"/>
      <c r="E14" s="23"/>
      <c r="F14" s="23"/>
      <c r="G14" s="1368"/>
      <c r="H14" s="490"/>
      <c r="I14" s="17">
        <v>2013</v>
      </c>
      <c r="J14" s="1676"/>
      <c r="K14" s="18" t="s">
        <v>77</v>
      </c>
      <c r="L14" s="20" t="s">
        <v>98</v>
      </c>
      <c r="M14" s="2" t="s">
        <v>4077</v>
      </c>
      <c r="N14" s="3" t="s">
        <v>99</v>
      </c>
      <c r="O14" s="3"/>
      <c r="P14" s="4">
        <v>355866.93</v>
      </c>
      <c r="Q14" s="6">
        <v>41479</v>
      </c>
      <c r="R14" s="5">
        <v>41479</v>
      </c>
      <c r="S14" s="12">
        <v>41493</v>
      </c>
      <c r="T14" s="14" t="s">
        <v>68</v>
      </c>
      <c r="U14" s="20" t="s">
        <v>68</v>
      </c>
      <c r="V14" s="12"/>
      <c r="W14" s="64">
        <v>41458</v>
      </c>
      <c r="X14" s="111"/>
      <c r="Y14" s="20" t="s">
        <v>82</v>
      </c>
      <c r="Z14" s="5">
        <v>41478</v>
      </c>
      <c r="AA14" s="4">
        <v>355866.93</v>
      </c>
      <c r="AB14" s="4"/>
      <c r="AC14" s="34"/>
      <c r="AD14" s="36" t="s">
        <v>68</v>
      </c>
      <c r="AE14" s="119" t="s">
        <v>68</v>
      </c>
      <c r="AF14" s="119" t="s">
        <v>68</v>
      </c>
      <c r="AG14" s="7" t="s">
        <v>68</v>
      </c>
      <c r="AH14" s="235" t="s">
        <v>68</v>
      </c>
      <c r="AI14" s="35" t="s">
        <v>89</v>
      </c>
      <c r="AJ14" s="1"/>
      <c r="AK14" s="1"/>
      <c r="AL14" s="1"/>
      <c r="AM14" s="1"/>
      <c r="AN14" s="1"/>
      <c r="AO14" s="1"/>
      <c r="AP14" s="306"/>
      <c r="AQ14" s="37">
        <v>100811.74</v>
      </c>
      <c r="AR14" s="1031">
        <v>211590</v>
      </c>
      <c r="AS14" s="1018"/>
      <c r="AT14" s="32">
        <v>41479</v>
      </c>
      <c r="AU14" s="12">
        <v>41495</v>
      </c>
      <c r="AV14" s="32"/>
      <c r="AW14" s="54"/>
      <c r="AX14" s="32">
        <v>41505</v>
      </c>
      <c r="AY14" s="5">
        <v>41479</v>
      </c>
      <c r="AZ14" s="5">
        <v>41493</v>
      </c>
      <c r="BA14" s="12">
        <v>41493</v>
      </c>
      <c r="BB14" s="32"/>
      <c r="BC14" s="341"/>
      <c r="BD14" s="1"/>
      <c r="BE14" s="1"/>
      <c r="BF14" s="1"/>
      <c r="BG14" s="38">
        <v>312401.74</v>
      </c>
      <c r="BH14" s="64"/>
      <c r="BI14" s="794" t="s">
        <v>68</v>
      </c>
      <c r="BJ14" s="795" t="s">
        <v>68</v>
      </c>
      <c r="BK14" s="795" t="s">
        <v>68</v>
      </c>
      <c r="BL14" s="794"/>
      <c r="BM14" s="794"/>
      <c r="BN14" s="794"/>
      <c r="BO14" s="794"/>
      <c r="BP14" s="794"/>
      <c r="BQ14" s="794"/>
      <c r="BR14" s="794"/>
      <c r="BS14" s="794" t="s">
        <v>68</v>
      </c>
      <c r="BT14" s="14"/>
      <c r="BU14" s="14"/>
      <c r="BV14" s="14"/>
      <c r="BW14" s="14"/>
      <c r="BX14" s="14"/>
      <c r="BY14" s="1431" t="s">
        <v>1430</v>
      </c>
      <c r="BZ14" s="40" t="s">
        <v>76</v>
      </c>
      <c r="CA14" s="563"/>
      <c r="CB14" s="563"/>
      <c r="CC14" s="563"/>
      <c r="CD14" s="563"/>
      <c r="CE14" s="563"/>
      <c r="CF14" s="563"/>
      <c r="CG14" s="563"/>
      <c r="CH14" s="13"/>
    </row>
    <row r="15" spans="1:86" ht="90" hidden="1" customHeight="1">
      <c r="A15"/>
      <c r="B15" s="23"/>
      <c r="C15" s="23"/>
      <c r="D15" s="23"/>
      <c r="E15" s="23"/>
      <c r="F15" s="23"/>
      <c r="G15" s="1368"/>
      <c r="H15" s="490"/>
      <c r="I15" s="17">
        <v>2013</v>
      </c>
      <c r="J15" s="1676"/>
      <c r="K15" s="18" t="s">
        <v>77</v>
      </c>
      <c r="L15" s="20" t="s">
        <v>100</v>
      </c>
      <c r="M15" s="2" t="s">
        <v>4077</v>
      </c>
      <c r="N15" s="3" t="s">
        <v>101</v>
      </c>
      <c r="O15" s="3"/>
      <c r="P15" s="4">
        <v>73286.47</v>
      </c>
      <c r="Q15" s="6">
        <v>41488</v>
      </c>
      <c r="R15" s="5">
        <v>41507</v>
      </c>
      <c r="S15" s="12">
        <v>41538</v>
      </c>
      <c r="T15" s="14" t="s">
        <v>68</v>
      </c>
      <c r="U15" s="20" t="s">
        <v>68</v>
      </c>
      <c r="V15" s="12"/>
      <c r="W15" s="64">
        <v>41478</v>
      </c>
      <c r="X15" s="111"/>
      <c r="Y15" s="20" t="s">
        <v>82</v>
      </c>
      <c r="Z15" s="5">
        <v>41478</v>
      </c>
      <c r="AA15" s="4">
        <v>44159.59</v>
      </c>
      <c r="AB15" s="4"/>
      <c r="AC15" s="34"/>
      <c r="AD15" s="36" t="s">
        <v>68</v>
      </c>
      <c r="AE15" s="119" t="s">
        <v>68</v>
      </c>
      <c r="AF15" s="119" t="s">
        <v>68</v>
      </c>
      <c r="AG15" s="7" t="s">
        <v>68</v>
      </c>
      <c r="AH15" s="235" t="s">
        <v>68</v>
      </c>
      <c r="AI15" s="35" t="s">
        <v>89</v>
      </c>
      <c r="AJ15" s="1"/>
      <c r="AK15" s="1"/>
      <c r="AL15" s="1"/>
      <c r="AM15" s="1"/>
      <c r="AN15" s="1"/>
      <c r="AO15" s="1"/>
      <c r="AP15" s="306"/>
      <c r="AQ15" s="37">
        <v>12784</v>
      </c>
      <c r="AR15" s="1031">
        <v>29637</v>
      </c>
      <c r="AS15" s="1018"/>
      <c r="AT15" s="32">
        <v>41498</v>
      </c>
      <c r="AU15" s="12">
        <v>41505</v>
      </c>
      <c r="AV15" s="32"/>
      <c r="AW15" s="54"/>
      <c r="AX15" s="32">
        <v>41516</v>
      </c>
      <c r="AY15" s="5">
        <v>41493</v>
      </c>
      <c r="AZ15" s="5">
        <v>41501</v>
      </c>
      <c r="BA15" s="12">
        <v>41503</v>
      </c>
      <c r="BB15" s="20"/>
      <c r="BC15" s="13"/>
      <c r="BD15" s="1"/>
      <c r="BE15" s="1"/>
      <c r="BF15" s="1"/>
      <c r="BG15" s="38">
        <v>42421</v>
      </c>
      <c r="BH15" s="64"/>
      <c r="BI15" s="794" t="s">
        <v>68</v>
      </c>
      <c r="BJ15" s="795" t="s">
        <v>68</v>
      </c>
      <c r="BK15" s="795" t="s">
        <v>68</v>
      </c>
      <c r="BL15" s="794"/>
      <c r="BM15" s="794"/>
      <c r="BN15" s="794"/>
      <c r="BO15" s="794"/>
      <c r="BP15" s="794"/>
      <c r="BQ15" s="794"/>
      <c r="BR15" s="794"/>
      <c r="BS15" s="794" t="s">
        <v>68</v>
      </c>
      <c r="BT15" s="14"/>
      <c r="BU15" s="14"/>
      <c r="BV15" s="14"/>
      <c r="BW15" s="14"/>
      <c r="BX15" s="14"/>
      <c r="BY15" s="1431" t="s">
        <v>1430</v>
      </c>
      <c r="BZ15" s="40" t="s">
        <v>76</v>
      </c>
      <c r="CA15" s="563"/>
      <c r="CB15" s="563"/>
      <c r="CC15" s="563"/>
      <c r="CD15" s="563"/>
      <c r="CE15" s="563"/>
      <c r="CF15" s="563"/>
      <c r="CG15" s="563"/>
      <c r="CH15" s="13"/>
    </row>
    <row r="16" spans="1:86" ht="90" hidden="1" customHeight="1">
      <c r="A16"/>
      <c r="B16" s="23"/>
      <c r="C16" s="23"/>
      <c r="D16" s="23"/>
      <c r="E16" s="23"/>
      <c r="F16" s="23"/>
      <c r="G16" s="1368"/>
      <c r="H16" s="490"/>
      <c r="I16" s="17">
        <v>2013</v>
      </c>
      <c r="J16" s="1676"/>
      <c r="K16" s="18" t="s">
        <v>77</v>
      </c>
      <c r="L16" s="20" t="s">
        <v>102</v>
      </c>
      <c r="M16" s="2" t="s">
        <v>4077</v>
      </c>
      <c r="N16" s="3" t="s">
        <v>103</v>
      </c>
      <c r="O16" s="3"/>
      <c r="P16" s="4">
        <v>172000</v>
      </c>
      <c r="Q16" s="6">
        <v>41488</v>
      </c>
      <c r="R16" s="5">
        <v>41493</v>
      </c>
      <c r="S16" s="12">
        <v>41506</v>
      </c>
      <c r="T16" s="14" t="s">
        <v>68</v>
      </c>
      <c r="U16" s="20" t="s">
        <v>68</v>
      </c>
      <c r="V16" s="12"/>
      <c r="W16" s="64">
        <v>41464</v>
      </c>
      <c r="X16" s="111"/>
      <c r="Y16" s="20" t="s">
        <v>82</v>
      </c>
      <c r="Z16" s="5">
        <v>41478</v>
      </c>
      <c r="AA16" s="4">
        <v>172000</v>
      </c>
      <c r="AB16" s="4"/>
      <c r="AC16" s="34"/>
      <c r="AD16" s="36" t="s">
        <v>68</v>
      </c>
      <c r="AE16" s="119" t="s">
        <v>68</v>
      </c>
      <c r="AF16" s="119" t="s">
        <v>68</v>
      </c>
      <c r="AG16" s="7" t="s">
        <v>68</v>
      </c>
      <c r="AH16" s="235" t="s">
        <v>68</v>
      </c>
      <c r="AI16" s="35" t="s">
        <v>89</v>
      </c>
      <c r="AJ16" s="1"/>
      <c r="AK16" s="1"/>
      <c r="AL16" s="1"/>
      <c r="AM16" s="1"/>
      <c r="AN16" s="1"/>
      <c r="AO16" s="1"/>
      <c r="AP16" s="306"/>
      <c r="AQ16" s="37">
        <v>61547.3</v>
      </c>
      <c r="AR16" s="1031">
        <v>108606</v>
      </c>
      <c r="AS16" s="1018"/>
      <c r="AT16" s="32">
        <v>41494</v>
      </c>
      <c r="AU16" s="12">
        <v>41505</v>
      </c>
      <c r="AV16" s="32"/>
      <c r="AW16" s="54"/>
      <c r="AX16" s="32">
        <v>41516</v>
      </c>
      <c r="AY16" s="5">
        <v>41493</v>
      </c>
      <c r="AZ16" s="5">
        <v>41506</v>
      </c>
      <c r="BA16" s="12">
        <v>41503</v>
      </c>
      <c r="BB16" s="20"/>
      <c r="BC16" s="13"/>
      <c r="BD16" s="1"/>
      <c r="BE16" s="1"/>
      <c r="BF16" s="1"/>
      <c r="BG16" s="38">
        <v>170153.3</v>
      </c>
      <c r="BH16" s="64"/>
      <c r="BI16" s="794" t="s">
        <v>68</v>
      </c>
      <c r="BJ16" s="795" t="s">
        <v>68</v>
      </c>
      <c r="BK16" s="795" t="s">
        <v>68</v>
      </c>
      <c r="BL16" s="794"/>
      <c r="BM16" s="794"/>
      <c r="BN16" s="794"/>
      <c r="BO16" s="794"/>
      <c r="BP16" s="794"/>
      <c r="BQ16" s="794"/>
      <c r="BR16" s="794"/>
      <c r="BS16" s="794" t="s">
        <v>68</v>
      </c>
      <c r="BT16" s="14"/>
      <c r="BU16" s="14"/>
      <c r="BV16" s="14"/>
      <c r="BW16" s="14"/>
      <c r="BX16" s="14"/>
      <c r="BY16" s="1431" t="s">
        <v>1430</v>
      </c>
      <c r="BZ16" s="40" t="s">
        <v>76</v>
      </c>
      <c r="CA16" s="563"/>
      <c r="CB16" s="563"/>
      <c r="CC16" s="563"/>
      <c r="CD16" s="563"/>
      <c r="CE16" s="563"/>
      <c r="CF16" s="563"/>
      <c r="CG16" s="563"/>
      <c r="CH16" s="13"/>
    </row>
    <row r="17" spans="2:86" customFormat="1" ht="90" hidden="1" customHeight="1">
      <c r="B17" s="23"/>
      <c r="C17" s="23"/>
      <c r="D17" s="23"/>
      <c r="E17" s="23"/>
      <c r="F17" s="23"/>
      <c r="G17" s="1368"/>
      <c r="H17" s="490"/>
      <c r="I17" s="17">
        <v>2013</v>
      </c>
      <c r="J17" s="1676"/>
      <c r="K17" s="18" t="s">
        <v>77</v>
      </c>
      <c r="L17" s="20" t="s">
        <v>104</v>
      </c>
      <c r="M17" s="2" t="s">
        <v>66</v>
      </c>
      <c r="N17" s="3" t="s">
        <v>105</v>
      </c>
      <c r="O17" s="3"/>
      <c r="P17" s="4">
        <v>1084867.96</v>
      </c>
      <c r="Q17" s="6">
        <v>41516</v>
      </c>
      <c r="R17" s="5">
        <v>41553</v>
      </c>
      <c r="S17" s="12">
        <v>41623</v>
      </c>
      <c r="T17" s="14" t="s">
        <v>68</v>
      </c>
      <c r="U17" s="123" t="s">
        <v>106</v>
      </c>
      <c r="V17" s="221" t="s">
        <v>70</v>
      </c>
      <c r="W17" s="64"/>
      <c r="X17" s="111"/>
      <c r="Y17" s="20" t="s">
        <v>82</v>
      </c>
      <c r="Z17" s="5">
        <v>41478</v>
      </c>
      <c r="AA17" s="4">
        <v>1200000</v>
      </c>
      <c r="AB17" s="4"/>
      <c r="AC17" s="34"/>
      <c r="AD17" s="36">
        <v>41498</v>
      </c>
      <c r="AE17" s="119" t="s">
        <v>68</v>
      </c>
      <c r="AF17" s="119" t="s">
        <v>68</v>
      </c>
      <c r="AG17" s="7">
        <v>41507</v>
      </c>
      <c r="AH17" s="235">
        <v>41509</v>
      </c>
      <c r="AI17" s="35" t="s">
        <v>107</v>
      </c>
      <c r="AJ17" s="1" t="s">
        <v>108</v>
      </c>
      <c r="AK17" s="5">
        <v>41516</v>
      </c>
      <c r="AL17" s="1" t="s">
        <v>109</v>
      </c>
      <c r="AM17" s="5">
        <v>41516</v>
      </c>
      <c r="AN17" s="1" t="s">
        <v>110</v>
      </c>
      <c r="AO17" s="5">
        <v>41516</v>
      </c>
      <c r="AP17" s="306"/>
      <c r="AQ17" s="37">
        <v>0</v>
      </c>
      <c r="AR17" s="1031">
        <v>1084867.96</v>
      </c>
      <c r="AS17" s="1018"/>
      <c r="AT17" s="169"/>
      <c r="AU17" s="18"/>
      <c r="AV17" s="243" t="s">
        <v>68</v>
      </c>
      <c r="AW17" s="244" t="s">
        <v>68</v>
      </c>
      <c r="AX17" s="78">
        <v>41624</v>
      </c>
      <c r="AY17" s="5">
        <v>41553</v>
      </c>
      <c r="AZ17" s="5">
        <v>41623</v>
      </c>
      <c r="BA17" s="18"/>
      <c r="BB17" s="247">
        <v>41624</v>
      </c>
      <c r="BC17" s="1942"/>
      <c r="BD17" s="5">
        <v>41553</v>
      </c>
      <c r="BE17" s="5">
        <v>41623</v>
      </c>
      <c r="BF17" s="5">
        <v>41621</v>
      </c>
      <c r="BG17" s="38">
        <v>1084867.96</v>
      </c>
      <c r="BH17" s="217" t="s">
        <v>74</v>
      </c>
      <c r="BI17" s="794" t="s">
        <v>68</v>
      </c>
      <c r="BJ17" s="795" t="s">
        <v>68</v>
      </c>
      <c r="BK17" s="795" t="s">
        <v>68</v>
      </c>
      <c r="BL17" s="794"/>
      <c r="BM17" s="794"/>
      <c r="BN17" s="794"/>
      <c r="BO17" s="794"/>
      <c r="BP17" s="794"/>
      <c r="BQ17" s="794"/>
      <c r="BR17" s="794"/>
      <c r="BS17" s="794" t="s">
        <v>68</v>
      </c>
      <c r="BT17" s="14"/>
      <c r="BU17" s="14"/>
      <c r="BV17" s="14"/>
      <c r="BW17" s="14"/>
      <c r="BX17" s="14"/>
      <c r="BY17" s="1431" t="s">
        <v>1430</v>
      </c>
      <c r="BZ17" s="40" t="s">
        <v>76</v>
      </c>
      <c r="CA17" s="563"/>
      <c r="CB17" s="563"/>
      <c r="CC17" s="563"/>
      <c r="CD17" s="563"/>
      <c r="CE17" s="563"/>
      <c r="CF17" s="563"/>
      <c r="CG17" s="563"/>
      <c r="CH17" s="13"/>
    </row>
    <row r="18" spans="2:86" customFormat="1" ht="90" hidden="1" customHeight="1">
      <c r="B18" s="23"/>
      <c r="C18" s="23"/>
      <c r="D18" s="23"/>
      <c r="E18" s="23"/>
      <c r="F18" s="23"/>
      <c r="G18" s="1368"/>
      <c r="H18" s="490"/>
      <c r="I18" s="17">
        <v>2013</v>
      </c>
      <c r="J18" s="1676"/>
      <c r="K18" s="18" t="s">
        <v>77</v>
      </c>
      <c r="L18" s="20" t="s">
        <v>111</v>
      </c>
      <c r="M18" s="2" t="s">
        <v>79</v>
      </c>
      <c r="N18" s="3" t="s">
        <v>112</v>
      </c>
      <c r="O18" s="3"/>
      <c r="P18" s="4">
        <v>223854.45</v>
      </c>
      <c r="Q18" s="6">
        <v>41501</v>
      </c>
      <c r="R18" s="5">
        <v>41505</v>
      </c>
      <c r="S18" s="12">
        <v>41547</v>
      </c>
      <c r="T18" s="64">
        <v>41501</v>
      </c>
      <c r="U18" s="123" t="s">
        <v>113</v>
      </c>
      <c r="V18" s="221" t="s">
        <v>114</v>
      </c>
      <c r="W18" s="64">
        <v>41544</v>
      </c>
      <c r="X18" s="111"/>
      <c r="Y18" s="20" t="s">
        <v>82</v>
      </c>
      <c r="Z18" s="5">
        <v>41478</v>
      </c>
      <c r="AA18" s="4">
        <v>249000</v>
      </c>
      <c r="AB18" s="4"/>
      <c r="AC18" s="34"/>
      <c r="AD18" s="36" t="s">
        <v>68</v>
      </c>
      <c r="AE18" s="119" t="s">
        <v>68</v>
      </c>
      <c r="AF18" s="119" t="s">
        <v>68</v>
      </c>
      <c r="AG18" s="7" t="s">
        <v>68</v>
      </c>
      <c r="AH18" s="235" t="s">
        <v>68</v>
      </c>
      <c r="AI18" s="35" t="s">
        <v>115</v>
      </c>
      <c r="AJ18" s="1" t="s">
        <v>116</v>
      </c>
      <c r="AK18" s="5">
        <v>41501</v>
      </c>
      <c r="AL18" s="1" t="s">
        <v>117</v>
      </c>
      <c r="AM18" s="5">
        <v>41501</v>
      </c>
      <c r="AN18" s="238" t="s">
        <v>74</v>
      </c>
      <c r="AO18" s="1"/>
      <c r="AP18" s="306"/>
      <c r="AQ18" s="37">
        <v>0</v>
      </c>
      <c r="AR18" s="1031">
        <v>223853.44</v>
      </c>
      <c r="AS18" s="1018"/>
      <c r="AT18" s="78">
        <v>41551</v>
      </c>
      <c r="AU18" s="245">
        <v>41628</v>
      </c>
      <c r="AV18" s="78"/>
      <c r="AW18" s="246"/>
      <c r="AX18" s="174" t="s">
        <v>68</v>
      </c>
      <c r="AY18" s="1" t="s">
        <v>68</v>
      </c>
      <c r="AZ18" s="1" t="s">
        <v>68</v>
      </c>
      <c r="BA18" s="18" t="s">
        <v>68</v>
      </c>
      <c r="BB18" s="78">
        <v>41683</v>
      </c>
      <c r="BC18" s="344"/>
      <c r="BD18" s="1" t="s">
        <v>68</v>
      </c>
      <c r="BE18" s="1" t="s">
        <v>68</v>
      </c>
      <c r="BF18" s="1" t="s">
        <v>68</v>
      </c>
      <c r="BG18" s="38" t="s">
        <v>68</v>
      </c>
      <c r="BH18" s="217" t="s">
        <v>74</v>
      </c>
      <c r="BI18" s="794" t="s">
        <v>68</v>
      </c>
      <c r="BJ18" s="795" t="s">
        <v>68</v>
      </c>
      <c r="BK18" s="795" t="s">
        <v>68</v>
      </c>
      <c r="BL18" s="794"/>
      <c r="BM18" s="794"/>
      <c r="BN18" s="794"/>
      <c r="BO18" s="794"/>
      <c r="BP18" s="794"/>
      <c r="BQ18" s="794"/>
      <c r="BR18" s="794"/>
      <c r="BS18" s="794" t="s">
        <v>68</v>
      </c>
      <c r="BT18" s="14"/>
      <c r="BU18" s="14"/>
      <c r="BV18" s="14"/>
      <c r="BW18" s="14"/>
      <c r="BX18" s="14"/>
      <c r="BY18" s="1431" t="s">
        <v>1430</v>
      </c>
      <c r="BZ18" s="40" t="s">
        <v>76</v>
      </c>
      <c r="CA18" s="563"/>
      <c r="CB18" s="563"/>
      <c r="CC18" s="563"/>
      <c r="CD18" s="563"/>
      <c r="CE18" s="563"/>
      <c r="CF18" s="563"/>
      <c r="CG18" s="563"/>
      <c r="CH18" s="13"/>
    </row>
    <row r="19" spans="2:86" customFormat="1" ht="90" hidden="1" customHeight="1">
      <c r="B19" s="23"/>
      <c r="C19" s="23"/>
      <c r="D19" s="23"/>
      <c r="E19" s="23"/>
      <c r="F19" s="23"/>
      <c r="G19" s="1368"/>
      <c r="H19" s="490"/>
      <c r="I19" s="17">
        <v>2013</v>
      </c>
      <c r="J19" s="1676"/>
      <c r="K19" s="18" t="s">
        <v>77</v>
      </c>
      <c r="L19" s="20" t="s">
        <v>118</v>
      </c>
      <c r="M19" s="2" t="s">
        <v>79</v>
      </c>
      <c r="N19" s="3" t="s">
        <v>119</v>
      </c>
      <c r="O19" s="3"/>
      <c r="P19" s="4">
        <v>318371.84999999998</v>
      </c>
      <c r="Q19" s="6">
        <v>41501</v>
      </c>
      <c r="R19" s="5">
        <v>41519</v>
      </c>
      <c r="S19" s="12">
        <v>41573</v>
      </c>
      <c r="T19" s="64">
        <v>41501</v>
      </c>
      <c r="U19" s="123" t="s">
        <v>113</v>
      </c>
      <c r="V19" s="221" t="s">
        <v>114</v>
      </c>
      <c r="W19" s="64">
        <v>41544</v>
      </c>
      <c r="X19" s="111"/>
      <c r="Y19" s="20" t="s">
        <v>82</v>
      </c>
      <c r="Z19" s="5">
        <v>41478</v>
      </c>
      <c r="AA19" s="4">
        <v>323000</v>
      </c>
      <c r="AB19" s="4"/>
      <c r="AC19" s="34"/>
      <c r="AD19" s="36" t="s">
        <v>68</v>
      </c>
      <c r="AE19" s="119" t="s">
        <v>68</v>
      </c>
      <c r="AF19" s="119" t="s">
        <v>68</v>
      </c>
      <c r="AG19" s="7" t="s">
        <v>68</v>
      </c>
      <c r="AH19" s="235" t="s">
        <v>68</v>
      </c>
      <c r="AI19" s="35" t="s">
        <v>115</v>
      </c>
      <c r="AJ19" s="1" t="s">
        <v>120</v>
      </c>
      <c r="AK19" s="5">
        <v>41501</v>
      </c>
      <c r="AL19" s="1" t="s">
        <v>121</v>
      </c>
      <c r="AM19" s="5">
        <v>41501</v>
      </c>
      <c r="AN19" s="238" t="s">
        <v>74</v>
      </c>
      <c r="AO19" s="1"/>
      <c r="AP19" s="306"/>
      <c r="AQ19" s="37">
        <v>0</v>
      </c>
      <c r="AR19" s="1031">
        <v>318370.37</v>
      </c>
      <c r="AS19" s="1018"/>
      <c r="AT19" s="78">
        <v>41551</v>
      </c>
      <c r="AU19" s="245">
        <v>41628</v>
      </c>
      <c r="AV19" s="78"/>
      <c r="AW19" s="246"/>
      <c r="AX19" s="174" t="s">
        <v>68</v>
      </c>
      <c r="AY19" s="1" t="s">
        <v>68</v>
      </c>
      <c r="AZ19" s="1" t="s">
        <v>68</v>
      </c>
      <c r="BA19" s="18" t="s">
        <v>68</v>
      </c>
      <c r="BB19" s="78">
        <v>41344</v>
      </c>
      <c r="BC19" s="344"/>
      <c r="BD19" s="1" t="s">
        <v>68</v>
      </c>
      <c r="BE19" s="1" t="s">
        <v>68</v>
      </c>
      <c r="BF19" s="1" t="s">
        <v>68</v>
      </c>
      <c r="BG19" s="38" t="s">
        <v>68</v>
      </c>
      <c r="BH19" s="217" t="s">
        <v>74</v>
      </c>
      <c r="BI19" s="794" t="s">
        <v>68</v>
      </c>
      <c r="BJ19" s="795" t="s">
        <v>68</v>
      </c>
      <c r="BK19" s="795" t="s">
        <v>68</v>
      </c>
      <c r="BL19" s="794"/>
      <c r="BM19" s="794"/>
      <c r="BN19" s="794"/>
      <c r="BO19" s="794"/>
      <c r="BP19" s="794"/>
      <c r="BQ19" s="794"/>
      <c r="BR19" s="794"/>
      <c r="BS19" s="794" t="s">
        <v>68</v>
      </c>
      <c r="BT19" s="14"/>
      <c r="BU19" s="14"/>
      <c r="BV19" s="14"/>
      <c r="BW19" s="14"/>
      <c r="BX19" s="14"/>
      <c r="BY19" s="1431" t="s">
        <v>1430</v>
      </c>
      <c r="BZ19" s="40" t="s">
        <v>76</v>
      </c>
      <c r="CA19" s="563"/>
      <c r="CB19" s="563"/>
      <c r="CC19" s="563"/>
      <c r="CD19" s="563"/>
      <c r="CE19" s="563"/>
      <c r="CF19" s="563"/>
      <c r="CG19" s="563"/>
      <c r="CH19" s="13"/>
    </row>
    <row r="20" spans="2:86" customFormat="1" ht="90" hidden="1" customHeight="1">
      <c r="B20" s="23"/>
      <c r="C20" s="23"/>
      <c r="D20" s="23"/>
      <c r="E20" s="23"/>
      <c r="F20" s="23"/>
      <c r="G20" s="1368"/>
      <c r="H20" s="490"/>
      <c r="I20" s="17">
        <v>2013</v>
      </c>
      <c r="J20" s="1676"/>
      <c r="K20" s="18" t="s">
        <v>77</v>
      </c>
      <c r="L20" s="20" t="s">
        <v>122</v>
      </c>
      <c r="M20" s="2" t="s">
        <v>4077</v>
      </c>
      <c r="N20" s="3" t="s">
        <v>123</v>
      </c>
      <c r="O20" s="3"/>
      <c r="P20" s="85">
        <v>65000</v>
      </c>
      <c r="Q20" s="69">
        <v>41596</v>
      </c>
      <c r="R20" s="5">
        <v>41589</v>
      </c>
      <c r="S20" s="12">
        <v>41638</v>
      </c>
      <c r="T20" s="14" t="s">
        <v>68</v>
      </c>
      <c r="U20" s="20" t="s">
        <v>68</v>
      </c>
      <c r="V20" s="18"/>
      <c r="W20" s="222"/>
      <c r="X20" s="1614"/>
      <c r="Y20" s="174" t="s">
        <v>124</v>
      </c>
      <c r="Z20" s="5">
        <v>41617</v>
      </c>
      <c r="AA20" s="4">
        <v>65000</v>
      </c>
      <c r="AB20" s="4"/>
      <c r="AC20" s="34"/>
      <c r="AD20" s="36" t="s">
        <v>68</v>
      </c>
      <c r="AE20" s="119" t="s">
        <v>68</v>
      </c>
      <c r="AF20" s="119" t="s">
        <v>68</v>
      </c>
      <c r="AG20" s="7" t="s">
        <v>68</v>
      </c>
      <c r="AH20" s="235" t="s">
        <v>68</v>
      </c>
      <c r="AI20" s="35" t="s">
        <v>68</v>
      </c>
      <c r="AJ20" s="1" t="s">
        <v>68</v>
      </c>
      <c r="AK20" s="1"/>
      <c r="AL20" s="1" t="s">
        <v>68</v>
      </c>
      <c r="AM20" s="1"/>
      <c r="AN20" s="1" t="s">
        <v>68</v>
      </c>
      <c r="AO20" s="1"/>
      <c r="AP20" s="306"/>
      <c r="AQ20" s="37">
        <v>46466.73</v>
      </c>
      <c r="AR20" s="1031">
        <v>62966</v>
      </c>
      <c r="AS20" s="1018"/>
      <c r="AT20" s="78">
        <v>41577</v>
      </c>
      <c r="AU20" s="12">
        <v>41607</v>
      </c>
      <c r="AV20" s="243" t="s">
        <v>68</v>
      </c>
      <c r="AW20" s="54"/>
      <c r="AX20" s="169"/>
      <c r="AY20" s="1"/>
      <c r="AZ20" s="1"/>
      <c r="BA20" s="18"/>
      <c r="BB20" s="253">
        <v>41619</v>
      </c>
      <c r="BC20" s="558"/>
      <c r="BD20" s="1">
        <v>30</v>
      </c>
      <c r="BE20" s="1"/>
      <c r="BF20" s="1"/>
      <c r="BG20" s="38">
        <v>109432.73000000001</v>
      </c>
      <c r="BH20" s="14"/>
      <c r="BI20" s="794" t="s">
        <v>68</v>
      </c>
      <c r="BJ20" s="795" t="s">
        <v>68</v>
      </c>
      <c r="BK20" s="795" t="s">
        <v>68</v>
      </c>
      <c r="BL20" s="794"/>
      <c r="BM20" s="794"/>
      <c r="BN20" s="794"/>
      <c r="BO20" s="794"/>
      <c r="BP20" s="794"/>
      <c r="BQ20" s="794"/>
      <c r="BR20" s="794"/>
      <c r="BS20" s="794" t="s">
        <v>68</v>
      </c>
      <c r="BT20" s="14"/>
      <c r="BU20" s="14"/>
      <c r="BV20" s="14"/>
      <c r="BW20" s="14"/>
      <c r="BX20" s="14"/>
      <c r="BY20" s="1431" t="s">
        <v>1430</v>
      </c>
      <c r="BZ20" s="40" t="s">
        <v>76</v>
      </c>
      <c r="CA20" s="563"/>
      <c r="CB20" s="563"/>
      <c r="CC20" s="563"/>
      <c r="CD20" s="563"/>
      <c r="CE20" s="563"/>
      <c r="CF20" s="563"/>
      <c r="CG20" s="563"/>
      <c r="CH20" s="13"/>
    </row>
    <row r="21" spans="2:86" customFormat="1" ht="90" hidden="1" customHeight="1">
      <c r="B21" s="23"/>
      <c r="C21" s="23"/>
      <c r="D21" s="23"/>
      <c r="E21" s="23"/>
      <c r="F21" s="23"/>
      <c r="G21" s="1368"/>
      <c r="H21" s="490"/>
      <c r="I21" s="17">
        <v>2013</v>
      </c>
      <c r="J21" s="1676"/>
      <c r="K21" s="18" t="s">
        <v>77</v>
      </c>
      <c r="L21" s="20" t="s">
        <v>125</v>
      </c>
      <c r="M21" s="2" t="s">
        <v>4077</v>
      </c>
      <c r="N21" s="3" t="s">
        <v>126</v>
      </c>
      <c r="O21" s="3"/>
      <c r="P21" s="65" t="s">
        <v>74</v>
      </c>
      <c r="Q21" s="214"/>
      <c r="R21" s="1"/>
      <c r="S21" s="18"/>
      <c r="T21" s="14" t="s">
        <v>68</v>
      </c>
      <c r="U21" s="20" t="s">
        <v>68</v>
      </c>
      <c r="V21" s="18"/>
      <c r="W21" s="222" t="s">
        <v>74</v>
      </c>
      <c r="X21" s="1614"/>
      <c r="Y21" s="231" t="s">
        <v>68</v>
      </c>
      <c r="Z21" s="1" t="s">
        <v>68</v>
      </c>
      <c r="AA21" s="4" t="s">
        <v>68</v>
      </c>
      <c r="AB21" s="1" t="s">
        <v>72</v>
      </c>
      <c r="AC21" s="34">
        <v>80000</v>
      </c>
      <c r="AD21" s="36" t="s">
        <v>68</v>
      </c>
      <c r="AE21" s="119" t="s">
        <v>68</v>
      </c>
      <c r="AF21" s="119" t="s">
        <v>68</v>
      </c>
      <c r="AG21" s="7" t="s">
        <v>68</v>
      </c>
      <c r="AH21" s="235" t="s">
        <v>68</v>
      </c>
      <c r="AI21" s="35" t="s">
        <v>89</v>
      </c>
      <c r="AJ21" s="1"/>
      <c r="AK21" s="1"/>
      <c r="AL21" s="1"/>
      <c r="AM21" s="1"/>
      <c r="AN21" s="1"/>
      <c r="AO21" s="1"/>
      <c r="AP21" s="306"/>
      <c r="AQ21" s="240">
        <v>0</v>
      </c>
      <c r="AR21" s="1030">
        <f>BG21</f>
        <v>0</v>
      </c>
      <c r="AS21" s="1017"/>
      <c r="AT21" s="169"/>
      <c r="AU21" s="18"/>
      <c r="AV21" s="20"/>
      <c r="AW21" s="79"/>
      <c r="AX21" s="169"/>
      <c r="AY21" s="1"/>
      <c r="AZ21" s="1"/>
      <c r="BA21" s="18"/>
      <c r="BB21" s="169"/>
      <c r="BC21" s="1659"/>
      <c r="BD21" s="1"/>
      <c r="BE21" s="1"/>
      <c r="BF21" s="1"/>
      <c r="BG21" s="38">
        <v>0</v>
      </c>
      <c r="BH21" s="14"/>
      <c r="BI21" s="794" t="s">
        <v>68</v>
      </c>
      <c r="BJ21" s="795" t="s">
        <v>68</v>
      </c>
      <c r="BK21" s="795" t="s">
        <v>68</v>
      </c>
      <c r="BL21" s="794"/>
      <c r="BM21" s="794"/>
      <c r="BN21" s="794"/>
      <c r="BO21" s="794"/>
      <c r="BP21" s="794"/>
      <c r="BQ21" s="794"/>
      <c r="BR21" s="794"/>
      <c r="BS21" s="794" t="s">
        <v>68</v>
      </c>
      <c r="BT21" s="14"/>
      <c r="BU21" s="14"/>
      <c r="BV21" s="14"/>
      <c r="BW21" s="14"/>
      <c r="BX21" s="14"/>
      <c r="BY21" s="1431" t="s">
        <v>1430</v>
      </c>
      <c r="BZ21" s="40" t="s">
        <v>76</v>
      </c>
      <c r="CA21" s="563"/>
      <c r="CB21" s="563"/>
      <c r="CC21" s="563"/>
      <c r="CD21" s="563"/>
      <c r="CE21" s="563"/>
      <c r="CF21" s="563"/>
      <c r="CG21" s="563"/>
      <c r="CH21" s="13"/>
    </row>
    <row r="22" spans="2:86" customFormat="1" ht="90" hidden="1" customHeight="1">
      <c r="B22" s="23"/>
      <c r="C22" s="23"/>
      <c r="D22" s="23"/>
      <c r="E22" s="23"/>
      <c r="F22" s="23"/>
      <c r="G22" s="1368"/>
      <c r="H22" s="490"/>
      <c r="I22" s="17">
        <v>2013</v>
      </c>
      <c r="J22" s="1676"/>
      <c r="K22" s="18" t="s">
        <v>77</v>
      </c>
      <c r="L22" s="20" t="s">
        <v>127</v>
      </c>
      <c r="M22" s="2" t="s">
        <v>79</v>
      </c>
      <c r="N22" s="3" t="s">
        <v>128</v>
      </c>
      <c r="O22" s="3"/>
      <c r="P22" s="4">
        <v>99364.64</v>
      </c>
      <c r="Q22" s="6">
        <v>41547</v>
      </c>
      <c r="R22" s="5">
        <v>41548</v>
      </c>
      <c r="S22" s="12">
        <v>41580</v>
      </c>
      <c r="T22" s="64">
        <v>41547</v>
      </c>
      <c r="U22" s="123" t="s">
        <v>129</v>
      </c>
      <c r="V22" s="221" t="s">
        <v>130</v>
      </c>
      <c r="W22" s="217" t="s">
        <v>74</v>
      </c>
      <c r="X22" s="67"/>
      <c r="Y22" s="20" t="s">
        <v>82</v>
      </c>
      <c r="Z22" s="5">
        <v>41478</v>
      </c>
      <c r="AA22" s="4">
        <v>99675</v>
      </c>
      <c r="AB22" s="4"/>
      <c r="AC22" s="34"/>
      <c r="AD22" s="36" t="s">
        <v>68</v>
      </c>
      <c r="AE22" s="119" t="s">
        <v>68</v>
      </c>
      <c r="AF22" s="119" t="s">
        <v>68</v>
      </c>
      <c r="AG22" s="7" t="s">
        <v>68</v>
      </c>
      <c r="AH22" s="235" t="s">
        <v>68</v>
      </c>
      <c r="AI22" s="35" t="s">
        <v>107</v>
      </c>
      <c r="AJ22" s="1" t="s">
        <v>131</v>
      </c>
      <c r="AK22" s="5">
        <v>41563</v>
      </c>
      <c r="AL22" s="1" t="s">
        <v>132</v>
      </c>
      <c r="AM22" s="5">
        <v>41563</v>
      </c>
      <c r="AN22" s="238" t="s">
        <v>74</v>
      </c>
      <c r="AO22" s="1"/>
      <c r="AP22" s="306"/>
      <c r="AQ22" s="37">
        <v>0</v>
      </c>
      <c r="AR22" s="1031">
        <v>91694.8</v>
      </c>
      <c r="AS22" s="1018"/>
      <c r="AT22" s="5">
        <v>41548</v>
      </c>
      <c r="AU22" s="12">
        <v>41558</v>
      </c>
      <c r="AV22" s="32"/>
      <c r="AW22" s="54"/>
      <c r="AX22" s="5">
        <v>41569</v>
      </c>
      <c r="AY22" s="5">
        <v>41548</v>
      </c>
      <c r="AZ22" s="5">
        <v>41580</v>
      </c>
      <c r="BA22" s="18"/>
      <c r="BB22" s="5">
        <v>41569</v>
      </c>
      <c r="BC22" s="5"/>
      <c r="BD22" s="5">
        <v>41548</v>
      </c>
      <c r="BE22" s="5">
        <v>41580</v>
      </c>
      <c r="BF22" s="5">
        <v>41565</v>
      </c>
      <c r="BG22" s="38">
        <v>91694.8</v>
      </c>
      <c r="BH22" s="217" t="s">
        <v>74</v>
      </c>
      <c r="BI22" s="794" t="s">
        <v>68</v>
      </c>
      <c r="BJ22" s="795" t="s">
        <v>68</v>
      </c>
      <c r="BK22" s="795" t="s">
        <v>68</v>
      </c>
      <c r="BL22" s="794"/>
      <c r="BM22" s="794"/>
      <c r="BN22" s="794"/>
      <c r="BO22" s="794"/>
      <c r="BP22" s="794"/>
      <c r="BQ22" s="794"/>
      <c r="BR22" s="794"/>
      <c r="BS22" s="794" t="s">
        <v>68</v>
      </c>
      <c r="BT22" s="14"/>
      <c r="BU22" s="14"/>
      <c r="BV22" s="14"/>
      <c r="BW22" s="14"/>
      <c r="BX22" s="14"/>
      <c r="BY22" s="1431" t="s">
        <v>1430</v>
      </c>
      <c r="BZ22" s="40" t="s">
        <v>76</v>
      </c>
      <c r="CA22" s="563"/>
      <c r="CB22" s="563"/>
      <c r="CC22" s="563"/>
      <c r="CD22" s="563"/>
      <c r="CE22" s="563"/>
      <c r="CF22" s="563"/>
      <c r="CG22" s="563"/>
      <c r="CH22" s="13"/>
    </row>
    <row r="23" spans="2:86" customFormat="1" ht="90" hidden="1" customHeight="1">
      <c r="B23" s="23"/>
      <c r="C23" s="23"/>
      <c r="D23" s="23"/>
      <c r="E23" s="23"/>
      <c r="F23" s="23"/>
      <c r="G23" s="1368"/>
      <c r="H23" s="490"/>
      <c r="I23" s="17">
        <v>2013</v>
      </c>
      <c r="J23" s="1676"/>
      <c r="K23" s="18" t="s">
        <v>77</v>
      </c>
      <c r="L23" s="20" t="s">
        <v>133</v>
      </c>
      <c r="M23" s="2" t="s">
        <v>79</v>
      </c>
      <c r="N23" s="3" t="s">
        <v>134</v>
      </c>
      <c r="O23" s="3"/>
      <c r="P23" s="4">
        <v>363453.99</v>
      </c>
      <c r="Q23" s="6">
        <v>41547</v>
      </c>
      <c r="R23" s="5">
        <v>41548</v>
      </c>
      <c r="S23" s="12">
        <v>41580</v>
      </c>
      <c r="T23" s="64">
        <v>41547</v>
      </c>
      <c r="U23" s="123" t="s">
        <v>129</v>
      </c>
      <c r="V23" s="221" t="s">
        <v>130</v>
      </c>
      <c r="W23" s="64">
        <v>41544</v>
      </c>
      <c r="X23" s="111"/>
      <c r="Y23" s="20" t="s">
        <v>82</v>
      </c>
      <c r="Z23" s="5">
        <v>41478</v>
      </c>
      <c r="AA23" s="4">
        <v>363730.32</v>
      </c>
      <c r="AB23" s="4"/>
      <c r="AC23" s="34"/>
      <c r="AD23" s="36" t="s">
        <v>68</v>
      </c>
      <c r="AE23" s="119" t="s">
        <v>68</v>
      </c>
      <c r="AF23" s="119" t="s">
        <v>68</v>
      </c>
      <c r="AG23" s="7" t="s">
        <v>68</v>
      </c>
      <c r="AH23" s="235" t="s">
        <v>68</v>
      </c>
      <c r="AI23" s="35" t="s">
        <v>107</v>
      </c>
      <c r="AJ23" s="1" t="s">
        <v>135</v>
      </c>
      <c r="AK23" s="5">
        <v>41563</v>
      </c>
      <c r="AL23" s="1" t="s">
        <v>136</v>
      </c>
      <c r="AM23" s="5">
        <v>41563</v>
      </c>
      <c r="AN23" s="238" t="s">
        <v>74</v>
      </c>
      <c r="AO23" s="1"/>
      <c r="AP23" s="306"/>
      <c r="AQ23" s="37">
        <v>0</v>
      </c>
      <c r="AR23" s="1031">
        <v>361775.26</v>
      </c>
      <c r="AS23" s="1018"/>
      <c r="AT23" s="247">
        <v>41552</v>
      </c>
      <c r="AU23" s="61">
        <v>41566</v>
      </c>
      <c r="AV23" s="247"/>
      <c r="AW23" s="248"/>
      <c r="AX23" s="78">
        <v>41569</v>
      </c>
      <c r="AY23" s="5">
        <v>41548</v>
      </c>
      <c r="AZ23" s="5">
        <v>41580</v>
      </c>
      <c r="BA23" s="18"/>
      <c r="BB23" s="247">
        <v>41569</v>
      </c>
      <c r="BC23" s="1942"/>
      <c r="BD23" s="5">
        <v>41548</v>
      </c>
      <c r="BE23" s="5">
        <v>41580</v>
      </c>
      <c r="BF23" s="5">
        <v>41565</v>
      </c>
      <c r="BG23" s="38">
        <v>361775.26</v>
      </c>
      <c r="BH23" s="217" t="s">
        <v>74</v>
      </c>
      <c r="BI23" s="794" t="s">
        <v>68</v>
      </c>
      <c r="BJ23" s="795" t="s">
        <v>68</v>
      </c>
      <c r="BK23" s="795" t="s">
        <v>68</v>
      </c>
      <c r="BL23" s="794"/>
      <c r="BM23" s="794"/>
      <c r="BN23" s="794"/>
      <c r="BO23" s="794"/>
      <c r="BP23" s="794"/>
      <c r="BQ23" s="794"/>
      <c r="BR23" s="794"/>
      <c r="BS23" s="794" t="s">
        <v>68</v>
      </c>
      <c r="BT23" s="14"/>
      <c r="BU23" s="14"/>
      <c r="BV23" s="14"/>
      <c r="BW23" s="14"/>
      <c r="BX23" s="14"/>
      <c r="BY23" s="1431" t="s">
        <v>1430</v>
      </c>
      <c r="BZ23" s="40" t="s">
        <v>76</v>
      </c>
      <c r="CA23" s="563"/>
      <c r="CB23" s="563"/>
      <c r="CC23" s="563"/>
      <c r="CD23" s="563"/>
      <c r="CE23" s="563"/>
      <c r="CF23" s="563"/>
      <c r="CG23" s="563"/>
      <c r="CH23" s="13"/>
    </row>
    <row r="24" spans="2:86" customFormat="1" ht="90" hidden="1" customHeight="1">
      <c r="B24" s="23"/>
      <c r="C24" s="23"/>
      <c r="D24" s="23"/>
      <c r="E24" s="23"/>
      <c r="F24" s="23"/>
      <c r="G24" s="1368"/>
      <c r="H24" s="490"/>
      <c r="I24" s="17">
        <v>2013</v>
      </c>
      <c r="J24" s="1676"/>
      <c r="K24" s="18" t="s">
        <v>77</v>
      </c>
      <c r="L24" s="20" t="s">
        <v>137</v>
      </c>
      <c r="M24" s="2" t="s">
        <v>4077</v>
      </c>
      <c r="N24" s="3" t="s">
        <v>138</v>
      </c>
      <c r="O24" s="3"/>
      <c r="P24" s="85">
        <v>339164.5</v>
      </c>
      <c r="Q24" s="6">
        <v>41599</v>
      </c>
      <c r="R24" s="5">
        <v>41600</v>
      </c>
      <c r="S24" s="12">
        <v>41623</v>
      </c>
      <c r="T24" s="14" t="s">
        <v>68</v>
      </c>
      <c r="U24" s="20" t="s">
        <v>68</v>
      </c>
      <c r="V24" s="18"/>
      <c r="W24" s="64">
        <v>41475</v>
      </c>
      <c r="X24" s="111"/>
      <c r="Y24" s="20" t="s">
        <v>82</v>
      </c>
      <c r="Z24" s="5">
        <v>41478</v>
      </c>
      <c r="AA24" s="4">
        <v>219000</v>
      </c>
      <c r="AB24" s="1" t="s">
        <v>72</v>
      </c>
      <c r="AC24" s="34">
        <v>339164.5</v>
      </c>
      <c r="AD24" s="36" t="s">
        <v>68</v>
      </c>
      <c r="AE24" s="119" t="s">
        <v>68</v>
      </c>
      <c r="AF24" s="119" t="s">
        <v>68</v>
      </c>
      <c r="AG24" s="7" t="s">
        <v>68</v>
      </c>
      <c r="AH24" s="235" t="s">
        <v>68</v>
      </c>
      <c r="AI24" s="35" t="s">
        <v>89</v>
      </c>
      <c r="AJ24" s="1" t="s">
        <v>68</v>
      </c>
      <c r="AK24" s="1"/>
      <c r="AL24" s="1" t="s">
        <v>68</v>
      </c>
      <c r="AM24" s="1"/>
      <c r="AN24" s="1" t="s">
        <v>68</v>
      </c>
      <c r="AO24" s="1"/>
      <c r="AP24" s="306"/>
      <c r="AQ24" s="74">
        <v>66093.58</v>
      </c>
      <c r="AR24" s="1032">
        <v>260917.19</v>
      </c>
      <c r="AS24" s="1019"/>
      <c r="AT24" s="169"/>
      <c r="AU24" s="18"/>
      <c r="AV24" s="20"/>
      <c r="AW24" s="79"/>
      <c r="AX24" s="169"/>
      <c r="AY24" s="1"/>
      <c r="AZ24" s="1"/>
      <c r="BA24" s="18"/>
      <c r="BB24" s="169"/>
      <c r="BC24" s="1659"/>
      <c r="BD24" s="1"/>
      <c r="BE24" s="1"/>
      <c r="BF24" s="1"/>
      <c r="BG24" s="38">
        <v>327010.77</v>
      </c>
      <c r="BH24" s="14"/>
      <c r="BI24" s="794" t="s">
        <v>68</v>
      </c>
      <c r="BJ24" s="795" t="s">
        <v>68</v>
      </c>
      <c r="BK24" s="795" t="s">
        <v>68</v>
      </c>
      <c r="BL24" s="794"/>
      <c r="BM24" s="794"/>
      <c r="BN24" s="794"/>
      <c r="BO24" s="794"/>
      <c r="BP24" s="794"/>
      <c r="BQ24" s="794"/>
      <c r="BR24" s="794"/>
      <c r="BS24" s="794" t="s">
        <v>68</v>
      </c>
      <c r="BT24" s="14"/>
      <c r="BU24" s="14"/>
      <c r="BV24" s="14"/>
      <c r="BW24" s="14"/>
      <c r="BX24" s="14"/>
      <c r="BY24" s="1431" t="s">
        <v>1430</v>
      </c>
      <c r="BZ24" s="40" t="s">
        <v>76</v>
      </c>
      <c r="CA24" s="563"/>
      <c r="CB24" s="563"/>
      <c r="CC24" s="563"/>
      <c r="CD24" s="563"/>
      <c r="CE24" s="563"/>
      <c r="CF24" s="563"/>
      <c r="CG24" s="563"/>
      <c r="CH24" s="13"/>
    </row>
    <row r="25" spans="2:86" customFormat="1" ht="90" hidden="1" customHeight="1">
      <c r="B25" s="23"/>
      <c r="C25" s="23"/>
      <c r="D25" s="23"/>
      <c r="E25" s="23"/>
      <c r="F25" s="23"/>
      <c r="G25" s="1368"/>
      <c r="H25" s="490"/>
      <c r="I25" s="17">
        <v>2013</v>
      </c>
      <c r="J25" s="1676"/>
      <c r="K25" s="18" t="s">
        <v>77</v>
      </c>
      <c r="L25" s="20" t="s">
        <v>139</v>
      </c>
      <c r="M25" s="2" t="s">
        <v>4077</v>
      </c>
      <c r="N25" s="3" t="s">
        <v>140</v>
      </c>
      <c r="O25" s="3"/>
      <c r="P25" s="85">
        <v>108190</v>
      </c>
      <c r="Q25" s="6">
        <v>41593</v>
      </c>
      <c r="R25" s="5">
        <v>41596</v>
      </c>
      <c r="S25" s="12">
        <v>41610</v>
      </c>
      <c r="T25" s="14" t="s">
        <v>68</v>
      </c>
      <c r="U25" s="20" t="s">
        <v>68</v>
      </c>
      <c r="V25" s="18"/>
      <c r="W25" s="222"/>
      <c r="X25" s="1614"/>
      <c r="Y25" s="231" t="s">
        <v>68</v>
      </c>
      <c r="Z25" s="1" t="s">
        <v>68</v>
      </c>
      <c r="AA25" s="4">
        <v>0</v>
      </c>
      <c r="AB25" s="1" t="s">
        <v>72</v>
      </c>
      <c r="AC25" s="34">
        <v>51673.18</v>
      </c>
      <c r="AD25" s="36" t="s">
        <v>68</v>
      </c>
      <c r="AE25" s="119" t="s">
        <v>68</v>
      </c>
      <c r="AF25" s="119" t="s">
        <v>68</v>
      </c>
      <c r="AG25" s="7" t="s">
        <v>68</v>
      </c>
      <c r="AH25" s="235" t="s">
        <v>68</v>
      </c>
      <c r="AI25" s="35" t="s">
        <v>68</v>
      </c>
      <c r="AJ25" s="1" t="s">
        <v>68</v>
      </c>
      <c r="AK25" s="1"/>
      <c r="AL25" s="1" t="s">
        <v>68</v>
      </c>
      <c r="AM25" s="1"/>
      <c r="AN25" s="1" t="s">
        <v>68</v>
      </c>
      <c r="AO25" s="1"/>
      <c r="AP25" s="306"/>
      <c r="AQ25" s="74">
        <v>0</v>
      </c>
      <c r="AR25" s="1032">
        <v>26940</v>
      </c>
      <c r="AS25" s="1019"/>
      <c r="AT25" s="78">
        <v>41598</v>
      </c>
      <c r="AU25" s="12">
        <v>41606</v>
      </c>
      <c r="AV25" s="243" t="s">
        <v>68</v>
      </c>
      <c r="AW25" s="54"/>
      <c r="AX25" s="169"/>
      <c r="AY25" s="1"/>
      <c r="AZ25" s="1"/>
      <c r="BA25" s="18"/>
      <c r="BB25" s="78">
        <v>41608</v>
      </c>
      <c r="BC25" s="344"/>
      <c r="BD25" s="5">
        <v>41598</v>
      </c>
      <c r="BE25" s="5">
        <v>41608</v>
      </c>
      <c r="BF25" s="5">
        <v>41606</v>
      </c>
      <c r="BG25" s="38">
        <v>26940</v>
      </c>
      <c r="BH25" s="14"/>
      <c r="BI25" s="794" t="s">
        <v>68</v>
      </c>
      <c r="BJ25" s="795" t="s">
        <v>68</v>
      </c>
      <c r="BK25" s="795" t="s">
        <v>68</v>
      </c>
      <c r="BL25" s="794"/>
      <c r="BM25" s="794"/>
      <c r="BN25" s="794"/>
      <c r="BO25" s="794"/>
      <c r="BP25" s="794"/>
      <c r="BQ25" s="794"/>
      <c r="BR25" s="794"/>
      <c r="BS25" s="794" t="s">
        <v>68</v>
      </c>
      <c r="BT25" s="14"/>
      <c r="BU25" s="14"/>
      <c r="BV25" s="14"/>
      <c r="BW25" s="14"/>
      <c r="BX25" s="14"/>
      <c r="BY25" s="1431" t="s">
        <v>1430</v>
      </c>
      <c r="BZ25" s="40" t="s">
        <v>76</v>
      </c>
      <c r="CA25" s="563"/>
      <c r="CB25" s="563"/>
      <c r="CC25" s="563"/>
      <c r="CD25" s="563"/>
      <c r="CE25" s="563"/>
      <c r="CF25" s="563"/>
      <c r="CG25" s="563"/>
      <c r="CH25" s="13"/>
    </row>
    <row r="26" spans="2:86" customFormat="1" ht="90" hidden="1" customHeight="1">
      <c r="B26" s="23"/>
      <c r="C26" s="23"/>
      <c r="D26" s="23"/>
      <c r="E26" s="23"/>
      <c r="F26" s="23"/>
      <c r="G26" s="1368"/>
      <c r="H26" s="490"/>
      <c r="I26" s="17">
        <v>2013</v>
      </c>
      <c r="J26" s="1676"/>
      <c r="K26" s="18" t="s">
        <v>77</v>
      </c>
      <c r="L26" s="20" t="s">
        <v>141</v>
      </c>
      <c r="M26" s="2" t="s">
        <v>4077</v>
      </c>
      <c r="N26" s="3" t="s">
        <v>142</v>
      </c>
      <c r="O26" s="3"/>
      <c r="P26" s="215">
        <v>120948.09</v>
      </c>
      <c r="Q26" s="6">
        <v>41593</v>
      </c>
      <c r="R26" s="5">
        <v>41596</v>
      </c>
      <c r="S26" s="12">
        <v>41610</v>
      </c>
      <c r="T26" s="14" t="s">
        <v>68</v>
      </c>
      <c r="U26" s="20" t="s">
        <v>68</v>
      </c>
      <c r="V26" s="18"/>
      <c r="W26" s="64">
        <v>41546</v>
      </c>
      <c r="X26" s="111"/>
      <c r="Y26" s="174" t="s">
        <v>82</v>
      </c>
      <c r="Z26" s="5">
        <v>41478</v>
      </c>
      <c r="AA26" s="4">
        <v>125450</v>
      </c>
      <c r="AB26" s="1" t="s">
        <v>72</v>
      </c>
      <c r="AC26" s="34">
        <v>120450</v>
      </c>
      <c r="AD26" s="36" t="s">
        <v>68</v>
      </c>
      <c r="AE26" s="119" t="s">
        <v>68</v>
      </c>
      <c r="AF26" s="119" t="s">
        <v>68</v>
      </c>
      <c r="AG26" s="7" t="s">
        <v>68</v>
      </c>
      <c r="AH26" s="235" t="s">
        <v>68</v>
      </c>
      <c r="AI26" s="35" t="s">
        <v>89</v>
      </c>
      <c r="AJ26" s="1" t="s">
        <v>68</v>
      </c>
      <c r="AK26" s="1"/>
      <c r="AL26" s="1" t="s">
        <v>68</v>
      </c>
      <c r="AM26" s="1"/>
      <c r="AN26" s="1" t="s">
        <v>68</v>
      </c>
      <c r="AO26" s="1"/>
      <c r="AP26" s="306"/>
      <c r="AQ26" s="74">
        <v>0</v>
      </c>
      <c r="AR26" s="1032">
        <v>42298</v>
      </c>
      <c r="AS26" s="1019"/>
      <c r="AT26" s="78">
        <v>41598</v>
      </c>
      <c r="AU26" s="12">
        <v>41606</v>
      </c>
      <c r="AV26" s="32"/>
      <c r="AW26" s="54"/>
      <c r="AX26" s="169"/>
      <c r="AY26" s="1"/>
      <c r="AZ26" s="1"/>
      <c r="BA26" s="18"/>
      <c r="BB26" s="78">
        <v>41608</v>
      </c>
      <c r="BC26" s="344"/>
      <c r="BD26" s="5">
        <v>41598</v>
      </c>
      <c r="BE26" s="5">
        <v>41608</v>
      </c>
      <c r="BF26" s="5">
        <v>41606</v>
      </c>
      <c r="BG26" s="38">
        <v>42298</v>
      </c>
      <c r="BH26" s="14"/>
      <c r="BI26" s="794" t="s">
        <v>68</v>
      </c>
      <c r="BJ26" s="795" t="s">
        <v>68</v>
      </c>
      <c r="BK26" s="795" t="s">
        <v>68</v>
      </c>
      <c r="BL26" s="794"/>
      <c r="BM26" s="794"/>
      <c r="BN26" s="794"/>
      <c r="BO26" s="794"/>
      <c r="BP26" s="794"/>
      <c r="BQ26" s="794"/>
      <c r="BR26" s="794"/>
      <c r="BS26" s="794" t="s">
        <v>68</v>
      </c>
      <c r="BT26" s="14"/>
      <c r="BU26" s="14"/>
      <c r="BV26" s="14"/>
      <c r="BW26" s="14"/>
      <c r="BX26" s="14"/>
      <c r="BY26" s="1431" t="s">
        <v>1430</v>
      </c>
      <c r="BZ26" s="40" t="s">
        <v>76</v>
      </c>
      <c r="CA26" s="563"/>
      <c r="CB26" s="563"/>
      <c r="CC26" s="563"/>
      <c r="CD26" s="563"/>
      <c r="CE26" s="563"/>
      <c r="CF26" s="563"/>
      <c r="CG26" s="563"/>
      <c r="CH26" s="13"/>
    </row>
    <row r="27" spans="2:86" customFormat="1" ht="90" hidden="1" customHeight="1">
      <c r="B27" s="23"/>
      <c r="C27" s="23"/>
      <c r="D27" s="23"/>
      <c r="E27" s="23"/>
      <c r="F27" s="23"/>
      <c r="G27" s="1368"/>
      <c r="H27" s="490"/>
      <c r="I27" s="17">
        <v>2013</v>
      </c>
      <c r="J27" s="1676"/>
      <c r="K27" s="18" t="s">
        <v>77</v>
      </c>
      <c r="L27" s="20" t="s">
        <v>143</v>
      </c>
      <c r="M27" s="2" t="s">
        <v>4077</v>
      </c>
      <c r="N27" s="3" t="s">
        <v>144</v>
      </c>
      <c r="O27" s="3"/>
      <c r="P27" s="4">
        <v>150310.03</v>
      </c>
      <c r="Q27" s="6">
        <v>41588</v>
      </c>
      <c r="R27" s="5">
        <v>41589</v>
      </c>
      <c r="S27" s="12">
        <v>41608</v>
      </c>
      <c r="T27" s="14" t="s">
        <v>68</v>
      </c>
      <c r="U27" s="20" t="s">
        <v>68</v>
      </c>
      <c r="V27" s="18"/>
      <c r="W27" s="223"/>
      <c r="X27" s="773"/>
      <c r="Y27" s="174" t="s">
        <v>82</v>
      </c>
      <c r="Z27" s="5">
        <v>41478</v>
      </c>
      <c r="AA27" s="4">
        <v>150310.03</v>
      </c>
      <c r="AB27" s="1"/>
      <c r="AC27" s="34"/>
      <c r="AD27" s="36" t="s">
        <v>68</v>
      </c>
      <c r="AE27" s="119" t="s">
        <v>68</v>
      </c>
      <c r="AF27" s="119" t="s">
        <v>68</v>
      </c>
      <c r="AG27" s="7" t="s">
        <v>68</v>
      </c>
      <c r="AH27" s="235" t="s">
        <v>68</v>
      </c>
      <c r="AI27" s="35" t="s">
        <v>68</v>
      </c>
      <c r="AJ27" s="1" t="s">
        <v>68</v>
      </c>
      <c r="AK27" s="1"/>
      <c r="AL27" s="1" t="s">
        <v>68</v>
      </c>
      <c r="AM27" s="1"/>
      <c r="AN27" s="1" t="s">
        <v>68</v>
      </c>
      <c r="AO27" s="1"/>
      <c r="AP27" s="306"/>
      <c r="AQ27" s="37">
        <v>83498.39</v>
      </c>
      <c r="AR27" s="1031">
        <v>38472</v>
      </c>
      <c r="AS27" s="1018"/>
      <c r="AT27" s="78">
        <v>41585</v>
      </c>
      <c r="AU27" s="12">
        <v>41606</v>
      </c>
      <c r="AV27" s="243" t="s">
        <v>68</v>
      </c>
      <c r="AW27" s="54"/>
      <c r="AX27" s="169"/>
      <c r="AY27" s="1"/>
      <c r="AZ27" s="1"/>
      <c r="BA27" s="18"/>
      <c r="BB27" s="78">
        <v>41608</v>
      </c>
      <c r="BC27" s="344"/>
      <c r="BD27" s="5">
        <v>41585</v>
      </c>
      <c r="BE27" s="5">
        <v>41608</v>
      </c>
      <c r="BF27" s="5">
        <v>41605</v>
      </c>
      <c r="BG27" s="38">
        <v>121970.39</v>
      </c>
      <c r="BH27" s="14"/>
      <c r="BI27" s="794" t="s">
        <v>68</v>
      </c>
      <c r="BJ27" s="795" t="s">
        <v>68</v>
      </c>
      <c r="BK27" s="795" t="s">
        <v>68</v>
      </c>
      <c r="BL27" s="794"/>
      <c r="BM27" s="794"/>
      <c r="BN27" s="794"/>
      <c r="BO27" s="794"/>
      <c r="BP27" s="794"/>
      <c r="BQ27" s="794"/>
      <c r="BR27" s="794"/>
      <c r="BS27" s="794" t="s">
        <v>68</v>
      </c>
      <c r="BT27" s="14"/>
      <c r="BU27" s="14"/>
      <c r="BV27" s="14"/>
      <c r="BW27" s="14"/>
      <c r="BX27" s="14"/>
      <c r="BY27" s="1431" t="s">
        <v>1430</v>
      </c>
      <c r="BZ27" s="40" t="s">
        <v>76</v>
      </c>
      <c r="CA27" s="563"/>
      <c r="CB27" s="563"/>
      <c r="CC27" s="563"/>
      <c r="CD27" s="563"/>
      <c r="CE27" s="563"/>
      <c r="CF27" s="563"/>
      <c r="CG27" s="563"/>
      <c r="CH27" s="13"/>
    </row>
    <row r="28" spans="2:86" customFormat="1" ht="90" hidden="1" customHeight="1">
      <c r="B28" s="23"/>
      <c r="C28" s="23"/>
      <c r="D28" s="23"/>
      <c r="E28" s="23"/>
      <c r="F28" s="23"/>
      <c r="G28" s="1368"/>
      <c r="H28" s="490"/>
      <c r="I28" s="17">
        <v>2013</v>
      </c>
      <c r="J28" s="1676"/>
      <c r="K28" s="18" t="s">
        <v>77</v>
      </c>
      <c r="L28" s="20" t="s">
        <v>145</v>
      </c>
      <c r="M28" s="2" t="s">
        <v>4077</v>
      </c>
      <c r="N28" s="3" t="s">
        <v>146</v>
      </c>
      <c r="O28" s="3"/>
      <c r="P28" s="4">
        <v>93916.43</v>
      </c>
      <c r="Q28" s="6">
        <v>41502</v>
      </c>
      <c r="R28" s="5">
        <v>41507</v>
      </c>
      <c r="S28" s="12">
        <v>41545</v>
      </c>
      <c r="T28" s="14" t="s">
        <v>68</v>
      </c>
      <c r="U28" s="20" t="s">
        <v>68</v>
      </c>
      <c r="V28" s="18"/>
      <c r="W28" s="64">
        <v>41470</v>
      </c>
      <c r="X28" s="111"/>
      <c r="Y28" s="174" t="s">
        <v>82</v>
      </c>
      <c r="Z28" s="5">
        <v>41478</v>
      </c>
      <c r="AA28" s="4">
        <v>93916.43</v>
      </c>
      <c r="AB28" s="1" t="s">
        <v>72</v>
      </c>
      <c r="AC28" s="34">
        <v>105062.06</v>
      </c>
      <c r="AD28" s="36" t="s">
        <v>68</v>
      </c>
      <c r="AE28" s="119" t="s">
        <v>68</v>
      </c>
      <c r="AF28" s="119" t="s">
        <v>68</v>
      </c>
      <c r="AG28" s="7" t="s">
        <v>68</v>
      </c>
      <c r="AH28" s="235" t="s">
        <v>68</v>
      </c>
      <c r="AI28" s="35" t="s">
        <v>89</v>
      </c>
      <c r="AJ28" s="1" t="s">
        <v>68</v>
      </c>
      <c r="AK28" s="1"/>
      <c r="AL28" s="1" t="s">
        <v>68</v>
      </c>
      <c r="AM28" s="1"/>
      <c r="AN28" s="1" t="s">
        <v>68</v>
      </c>
      <c r="AO28" s="1"/>
      <c r="AP28" s="306"/>
      <c r="AQ28" s="37">
        <v>54536.26</v>
      </c>
      <c r="AR28" s="1031">
        <v>50525.8</v>
      </c>
      <c r="AS28" s="1018"/>
      <c r="AT28" s="169"/>
      <c r="AU28" s="18"/>
      <c r="AV28" s="20"/>
      <c r="AW28" s="79"/>
      <c r="AX28" s="169"/>
      <c r="AY28" s="1"/>
      <c r="AZ28" s="1"/>
      <c r="BA28" s="18"/>
      <c r="BB28" s="169"/>
      <c r="BC28" s="1659"/>
      <c r="BD28" s="1"/>
      <c r="BE28" s="1"/>
      <c r="BF28" s="1"/>
      <c r="BG28" s="38">
        <v>105062.06</v>
      </c>
      <c r="BH28" s="14"/>
      <c r="BI28" s="794" t="s">
        <v>68</v>
      </c>
      <c r="BJ28" s="795" t="s">
        <v>68</v>
      </c>
      <c r="BK28" s="795" t="s">
        <v>68</v>
      </c>
      <c r="BL28" s="794"/>
      <c r="BM28" s="794"/>
      <c r="BN28" s="794"/>
      <c r="BO28" s="794"/>
      <c r="BP28" s="794"/>
      <c r="BQ28" s="794"/>
      <c r="BR28" s="794"/>
      <c r="BS28" s="794" t="s">
        <v>68</v>
      </c>
      <c r="BT28" s="14"/>
      <c r="BU28" s="14"/>
      <c r="BV28" s="14"/>
      <c r="BW28" s="14"/>
      <c r="BX28" s="14"/>
      <c r="BY28" s="1431" t="s">
        <v>1430</v>
      </c>
      <c r="BZ28" s="40" t="s">
        <v>76</v>
      </c>
      <c r="CA28" s="563"/>
      <c r="CB28" s="563"/>
      <c r="CC28" s="563"/>
      <c r="CD28" s="563"/>
      <c r="CE28" s="563"/>
      <c r="CF28" s="563"/>
      <c r="CG28" s="563"/>
      <c r="CH28" s="13"/>
    </row>
    <row r="29" spans="2:86" customFormat="1" ht="90" hidden="1" customHeight="1">
      <c r="B29" s="23"/>
      <c r="C29" s="23"/>
      <c r="D29" s="23"/>
      <c r="E29" s="23"/>
      <c r="F29" s="23"/>
      <c r="G29" s="1368"/>
      <c r="H29" s="490"/>
      <c r="I29" s="17">
        <v>2013</v>
      </c>
      <c r="J29" s="1676"/>
      <c r="K29" s="18" t="s">
        <v>77</v>
      </c>
      <c r="L29" s="20" t="s">
        <v>147</v>
      </c>
      <c r="M29" s="2" t="s">
        <v>4077</v>
      </c>
      <c r="N29" s="3" t="s">
        <v>148</v>
      </c>
      <c r="O29" s="3"/>
      <c r="P29" s="85">
        <v>300000</v>
      </c>
      <c r="Q29" s="6">
        <v>41614</v>
      </c>
      <c r="R29" s="5">
        <v>41617</v>
      </c>
      <c r="S29" s="12">
        <v>41638</v>
      </c>
      <c r="T29" s="14" t="s">
        <v>68</v>
      </c>
      <c r="U29" s="20" t="s">
        <v>68</v>
      </c>
      <c r="V29" s="18"/>
      <c r="W29" s="64">
        <v>41464</v>
      </c>
      <c r="X29" s="111"/>
      <c r="Y29" s="20" t="s">
        <v>68</v>
      </c>
      <c r="Z29" s="5">
        <v>41606</v>
      </c>
      <c r="AA29" s="4" t="s">
        <v>68</v>
      </c>
      <c r="AB29" s="1" t="s">
        <v>72</v>
      </c>
      <c r="AC29" s="34">
        <v>300000</v>
      </c>
      <c r="AD29" s="36" t="s">
        <v>68</v>
      </c>
      <c r="AE29" s="119" t="s">
        <v>68</v>
      </c>
      <c r="AF29" s="119" t="s">
        <v>68</v>
      </c>
      <c r="AG29" s="7" t="s">
        <v>68</v>
      </c>
      <c r="AH29" s="235" t="s">
        <v>68</v>
      </c>
      <c r="AI29" s="35" t="s">
        <v>89</v>
      </c>
      <c r="AJ29" s="1" t="s">
        <v>68</v>
      </c>
      <c r="AK29" s="1"/>
      <c r="AL29" s="1" t="s">
        <v>68</v>
      </c>
      <c r="AM29" s="1"/>
      <c r="AN29" s="1" t="s">
        <v>68</v>
      </c>
      <c r="AO29" s="1"/>
      <c r="AP29" s="306"/>
      <c r="AQ29" s="37">
        <v>57777.34</v>
      </c>
      <c r="AR29" s="1031">
        <v>218312.76</v>
      </c>
      <c r="AS29" s="1018"/>
      <c r="AT29" s="78">
        <v>41617</v>
      </c>
      <c r="AU29" s="245">
        <v>41661</v>
      </c>
      <c r="AV29" s="180"/>
      <c r="AW29" s="249" t="s">
        <v>149</v>
      </c>
      <c r="AX29" s="174" t="s">
        <v>68</v>
      </c>
      <c r="AY29" s="1"/>
      <c r="AZ29" s="1"/>
      <c r="BA29" s="18"/>
      <c r="BB29" s="78">
        <v>41696</v>
      </c>
      <c r="BC29" s="344"/>
      <c r="BD29" s="255">
        <v>41610</v>
      </c>
      <c r="BE29" s="255">
        <v>41638</v>
      </c>
      <c r="BF29" s="255">
        <v>41685</v>
      </c>
      <c r="BG29" s="72">
        <v>276090.09999999998</v>
      </c>
      <c r="BH29" s="14" t="s">
        <v>74</v>
      </c>
      <c r="BI29" s="794" t="s">
        <v>68</v>
      </c>
      <c r="BJ29" s="795" t="s">
        <v>68</v>
      </c>
      <c r="BK29" s="795" t="s">
        <v>68</v>
      </c>
      <c r="BL29" s="794"/>
      <c r="BM29" s="794"/>
      <c r="BN29" s="794"/>
      <c r="BO29" s="794"/>
      <c r="BP29" s="794"/>
      <c r="BQ29" s="794"/>
      <c r="BR29" s="794"/>
      <c r="BS29" s="794" t="s">
        <v>68</v>
      </c>
      <c r="BT29" s="14"/>
      <c r="BU29" s="14"/>
      <c r="BV29" s="14"/>
      <c r="BW29" s="14"/>
      <c r="BX29" s="14"/>
      <c r="BY29" s="1431" t="s">
        <v>1430</v>
      </c>
      <c r="BZ29" s="40" t="s">
        <v>76</v>
      </c>
      <c r="CA29" s="563"/>
      <c r="CB29" s="563"/>
      <c r="CC29" s="563"/>
      <c r="CD29" s="563"/>
      <c r="CE29" s="563"/>
      <c r="CF29" s="563"/>
      <c r="CG29" s="563"/>
      <c r="CH29" s="13"/>
    </row>
    <row r="30" spans="2:86" customFormat="1" ht="90" hidden="1" customHeight="1">
      <c r="B30" s="23"/>
      <c r="C30" s="23"/>
      <c r="D30" s="23"/>
      <c r="E30" s="23"/>
      <c r="F30" s="23"/>
      <c r="G30" s="1368"/>
      <c r="H30" s="490"/>
      <c r="I30" s="17">
        <v>2013</v>
      </c>
      <c r="J30" s="1676"/>
      <c r="K30" s="18" t="s">
        <v>77</v>
      </c>
      <c r="L30" s="20" t="s">
        <v>150</v>
      </c>
      <c r="M30" s="2" t="s">
        <v>4077</v>
      </c>
      <c r="N30" s="3" t="s">
        <v>151</v>
      </c>
      <c r="O30" s="3"/>
      <c r="P30" s="85">
        <v>51673.18</v>
      </c>
      <c r="Q30" s="6">
        <v>41614</v>
      </c>
      <c r="R30" s="5">
        <v>41617</v>
      </c>
      <c r="S30" s="12">
        <v>41638</v>
      </c>
      <c r="T30" s="14" t="s">
        <v>68</v>
      </c>
      <c r="U30" s="20" t="s">
        <v>68</v>
      </c>
      <c r="V30" s="18"/>
      <c r="W30" s="64">
        <v>41464</v>
      </c>
      <c r="X30" s="111"/>
      <c r="Y30" s="20" t="s">
        <v>68</v>
      </c>
      <c r="Z30" s="5">
        <v>41606</v>
      </c>
      <c r="AA30" s="4" t="s">
        <v>68</v>
      </c>
      <c r="AB30" s="1" t="s">
        <v>72</v>
      </c>
      <c r="AC30" s="34">
        <v>51673.18</v>
      </c>
      <c r="AD30" s="36" t="s">
        <v>68</v>
      </c>
      <c r="AE30" s="119" t="s">
        <v>68</v>
      </c>
      <c r="AF30" s="119" t="s">
        <v>68</v>
      </c>
      <c r="AG30" s="7" t="s">
        <v>68</v>
      </c>
      <c r="AH30" s="235" t="s">
        <v>68</v>
      </c>
      <c r="AI30" s="35" t="s">
        <v>89</v>
      </c>
      <c r="AJ30" s="1" t="s">
        <v>68</v>
      </c>
      <c r="AK30" s="1"/>
      <c r="AL30" s="1" t="s">
        <v>68</v>
      </c>
      <c r="AM30" s="1"/>
      <c r="AN30" s="1" t="s">
        <v>68</v>
      </c>
      <c r="AO30" s="1"/>
      <c r="AP30" s="306"/>
      <c r="AQ30" s="37">
        <v>14523.66</v>
      </c>
      <c r="AR30" s="1031">
        <v>18624.490000000002</v>
      </c>
      <c r="AS30" s="1018"/>
      <c r="AT30" s="78">
        <v>41626</v>
      </c>
      <c r="AU30" s="245">
        <v>41632</v>
      </c>
      <c r="AV30" s="180" t="s">
        <v>68</v>
      </c>
      <c r="AW30" s="249" t="s">
        <v>149</v>
      </c>
      <c r="AX30" s="174" t="s">
        <v>68</v>
      </c>
      <c r="AY30" s="1"/>
      <c r="AZ30" s="1"/>
      <c r="BA30" s="18"/>
      <c r="BB30" s="78">
        <v>41696</v>
      </c>
      <c r="BC30" s="344"/>
      <c r="BD30" s="255">
        <v>41617</v>
      </c>
      <c r="BE30" s="255">
        <v>41638</v>
      </c>
      <c r="BF30" s="255">
        <v>41623</v>
      </c>
      <c r="BG30" s="72">
        <v>33148.15</v>
      </c>
      <c r="BH30" s="14" t="s">
        <v>74</v>
      </c>
      <c r="BI30" s="794" t="s">
        <v>68</v>
      </c>
      <c r="BJ30" s="795" t="s">
        <v>68</v>
      </c>
      <c r="BK30" s="795" t="s">
        <v>68</v>
      </c>
      <c r="BL30" s="794"/>
      <c r="BM30" s="794"/>
      <c r="BN30" s="794"/>
      <c r="BO30" s="794"/>
      <c r="BP30" s="794"/>
      <c r="BQ30" s="794"/>
      <c r="BR30" s="794"/>
      <c r="BS30" s="794" t="s">
        <v>68</v>
      </c>
      <c r="BT30" s="14"/>
      <c r="BU30" s="14"/>
      <c r="BV30" s="14"/>
      <c r="BW30" s="14"/>
      <c r="BX30" s="14"/>
      <c r="BY30" s="1431" t="s">
        <v>1430</v>
      </c>
      <c r="BZ30" s="40" t="s">
        <v>76</v>
      </c>
      <c r="CA30" s="563"/>
      <c r="CB30" s="563"/>
      <c r="CC30" s="563"/>
      <c r="CD30" s="563"/>
      <c r="CE30" s="563"/>
      <c r="CF30" s="563"/>
      <c r="CG30" s="563"/>
      <c r="CH30" s="13"/>
    </row>
    <row r="31" spans="2:86" customFormat="1" ht="90" hidden="1" customHeight="1">
      <c r="B31" s="23"/>
      <c r="C31" s="23"/>
      <c r="D31" s="23"/>
      <c r="E31" s="23"/>
      <c r="F31" s="23"/>
      <c r="G31" s="1368"/>
      <c r="H31" s="490"/>
      <c r="I31" s="17">
        <v>2013</v>
      </c>
      <c r="J31" s="1676"/>
      <c r="K31" s="18" t="s">
        <v>77</v>
      </c>
      <c r="L31" s="20" t="s">
        <v>152</v>
      </c>
      <c r="M31" s="2" t="s">
        <v>4077</v>
      </c>
      <c r="N31" s="3" t="s">
        <v>153</v>
      </c>
      <c r="O31" s="3"/>
      <c r="P31" s="85">
        <v>63457.87</v>
      </c>
      <c r="Q31" s="6">
        <v>41614</v>
      </c>
      <c r="R31" s="5">
        <v>41617</v>
      </c>
      <c r="S31" s="12">
        <v>41638</v>
      </c>
      <c r="T31" s="14" t="s">
        <v>68</v>
      </c>
      <c r="U31" s="20" t="s">
        <v>68</v>
      </c>
      <c r="V31" s="18"/>
      <c r="W31" s="64">
        <v>41464</v>
      </c>
      <c r="X31" s="111"/>
      <c r="Y31" s="20" t="s">
        <v>68</v>
      </c>
      <c r="Z31" s="5">
        <v>41606</v>
      </c>
      <c r="AA31" s="4" t="s">
        <v>68</v>
      </c>
      <c r="AB31" s="1" t="s">
        <v>72</v>
      </c>
      <c r="AC31" s="34">
        <v>63457.87</v>
      </c>
      <c r="AD31" s="36" t="s">
        <v>68</v>
      </c>
      <c r="AE31" s="119" t="s">
        <v>68</v>
      </c>
      <c r="AF31" s="119" t="s">
        <v>68</v>
      </c>
      <c r="AG31" s="7" t="s">
        <v>68</v>
      </c>
      <c r="AH31" s="235" t="s">
        <v>68</v>
      </c>
      <c r="AI31" s="35" t="s">
        <v>89</v>
      </c>
      <c r="AJ31" s="1" t="s">
        <v>68</v>
      </c>
      <c r="AK31" s="1"/>
      <c r="AL31" s="1" t="s">
        <v>68</v>
      </c>
      <c r="AM31" s="1"/>
      <c r="AN31" s="1" t="s">
        <v>68</v>
      </c>
      <c r="AO31" s="1"/>
      <c r="AP31" s="306"/>
      <c r="AQ31" s="37">
        <v>29677.45</v>
      </c>
      <c r="AR31" s="1031">
        <v>34030</v>
      </c>
      <c r="AS31" s="1018"/>
      <c r="AT31" s="78">
        <v>41620</v>
      </c>
      <c r="AU31" s="245">
        <v>41628</v>
      </c>
      <c r="AV31" s="180" t="s">
        <v>68</v>
      </c>
      <c r="AW31" s="249" t="s">
        <v>149</v>
      </c>
      <c r="AX31" s="174" t="s">
        <v>68</v>
      </c>
      <c r="AY31" s="1"/>
      <c r="AZ31" s="1"/>
      <c r="BA31" s="18"/>
      <c r="BB31" s="78">
        <v>41696</v>
      </c>
      <c r="BC31" s="344"/>
      <c r="BD31" s="255">
        <v>41617</v>
      </c>
      <c r="BE31" s="255">
        <v>41638</v>
      </c>
      <c r="BF31" s="255">
        <v>41623</v>
      </c>
      <c r="BG31" s="72">
        <v>63707.45</v>
      </c>
      <c r="BH31" s="14" t="s">
        <v>74</v>
      </c>
      <c r="BI31" s="794" t="s">
        <v>68</v>
      </c>
      <c r="BJ31" s="795" t="s">
        <v>68</v>
      </c>
      <c r="BK31" s="795" t="s">
        <v>68</v>
      </c>
      <c r="BL31" s="794"/>
      <c r="BM31" s="794"/>
      <c r="BN31" s="794"/>
      <c r="BO31" s="794"/>
      <c r="BP31" s="794"/>
      <c r="BQ31" s="794"/>
      <c r="BR31" s="794"/>
      <c r="BS31" s="794" t="s">
        <v>68</v>
      </c>
      <c r="BT31" s="14"/>
      <c r="BU31" s="14"/>
      <c r="BV31" s="14"/>
      <c r="BW31" s="14"/>
      <c r="BX31" s="14"/>
      <c r="BY31" s="1431" t="s">
        <v>1430</v>
      </c>
      <c r="BZ31" s="40" t="s">
        <v>76</v>
      </c>
      <c r="CA31" s="563"/>
      <c r="CB31" s="563"/>
      <c r="CC31" s="563"/>
      <c r="CD31" s="563"/>
      <c r="CE31" s="563"/>
      <c r="CF31" s="563"/>
      <c r="CG31" s="563"/>
      <c r="CH31" s="13"/>
    </row>
    <row r="32" spans="2:86" customFormat="1" ht="90" hidden="1" customHeight="1">
      <c r="B32" s="23"/>
      <c r="C32" s="23"/>
      <c r="D32" s="23"/>
      <c r="E32" s="23"/>
      <c r="F32" s="23"/>
      <c r="G32" s="1368"/>
      <c r="H32" s="490"/>
      <c r="I32" s="17">
        <v>2013</v>
      </c>
      <c r="J32" s="1676"/>
      <c r="K32" s="18" t="s">
        <v>77</v>
      </c>
      <c r="L32" s="20" t="s">
        <v>154</v>
      </c>
      <c r="M32" s="2" t="s">
        <v>4077</v>
      </c>
      <c r="N32" s="3" t="s">
        <v>155</v>
      </c>
      <c r="O32" s="3"/>
      <c r="P32" s="85">
        <v>387451.67</v>
      </c>
      <c r="Q32" s="6">
        <v>41600</v>
      </c>
      <c r="R32" s="5">
        <v>41603</v>
      </c>
      <c r="S32" s="12">
        <v>41608</v>
      </c>
      <c r="T32" s="14" t="s">
        <v>68</v>
      </c>
      <c r="U32" s="20" t="s">
        <v>68</v>
      </c>
      <c r="V32" s="18"/>
      <c r="W32" s="222"/>
      <c r="X32" s="1614"/>
      <c r="Y32" s="174" t="s">
        <v>82</v>
      </c>
      <c r="Z32" s="5">
        <v>41478</v>
      </c>
      <c r="AA32" s="4">
        <v>178240</v>
      </c>
      <c r="AB32" s="1" t="s">
        <v>72</v>
      </c>
      <c r="AC32" s="34">
        <v>254989.5</v>
      </c>
      <c r="AD32" s="36" t="s">
        <v>68</v>
      </c>
      <c r="AE32" s="119" t="s">
        <v>68</v>
      </c>
      <c r="AF32" s="119" t="s">
        <v>68</v>
      </c>
      <c r="AG32" s="7" t="s">
        <v>68</v>
      </c>
      <c r="AH32" s="235" t="s">
        <v>68</v>
      </c>
      <c r="AI32" s="35" t="s">
        <v>68</v>
      </c>
      <c r="AJ32" s="1" t="s">
        <v>68</v>
      </c>
      <c r="AK32" s="1"/>
      <c r="AL32" s="1" t="s">
        <v>68</v>
      </c>
      <c r="AM32" s="1"/>
      <c r="AN32" s="1" t="s">
        <v>68</v>
      </c>
      <c r="AO32" s="1"/>
      <c r="AP32" s="306"/>
      <c r="AQ32" s="37">
        <v>22055.68</v>
      </c>
      <c r="AR32" s="1031">
        <v>196784.2</v>
      </c>
      <c r="AS32" s="1018"/>
      <c r="AT32" s="169"/>
      <c r="AU32" s="18"/>
      <c r="AV32" s="243" t="s">
        <v>68</v>
      </c>
      <c r="AW32" s="79"/>
      <c r="AX32" s="20"/>
      <c r="AY32" s="1"/>
      <c r="AZ32" s="1"/>
      <c r="BA32" s="18"/>
      <c r="BB32" s="32">
        <v>41604</v>
      </c>
      <c r="BC32" s="341"/>
      <c r="BD32" s="5">
        <v>41598</v>
      </c>
      <c r="BE32" s="5">
        <v>41608</v>
      </c>
      <c r="BF32" s="5">
        <v>41598</v>
      </c>
      <c r="BG32" s="38">
        <v>218839.88</v>
      </c>
      <c r="BH32" s="14"/>
      <c r="BI32" s="794" t="s">
        <v>68</v>
      </c>
      <c r="BJ32" s="795" t="s">
        <v>68</v>
      </c>
      <c r="BK32" s="795" t="s">
        <v>68</v>
      </c>
      <c r="BL32" s="794"/>
      <c r="BM32" s="794"/>
      <c r="BN32" s="794"/>
      <c r="BO32" s="794"/>
      <c r="BP32" s="794"/>
      <c r="BQ32" s="794"/>
      <c r="BR32" s="794"/>
      <c r="BS32" s="794" t="s">
        <v>68</v>
      </c>
      <c r="BT32" s="14"/>
      <c r="BU32" s="14"/>
      <c r="BV32" s="14"/>
      <c r="BW32" s="14"/>
      <c r="BX32" s="14"/>
      <c r="BY32" s="1431" t="s">
        <v>1430</v>
      </c>
      <c r="BZ32" s="40" t="s">
        <v>76</v>
      </c>
      <c r="CA32" s="563"/>
      <c r="CB32" s="563"/>
      <c r="CC32" s="563"/>
      <c r="CD32" s="563"/>
      <c r="CE32" s="563"/>
      <c r="CF32" s="563"/>
      <c r="CG32" s="563"/>
      <c r="CH32" s="13"/>
    </row>
    <row r="33" spans="2:86" customFormat="1" ht="90" hidden="1" customHeight="1">
      <c r="B33" s="23"/>
      <c r="C33" s="23"/>
      <c r="D33" s="23"/>
      <c r="E33" s="23"/>
      <c r="F33" s="23"/>
      <c r="G33" s="1368"/>
      <c r="H33" s="490"/>
      <c r="I33" s="17">
        <v>2013</v>
      </c>
      <c r="J33" s="1676"/>
      <c r="K33" s="19" t="s">
        <v>156</v>
      </c>
      <c r="L33" s="20" t="s">
        <v>157</v>
      </c>
      <c r="M33" s="2" t="s">
        <v>79</v>
      </c>
      <c r="N33" s="3" t="s">
        <v>158</v>
      </c>
      <c r="O33" s="3"/>
      <c r="P33" s="4">
        <v>1299999</v>
      </c>
      <c r="Q33" s="6">
        <v>41547</v>
      </c>
      <c r="R33" s="5">
        <v>41547</v>
      </c>
      <c r="S33" s="12">
        <v>41608</v>
      </c>
      <c r="T33" s="64">
        <v>41547</v>
      </c>
      <c r="U33" s="224" t="s">
        <v>159</v>
      </c>
      <c r="V33" s="224" t="s">
        <v>70</v>
      </c>
      <c r="W33" s="64">
        <v>41547</v>
      </c>
      <c r="X33" s="406"/>
      <c r="Y33" s="228" t="s">
        <v>160</v>
      </c>
      <c r="Z33" s="5">
        <v>41543</v>
      </c>
      <c r="AA33" s="4">
        <v>1446028.37</v>
      </c>
      <c r="AB33" s="4"/>
      <c r="AC33" s="34"/>
      <c r="AD33" s="36" t="s">
        <v>68</v>
      </c>
      <c r="AE33" s="119" t="s">
        <v>68</v>
      </c>
      <c r="AF33" s="119" t="s">
        <v>68</v>
      </c>
      <c r="AG33" s="7" t="s">
        <v>68</v>
      </c>
      <c r="AH33" s="235" t="s">
        <v>68</v>
      </c>
      <c r="AI33" s="35" t="s">
        <v>115</v>
      </c>
      <c r="AJ33" s="1" t="s">
        <v>161</v>
      </c>
      <c r="AK33" s="5">
        <v>41547</v>
      </c>
      <c r="AL33" s="1" t="s">
        <v>162</v>
      </c>
      <c r="AM33" s="5">
        <v>41547</v>
      </c>
      <c r="AN33" s="236" t="s">
        <v>74</v>
      </c>
      <c r="AO33" s="1"/>
      <c r="AP33" s="306"/>
      <c r="AQ33" s="37">
        <v>0</v>
      </c>
      <c r="AR33" s="1031">
        <v>1299411.1499999999</v>
      </c>
      <c r="AS33" s="1018"/>
      <c r="AT33" s="32">
        <v>41547</v>
      </c>
      <c r="AU33" s="250">
        <v>41629</v>
      </c>
      <c r="AV33" s="251"/>
      <c r="AW33" s="252"/>
      <c r="AX33" s="236" t="s">
        <v>74</v>
      </c>
      <c r="AY33" s="1"/>
      <c r="AZ33" s="1"/>
      <c r="BA33" s="18"/>
      <c r="BB33" s="236" t="s">
        <v>74</v>
      </c>
      <c r="BC33" s="236"/>
      <c r="BD33" s="1"/>
      <c r="BE33" s="1"/>
      <c r="BF33" s="1"/>
      <c r="BG33" s="38">
        <v>1299411.1499999999</v>
      </c>
      <c r="BH33" s="236" t="s">
        <v>74</v>
      </c>
      <c r="BI33" s="794" t="s">
        <v>68</v>
      </c>
      <c r="BJ33" s="795" t="s">
        <v>68</v>
      </c>
      <c r="BK33" s="795" t="s">
        <v>68</v>
      </c>
      <c r="BL33" s="794"/>
      <c r="BM33" s="794"/>
      <c r="BN33" s="794"/>
      <c r="BO33" s="794"/>
      <c r="BP33" s="794"/>
      <c r="BQ33" s="794"/>
      <c r="BR33" s="794"/>
      <c r="BS33" s="794" t="s">
        <v>68</v>
      </c>
      <c r="BT33" s="14"/>
      <c r="BU33" s="14"/>
      <c r="BV33" s="14"/>
      <c r="BW33" s="14"/>
      <c r="BX33" s="14"/>
      <c r="BY33" s="1431" t="s">
        <v>1430</v>
      </c>
      <c r="BZ33" s="40" t="s">
        <v>76</v>
      </c>
      <c r="CA33" s="563"/>
      <c r="CB33" s="563"/>
      <c r="CC33" s="563"/>
      <c r="CD33" s="563"/>
      <c r="CE33" s="563"/>
      <c r="CF33" s="563"/>
      <c r="CG33" s="563"/>
      <c r="CH33" s="13"/>
    </row>
    <row r="34" spans="2:86" customFormat="1" ht="90" hidden="1" customHeight="1">
      <c r="B34" s="23"/>
      <c r="C34" s="23"/>
      <c r="D34" s="23"/>
      <c r="E34" s="23"/>
      <c r="F34" s="23"/>
      <c r="G34" s="1368"/>
      <c r="H34" s="490"/>
      <c r="I34" s="17">
        <v>2013</v>
      </c>
      <c r="J34" s="1676"/>
      <c r="K34" s="19" t="s">
        <v>163</v>
      </c>
      <c r="L34" s="20" t="s">
        <v>164</v>
      </c>
      <c r="M34" s="2" t="s">
        <v>4077</v>
      </c>
      <c r="N34" s="3" t="s">
        <v>165</v>
      </c>
      <c r="O34" s="3"/>
      <c r="P34" s="4">
        <v>125188</v>
      </c>
      <c r="Q34" s="6">
        <v>41617</v>
      </c>
      <c r="R34" s="5">
        <v>41612</v>
      </c>
      <c r="S34" s="12">
        <v>41638</v>
      </c>
      <c r="T34" s="14" t="s">
        <v>68</v>
      </c>
      <c r="U34" s="20" t="s">
        <v>68</v>
      </c>
      <c r="V34" s="18"/>
      <c r="W34" s="64">
        <v>41414</v>
      </c>
      <c r="X34" s="111"/>
      <c r="Y34" s="32" t="s">
        <v>68</v>
      </c>
      <c r="Z34" s="5">
        <v>41325</v>
      </c>
      <c r="AA34" s="4">
        <v>125188</v>
      </c>
      <c r="AB34" s="4" t="s">
        <v>68</v>
      </c>
      <c r="AC34" s="34"/>
      <c r="AD34" s="36" t="s">
        <v>68</v>
      </c>
      <c r="AE34" s="119" t="s">
        <v>68</v>
      </c>
      <c r="AF34" s="119" t="s">
        <v>68</v>
      </c>
      <c r="AG34" s="7" t="s">
        <v>68</v>
      </c>
      <c r="AH34" s="235" t="s">
        <v>68</v>
      </c>
      <c r="AI34" s="35" t="s">
        <v>68</v>
      </c>
      <c r="AJ34" s="1" t="s">
        <v>68</v>
      </c>
      <c r="AK34" s="1"/>
      <c r="AL34" s="1" t="s">
        <v>68</v>
      </c>
      <c r="AM34" s="1"/>
      <c r="AN34" s="1" t="s">
        <v>68</v>
      </c>
      <c r="AO34" s="1"/>
      <c r="AP34" s="306"/>
      <c r="AQ34" s="240">
        <v>0</v>
      </c>
      <c r="AR34" s="1030">
        <f t="shared" ref="AR34:AR41" si="0">BG34</f>
        <v>125188</v>
      </c>
      <c r="AS34" s="1017"/>
      <c r="AT34" s="32">
        <v>41612</v>
      </c>
      <c r="AU34" s="12">
        <v>41628</v>
      </c>
      <c r="AV34" s="32"/>
      <c r="AW34" s="54"/>
      <c r="AX34" s="20"/>
      <c r="AY34" s="1"/>
      <c r="AZ34" s="1"/>
      <c r="BA34" s="18"/>
      <c r="BB34" s="32">
        <v>41638</v>
      </c>
      <c r="BC34" s="341"/>
      <c r="BD34" s="5">
        <v>41616</v>
      </c>
      <c r="BE34" s="5">
        <v>41638</v>
      </c>
      <c r="BF34" s="5">
        <v>41638</v>
      </c>
      <c r="BG34" s="38">
        <v>125188</v>
      </c>
      <c r="BH34" s="14"/>
      <c r="BI34" s="794" t="s">
        <v>68</v>
      </c>
      <c r="BJ34" s="795" t="s">
        <v>68</v>
      </c>
      <c r="BK34" s="795" t="s">
        <v>68</v>
      </c>
      <c r="BL34" s="794"/>
      <c r="BM34" s="794"/>
      <c r="BN34" s="794"/>
      <c r="BO34" s="794"/>
      <c r="BP34" s="794"/>
      <c r="BQ34" s="794"/>
      <c r="BR34" s="794"/>
      <c r="BS34" s="794" t="s">
        <v>68</v>
      </c>
      <c r="BT34" s="14"/>
      <c r="BU34" s="14"/>
      <c r="BV34" s="14"/>
      <c r="BW34" s="14"/>
      <c r="BX34" s="14"/>
      <c r="BY34" s="1431" t="s">
        <v>1430</v>
      </c>
      <c r="BZ34" s="40" t="s">
        <v>76</v>
      </c>
      <c r="CA34" s="563"/>
      <c r="CB34" s="563"/>
      <c r="CC34" s="563"/>
      <c r="CD34" s="563"/>
      <c r="CE34" s="563"/>
      <c r="CF34" s="563"/>
      <c r="CG34" s="563"/>
      <c r="CH34" s="13"/>
    </row>
    <row r="35" spans="2:86" customFormat="1" ht="90" hidden="1" customHeight="1">
      <c r="B35" s="23"/>
      <c r="C35" s="23"/>
      <c r="D35" s="23"/>
      <c r="E35" s="23"/>
      <c r="F35" s="23"/>
      <c r="G35" s="1368"/>
      <c r="H35" s="490"/>
      <c r="I35" s="17">
        <v>2013</v>
      </c>
      <c r="J35" s="1676"/>
      <c r="K35" s="19" t="s">
        <v>166</v>
      </c>
      <c r="L35" s="20" t="s">
        <v>167</v>
      </c>
      <c r="M35" s="2" t="s">
        <v>4077</v>
      </c>
      <c r="N35" s="3" t="s">
        <v>168</v>
      </c>
      <c r="O35" s="3"/>
      <c r="P35" s="4">
        <v>75847.88</v>
      </c>
      <c r="Q35" s="6">
        <v>41447</v>
      </c>
      <c r="R35" s="5">
        <v>41447</v>
      </c>
      <c r="S35" s="12">
        <v>41460</v>
      </c>
      <c r="T35" s="14" t="s">
        <v>68</v>
      </c>
      <c r="U35" s="20" t="s">
        <v>68</v>
      </c>
      <c r="V35" s="18"/>
      <c r="W35" s="220" t="s">
        <v>68</v>
      </c>
      <c r="X35" s="406"/>
      <c r="Y35" s="20" t="s">
        <v>169</v>
      </c>
      <c r="Z35" s="5">
        <v>41445</v>
      </c>
      <c r="AA35" s="4">
        <v>75847.88</v>
      </c>
      <c r="AB35" s="4"/>
      <c r="AC35" s="34"/>
      <c r="AD35" s="36" t="s">
        <v>68</v>
      </c>
      <c r="AE35" s="119" t="s">
        <v>68</v>
      </c>
      <c r="AF35" s="119" t="s">
        <v>68</v>
      </c>
      <c r="AG35" s="7" t="s">
        <v>68</v>
      </c>
      <c r="AH35" s="235" t="s">
        <v>68</v>
      </c>
      <c r="AI35" s="35" t="s">
        <v>68</v>
      </c>
      <c r="AJ35" s="1" t="s">
        <v>68</v>
      </c>
      <c r="AK35" s="1"/>
      <c r="AL35" s="1" t="s">
        <v>68</v>
      </c>
      <c r="AM35" s="1"/>
      <c r="AN35" s="1" t="s">
        <v>68</v>
      </c>
      <c r="AO35" s="1"/>
      <c r="AP35" s="306"/>
      <c r="AQ35" s="240">
        <v>0</v>
      </c>
      <c r="AR35" s="1030">
        <f t="shared" si="0"/>
        <v>0</v>
      </c>
      <c r="AS35" s="1017"/>
      <c r="AT35" s="20"/>
      <c r="AU35" s="18"/>
      <c r="AV35" s="243" t="s">
        <v>68</v>
      </c>
      <c r="AW35" s="79"/>
      <c r="AX35" s="20"/>
      <c r="AY35" s="1"/>
      <c r="AZ35" s="1"/>
      <c r="BA35" s="18"/>
      <c r="BB35" s="20"/>
      <c r="BC35" s="13"/>
      <c r="BD35" s="1"/>
      <c r="BE35" s="1"/>
      <c r="BF35" s="1"/>
      <c r="BG35" s="38">
        <v>0</v>
      </c>
      <c r="BH35" s="14"/>
      <c r="BI35" s="794" t="s">
        <v>68</v>
      </c>
      <c r="BJ35" s="795" t="s">
        <v>68</v>
      </c>
      <c r="BK35" s="795" t="s">
        <v>68</v>
      </c>
      <c r="BL35" s="794"/>
      <c r="BM35" s="794"/>
      <c r="BN35" s="794"/>
      <c r="BO35" s="794"/>
      <c r="BP35" s="794"/>
      <c r="BQ35" s="794"/>
      <c r="BR35" s="794"/>
      <c r="BS35" s="794" t="s">
        <v>68</v>
      </c>
      <c r="BT35" s="14"/>
      <c r="BU35" s="14"/>
      <c r="BV35" s="14"/>
      <c r="BW35" s="14"/>
      <c r="BX35" s="14"/>
      <c r="BY35" s="1431" t="s">
        <v>1430</v>
      </c>
      <c r="BZ35" s="40" t="s">
        <v>76</v>
      </c>
      <c r="CA35" s="563"/>
      <c r="CB35" s="563"/>
      <c r="CC35" s="563"/>
      <c r="CD35" s="563"/>
      <c r="CE35" s="563"/>
      <c r="CF35" s="563"/>
      <c r="CG35" s="563"/>
      <c r="CH35" s="13"/>
    </row>
    <row r="36" spans="2:86" customFormat="1" ht="90" hidden="1" customHeight="1">
      <c r="B36" s="23"/>
      <c r="C36" s="23"/>
      <c r="D36" s="23"/>
      <c r="E36" s="23"/>
      <c r="F36" s="23"/>
      <c r="G36" s="1368"/>
      <c r="H36" s="490"/>
      <c r="I36" s="17">
        <v>2013</v>
      </c>
      <c r="J36" s="1676"/>
      <c r="K36" s="19" t="s">
        <v>166</v>
      </c>
      <c r="L36" s="20" t="s">
        <v>170</v>
      </c>
      <c r="M36" s="2" t="s">
        <v>4077</v>
      </c>
      <c r="N36" s="3" t="s">
        <v>171</v>
      </c>
      <c r="O36" s="3"/>
      <c r="P36" s="4">
        <v>38585.949999999997</v>
      </c>
      <c r="Q36" s="6">
        <v>41446</v>
      </c>
      <c r="R36" s="5">
        <v>41446</v>
      </c>
      <c r="S36" s="12">
        <v>41453</v>
      </c>
      <c r="T36" s="14" t="s">
        <v>68</v>
      </c>
      <c r="U36" s="20" t="s">
        <v>68</v>
      </c>
      <c r="V36" s="18"/>
      <c r="W36" s="220" t="s">
        <v>68</v>
      </c>
      <c r="X36" s="406"/>
      <c r="Y36" s="20" t="s">
        <v>169</v>
      </c>
      <c r="Z36" s="5">
        <v>41445</v>
      </c>
      <c r="AA36" s="4">
        <v>38585.949999999997</v>
      </c>
      <c r="AB36" s="4"/>
      <c r="AC36" s="34"/>
      <c r="AD36" s="36" t="s">
        <v>68</v>
      </c>
      <c r="AE36" s="119" t="s">
        <v>68</v>
      </c>
      <c r="AF36" s="119" t="s">
        <v>68</v>
      </c>
      <c r="AG36" s="7" t="s">
        <v>68</v>
      </c>
      <c r="AH36" s="235" t="s">
        <v>68</v>
      </c>
      <c r="AI36" s="35" t="s">
        <v>68</v>
      </c>
      <c r="AJ36" s="1" t="s">
        <v>68</v>
      </c>
      <c r="AK36" s="1"/>
      <c r="AL36" s="1" t="s">
        <v>68</v>
      </c>
      <c r="AM36" s="1"/>
      <c r="AN36" s="1" t="s">
        <v>68</v>
      </c>
      <c r="AO36" s="1"/>
      <c r="AP36" s="306"/>
      <c r="AQ36" s="240">
        <v>0</v>
      </c>
      <c r="AR36" s="1030">
        <f t="shared" si="0"/>
        <v>0</v>
      </c>
      <c r="AS36" s="1017"/>
      <c r="AT36" s="20"/>
      <c r="AU36" s="18"/>
      <c r="AV36" s="243" t="s">
        <v>68</v>
      </c>
      <c r="AW36" s="79"/>
      <c r="AX36" s="20"/>
      <c r="AY36" s="1"/>
      <c r="AZ36" s="1"/>
      <c r="BA36" s="18"/>
      <c r="BB36" s="20"/>
      <c r="BC36" s="13"/>
      <c r="BD36" s="1"/>
      <c r="BE36" s="1"/>
      <c r="BF36" s="1"/>
      <c r="BG36" s="38">
        <v>0</v>
      </c>
      <c r="BH36" s="14"/>
      <c r="BI36" s="794" t="s">
        <v>68</v>
      </c>
      <c r="BJ36" s="795" t="s">
        <v>68</v>
      </c>
      <c r="BK36" s="795" t="s">
        <v>68</v>
      </c>
      <c r="BL36" s="794"/>
      <c r="BM36" s="794"/>
      <c r="BN36" s="794"/>
      <c r="BO36" s="794"/>
      <c r="BP36" s="794"/>
      <c r="BQ36" s="794"/>
      <c r="BR36" s="794"/>
      <c r="BS36" s="794" t="s">
        <v>68</v>
      </c>
      <c r="BT36" s="14"/>
      <c r="BU36" s="14"/>
      <c r="BV36" s="14"/>
      <c r="BW36" s="14"/>
      <c r="BX36" s="14"/>
      <c r="BY36" s="1431" t="s">
        <v>1430</v>
      </c>
      <c r="BZ36" s="40" t="s">
        <v>76</v>
      </c>
      <c r="CA36" s="563"/>
      <c r="CB36" s="563"/>
      <c r="CC36" s="563"/>
      <c r="CD36" s="563"/>
      <c r="CE36" s="563"/>
      <c r="CF36" s="563"/>
      <c r="CG36" s="563"/>
      <c r="CH36" s="13"/>
    </row>
    <row r="37" spans="2:86" customFormat="1" ht="90" hidden="1" customHeight="1">
      <c r="B37" s="23"/>
      <c r="C37" s="23"/>
      <c r="D37" s="23"/>
      <c r="E37" s="23"/>
      <c r="F37" s="23"/>
      <c r="G37" s="1368"/>
      <c r="H37" s="490"/>
      <c r="I37" s="17">
        <v>2013</v>
      </c>
      <c r="J37" s="1676"/>
      <c r="K37" s="19" t="s">
        <v>166</v>
      </c>
      <c r="L37" s="20" t="s">
        <v>172</v>
      </c>
      <c r="M37" s="2" t="s">
        <v>4077</v>
      </c>
      <c r="N37" s="3" t="s">
        <v>173</v>
      </c>
      <c r="O37" s="3"/>
      <c r="P37" s="4">
        <v>396797.76</v>
      </c>
      <c r="Q37" s="6">
        <v>41446</v>
      </c>
      <c r="R37" s="5">
        <v>41446</v>
      </c>
      <c r="S37" s="12">
        <v>41460</v>
      </c>
      <c r="T37" s="14" t="s">
        <v>68</v>
      </c>
      <c r="U37" s="20" t="s">
        <v>68</v>
      </c>
      <c r="V37" s="18"/>
      <c r="W37" s="220" t="s">
        <v>68</v>
      </c>
      <c r="X37" s="406"/>
      <c r="Y37" s="20" t="s">
        <v>169</v>
      </c>
      <c r="Z37" s="5">
        <v>41445</v>
      </c>
      <c r="AA37" s="4">
        <v>396797.76</v>
      </c>
      <c r="AB37" s="4"/>
      <c r="AC37" s="34"/>
      <c r="AD37" s="36" t="s">
        <v>68</v>
      </c>
      <c r="AE37" s="119" t="s">
        <v>68</v>
      </c>
      <c r="AF37" s="119" t="s">
        <v>68</v>
      </c>
      <c r="AG37" s="7" t="s">
        <v>68</v>
      </c>
      <c r="AH37" s="235" t="s">
        <v>68</v>
      </c>
      <c r="AI37" s="35" t="s">
        <v>68</v>
      </c>
      <c r="AJ37" s="1" t="s">
        <v>68</v>
      </c>
      <c r="AK37" s="1"/>
      <c r="AL37" s="1" t="s">
        <v>68</v>
      </c>
      <c r="AM37" s="1"/>
      <c r="AN37" s="1" t="s">
        <v>68</v>
      </c>
      <c r="AO37" s="1"/>
      <c r="AP37" s="306"/>
      <c r="AQ37" s="240">
        <v>0</v>
      </c>
      <c r="AR37" s="1030">
        <f t="shared" si="0"/>
        <v>0</v>
      </c>
      <c r="AS37" s="1017"/>
      <c r="AT37" s="20"/>
      <c r="AU37" s="18"/>
      <c r="AV37" s="243" t="s">
        <v>68</v>
      </c>
      <c r="AW37" s="79"/>
      <c r="AX37" s="20"/>
      <c r="AY37" s="1"/>
      <c r="AZ37" s="1"/>
      <c r="BA37" s="18"/>
      <c r="BB37" s="20"/>
      <c r="BC37" s="13"/>
      <c r="BD37" s="1"/>
      <c r="BE37" s="1"/>
      <c r="BF37" s="1"/>
      <c r="BG37" s="38">
        <v>0</v>
      </c>
      <c r="BH37" s="14"/>
      <c r="BI37" s="794" t="s">
        <v>68</v>
      </c>
      <c r="BJ37" s="795" t="s">
        <v>68</v>
      </c>
      <c r="BK37" s="795" t="s">
        <v>68</v>
      </c>
      <c r="BL37" s="794"/>
      <c r="BM37" s="794"/>
      <c r="BN37" s="794"/>
      <c r="BO37" s="794"/>
      <c r="BP37" s="794"/>
      <c r="BQ37" s="794"/>
      <c r="BR37" s="794"/>
      <c r="BS37" s="794" t="s">
        <v>68</v>
      </c>
      <c r="BT37" s="14"/>
      <c r="BU37" s="14"/>
      <c r="BV37" s="14"/>
      <c r="BW37" s="14"/>
      <c r="BX37" s="14"/>
      <c r="BY37" s="1431" t="s">
        <v>1430</v>
      </c>
      <c r="BZ37" s="40" t="s">
        <v>76</v>
      </c>
      <c r="CA37" s="563"/>
      <c r="CB37" s="563"/>
      <c r="CC37" s="563"/>
      <c r="CD37" s="563"/>
      <c r="CE37" s="563"/>
      <c r="CF37" s="563"/>
      <c r="CG37" s="563"/>
      <c r="CH37" s="13"/>
    </row>
    <row r="38" spans="2:86" customFormat="1" ht="90" hidden="1" customHeight="1">
      <c r="B38" s="23"/>
      <c r="C38" s="23"/>
      <c r="D38" s="23"/>
      <c r="E38" s="23"/>
      <c r="F38" s="23"/>
      <c r="G38" s="1368"/>
      <c r="H38" s="490"/>
      <c r="I38" s="17">
        <v>2013</v>
      </c>
      <c r="J38" s="1676"/>
      <c r="K38" s="19" t="s">
        <v>166</v>
      </c>
      <c r="L38" s="20" t="s">
        <v>174</v>
      </c>
      <c r="M38" s="2" t="s">
        <v>4077</v>
      </c>
      <c r="N38" s="3" t="s">
        <v>175</v>
      </c>
      <c r="O38" s="3"/>
      <c r="P38" s="4">
        <v>300000</v>
      </c>
      <c r="Q38" s="6">
        <v>41449</v>
      </c>
      <c r="R38" s="5">
        <v>41449</v>
      </c>
      <c r="S38" s="12">
        <v>41517</v>
      </c>
      <c r="T38" s="14" t="s">
        <v>68</v>
      </c>
      <c r="U38" s="20" t="s">
        <v>68</v>
      </c>
      <c r="V38" s="18"/>
      <c r="W38" s="220" t="s">
        <v>68</v>
      </c>
      <c r="X38" s="406"/>
      <c r="Y38" s="20" t="s">
        <v>169</v>
      </c>
      <c r="Z38" s="5">
        <v>41445</v>
      </c>
      <c r="AA38" s="4">
        <v>300000</v>
      </c>
      <c r="AB38" s="4"/>
      <c r="AC38" s="34"/>
      <c r="AD38" s="36" t="s">
        <v>68</v>
      </c>
      <c r="AE38" s="119" t="s">
        <v>68</v>
      </c>
      <c r="AF38" s="119" t="s">
        <v>68</v>
      </c>
      <c r="AG38" s="7" t="s">
        <v>68</v>
      </c>
      <c r="AH38" s="235" t="s">
        <v>68</v>
      </c>
      <c r="AI38" s="35" t="s">
        <v>68</v>
      </c>
      <c r="AJ38" s="1" t="s">
        <v>68</v>
      </c>
      <c r="AK38" s="1"/>
      <c r="AL38" s="1" t="s">
        <v>68</v>
      </c>
      <c r="AM38" s="1"/>
      <c r="AN38" s="1" t="s">
        <v>68</v>
      </c>
      <c r="AO38" s="1"/>
      <c r="AP38" s="306"/>
      <c r="AQ38" s="240">
        <v>0</v>
      </c>
      <c r="AR38" s="1030">
        <f t="shared" si="0"/>
        <v>0</v>
      </c>
      <c r="AS38" s="1017"/>
      <c r="AT38" s="20"/>
      <c r="AU38" s="18"/>
      <c r="AV38" s="243" t="s">
        <v>68</v>
      </c>
      <c r="AW38" s="79"/>
      <c r="AX38" s="20"/>
      <c r="AY38" s="1"/>
      <c r="AZ38" s="1"/>
      <c r="BA38" s="18"/>
      <c r="BB38" s="20"/>
      <c r="BC38" s="13"/>
      <c r="BD38" s="1"/>
      <c r="BE38" s="1"/>
      <c r="BF38" s="1"/>
      <c r="BG38" s="38">
        <v>0</v>
      </c>
      <c r="BH38" s="14"/>
      <c r="BI38" s="794" t="s">
        <v>68</v>
      </c>
      <c r="BJ38" s="795" t="s">
        <v>68</v>
      </c>
      <c r="BK38" s="795" t="s">
        <v>68</v>
      </c>
      <c r="BL38" s="794"/>
      <c r="BM38" s="794"/>
      <c r="BN38" s="794"/>
      <c r="BO38" s="794"/>
      <c r="BP38" s="794"/>
      <c r="BQ38" s="794"/>
      <c r="BR38" s="794"/>
      <c r="BS38" s="794" t="s">
        <v>68</v>
      </c>
      <c r="BT38" s="14"/>
      <c r="BU38" s="14"/>
      <c r="BV38" s="14"/>
      <c r="BW38" s="14"/>
      <c r="BX38" s="14"/>
      <c r="BY38" s="1431" t="s">
        <v>1430</v>
      </c>
      <c r="BZ38" s="40" t="s">
        <v>76</v>
      </c>
      <c r="CA38" s="563"/>
      <c r="CB38" s="563"/>
      <c r="CC38" s="563"/>
      <c r="CD38" s="563"/>
      <c r="CE38" s="563"/>
      <c r="CF38" s="563"/>
      <c r="CG38" s="563"/>
      <c r="CH38" s="13"/>
    </row>
    <row r="39" spans="2:86" customFormat="1" ht="90" hidden="1" customHeight="1">
      <c r="B39" s="23"/>
      <c r="C39" s="23"/>
      <c r="D39" s="23"/>
      <c r="E39" s="23"/>
      <c r="F39" s="23"/>
      <c r="G39" s="1368"/>
      <c r="H39" s="490"/>
      <c r="I39" s="17">
        <v>2013</v>
      </c>
      <c r="J39" s="1676"/>
      <c r="K39" s="19" t="s">
        <v>166</v>
      </c>
      <c r="L39" s="20" t="s">
        <v>176</v>
      </c>
      <c r="M39" s="2" t="s">
        <v>4077</v>
      </c>
      <c r="N39" s="3" t="s">
        <v>177</v>
      </c>
      <c r="O39" s="3"/>
      <c r="P39" s="4"/>
      <c r="Q39" s="6"/>
      <c r="R39" s="1"/>
      <c r="S39" s="18"/>
      <c r="T39" s="14" t="s">
        <v>68</v>
      </c>
      <c r="U39" s="20" t="s">
        <v>68</v>
      </c>
      <c r="V39" s="18"/>
      <c r="W39" s="220" t="s">
        <v>68</v>
      </c>
      <c r="X39" s="406"/>
      <c r="Y39" s="20" t="s">
        <v>178</v>
      </c>
      <c r="Z39" s="5">
        <v>41478</v>
      </c>
      <c r="AA39" s="4">
        <v>160000</v>
      </c>
      <c r="AB39" s="4" t="s">
        <v>179</v>
      </c>
      <c r="AC39" s="34">
        <v>185282.2</v>
      </c>
      <c r="AD39" s="36" t="s">
        <v>68</v>
      </c>
      <c r="AE39" s="119" t="s">
        <v>68</v>
      </c>
      <c r="AF39" s="119" t="s">
        <v>68</v>
      </c>
      <c r="AG39" s="7" t="s">
        <v>68</v>
      </c>
      <c r="AH39" s="235" t="s">
        <v>68</v>
      </c>
      <c r="AI39" s="35" t="s">
        <v>68</v>
      </c>
      <c r="AJ39" s="1" t="s">
        <v>68</v>
      </c>
      <c r="AK39" s="1"/>
      <c r="AL39" s="1" t="s">
        <v>68</v>
      </c>
      <c r="AM39" s="1"/>
      <c r="AN39" s="1" t="s">
        <v>68</v>
      </c>
      <c r="AO39" s="1"/>
      <c r="AP39" s="306"/>
      <c r="AQ39" s="240">
        <v>0</v>
      </c>
      <c r="AR39" s="1030">
        <f t="shared" si="0"/>
        <v>0</v>
      </c>
      <c r="AS39" s="1017"/>
      <c r="AT39" s="20"/>
      <c r="AU39" s="18"/>
      <c r="AV39" s="243" t="s">
        <v>68</v>
      </c>
      <c r="AW39" s="79"/>
      <c r="AX39" s="20"/>
      <c r="AY39" s="1"/>
      <c r="AZ39" s="1"/>
      <c r="BA39" s="18"/>
      <c r="BB39" s="20"/>
      <c r="BC39" s="13"/>
      <c r="BD39" s="1"/>
      <c r="BE39" s="1"/>
      <c r="BF39" s="1"/>
      <c r="BG39" s="38">
        <v>0</v>
      </c>
      <c r="BH39" s="14"/>
      <c r="BI39" s="794" t="s">
        <v>68</v>
      </c>
      <c r="BJ39" s="795" t="s">
        <v>68</v>
      </c>
      <c r="BK39" s="795" t="s">
        <v>68</v>
      </c>
      <c r="BL39" s="794"/>
      <c r="BM39" s="794"/>
      <c r="BN39" s="794"/>
      <c r="BO39" s="794"/>
      <c r="BP39" s="794"/>
      <c r="BQ39" s="794"/>
      <c r="BR39" s="794"/>
      <c r="BS39" s="794" t="s">
        <v>68</v>
      </c>
      <c r="BT39" s="14"/>
      <c r="BU39" s="14"/>
      <c r="BV39" s="14"/>
      <c r="BW39" s="14"/>
      <c r="BX39" s="14"/>
      <c r="BY39" s="1431" t="s">
        <v>1430</v>
      </c>
      <c r="BZ39" s="40" t="s">
        <v>76</v>
      </c>
      <c r="CA39" s="563"/>
      <c r="CB39" s="563"/>
      <c r="CC39" s="563"/>
      <c r="CD39" s="563"/>
      <c r="CE39" s="563"/>
      <c r="CF39" s="563"/>
      <c r="CG39" s="563"/>
      <c r="CH39" s="13"/>
    </row>
    <row r="40" spans="2:86" customFormat="1" ht="90" hidden="1" customHeight="1">
      <c r="B40" s="23"/>
      <c r="C40" s="23"/>
      <c r="D40" s="23"/>
      <c r="E40" s="23"/>
      <c r="F40" s="23"/>
      <c r="G40" s="1368"/>
      <c r="H40" s="490"/>
      <c r="I40" s="17">
        <v>2013</v>
      </c>
      <c r="J40" s="1676"/>
      <c r="K40" s="19" t="s">
        <v>166</v>
      </c>
      <c r="L40" s="20" t="s">
        <v>180</v>
      </c>
      <c r="M40" s="2" t="s">
        <v>4077</v>
      </c>
      <c r="N40" s="3" t="s">
        <v>181</v>
      </c>
      <c r="O40" s="3"/>
      <c r="P40" s="4">
        <v>60000</v>
      </c>
      <c r="Q40" s="6">
        <v>41463</v>
      </c>
      <c r="R40" s="5">
        <v>41433</v>
      </c>
      <c r="S40" s="12">
        <v>41501</v>
      </c>
      <c r="T40" s="14" t="s">
        <v>68</v>
      </c>
      <c r="U40" s="20" t="s">
        <v>68</v>
      </c>
      <c r="V40" s="18"/>
      <c r="W40" s="220" t="s">
        <v>68</v>
      </c>
      <c r="X40" s="406"/>
      <c r="Y40" s="20" t="s">
        <v>182</v>
      </c>
      <c r="Z40" s="5">
        <v>41514</v>
      </c>
      <c r="AA40" s="4">
        <v>60000</v>
      </c>
      <c r="AB40" s="4"/>
      <c r="AC40" s="34"/>
      <c r="AD40" s="36" t="s">
        <v>68</v>
      </c>
      <c r="AE40" s="119" t="s">
        <v>68</v>
      </c>
      <c r="AF40" s="119" t="s">
        <v>68</v>
      </c>
      <c r="AG40" s="7" t="s">
        <v>68</v>
      </c>
      <c r="AH40" s="235" t="s">
        <v>68</v>
      </c>
      <c r="AI40" s="35" t="s">
        <v>68</v>
      </c>
      <c r="AJ40" s="1" t="s">
        <v>68</v>
      </c>
      <c r="AK40" s="1"/>
      <c r="AL40" s="1" t="s">
        <v>68</v>
      </c>
      <c r="AM40" s="1"/>
      <c r="AN40" s="1" t="s">
        <v>68</v>
      </c>
      <c r="AO40" s="1"/>
      <c r="AP40" s="306"/>
      <c r="AQ40" s="240">
        <v>0</v>
      </c>
      <c r="AR40" s="1030">
        <f t="shared" si="0"/>
        <v>0</v>
      </c>
      <c r="AS40" s="1017"/>
      <c r="AT40" s="20"/>
      <c r="AU40" s="18"/>
      <c r="AV40" s="243" t="s">
        <v>68</v>
      </c>
      <c r="AW40" s="79"/>
      <c r="AX40" s="20"/>
      <c r="AY40" s="1"/>
      <c r="AZ40" s="1"/>
      <c r="BA40" s="18"/>
      <c r="BB40" s="20"/>
      <c r="BC40" s="13"/>
      <c r="BD40" s="1"/>
      <c r="BE40" s="1"/>
      <c r="BF40" s="1"/>
      <c r="BG40" s="38">
        <v>0</v>
      </c>
      <c r="BH40" s="14"/>
      <c r="BI40" s="794" t="s">
        <v>68</v>
      </c>
      <c r="BJ40" s="795" t="s">
        <v>68</v>
      </c>
      <c r="BK40" s="795" t="s">
        <v>68</v>
      </c>
      <c r="BL40" s="794"/>
      <c r="BM40" s="794"/>
      <c r="BN40" s="794"/>
      <c r="BO40" s="794"/>
      <c r="BP40" s="794"/>
      <c r="BQ40" s="794"/>
      <c r="BR40" s="794"/>
      <c r="BS40" s="794" t="s">
        <v>68</v>
      </c>
      <c r="BT40" s="14"/>
      <c r="BU40" s="14"/>
      <c r="BV40" s="14"/>
      <c r="BW40" s="14"/>
      <c r="BX40" s="14"/>
      <c r="BY40" s="1431" t="s">
        <v>1430</v>
      </c>
      <c r="BZ40" s="40" t="s">
        <v>76</v>
      </c>
      <c r="CA40" s="563"/>
      <c r="CB40" s="563"/>
      <c r="CC40" s="563"/>
      <c r="CD40" s="563"/>
      <c r="CE40" s="563"/>
      <c r="CF40" s="563"/>
      <c r="CG40" s="563"/>
      <c r="CH40" s="13"/>
    </row>
    <row r="41" spans="2:86" customFormat="1" ht="90" hidden="1" customHeight="1">
      <c r="B41" s="23"/>
      <c r="C41" s="23"/>
      <c r="D41" s="23"/>
      <c r="E41" s="23"/>
      <c r="F41" s="23"/>
      <c r="G41" s="1368"/>
      <c r="H41" s="490"/>
      <c r="I41" s="17">
        <v>2013</v>
      </c>
      <c r="J41" s="1676"/>
      <c r="K41" s="19" t="s">
        <v>166</v>
      </c>
      <c r="L41" s="20" t="s">
        <v>122</v>
      </c>
      <c r="M41" s="2" t="s">
        <v>4077</v>
      </c>
      <c r="N41" s="3" t="s">
        <v>123</v>
      </c>
      <c r="O41" s="3"/>
      <c r="P41" s="85">
        <v>65000</v>
      </c>
      <c r="Q41" s="69">
        <v>41596</v>
      </c>
      <c r="R41" s="5">
        <v>41589</v>
      </c>
      <c r="S41" s="12">
        <v>41638</v>
      </c>
      <c r="T41" s="14" t="s">
        <v>68</v>
      </c>
      <c r="U41" s="20" t="s">
        <v>68</v>
      </c>
      <c r="V41" s="18"/>
      <c r="W41" s="220" t="s">
        <v>68</v>
      </c>
      <c r="X41" s="406"/>
      <c r="Y41" s="20"/>
      <c r="Z41" s="1"/>
      <c r="AA41" s="4"/>
      <c r="AB41" s="4"/>
      <c r="AC41" s="34"/>
      <c r="AD41" s="36" t="s">
        <v>68</v>
      </c>
      <c r="AE41" s="119" t="s">
        <v>68</v>
      </c>
      <c r="AF41" s="119" t="s">
        <v>68</v>
      </c>
      <c r="AG41" s="7" t="s">
        <v>68</v>
      </c>
      <c r="AH41" s="235" t="s">
        <v>68</v>
      </c>
      <c r="AI41" s="35" t="s">
        <v>68</v>
      </c>
      <c r="AJ41" s="1" t="s">
        <v>68</v>
      </c>
      <c r="AK41" s="1"/>
      <c r="AL41" s="1" t="s">
        <v>68</v>
      </c>
      <c r="AM41" s="1"/>
      <c r="AN41" s="1" t="s">
        <v>68</v>
      </c>
      <c r="AO41" s="1"/>
      <c r="AP41" s="306"/>
      <c r="AQ41" s="240">
        <v>0</v>
      </c>
      <c r="AR41" s="1030">
        <f t="shared" si="0"/>
        <v>0</v>
      </c>
      <c r="AS41" s="1017"/>
      <c r="AT41" s="20"/>
      <c r="AU41" s="18"/>
      <c r="AV41" s="243" t="s">
        <v>68</v>
      </c>
      <c r="AW41" s="79"/>
      <c r="AX41" s="20"/>
      <c r="AY41" s="1"/>
      <c r="AZ41" s="1"/>
      <c r="BA41" s="18"/>
      <c r="BB41" s="20"/>
      <c r="BC41" s="13"/>
      <c r="BD41" s="1"/>
      <c r="BE41" s="1"/>
      <c r="BF41" s="1"/>
      <c r="BG41" s="38">
        <v>0</v>
      </c>
      <c r="BH41" s="14"/>
      <c r="BI41" s="794" t="s">
        <v>68</v>
      </c>
      <c r="BJ41" s="795" t="s">
        <v>68</v>
      </c>
      <c r="BK41" s="795" t="s">
        <v>68</v>
      </c>
      <c r="BL41" s="794"/>
      <c r="BM41" s="794"/>
      <c r="BN41" s="794"/>
      <c r="BO41" s="794"/>
      <c r="BP41" s="794"/>
      <c r="BQ41" s="794"/>
      <c r="BR41" s="794"/>
      <c r="BS41" s="794" t="s">
        <v>68</v>
      </c>
      <c r="BT41" s="14"/>
      <c r="BU41" s="14"/>
      <c r="BV41" s="14"/>
      <c r="BW41" s="14"/>
      <c r="BX41" s="14"/>
      <c r="BY41" s="1431" t="s">
        <v>1430</v>
      </c>
      <c r="BZ41" s="40" t="s">
        <v>76</v>
      </c>
      <c r="CA41" s="563"/>
      <c r="CB41" s="563"/>
      <c r="CC41" s="563"/>
      <c r="CD41" s="563"/>
      <c r="CE41" s="563"/>
      <c r="CF41" s="563"/>
      <c r="CG41" s="563"/>
      <c r="CH41" s="13"/>
    </row>
    <row r="42" spans="2:86" customFormat="1" ht="90" hidden="1" customHeight="1">
      <c r="B42" s="23"/>
      <c r="C42" s="23"/>
      <c r="D42" s="23"/>
      <c r="E42" s="23"/>
      <c r="F42" s="23"/>
      <c r="G42" s="1368"/>
      <c r="H42" s="490"/>
      <c r="I42" s="17">
        <v>2013</v>
      </c>
      <c r="J42" s="1676"/>
      <c r="K42" s="19" t="s">
        <v>166</v>
      </c>
      <c r="L42" s="20" t="s">
        <v>183</v>
      </c>
      <c r="M42" s="2" t="s">
        <v>66</v>
      </c>
      <c r="N42" s="3" t="s">
        <v>184</v>
      </c>
      <c r="O42" s="3"/>
      <c r="P42" s="4">
        <v>977397.28</v>
      </c>
      <c r="Q42" s="6">
        <v>41278</v>
      </c>
      <c r="R42" s="5">
        <v>41316</v>
      </c>
      <c r="S42" s="12">
        <v>41394</v>
      </c>
      <c r="T42" s="64">
        <v>41278</v>
      </c>
      <c r="U42" s="123" t="s">
        <v>185</v>
      </c>
      <c r="V42" s="225" t="s">
        <v>114</v>
      </c>
      <c r="W42" s="220" t="s">
        <v>68</v>
      </c>
      <c r="X42" s="406"/>
      <c r="Y42" s="232" t="s">
        <v>74</v>
      </c>
      <c r="Z42" s="1"/>
      <c r="AA42" s="4"/>
      <c r="AB42" s="4"/>
      <c r="AC42" s="34"/>
      <c r="AD42" s="36">
        <v>41275</v>
      </c>
      <c r="AE42" s="119" t="s">
        <v>68</v>
      </c>
      <c r="AF42" s="119" t="s">
        <v>68</v>
      </c>
      <c r="AG42" s="7">
        <v>41277</v>
      </c>
      <c r="AH42" s="235">
        <v>41277</v>
      </c>
      <c r="AI42" s="35" t="s">
        <v>186</v>
      </c>
      <c r="AJ42" s="1" t="s">
        <v>68</v>
      </c>
      <c r="AK42" s="1"/>
      <c r="AL42" s="1" t="s">
        <v>187</v>
      </c>
      <c r="AM42" s="5">
        <v>41278</v>
      </c>
      <c r="AN42" s="1" t="s">
        <v>188</v>
      </c>
      <c r="AO42" s="5">
        <v>41394</v>
      </c>
      <c r="AP42" s="306"/>
      <c r="AQ42" s="37">
        <v>0</v>
      </c>
      <c r="AR42" s="1031">
        <v>785224.53</v>
      </c>
      <c r="AS42" s="1018"/>
      <c r="AT42" s="32">
        <v>41316</v>
      </c>
      <c r="AU42" s="12">
        <v>41373</v>
      </c>
      <c r="AV42" s="243" t="s">
        <v>68</v>
      </c>
      <c r="AW42" s="244" t="s">
        <v>68</v>
      </c>
      <c r="AX42" s="32">
        <v>41394</v>
      </c>
      <c r="AY42" s="5">
        <v>41316</v>
      </c>
      <c r="AZ42" s="5">
        <v>41394</v>
      </c>
      <c r="BA42" s="12">
        <v>41394</v>
      </c>
      <c r="BB42" s="20" t="s">
        <v>68</v>
      </c>
      <c r="BC42" s="13"/>
      <c r="BD42" s="5">
        <v>40760</v>
      </c>
      <c r="BE42" s="5">
        <v>41394</v>
      </c>
      <c r="BF42" s="5">
        <v>41394</v>
      </c>
      <c r="BG42" s="38">
        <v>785224.53</v>
      </c>
      <c r="BH42" s="64">
        <v>41400</v>
      </c>
      <c r="BI42" s="794" t="s">
        <v>68</v>
      </c>
      <c r="BJ42" s="795" t="s">
        <v>68</v>
      </c>
      <c r="BK42" s="795" t="s">
        <v>68</v>
      </c>
      <c r="BL42" s="794"/>
      <c r="BM42" s="794"/>
      <c r="BN42" s="794"/>
      <c r="BO42" s="794"/>
      <c r="BP42" s="794"/>
      <c r="BQ42" s="794"/>
      <c r="BR42" s="794"/>
      <c r="BS42" s="794" t="s">
        <v>68</v>
      </c>
      <c r="BT42" s="14"/>
      <c r="BU42" s="14"/>
      <c r="BV42" s="14"/>
      <c r="BW42" s="14"/>
      <c r="BX42" s="14"/>
      <c r="BY42" s="1431" t="s">
        <v>1430</v>
      </c>
      <c r="BZ42" s="40" t="s">
        <v>76</v>
      </c>
      <c r="CA42" s="563"/>
      <c r="CB42" s="563"/>
      <c r="CC42" s="563"/>
      <c r="CD42" s="563"/>
      <c r="CE42" s="563"/>
      <c r="CF42" s="563"/>
      <c r="CG42" s="563"/>
      <c r="CH42" s="13"/>
    </row>
    <row r="43" spans="2:86" customFormat="1" ht="90" hidden="1" customHeight="1">
      <c r="B43" s="23"/>
      <c r="C43" s="23"/>
      <c r="D43" s="23"/>
      <c r="E43" s="23"/>
      <c r="F43" s="23"/>
      <c r="G43" s="1368"/>
      <c r="H43" s="490"/>
      <c r="I43" s="17">
        <v>2013</v>
      </c>
      <c r="J43" s="1676"/>
      <c r="K43" s="19" t="s">
        <v>166</v>
      </c>
      <c r="L43" s="20" t="s">
        <v>189</v>
      </c>
      <c r="M43" s="2" t="s">
        <v>79</v>
      </c>
      <c r="N43" s="3" t="s">
        <v>190</v>
      </c>
      <c r="O43" s="3"/>
      <c r="P43" s="4">
        <v>253692.08</v>
      </c>
      <c r="Q43" s="6">
        <v>41278</v>
      </c>
      <c r="R43" s="5">
        <v>41281</v>
      </c>
      <c r="S43" s="12">
        <v>41286</v>
      </c>
      <c r="T43" s="64">
        <v>41278</v>
      </c>
      <c r="U43" s="123" t="s">
        <v>185</v>
      </c>
      <c r="V43" s="225" t="s">
        <v>191</v>
      </c>
      <c r="W43" s="220" t="s">
        <v>68</v>
      </c>
      <c r="X43" s="406"/>
      <c r="Y43" s="232" t="s">
        <v>74</v>
      </c>
      <c r="Z43" s="1"/>
      <c r="AA43" s="4"/>
      <c r="AB43" s="4"/>
      <c r="AC43" s="34"/>
      <c r="AD43" s="36" t="s">
        <v>68</v>
      </c>
      <c r="AE43" s="119" t="s">
        <v>68</v>
      </c>
      <c r="AF43" s="119" t="s">
        <v>68</v>
      </c>
      <c r="AG43" s="7" t="s">
        <v>68</v>
      </c>
      <c r="AH43" s="235" t="s">
        <v>68</v>
      </c>
      <c r="AI43" s="35" t="s">
        <v>186</v>
      </c>
      <c r="AJ43" s="1" t="s">
        <v>68</v>
      </c>
      <c r="AK43" s="1" t="s">
        <v>68</v>
      </c>
      <c r="AL43" s="1" t="s">
        <v>192</v>
      </c>
      <c r="AM43" s="5">
        <v>41278</v>
      </c>
      <c r="AN43" s="1" t="s">
        <v>83</v>
      </c>
      <c r="AO43" s="5">
        <v>41278</v>
      </c>
      <c r="AP43" s="306"/>
      <c r="AQ43" s="37">
        <v>0</v>
      </c>
      <c r="AR43" s="1031">
        <v>253692.07</v>
      </c>
      <c r="AS43" s="1018"/>
      <c r="AT43" s="32">
        <v>41281</v>
      </c>
      <c r="AU43" s="12">
        <v>41286</v>
      </c>
      <c r="AV43" s="243" t="s">
        <v>68</v>
      </c>
      <c r="AW43" s="244" t="s">
        <v>68</v>
      </c>
      <c r="AX43" s="32">
        <v>41288</v>
      </c>
      <c r="AY43" s="5">
        <v>41281</v>
      </c>
      <c r="AZ43" s="5">
        <v>41286</v>
      </c>
      <c r="BA43" s="12">
        <v>41286</v>
      </c>
      <c r="BB43" s="32">
        <v>41288</v>
      </c>
      <c r="BC43" s="341"/>
      <c r="BD43" s="5">
        <v>41281</v>
      </c>
      <c r="BE43" s="5">
        <v>41286</v>
      </c>
      <c r="BF43" s="5">
        <v>41286</v>
      </c>
      <c r="BG43" s="38">
        <v>253692.07</v>
      </c>
      <c r="BH43" s="64">
        <v>41288</v>
      </c>
      <c r="BI43" s="794" t="s">
        <v>68</v>
      </c>
      <c r="BJ43" s="795" t="s">
        <v>68</v>
      </c>
      <c r="BK43" s="795" t="s">
        <v>68</v>
      </c>
      <c r="BL43" s="794"/>
      <c r="BM43" s="794"/>
      <c r="BN43" s="794"/>
      <c r="BO43" s="794"/>
      <c r="BP43" s="794"/>
      <c r="BQ43" s="794"/>
      <c r="BR43" s="794"/>
      <c r="BS43" s="794" t="s">
        <v>68</v>
      </c>
      <c r="BT43" s="14"/>
      <c r="BU43" s="14"/>
      <c r="BV43" s="14"/>
      <c r="BW43" s="14"/>
      <c r="BX43" s="14"/>
      <c r="BY43" s="1431" t="s">
        <v>1430</v>
      </c>
      <c r="BZ43" s="40" t="s">
        <v>76</v>
      </c>
      <c r="CA43" s="563"/>
      <c r="CB43" s="563"/>
      <c r="CC43" s="563"/>
      <c r="CD43" s="563"/>
      <c r="CE43" s="563"/>
      <c r="CF43" s="563"/>
      <c r="CG43" s="563"/>
      <c r="CH43" s="13"/>
    </row>
    <row r="44" spans="2:86" customFormat="1" ht="90" hidden="1" customHeight="1">
      <c r="B44" s="23"/>
      <c r="C44" s="23"/>
      <c r="D44" s="23"/>
      <c r="E44" s="23"/>
      <c r="F44" s="23"/>
      <c r="G44" s="1368"/>
      <c r="H44" s="490"/>
      <c r="I44" s="17">
        <v>2013</v>
      </c>
      <c r="J44" s="1676"/>
      <c r="K44" s="19" t="s">
        <v>166</v>
      </c>
      <c r="L44" s="20" t="s">
        <v>193</v>
      </c>
      <c r="M44" s="2" t="s">
        <v>79</v>
      </c>
      <c r="N44" s="3" t="s">
        <v>194</v>
      </c>
      <c r="O44" s="3"/>
      <c r="P44" s="4">
        <v>213963.7</v>
      </c>
      <c r="Q44" s="6">
        <v>41278</v>
      </c>
      <c r="R44" s="5">
        <v>41281</v>
      </c>
      <c r="S44" s="12">
        <v>41286</v>
      </c>
      <c r="T44" s="64">
        <v>41278</v>
      </c>
      <c r="U44" s="123" t="s">
        <v>185</v>
      </c>
      <c r="V44" s="225" t="s">
        <v>191</v>
      </c>
      <c r="W44" s="220" t="s">
        <v>68</v>
      </c>
      <c r="X44" s="406"/>
      <c r="Y44" s="35" t="s">
        <v>195</v>
      </c>
      <c r="Z44" s="5">
        <v>41325</v>
      </c>
      <c r="AA44" s="4">
        <v>213963.7</v>
      </c>
      <c r="AB44" s="4"/>
      <c r="AC44" s="34"/>
      <c r="AD44" s="36" t="s">
        <v>68</v>
      </c>
      <c r="AE44" s="119" t="s">
        <v>68</v>
      </c>
      <c r="AF44" s="119" t="s">
        <v>68</v>
      </c>
      <c r="AG44" s="7" t="s">
        <v>68</v>
      </c>
      <c r="AH44" s="235" t="s">
        <v>68</v>
      </c>
      <c r="AI44" s="35" t="s">
        <v>186</v>
      </c>
      <c r="AJ44" s="1" t="s">
        <v>68</v>
      </c>
      <c r="AK44" s="1" t="s">
        <v>68</v>
      </c>
      <c r="AL44" s="1" t="s">
        <v>196</v>
      </c>
      <c r="AM44" s="5">
        <v>41278</v>
      </c>
      <c r="AN44" s="1" t="s">
        <v>83</v>
      </c>
      <c r="AO44" s="5">
        <v>41278</v>
      </c>
      <c r="AP44" s="306"/>
      <c r="AQ44" s="37">
        <v>0</v>
      </c>
      <c r="AR44" s="1031">
        <v>213963.69</v>
      </c>
      <c r="AS44" s="1018"/>
      <c r="AT44" s="32">
        <v>41281</v>
      </c>
      <c r="AU44" s="12">
        <v>41286</v>
      </c>
      <c r="AV44" s="243" t="s">
        <v>68</v>
      </c>
      <c r="AW44" s="244" t="s">
        <v>68</v>
      </c>
      <c r="AX44" s="32">
        <v>41288</v>
      </c>
      <c r="AY44" s="5">
        <v>41281</v>
      </c>
      <c r="AZ44" s="5">
        <v>41286</v>
      </c>
      <c r="BA44" s="12">
        <v>41286</v>
      </c>
      <c r="BB44" s="32">
        <v>41356</v>
      </c>
      <c r="BC44" s="341"/>
      <c r="BD44" s="5">
        <v>41281</v>
      </c>
      <c r="BE44" s="5">
        <v>41286</v>
      </c>
      <c r="BF44" s="5">
        <v>41286</v>
      </c>
      <c r="BG44" s="38">
        <v>213963.69</v>
      </c>
      <c r="BH44" s="64">
        <v>41288</v>
      </c>
      <c r="BI44" s="794" t="s">
        <v>68</v>
      </c>
      <c r="BJ44" s="795" t="s">
        <v>68</v>
      </c>
      <c r="BK44" s="795" t="s">
        <v>68</v>
      </c>
      <c r="BL44" s="794"/>
      <c r="BM44" s="794"/>
      <c r="BN44" s="794"/>
      <c r="BO44" s="794"/>
      <c r="BP44" s="794"/>
      <c r="BQ44" s="794"/>
      <c r="BR44" s="794"/>
      <c r="BS44" s="794" t="s">
        <v>68</v>
      </c>
      <c r="BT44" s="14"/>
      <c r="BU44" s="14"/>
      <c r="BV44" s="14"/>
      <c r="BW44" s="14"/>
      <c r="BX44" s="14"/>
      <c r="BY44" s="1431" t="s">
        <v>1430</v>
      </c>
      <c r="BZ44" s="40" t="s">
        <v>76</v>
      </c>
      <c r="CA44" s="563"/>
      <c r="CB44" s="563"/>
      <c r="CC44" s="563"/>
      <c r="CD44" s="563"/>
      <c r="CE44" s="563"/>
      <c r="CF44" s="563"/>
      <c r="CG44" s="563"/>
      <c r="CH44" s="13"/>
    </row>
    <row r="45" spans="2:86" customFormat="1" ht="90" hidden="1" customHeight="1">
      <c r="B45" s="23"/>
      <c r="C45" s="23"/>
      <c r="D45" s="23"/>
      <c r="E45" s="23"/>
      <c r="F45" s="23"/>
      <c r="G45" s="1368"/>
      <c r="H45" s="490"/>
      <c r="I45" s="17">
        <v>2013</v>
      </c>
      <c r="J45" s="1676"/>
      <c r="K45" s="19" t="s">
        <v>166</v>
      </c>
      <c r="L45" s="20" t="s">
        <v>197</v>
      </c>
      <c r="M45" s="2" t="s">
        <v>79</v>
      </c>
      <c r="N45" s="3" t="s">
        <v>198</v>
      </c>
      <c r="O45" s="3"/>
      <c r="P45" s="4">
        <v>318104.90999999997</v>
      </c>
      <c r="Q45" s="6">
        <v>41324</v>
      </c>
      <c r="R45" s="5">
        <v>41324</v>
      </c>
      <c r="S45" s="12">
        <v>41344</v>
      </c>
      <c r="T45" s="64">
        <v>41324</v>
      </c>
      <c r="U45" s="123" t="s">
        <v>199</v>
      </c>
      <c r="V45" s="225" t="s">
        <v>130</v>
      </c>
      <c r="W45" s="220" t="s">
        <v>68</v>
      </c>
      <c r="X45" s="406"/>
      <c r="Y45" s="20">
        <v>9</v>
      </c>
      <c r="Z45" s="5">
        <v>41325</v>
      </c>
      <c r="AA45" s="4">
        <v>318104.90999999997</v>
      </c>
      <c r="AB45" s="4"/>
      <c r="AC45" s="34"/>
      <c r="AD45" s="36" t="s">
        <v>68</v>
      </c>
      <c r="AE45" s="119" t="s">
        <v>68</v>
      </c>
      <c r="AF45" s="119" t="s">
        <v>68</v>
      </c>
      <c r="AG45" s="7" t="s">
        <v>68</v>
      </c>
      <c r="AH45" s="235" t="s">
        <v>68</v>
      </c>
      <c r="AI45" s="35" t="s">
        <v>186</v>
      </c>
      <c r="AJ45" s="1" t="s">
        <v>68</v>
      </c>
      <c r="AK45" s="1" t="s">
        <v>68</v>
      </c>
      <c r="AL45" s="1" t="s">
        <v>200</v>
      </c>
      <c r="AM45" s="5">
        <v>41324</v>
      </c>
      <c r="AN45" s="1" t="s">
        <v>83</v>
      </c>
      <c r="AO45" s="5">
        <v>41324</v>
      </c>
      <c r="AP45" s="306"/>
      <c r="AQ45" s="37">
        <v>0</v>
      </c>
      <c r="AR45" s="1031">
        <v>318104.90999999997</v>
      </c>
      <c r="AS45" s="1018"/>
      <c r="AT45" s="32">
        <v>41324</v>
      </c>
      <c r="AU45" s="12">
        <v>41344</v>
      </c>
      <c r="AV45" s="243" t="s">
        <v>68</v>
      </c>
      <c r="AW45" s="244" t="s">
        <v>68</v>
      </c>
      <c r="AX45" s="32">
        <v>41344</v>
      </c>
      <c r="AY45" s="5">
        <v>41328</v>
      </c>
      <c r="AZ45" s="5">
        <v>41344</v>
      </c>
      <c r="BA45" s="12">
        <v>41344</v>
      </c>
      <c r="BB45" s="32">
        <v>41344</v>
      </c>
      <c r="BC45" s="341"/>
      <c r="BD45" s="5">
        <v>41328</v>
      </c>
      <c r="BE45" s="5">
        <v>41344</v>
      </c>
      <c r="BF45" s="5">
        <v>41344</v>
      </c>
      <c r="BG45" s="38">
        <v>318104.90999999997</v>
      </c>
      <c r="BH45" s="64">
        <v>41344</v>
      </c>
      <c r="BI45" s="794" t="s">
        <v>68</v>
      </c>
      <c r="BJ45" s="795" t="s">
        <v>68</v>
      </c>
      <c r="BK45" s="795" t="s">
        <v>68</v>
      </c>
      <c r="BL45" s="794"/>
      <c r="BM45" s="794"/>
      <c r="BN45" s="794"/>
      <c r="BO45" s="794"/>
      <c r="BP45" s="794"/>
      <c r="BQ45" s="794"/>
      <c r="BR45" s="794"/>
      <c r="BS45" s="794" t="s">
        <v>68</v>
      </c>
      <c r="BT45" s="14"/>
      <c r="BU45" s="14"/>
      <c r="BV45" s="14"/>
      <c r="BW45" s="14"/>
      <c r="BX45" s="14"/>
      <c r="BY45" s="1431" t="s">
        <v>1430</v>
      </c>
      <c r="BZ45" s="40" t="s">
        <v>76</v>
      </c>
      <c r="CA45" s="563"/>
      <c r="CB45" s="563"/>
      <c r="CC45" s="563"/>
      <c r="CD45" s="563"/>
      <c r="CE45" s="563"/>
      <c r="CF45" s="563"/>
      <c r="CG45" s="563"/>
      <c r="CH45" s="13"/>
    </row>
    <row r="46" spans="2:86" customFormat="1" ht="90" hidden="1" customHeight="1">
      <c r="B46" s="23"/>
      <c r="C46" s="23"/>
      <c r="D46" s="23"/>
      <c r="E46" s="23"/>
      <c r="F46" s="23"/>
      <c r="G46" s="1368"/>
      <c r="H46" s="490"/>
      <c r="I46" s="17">
        <v>2013</v>
      </c>
      <c r="J46" s="1676"/>
      <c r="K46" s="19" t="s">
        <v>166</v>
      </c>
      <c r="L46" s="20" t="s">
        <v>201</v>
      </c>
      <c r="M46" s="2" t="s">
        <v>66</v>
      </c>
      <c r="N46" s="3" t="s">
        <v>202</v>
      </c>
      <c r="O46" s="3"/>
      <c r="P46" s="4">
        <v>1807551.01</v>
      </c>
      <c r="Q46" s="6">
        <v>41327</v>
      </c>
      <c r="R46" s="5">
        <v>41328</v>
      </c>
      <c r="S46" s="12">
        <v>41337</v>
      </c>
      <c r="T46" s="14" t="s">
        <v>68</v>
      </c>
      <c r="U46" s="123" t="s">
        <v>185</v>
      </c>
      <c r="V46" s="225" t="s">
        <v>191</v>
      </c>
      <c r="W46" s="220" t="s">
        <v>68</v>
      </c>
      <c r="X46" s="406"/>
      <c r="Y46" s="35" t="s">
        <v>203</v>
      </c>
      <c r="Z46" s="5">
        <v>41404</v>
      </c>
      <c r="AA46" s="4">
        <v>1807551</v>
      </c>
      <c r="AB46" s="4"/>
      <c r="AC46" s="34"/>
      <c r="AD46" s="36">
        <v>41323</v>
      </c>
      <c r="AE46" s="119" t="s">
        <v>68</v>
      </c>
      <c r="AF46" s="119" t="s">
        <v>68</v>
      </c>
      <c r="AG46" s="7">
        <v>41294</v>
      </c>
      <c r="AH46" s="235">
        <v>41325</v>
      </c>
      <c r="AI46" s="35" t="s">
        <v>186</v>
      </c>
      <c r="AJ46" s="1" t="s">
        <v>68</v>
      </c>
      <c r="AK46" s="1"/>
      <c r="AL46" s="1" t="s">
        <v>204</v>
      </c>
      <c r="AM46" s="5">
        <v>41327</v>
      </c>
      <c r="AN46" s="1" t="s">
        <v>83</v>
      </c>
      <c r="AO46" s="5">
        <v>41327</v>
      </c>
      <c r="AP46" s="306"/>
      <c r="AQ46" s="37">
        <v>0</v>
      </c>
      <c r="AR46" s="1031">
        <v>1807515.27</v>
      </c>
      <c r="AS46" s="1018"/>
      <c r="AT46" s="32">
        <v>41328</v>
      </c>
      <c r="AU46" s="12">
        <v>41337</v>
      </c>
      <c r="AV46" s="243" t="s">
        <v>68</v>
      </c>
      <c r="AW46" s="244" t="s">
        <v>68</v>
      </c>
      <c r="AX46" s="32">
        <v>41338</v>
      </c>
      <c r="AY46" s="5">
        <v>41328</v>
      </c>
      <c r="AZ46" s="5">
        <v>41337</v>
      </c>
      <c r="BA46" s="12">
        <v>41337</v>
      </c>
      <c r="BB46" s="32">
        <v>41338</v>
      </c>
      <c r="BC46" s="341"/>
      <c r="BD46" s="5">
        <v>41328</v>
      </c>
      <c r="BE46" s="5">
        <v>41337</v>
      </c>
      <c r="BF46" s="5">
        <v>41337</v>
      </c>
      <c r="BG46" s="38">
        <v>1807515.27</v>
      </c>
      <c r="BH46" s="64">
        <v>41344</v>
      </c>
      <c r="BI46" s="794" t="s">
        <v>68</v>
      </c>
      <c r="BJ46" s="795" t="s">
        <v>68</v>
      </c>
      <c r="BK46" s="795" t="s">
        <v>68</v>
      </c>
      <c r="BL46" s="794"/>
      <c r="BM46" s="794"/>
      <c r="BN46" s="794"/>
      <c r="BO46" s="794"/>
      <c r="BP46" s="794"/>
      <c r="BQ46" s="794"/>
      <c r="BR46" s="794"/>
      <c r="BS46" s="794" t="s">
        <v>68</v>
      </c>
      <c r="BT46" s="14"/>
      <c r="BU46" s="14"/>
      <c r="BV46" s="14"/>
      <c r="BW46" s="14"/>
      <c r="BX46" s="14"/>
      <c r="BY46" s="1431" t="s">
        <v>1430</v>
      </c>
      <c r="BZ46" s="40" t="s">
        <v>76</v>
      </c>
      <c r="CA46" s="563"/>
      <c r="CB46" s="563"/>
      <c r="CC46" s="563"/>
      <c r="CD46" s="563"/>
      <c r="CE46" s="563"/>
      <c r="CF46" s="563"/>
      <c r="CG46" s="563"/>
      <c r="CH46" s="13"/>
    </row>
    <row r="47" spans="2:86" customFormat="1" ht="90" hidden="1" customHeight="1">
      <c r="B47" s="23"/>
      <c r="C47" s="23"/>
      <c r="D47" s="23"/>
      <c r="E47" s="23"/>
      <c r="F47" s="23"/>
      <c r="G47" s="1368"/>
      <c r="H47" s="490"/>
      <c r="I47" s="17">
        <v>2013</v>
      </c>
      <c r="J47" s="1676"/>
      <c r="K47" s="19" t="s">
        <v>166</v>
      </c>
      <c r="L47" s="20" t="s">
        <v>205</v>
      </c>
      <c r="M47" s="2" t="s">
        <v>79</v>
      </c>
      <c r="N47" s="3" t="s">
        <v>206</v>
      </c>
      <c r="O47" s="3"/>
      <c r="P47" s="4">
        <v>224365</v>
      </c>
      <c r="Q47" s="6">
        <v>41353</v>
      </c>
      <c r="R47" s="5">
        <v>41358</v>
      </c>
      <c r="S47" s="12">
        <v>41378</v>
      </c>
      <c r="T47" s="64">
        <v>41353</v>
      </c>
      <c r="U47" s="123" t="s">
        <v>199</v>
      </c>
      <c r="V47" s="225" t="s">
        <v>130</v>
      </c>
      <c r="W47" s="220" t="s">
        <v>68</v>
      </c>
      <c r="X47" s="406"/>
      <c r="Y47" s="35" t="s">
        <v>207</v>
      </c>
      <c r="Z47" s="5">
        <v>41325</v>
      </c>
      <c r="AA47" s="4">
        <v>218630.71</v>
      </c>
      <c r="AB47" s="4"/>
      <c r="AC47" s="34"/>
      <c r="AD47" s="36" t="s">
        <v>68</v>
      </c>
      <c r="AE47" s="119" t="s">
        <v>68</v>
      </c>
      <c r="AF47" s="119" t="s">
        <v>68</v>
      </c>
      <c r="AG47" s="7" t="s">
        <v>68</v>
      </c>
      <c r="AH47" s="235" t="s">
        <v>68</v>
      </c>
      <c r="AI47" s="35" t="s">
        <v>186</v>
      </c>
      <c r="AJ47" s="1" t="s">
        <v>68</v>
      </c>
      <c r="AK47" s="1"/>
      <c r="AL47" s="1" t="s">
        <v>208</v>
      </c>
      <c r="AM47" s="5">
        <v>41353</v>
      </c>
      <c r="AN47" s="239"/>
      <c r="AO47" s="1"/>
      <c r="AP47" s="306"/>
      <c r="AQ47" s="37">
        <v>0</v>
      </c>
      <c r="AR47" s="1031">
        <v>224365.83</v>
      </c>
      <c r="AS47" s="1018"/>
      <c r="AT47" s="32">
        <v>41358</v>
      </c>
      <c r="AU47" s="12">
        <v>41376</v>
      </c>
      <c r="AV47" s="243" t="s">
        <v>68</v>
      </c>
      <c r="AW47" s="244" t="s">
        <v>68</v>
      </c>
      <c r="AX47" s="32">
        <v>41379</v>
      </c>
      <c r="AY47" s="5">
        <v>41358</v>
      </c>
      <c r="AZ47" s="5">
        <v>41378</v>
      </c>
      <c r="BA47" s="12">
        <v>41378</v>
      </c>
      <c r="BB47" s="32">
        <v>41380</v>
      </c>
      <c r="BC47" s="341"/>
      <c r="BD47" s="5">
        <v>41358</v>
      </c>
      <c r="BE47" s="5">
        <v>41378</v>
      </c>
      <c r="BF47" s="5">
        <v>41378</v>
      </c>
      <c r="BG47" s="38">
        <v>224365.83</v>
      </c>
      <c r="BH47" s="64">
        <v>41381</v>
      </c>
      <c r="BI47" s="794" t="s">
        <v>68</v>
      </c>
      <c r="BJ47" s="795" t="s">
        <v>68</v>
      </c>
      <c r="BK47" s="795" t="s">
        <v>68</v>
      </c>
      <c r="BL47" s="794"/>
      <c r="BM47" s="794"/>
      <c r="BN47" s="794"/>
      <c r="BO47" s="794"/>
      <c r="BP47" s="794"/>
      <c r="BQ47" s="794"/>
      <c r="BR47" s="794"/>
      <c r="BS47" s="794" t="s">
        <v>68</v>
      </c>
      <c r="BT47" s="14"/>
      <c r="BU47" s="14"/>
      <c r="BV47" s="14"/>
      <c r="BW47" s="14"/>
      <c r="BX47" s="14"/>
      <c r="BY47" s="1431" t="s">
        <v>1430</v>
      </c>
      <c r="BZ47" s="40" t="s">
        <v>76</v>
      </c>
      <c r="CA47" s="563"/>
      <c r="CB47" s="563"/>
      <c r="CC47" s="563"/>
      <c r="CD47" s="563"/>
      <c r="CE47" s="563"/>
      <c r="CF47" s="563"/>
      <c r="CG47" s="563"/>
      <c r="CH47" s="13"/>
    </row>
    <row r="48" spans="2:86" customFormat="1" ht="90" hidden="1" customHeight="1">
      <c r="B48" s="23"/>
      <c r="C48" s="23"/>
      <c r="D48" s="23"/>
      <c r="E48" s="23"/>
      <c r="F48" s="23"/>
      <c r="G48" s="1368"/>
      <c r="H48" s="490"/>
      <c r="I48" s="17">
        <v>2013</v>
      </c>
      <c r="J48" s="1676"/>
      <c r="K48" s="19" t="s">
        <v>209</v>
      </c>
      <c r="L48" s="20" t="s">
        <v>210</v>
      </c>
      <c r="M48" s="2" t="s">
        <v>66</v>
      </c>
      <c r="N48" s="3" t="s">
        <v>211</v>
      </c>
      <c r="O48" s="3"/>
      <c r="P48" s="4">
        <v>1998053.6</v>
      </c>
      <c r="Q48" s="6">
        <v>41407</v>
      </c>
      <c r="R48" s="5">
        <v>41407</v>
      </c>
      <c r="S48" s="12">
        <v>41468</v>
      </c>
      <c r="T48" s="14" t="s">
        <v>68</v>
      </c>
      <c r="U48" s="226" t="s">
        <v>212</v>
      </c>
      <c r="V48" s="227" t="s">
        <v>213</v>
      </c>
      <c r="W48" s="220" t="s">
        <v>68</v>
      </c>
      <c r="X48" s="406"/>
      <c r="Y48" s="35" t="s">
        <v>68</v>
      </c>
      <c r="Z48" s="1"/>
      <c r="AA48" s="4"/>
      <c r="AB48" s="4"/>
      <c r="AC48" s="34"/>
      <c r="AD48" s="36">
        <v>41390</v>
      </c>
      <c r="AE48" s="119" t="s">
        <v>68</v>
      </c>
      <c r="AF48" s="119" t="s">
        <v>68</v>
      </c>
      <c r="AG48" s="7">
        <v>41404</v>
      </c>
      <c r="AH48" s="235">
        <v>41404</v>
      </c>
      <c r="AI48" s="35" t="s">
        <v>214</v>
      </c>
      <c r="AJ48" s="2" t="s">
        <v>215</v>
      </c>
      <c r="AK48" s="5">
        <v>41407</v>
      </c>
      <c r="AL48" s="2" t="s">
        <v>216</v>
      </c>
      <c r="AM48" s="5">
        <v>41407</v>
      </c>
      <c r="AN48" s="2" t="s">
        <v>217</v>
      </c>
      <c r="AO48" s="5">
        <v>41453</v>
      </c>
      <c r="AP48" s="306"/>
      <c r="AQ48" s="37">
        <v>0</v>
      </c>
      <c r="AR48" s="1031">
        <v>1998053.6</v>
      </c>
      <c r="AS48" s="1018"/>
      <c r="AT48" s="32">
        <v>41407</v>
      </c>
      <c r="AU48" s="12">
        <v>41474</v>
      </c>
      <c r="AV48" s="243" t="s">
        <v>68</v>
      </c>
      <c r="AW48" s="244" t="s">
        <v>68</v>
      </c>
      <c r="AX48" s="32">
        <v>41475</v>
      </c>
      <c r="AY48" s="5">
        <v>41407</v>
      </c>
      <c r="AZ48" s="5">
        <v>41468</v>
      </c>
      <c r="BA48" s="12">
        <v>41474</v>
      </c>
      <c r="BB48" s="32">
        <v>41475</v>
      </c>
      <c r="BC48" s="341"/>
      <c r="BD48" s="5">
        <v>41407</v>
      </c>
      <c r="BE48" s="5">
        <v>41468</v>
      </c>
      <c r="BF48" s="5">
        <v>41474</v>
      </c>
      <c r="BG48" s="38">
        <v>1998053.6</v>
      </c>
      <c r="BH48" s="236" t="s">
        <v>74</v>
      </c>
      <c r="BI48" s="794" t="s">
        <v>68</v>
      </c>
      <c r="BJ48" s="795" t="s">
        <v>68</v>
      </c>
      <c r="BK48" s="795" t="s">
        <v>68</v>
      </c>
      <c r="BL48" s="794"/>
      <c r="BM48" s="794"/>
      <c r="BN48" s="794"/>
      <c r="BO48" s="794"/>
      <c r="BP48" s="794"/>
      <c r="BQ48" s="794"/>
      <c r="BR48" s="794"/>
      <c r="BS48" s="794" t="s">
        <v>68</v>
      </c>
      <c r="BT48" s="14"/>
      <c r="BU48" s="14"/>
      <c r="BV48" s="14"/>
      <c r="BW48" s="14"/>
      <c r="BX48" s="14"/>
      <c r="BY48" s="1431" t="s">
        <v>1430</v>
      </c>
      <c r="BZ48" s="40" t="s">
        <v>76</v>
      </c>
      <c r="CA48" s="563"/>
      <c r="CB48" s="563"/>
      <c r="CC48" s="563"/>
      <c r="CD48" s="563"/>
      <c r="CE48" s="563"/>
      <c r="CF48" s="563"/>
      <c r="CG48" s="563"/>
      <c r="CH48" s="13"/>
    </row>
    <row r="49" spans="2:86" customFormat="1" ht="90" hidden="1" customHeight="1">
      <c r="B49" s="23"/>
      <c r="C49" s="23"/>
      <c r="D49" s="23"/>
      <c r="E49" s="23"/>
      <c r="F49" s="23"/>
      <c r="G49" s="1368"/>
      <c r="H49" s="490"/>
      <c r="I49" s="17">
        <v>2013</v>
      </c>
      <c r="J49" s="1676"/>
      <c r="K49" s="19" t="s">
        <v>166</v>
      </c>
      <c r="L49" s="20" t="s">
        <v>218</v>
      </c>
      <c r="M49" s="2" t="s">
        <v>79</v>
      </c>
      <c r="N49" s="3" t="s">
        <v>219</v>
      </c>
      <c r="O49" s="3"/>
      <c r="P49" s="4">
        <v>572707.94999999995</v>
      </c>
      <c r="Q49" s="6">
        <v>41402</v>
      </c>
      <c r="R49" s="5">
        <v>41404</v>
      </c>
      <c r="S49" s="12">
        <v>41424</v>
      </c>
      <c r="T49" s="64">
        <v>41402</v>
      </c>
      <c r="U49" s="123" t="s">
        <v>199</v>
      </c>
      <c r="V49" s="225" t="s">
        <v>191</v>
      </c>
      <c r="W49" s="220" t="s">
        <v>68</v>
      </c>
      <c r="X49" s="406"/>
      <c r="Y49" s="35" t="s">
        <v>220</v>
      </c>
      <c r="Z49" s="5">
        <v>41570</v>
      </c>
      <c r="AA49" s="4">
        <v>572707.94999999995</v>
      </c>
      <c r="AB49" s="4"/>
      <c r="AC49" s="34"/>
      <c r="AD49" s="36" t="s">
        <v>68</v>
      </c>
      <c r="AE49" s="119" t="s">
        <v>68</v>
      </c>
      <c r="AF49" s="119" t="s">
        <v>68</v>
      </c>
      <c r="AG49" s="7" t="s">
        <v>68</v>
      </c>
      <c r="AH49" s="235" t="s">
        <v>68</v>
      </c>
      <c r="AI49" s="35" t="s">
        <v>186</v>
      </c>
      <c r="AJ49" s="1" t="s">
        <v>68</v>
      </c>
      <c r="AK49" s="1" t="s">
        <v>68</v>
      </c>
      <c r="AL49" s="1" t="s">
        <v>221</v>
      </c>
      <c r="AM49" s="5">
        <v>41402</v>
      </c>
      <c r="AN49" s="1" t="s">
        <v>222</v>
      </c>
      <c r="AO49" s="5">
        <v>41428</v>
      </c>
      <c r="AP49" s="306"/>
      <c r="AQ49" s="37">
        <v>0</v>
      </c>
      <c r="AR49" s="1031">
        <v>545676.13</v>
      </c>
      <c r="AS49" s="1018"/>
      <c r="AT49" s="32">
        <v>41404</v>
      </c>
      <c r="AU49" s="12">
        <v>41424</v>
      </c>
      <c r="AV49" s="243" t="s">
        <v>68</v>
      </c>
      <c r="AW49" s="244" t="s">
        <v>68</v>
      </c>
      <c r="AX49" s="32">
        <v>41428</v>
      </c>
      <c r="AY49" s="5">
        <v>41404</v>
      </c>
      <c r="AZ49" s="5">
        <v>41424</v>
      </c>
      <c r="BA49" s="12">
        <v>41424</v>
      </c>
      <c r="BB49" s="32">
        <v>41428</v>
      </c>
      <c r="BC49" s="341"/>
      <c r="BD49" s="5">
        <v>41404</v>
      </c>
      <c r="BE49" s="5">
        <v>41424</v>
      </c>
      <c r="BF49" s="5">
        <v>41424</v>
      </c>
      <c r="BG49" s="38">
        <v>545676.13</v>
      </c>
      <c r="BH49" s="216">
        <v>41429</v>
      </c>
      <c r="BI49" s="794" t="s">
        <v>68</v>
      </c>
      <c r="BJ49" s="795" t="s">
        <v>68</v>
      </c>
      <c r="BK49" s="795" t="s">
        <v>68</v>
      </c>
      <c r="BL49" s="794"/>
      <c r="BM49" s="794"/>
      <c r="BN49" s="794"/>
      <c r="BO49" s="794"/>
      <c r="BP49" s="794"/>
      <c r="BQ49" s="794"/>
      <c r="BR49" s="794"/>
      <c r="BS49" s="794" t="s">
        <v>68</v>
      </c>
      <c r="BT49" s="14"/>
      <c r="BU49" s="14"/>
      <c r="BV49" s="14"/>
      <c r="BW49" s="14"/>
      <c r="BX49" s="14"/>
      <c r="BY49" s="1431" t="s">
        <v>1430</v>
      </c>
      <c r="BZ49" s="40" t="s">
        <v>76</v>
      </c>
      <c r="CA49" s="563"/>
      <c r="CB49" s="563"/>
      <c r="CC49" s="563"/>
      <c r="CD49" s="563"/>
      <c r="CE49" s="563"/>
      <c r="CF49" s="563"/>
      <c r="CG49" s="563"/>
      <c r="CH49" s="13"/>
    </row>
    <row r="50" spans="2:86" customFormat="1" ht="90" hidden="1" customHeight="1">
      <c r="B50" s="23"/>
      <c r="C50" s="23"/>
      <c r="D50" s="23"/>
      <c r="E50" s="23"/>
      <c r="F50" s="23"/>
      <c r="G50" s="1368"/>
      <c r="H50" s="490"/>
      <c r="I50" s="17">
        <v>2013</v>
      </c>
      <c r="J50" s="1676"/>
      <c r="K50" s="19" t="s">
        <v>166</v>
      </c>
      <c r="L50" s="20" t="s">
        <v>223</v>
      </c>
      <c r="M50" s="2" t="s">
        <v>66</v>
      </c>
      <c r="N50" s="3" t="s">
        <v>224</v>
      </c>
      <c r="O50" s="3"/>
      <c r="P50" s="4">
        <v>1398728</v>
      </c>
      <c r="Q50" s="6">
        <v>41428</v>
      </c>
      <c r="R50" s="5">
        <v>41436</v>
      </c>
      <c r="S50" s="12">
        <v>41466</v>
      </c>
      <c r="T50" s="14" t="s">
        <v>68</v>
      </c>
      <c r="U50" s="35" t="s">
        <v>225</v>
      </c>
      <c r="V50" s="225" t="s">
        <v>70</v>
      </c>
      <c r="W50" s="220" t="s">
        <v>68</v>
      </c>
      <c r="X50" s="406"/>
      <c r="Y50" s="35" t="s">
        <v>226</v>
      </c>
      <c r="Z50" s="5">
        <v>41348</v>
      </c>
      <c r="AA50" s="4" t="s">
        <v>68</v>
      </c>
      <c r="AB50" s="4"/>
      <c r="AC50" s="34"/>
      <c r="AD50" s="36">
        <v>41390</v>
      </c>
      <c r="AE50" s="119" t="s">
        <v>68</v>
      </c>
      <c r="AF50" s="119" t="s">
        <v>68</v>
      </c>
      <c r="AG50" s="7">
        <v>41404</v>
      </c>
      <c r="AH50" s="235">
        <v>41404</v>
      </c>
      <c r="AI50" s="35" t="s">
        <v>214</v>
      </c>
      <c r="AJ50" s="2" t="s">
        <v>227</v>
      </c>
      <c r="AK50" s="5">
        <v>41428</v>
      </c>
      <c r="AL50" s="2" t="s">
        <v>228</v>
      </c>
      <c r="AM50" s="5">
        <v>41428</v>
      </c>
      <c r="AN50" s="2" t="s">
        <v>83</v>
      </c>
      <c r="AO50" s="1" t="s">
        <v>68</v>
      </c>
      <c r="AP50" s="306"/>
      <c r="AQ50" s="37">
        <v>0</v>
      </c>
      <c r="AR50" s="1031">
        <v>1337359.6000000001</v>
      </c>
      <c r="AS50" s="1018"/>
      <c r="AT50" s="32">
        <v>41473</v>
      </c>
      <c r="AU50" s="12">
        <v>41442</v>
      </c>
      <c r="AV50" s="243" t="s">
        <v>68</v>
      </c>
      <c r="AW50" s="244" t="s">
        <v>68</v>
      </c>
      <c r="AX50" s="32">
        <v>41461</v>
      </c>
      <c r="AY50" s="5">
        <v>41442</v>
      </c>
      <c r="AZ50" s="5">
        <v>41460</v>
      </c>
      <c r="BA50" s="12">
        <v>41460</v>
      </c>
      <c r="BB50" s="32">
        <v>41461</v>
      </c>
      <c r="BC50" s="341"/>
      <c r="BD50" s="5">
        <v>41442</v>
      </c>
      <c r="BE50" s="5">
        <v>41460</v>
      </c>
      <c r="BF50" s="5">
        <v>41460</v>
      </c>
      <c r="BG50" s="38">
        <v>1337359.6000000001</v>
      </c>
      <c r="BH50" s="64">
        <v>41463</v>
      </c>
      <c r="BI50" s="794" t="s">
        <v>68</v>
      </c>
      <c r="BJ50" s="795" t="s">
        <v>68</v>
      </c>
      <c r="BK50" s="795" t="s">
        <v>68</v>
      </c>
      <c r="BL50" s="794"/>
      <c r="BM50" s="794"/>
      <c r="BN50" s="794"/>
      <c r="BO50" s="794"/>
      <c r="BP50" s="794"/>
      <c r="BQ50" s="794"/>
      <c r="BR50" s="794"/>
      <c r="BS50" s="794" t="s">
        <v>68</v>
      </c>
      <c r="BT50" s="14"/>
      <c r="BU50" s="14"/>
      <c r="BV50" s="14"/>
      <c r="BW50" s="14"/>
      <c r="BX50" s="14"/>
      <c r="BY50" s="1431" t="s">
        <v>1430</v>
      </c>
      <c r="BZ50" s="40" t="s">
        <v>76</v>
      </c>
      <c r="CA50" s="563"/>
      <c r="CB50" s="563"/>
      <c r="CC50" s="563"/>
      <c r="CD50" s="563"/>
      <c r="CE50" s="563"/>
      <c r="CF50" s="563"/>
      <c r="CG50" s="563"/>
      <c r="CH50" s="13"/>
    </row>
    <row r="51" spans="2:86" customFormat="1" ht="90" hidden="1" customHeight="1">
      <c r="B51" s="23"/>
      <c r="C51" s="23"/>
      <c r="D51" s="23"/>
      <c r="E51" s="23"/>
      <c r="F51" s="23"/>
      <c r="G51" s="1368"/>
      <c r="H51" s="490"/>
      <c r="I51" s="17">
        <v>2013</v>
      </c>
      <c r="J51" s="1676"/>
      <c r="K51" s="19" t="s">
        <v>166</v>
      </c>
      <c r="L51" s="20" t="s">
        <v>229</v>
      </c>
      <c r="M51" s="2" t="s">
        <v>79</v>
      </c>
      <c r="N51" s="3" t="s">
        <v>230</v>
      </c>
      <c r="O51" s="3"/>
      <c r="P51" s="4">
        <v>97904</v>
      </c>
      <c r="Q51" s="6">
        <v>41404</v>
      </c>
      <c r="R51" s="5">
        <v>41407</v>
      </c>
      <c r="S51" s="12">
        <v>41412</v>
      </c>
      <c r="T51" s="64">
        <v>41404</v>
      </c>
      <c r="U51" s="123" t="s">
        <v>69</v>
      </c>
      <c r="V51" s="225" t="s">
        <v>70</v>
      </c>
      <c r="W51" s="220" t="s">
        <v>68</v>
      </c>
      <c r="X51" s="406"/>
      <c r="Y51" s="35" t="s">
        <v>231</v>
      </c>
      <c r="Z51" s="5">
        <v>41445</v>
      </c>
      <c r="AA51" s="4">
        <v>396797.76</v>
      </c>
      <c r="AB51" s="4"/>
      <c r="AC51" s="34"/>
      <c r="AD51" s="36" t="s">
        <v>68</v>
      </c>
      <c r="AE51" s="119" t="s">
        <v>68</v>
      </c>
      <c r="AF51" s="119" t="s">
        <v>68</v>
      </c>
      <c r="AG51" s="7" t="s">
        <v>68</v>
      </c>
      <c r="AH51" s="235" t="s">
        <v>68</v>
      </c>
      <c r="AI51" s="35" t="s">
        <v>232</v>
      </c>
      <c r="AJ51" s="71" t="s">
        <v>68</v>
      </c>
      <c r="AK51" s="1"/>
      <c r="AL51" s="239"/>
      <c r="AM51" s="1"/>
      <c r="AN51" s="1">
        <v>1643265</v>
      </c>
      <c r="AO51" s="5">
        <v>41413</v>
      </c>
      <c r="AP51" s="306"/>
      <c r="AQ51" s="37">
        <v>0</v>
      </c>
      <c r="AR51" s="1031">
        <v>97904</v>
      </c>
      <c r="AS51" s="1018"/>
      <c r="AT51" s="32">
        <v>41407</v>
      </c>
      <c r="AU51" s="12">
        <v>41412</v>
      </c>
      <c r="AV51" s="243" t="s">
        <v>68</v>
      </c>
      <c r="AW51" s="244" t="s">
        <v>68</v>
      </c>
      <c r="AX51" s="32">
        <v>41414</v>
      </c>
      <c r="AY51" s="5">
        <v>41407</v>
      </c>
      <c r="AZ51" s="5">
        <v>41412</v>
      </c>
      <c r="BA51" s="12">
        <v>41412</v>
      </c>
      <c r="BB51" s="32">
        <v>41414</v>
      </c>
      <c r="BC51" s="341"/>
      <c r="BD51" s="5">
        <v>41407</v>
      </c>
      <c r="BE51" s="5">
        <v>41412</v>
      </c>
      <c r="BF51" s="5">
        <v>41412</v>
      </c>
      <c r="BG51" s="38">
        <v>97904</v>
      </c>
      <c r="BH51" s="64">
        <v>41415</v>
      </c>
      <c r="BI51" s="794" t="s">
        <v>68</v>
      </c>
      <c r="BJ51" s="795" t="s">
        <v>68</v>
      </c>
      <c r="BK51" s="795" t="s">
        <v>68</v>
      </c>
      <c r="BL51" s="794"/>
      <c r="BM51" s="794"/>
      <c r="BN51" s="794"/>
      <c r="BO51" s="794"/>
      <c r="BP51" s="794"/>
      <c r="BQ51" s="794"/>
      <c r="BR51" s="794"/>
      <c r="BS51" s="794" t="s">
        <v>68</v>
      </c>
      <c r="BT51" s="14"/>
      <c r="BU51" s="14"/>
      <c r="BV51" s="14"/>
      <c r="BW51" s="14"/>
      <c r="BX51" s="14"/>
      <c r="BY51" s="1431" t="s">
        <v>1430</v>
      </c>
      <c r="BZ51" s="40" t="s">
        <v>76</v>
      </c>
      <c r="CA51" s="563"/>
      <c r="CB51" s="563"/>
      <c r="CC51" s="563"/>
      <c r="CD51" s="563"/>
      <c r="CE51" s="563"/>
      <c r="CF51" s="563"/>
      <c r="CG51" s="563"/>
      <c r="CH51" s="13"/>
    </row>
    <row r="52" spans="2:86" customFormat="1" ht="90" hidden="1" customHeight="1">
      <c r="B52" s="23"/>
      <c r="C52" s="23"/>
      <c r="D52" s="23"/>
      <c r="E52" s="23"/>
      <c r="F52" s="23"/>
      <c r="G52" s="1368"/>
      <c r="H52" s="490"/>
      <c r="I52" s="17">
        <v>2013</v>
      </c>
      <c r="J52" s="1676"/>
      <c r="K52" s="19" t="s">
        <v>166</v>
      </c>
      <c r="L52" s="20" t="s">
        <v>233</v>
      </c>
      <c r="M52" s="2" t="s">
        <v>79</v>
      </c>
      <c r="N52" s="3" t="s">
        <v>234</v>
      </c>
      <c r="O52" s="3"/>
      <c r="P52" s="4">
        <v>427449.56</v>
      </c>
      <c r="Q52" s="6">
        <v>41435</v>
      </c>
      <c r="R52" s="5">
        <v>41435</v>
      </c>
      <c r="S52" s="12">
        <v>41453</v>
      </c>
      <c r="T52" s="64">
        <v>41428</v>
      </c>
      <c r="U52" s="123" t="s">
        <v>212</v>
      </c>
      <c r="V52" s="225" t="s">
        <v>213</v>
      </c>
      <c r="W52" s="220" t="s">
        <v>68</v>
      </c>
      <c r="X52" s="406"/>
      <c r="Y52" s="35" t="s">
        <v>235</v>
      </c>
      <c r="Z52" s="5">
        <v>41577</v>
      </c>
      <c r="AA52" s="4">
        <v>427449.56</v>
      </c>
      <c r="AB52" s="4"/>
      <c r="AC52" s="34"/>
      <c r="AD52" s="36" t="s">
        <v>68</v>
      </c>
      <c r="AE52" s="119" t="s">
        <v>68</v>
      </c>
      <c r="AF52" s="119" t="s">
        <v>68</v>
      </c>
      <c r="AG52" s="7" t="s">
        <v>68</v>
      </c>
      <c r="AH52" s="235" t="s">
        <v>68</v>
      </c>
      <c r="AI52" s="35" t="s">
        <v>214</v>
      </c>
      <c r="AJ52" s="2" t="s">
        <v>68</v>
      </c>
      <c r="AK52" s="5" t="s">
        <v>68</v>
      </c>
      <c r="AL52" s="2" t="s">
        <v>236</v>
      </c>
      <c r="AM52" s="5">
        <v>41435</v>
      </c>
      <c r="AN52" s="2" t="s">
        <v>83</v>
      </c>
      <c r="AO52" s="5" t="s">
        <v>68</v>
      </c>
      <c r="AP52" s="306"/>
      <c r="AQ52" s="37">
        <v>0</v>
      </c>
      <c r="AR52" s="1031">
        <v>427449.56</v>
      </c>
      <c r="AS52" s="1018"/>
      <c r="AT52" s="32">
        <v>41435</v>
      </c>
      <c r="AU52" s="12">
        <v>41446</v>
      </c>
      <c r="AV52" s="243" t="s">
        <v>68</v>
      </c>
      <c r="AW52" s="244" t="s">
        <v>68</v>
      </c>
      <c r="AX52" s="32">
        <v>41475</v>
      </c>
      <c r="AY52" s="5">
        <v>41435</v>
      </c>
      <c r="AZ52" s="5">
        <v>41453</v>
      </c>
      <c r="BA52" s="12">
        <v>41446</v>
      </c>
      <c r="BB52" s="32">
        <v>41475</v>
      </c>
      <c r="BC52" s="341"/>
      <c r="BD52" s="5">
        <v>41435</v>
      </c>
      <c r="BE52" s="5">
        <v>41453</v>
      </c>
      <c r="BF52" s="5">
        <v>41446</v>
      </c>
      <c r="BG52" s="38">
        <v>427449.56</v>
      </c>
      <c r="BH52" s="64">
        <v>41475</v>
      </c>
      <c r="BI52" s="794" t="s">
        <v>68</v>
      </c>
      <c r="BJ52" s="795" t="s">
        <v>68</v>
      </c>
      <c r="BK52" s="795" t="s">
        <v>68</v>
      </c>
      <c r="BL52" s="794"/>
      <c r="BM52" s="794"/>
      <c r="BN52" s="794"/>
      <c r="BO52" s="794"/>
      <c r="BP52" s="794"/>
      <c r="BQ52" s="794"/>
      <c r="BR52" s="794"/>
      <c r="BS52" s="794" t="s">
        <v>68</v>
      </c>
      <c r="BT52" s="14"/>
      <c r="BU52" s="14"/>
      <c r="BV52" s="14"/>
      <c r="BW52" s="14"/>
      <c r="BX52" s="14"/>
      <c r="BY52" s="1431" t="s">
        <v>1430</v>
      </c>
      <c r="BZ52" s="40" t="s">
        <v>76</v>
      </c>
      <c r="CA52" s="563"/>
      <c r="CB52" s="563"/>
      <c r="CC52" s="563"/>
      <c r="CD52" s="563"/>
      <c r="CE52" s="563"/>
      <c r="CF52" s="563"/>
      <c r="CG52" s="563"/>
      <c r="CH52" s="13"/>
    </row>
    <row r="53" spans="2:86" customFormat="1" ht="90" hidden="1" customHeight="1">
      <c r="B53" s="23"/>
      <c r="C53" s="23"/>
      <c r="D53" s="23"/>
      <c r="E53" s="23"/>
      <c r="F53" s="23"/>
      <c r="G53" s="1368"/>
      <c r="H53" s="490"/>
      <c r="I53" s="17">
        <v>2013</v>
      </c>
      <c r="J53" s="1676"/>
      <c r="K53" s="19" t="s">
        <v>166</v>
      </c>
      <c r="L53" s="20" t="s">
        <v>237</v>
      </c>
      <c r="M53" s="2" t="s">
        <v>79</v>
      </c>
      <c r="N53" s="3" t="s">
        <v>238</v>
      </c>
      <c r="O53" s="3"/>
      <c r="P53" s="4">
        <v>418619.7</v>
      </c>
      <c r="Q53" s="6">
        <v>41516</v>
      </c>
      <c r="R53" s="5">
        <v>41519</v>
      </c>
      <c r="S53" s="12">
        <v>41530</v>
      </c>
      <c r="T53" s="64">
        <v>41516</v>
      </c>
      <c r="U53" s="123" t="s">
        <v>185</v>
      </c>
      <c r="V53" s="225" t="s">
        <v>130</v>
      </c>
      <c r="W53" s="220" t="s">
        <v>68</v>
      </c>
      <c r="X53" s="406"/>
      <c r="Y53" s="35" t="s">
        <v>239</v>
      </c>
      <c r="Z53" s="5">
        <v>41568</v>
      </c>
      <c r="AA53" s="4">
        <v>418619.7</v>
      </c>
      <c r="AB53" s="4"/>
      <c r="AC53" s="34"/>
      <c r="AD53" s="36" t="s">
        <v>68</v>
      </c>
      <c r="AE53" s="119" t="s">
        <v>68</v>
      </c>
      <c r="AF53" s="119" t="s">
        <v>68</v>
      </c>
      <c r="AG53" s="7" t="s">
        <v>68</v>
      </c>
      <c r="AH53" s="235" t="s">
        <v>68</v>
      </c>
      <c r="AI53" s="35" t="s">
        <v>186</v>
      </c>
      <c r="AJ53" s="1" t="s">
        <v>68</v>
      </c>
      <c r="AK53" s="1"/>
      <c r="AL53" s="1" t="s">
        <v>240</v>
      </c>
      <c r="AM53" s="5">
        <v>41516</v>
      </c>
      <c r="AN53" s="1" t="s">
        <v>83</v>
      </c>
      <c r="AO53" s="1" t="s">
        <v>68</v>
      </c>
      <c r="AP53" s="306"/>
      <c r="AQ53" s="37">
        <v>0</v>
      </c>
      <c r="AR53" s="1031">
        <v>415204.98</v>
      </c>
      <c r="AS53" s="1018"/>
      <c r="AT53" s="32">
        <v>41520</v>
      </c>
      <c r="AU53" s="12">
        <v>41529</v>
      </c>
      <c r="AV53" s="243" t="s">
        <v>68</v>
      </c>
      <c r="AW53" s="244" t="s">
        <v>68</v>
      </c>
      <c r="AX53" s="32">
        <v>41542</v>
      </c>
      <c r="AY53" s="5">
        <v>41519</v>
      </c>
      <c r="AZ53" s="5">
        <v>41542</v>
      </c>
      <c r="BA53" s="12">
        <v>41542</v>
      </c>
      <c r="BB53" s="32">
        <v>41542</v>
      </c>
      <c r="BC53" s="341"/>
      <c r="BD53" s="5">
        <v>41519</v>
      </c>
      <c r="BE53" s="5">
        <v>41542</v>
      </c>
      <c r="BF53" s="5">
        <v>41542</v>
      </c>
      <c r="BG53" s="38">
        <v>415204.98</v>
      </c>
      <c r="BH53" s="64">
        <v>41543</v>
      </c>
      <c r="BI53" s="794" t="s">
        <v>68</v>
      </c>
      <c r="BJ53" s="795" t="s">
        <v>68</v>
      </c>
      <c r="BK53" s="795" t="s">
        <v>68</v>
      </c>
      <c r="BL53" s="794"/>
      <c r="BM53" s="794"/>
      <c r="BN53" s="794"/>
      <c r="BO53" s="794"/>
      <c r="BP53" s="794"/>
      <c r="BQ53" s="794"/>
      <c r="BR53" s="794"/>
      <c r="BS53" s="794" t="s">
        <v>68</v>
      </c>
      <c r="BT53" s="14"/>
      <c r="BU53" s="14"/>
      <c r="BV53" s="14"/>
      <c r="BW53" s="14"/>
      <c r="BX53" s="14"/>
      <c r="BY53" s="1431" t="s">
        <v>1430</v>
      </c>
      <c r="BZ53" s="40" t="s">
        <v>76</v>
      </c>
      <c r="CA53" s="563"/>
      <c r="CB53" s="563"/>
      <c r="CC53" s="563"/>
      <c r="CD53" s="563"/>
      <c r="CE53" s="563"/>
      <c r="CF53" s="563"/>
      <c r="CG53" s="563"/>
      <c r="CH53" s="13"/>
    </row>
    <row r="54" spans="2:86" customFormat="1" ht="90" hidden="1" customHeight="1">
      <c r="B54" s="23"/>
      <c r="C54" s="23"/>
      <c r="D54" s="23"/>
      <c r="E54" s="23"/>
      <c r="F54" s="23"/>
      <c r="G54" s="1368"/>
      <c r="H54" s="490"/>
      <c r="I54" s="17">
        <v>2013</v>
      </c>
      <c r="J54" s="1676"/>
      <c r="K54" s="19" t="s">
        <v>166</v>
      </c>
      <c r="L54" s="20" t="s">
        <v>241</v>
      </c>
      <c r="M54" s="2" t="s">
        <v>4077</v>
      </c>
      <c r="N54" s="3" t="s">
        <v>242</v>
      </c>
      <c r="O54" s="3"/>
      <c r="P54" s="4">
        <v>100000</v>
      </c>
      <c r="Q54" s="6">
        <v>41465</v>
      </c>
      <c r="R54" s="5">
        <v>41465</v>
      </c>
      <c r="S54" s="12">
        <v>41479</v>
      </c>
      <c r="T54" s="14" t="s">
        <v>68</v>
      </c>
      <c r="U54" s="20" t="s">
        <v>68</v>
      </c>
      <c r="V54" s="18"/>
      <c r="W54" s="220" t="s">
        <v>68</v>
      </c>
      <c r="X54" s="406"/>
      <c r="Y54" s="35" t="s">
        <v>179</v>
      </c>
      <c r="Z54" s="5">
        <v>41492</v>
      </c>
      <c r="AA54" s="4">
        <v>100000</v>
      </c>
      <c r="AB54" s="4"/>
      <c r="AC54" s="34"/>
      <c r="AD54" s="36" t="s">
        <v>68</v>
      </c>
      <c r="AE54" s="119" t="s">
        <v>68</v>
      </c>
      <c r="AF54" s="119" t="s">
        <v>68</v>
      </c>
      <c r="AG54" s="7" t="s">
        <v>68</v>
      </c>
      <c r="AH54" s="235" t="s">
        <v>68</v>
      </c>
      <c r="AI54" s="35" t="s">
        <v>68</v>
      </c>
      <c r="AJ54" s="1" t="s">
        <v>68</v>
      </c>
      <c r="AK54" s="1"/>
      <c r="AL54" s="1" t="s">
        <v>68</v>
      </c>
      <c r="AM54" s="1"/>
      <c r="AN54" s="1" t="s">
        <v>68</v>
      </c>
      <c r="AO54" s="1"/>
      <c r="AP54" s="306"/>
      <c r="AQ54" s="240">
        <v>0</v>
      </c>
      <c r="AR54" s="1030">
        <f t="shared" ref="AR54:AR59" si="1">BG54</f>
        <v>0</v>
      </c>
      <c r="AS54" s="1017"/>
      <c r="AT54" s="20"/>
      <c r="AU54" s="18"/>
      <c r="AV54" s="243" t="s">
        <v>68</v>
      </c>
      <c r="AW54" s="79"/>
      <c r="AX54" s="20"/>
      <c r="AY54" s="1"/>
      <c r="AZ54" s="1"/>
      <c r="BA54" s="18"/>
      <c r="BB54" s="20"/>
      <c r="BC54" s="13"/>
      <c r="BD54" s="1"/>
      <c r="BE54" s="1"/>
      <c r="BF54" s="1"/>
      <c r="BG54" s="38">
        <v>0</v>
      </c>
      <c r="BH54" s="14"/>
      <c r="BI54" s="794" t="s">
        <v>68</v>
      </c>
      <c r="BJ54" s="795" t="s">
        <v>68</v>
      </c>
      <c r="BK54" s="795" t="s">
        <v>68</v>
      </c>
      <c r="BL54" s="794"/>
      <c r="BM54" s="794"/>
      <c r="BN54" s="794"/>
      <c r="BO54" s="794"/>
      <c r="BP54" s="794"/>
      <c r="BQ54" s="794"/>
      <c r="BR54" s="794"/>
      <c r="BS54" s="794" t="s">
        <v>68</v>
      </c>
      <c r="BT54" s="14"/>
      <c r="BU54" s="14"/>
      <c r="BV54" s="14"/>
      <c r="BW54" s="14"/>
      <c r="BX54" s="14"/>
      <c r="BY54" s="1431" t="s">
        <v>1430</v>
      </c>
      <c r="BZ54" s="40" t="s">
        <v>76</v>
      </c>
      <c r="CA54" s="563"/>
      <c r="CB54" s="563"/>
      <c r="CC54" s="563"/>
      <c r="CD54" s="563"/>
      <c r="CE54" s="563"/>
      <c r="CF54" s="563"/>
      <c r="CG54" s="563"/>
      <c r="CH54" s="13"/>
    </row>
    <row r="55" spans="2:86" customFormat="1" ht="90" hidden="1" customHeight="1">
      <c r="B55" s="23"/>
      <c r="C55" s="23"/>
      <c r="D55" s="23"/>
      <c r="E55" s="23"/>
      <c r="F55" s="23"/>
      <c r="G55" s="1368"/>
      <c r="H55" s="490"/>
      <c r="I55" s="17">
        <v>2013</v>
      </c>
      <c r="J55" s="1676"/>
      <c r="K55" s="19" t="s">
        <v>163</v>
      </c>
      <c r="L55" s="20" t="s">
        <v>243</v>
      </c>
      <c r="M55" s="2" t="s">
        <v>4077</v>
      </c>
      <c r="N55" s="3" t="s">
        <v>244</v>
      </c>
      <c r="O55" s="3"/>
      <c r="P55" s="4">
        <v>280952</v>
      </c>
      <c r="Q55" s="6">
        <v>41617</v>
      </c>
      <c r="R55" s="5">
        <v>41612</v>
      </c>
      <c r="S55" s="12">
        <v>41635</v>
      </c>
      <c r="T55" s="14" t="s">
        <v>68</v>
      </c>
      <c r="U55" s="20" t="s">
        <v>68</v>
      </c>
      <c r="V55" s="18"/>
      <c r="W55" s="64">
        <v>41414</v>
      </c>
      <c r="X55" s="111"/>
      <c r="Y55" s="35" t="s">
        <v>68</v>
      </c>
      <c r="Z55" s="5">
        <v>41325</v>
      </c>
      <c r="AA55" s="4">
        <v>280952</v>
      </c>
      <c r="AB55" s="4" t="s">
        <v>68</v>
      </c>
      <c r="AC55" s="34"/>
      <c r="AD55" s="36" t="s">
        <v>68</v>
      </c>
      <c r="AE55" s="119" t="s">
        <v>68</v>
      </c>
      <c r="AF55" s="119" t="s">
        <v>68</v>
      </c>
      <c r="AG55" s="7" t="s">
        <v>68</v>
      </c>
      <c r="AH55" s="235" t="s">
        <v>68</v>
      </c>
      <c r="AI55" s="35" t="s">
        <v>68</v>
      </c>
      <c r="AJ55" s="1" t="s">
        <v>68</v>
      </c>
      <c r="AK55" s="1"/>
      <c r="AL55" s="1" t="s">
        <v>68</v>
      </c>
      <c r="AM55" s="1"/>
      <c r="AN55" s="1" t="s">
        <v>68</v>
      </c>
      <c r="AO55" s="1"/>
      <c r="AP55" s="306"/>
      <c r="AQ55" s="240">
        <v>0</v>
      </c>
      <c r="AR55" s="1031">
        <f t="shared" si="1"/>
        <v>280952</v>
      </c>
      <c r="AS55" s="1017"/>
      <c r="AT55" s="32">
        <v>41612</v>
      </c>
      <c r="AU55" s="12">
        <v>41621</v>
      </c>
      <c r="AV55" s="32"/>
      <c r="AW55" s="54"/>
      <c r="AX55" s="20"/>
      <c r="AY55" s="1"/>
      <c r="AZ55" s="1"/>
      <c r="BA55" s="18"/>
      <c r="BB55" s="32">
        <v>41638</v>
      </c>
      <c r="BC55" s="341"/>
      <c r="BD55" s="5">
        <v>41616</v>
      </c>
      <c r="BE55" s="5">
        <v>41638</v>
      </c>
      <c r="BF55" s="5">
        <v>41638</v>
      </c>
      <c r="BG55" s="38">
        <v>280952</v>
      </c>
      <c r="BH55" s="14"/>
      <c r="BI55" s="794" t="s">
        <v>68</v>
      </c>
      <c r="BJ55" s="795" t="s">
        <v>68</v>
      </c>
      <c r="BK55" s="795" t="s">
        <v>68</v>
      </c>
      <c r="BL55" s="794"/>
      <c r="BM55" s="794"/>
      <c r="BN55" s="794"/>
      <c r="BO55" s="794"/>
      <c r="BP55" s="794"/>
      <c r="BQ55" s="794"/>
      <c r="BR55" s="794"/>
      <c r="BS55" s="794" t="s">
        <v>68</v>
      </c>
      <c r="BT55" s="14"/>
      <c r="BU55" s="14"/>
      <c r="BV55" s="14"/>
      <c r="BW55" s="14"/>
      <c r="BX55" s="14"/>
      <c r="BY55" s="1431" t="s">
        <v>1430</v>
      </c>
      <c r="BZ55" s="40" t="s">
        <v>76</v>
      </c>
      <c r="CA55" s="563"/>
      <c r="CB55" s="563"/>
      <c r="CC55" s="563"/>
      <c r="CD55" s="563"/>
      <c r="CE55" s="563"/>
      <c r="CF55" s="563"/>
      <c r="CG55" s="563"/>
      <c r="CH55" s="13"/>
    </row>
    <row r="56" spans="2:86" customFormat="1" ht="90" hidden="1" customHeight="1">
      <c r="B56" s="23"/>
      <c r="C56" s="23"/>
      <c r="D56" s="23"/>
      <c r="E56" s="23"/>
      <c r="F56" s="23"/>
      <c r="G56" s="1368"/>
      <c r="H56" s="490"/>
      <c r="I56" s="17">
        <v>2013</v>
      </c>
      <c r="J56" s="1676"/>
      <c r="K56" s="19" t="s">
        <v>163</v>
      </c>
      <c r="L56" s="20" t="s">
        <v>245</v>
      </c>
      <c r="M56" s="2" t="s">
        <v>4077</v>
      </c>
      <c r="N56" s="3" t="s">
        <v>246</v>
      </c>
      <c r="O56" s="3"/>
      <c r="P56" s="4">
        <v>670884</v>
      </c>
      <c r="Q56" s="6">
        <v>41617</v>
      </c>
      <c r="R56" s="5">
        <v>41612</v>
      </c>
      <c r="S56" s="12">
        <v>41638</v>
      </c>
      <c r="T56" s="14" t="s">
        <v>68</v>
      </c>
      <c r="U56" s="20" t="s">
        <v>68</v>
      </c>
      <c r="V56" s="18"/>
      <c r="W56" s="64">
        <v>41414</v>
      </c>
      <c r="X56" s="111"/>
      <c r="Y56" s="35" t="s">
        <v>68</v>
      </c>
      <c r="Z56" s="5">
        <v>41325</v>
      </c>
      <c r="AA56" s="4">
        <v>670883</v>
      </c>
      <c r="AB56" s="4" t="s">
        <v>68</v>
      </c>
      <c r="AC56" s="34"/>
      <c r="AD56" s="36" t="s">
        <v>68</v>
      </c>
      <c r="AE56" s="119" t="s">
        <v>68</v>
      </c>
      <c r="AF56" s="119" t="s">
        <v>68</v>
      </c>
      <c r="AG56" s="7" t="s">
        <v>68</v>
      </c>
      <c r="AH56" s="235" t="s">
        <v>68</v>
      </c>
      <c r="AI56" s="35" t="s">
        <v>68</v>
      </c>
      <c r="AJ56" s="1" t="s">
        <v>68</v>
      </c>
      <c r="AK56" s="1"/>
      <c r="AL56" s="1" t="s">
        <v>68</v>
      </c>
      <c r="AM56" s="1"/>
      <c r="AN56" s="1" t="s">
        <v>68</v>
      </c>
      <c r="AO56" s="1"/>
      <c r="AP56" s="306"/>
      <c r="AQ56" s="240">
        <v>0</v>
      </c>
      <c r="AR56" s="1030">
        <f t="shared" si="1"/>
        <v>670884</v>
      </c>
      <c r="AS56" s="1017"/>
      <c r="AT56" s="32">
        <v>41606</v>
      </c>
      <c r="AU56" s="12">
        <v>41632</v>
      </c>
      <c r="AV56" s="32"/>
      <c r="AW56" s="54"/>
      <c r="AX56" s="20"/>
      <c r="AY56" s="1"/>
      <c r="AZ56" s="1"/>
      <c r="BA56" s="18"/>
      <c r="BB56" s="32">
        <v>41638</v>
      </c>
      <c r="BC56" s="341"/>
      <c r="BD56" s="5">
        <v>41616</v>
      </c>
      <c r="BE56" s="5">
        <v>41638</v>
      </c>
      <c r="BF56" s="5">
        <v>41638</v>
      </c>
      <c r="BG56" s="38">
        <v>670884</v>
      </c>
      <c r="BH56" s="14"/>
      <c r="BI56" s="794" t="s">
        <v>68</v>
      </c>
      <c r="BJ56" s="795" t="s">
        <v>68</v>
      </c>
      <c r="BK56" s="795" t="s">
        <v>68</v>
      </c>
      <c r="BL56" s="794"/>
      <c r="BM56" s="794"/>
      <c r="BN56" s="794"/>
      <c r="BO56" s="794"/>
      <c r="BP56" s="794"/>
      <c r="BQ56" s="794"/>
      <c r="BR56" s="794"/>
      <c r="BS56" s="794" t="s">
        <v>68</v>
      </c>
      <c r="BT56" s="14"/>
      <c r="BU56" s="14"/>
      <c r="BV56" s="14"/>
      <c r="BW56" s="14"/>
      <c r="BX56" s="14"/>
      <c r="BY56" s="1431" t="s">
        <v>1430</v>
      </c>
      <c r="BZ56" s="40" t="s">
        <v>76</v>
      </c>
      <c r="CA56" s="563"/>
      <c r="CB56" s="563"/>
      <c r="CC56" s="563"/>
      <c r="CD56" s="563"/>
      <c r="CE56" s="563"/>
      <c r="CF56" s="563"/>
      <c r="CG56" s="563"/>
      <c r="CH56" s="13"/>
    </row>
    <row r="57" spans="2:86" customFormat="1" ht="90" hidden="1" customHeight="1">
      <c r="B57" s="23"/>
      <c r="C57" s="23"/>
      <c r="D57" s="23"/>
      <c r="E57" s="23"/>
      <c r="F57" s="23"/>
      <c r="G57" s="1368"/>
      <c r="H57" s="490"/>
      <c r="I57" s="17">
        <v>2013</v>
      </c>
      <c r="J57" s="1676"/>
      <c r="K57" s="19" t="s">
        <v>247</v>
      </c>
      <c r="L57" s="20" t="s">
        <v>248</v>
      </c>
      <c r="M57" s="2" t="s">
        <v>79</v>
      </c>
      <c r="N57" s="3" t="s">
        <v>249</v>
      </c>
      <c r="O57" s="3"/>
      <c r="P57" s="4">
        <v>667000</v>
      </c>
      <c r="Q57" s="6">
        <v>41516</v>
      </c>
      <c r="R57" s="5">
        <v>41638</v>
      </c>
      <c r="S57" s="12">
        <v>41691</v>
      </c>
      <c r="T57" s="217" t="s">
        <v>74</v>
      </c>
      <c r="U57" s="35" t="s">
        <v>106</v>
      </c>
      <c r="V57" s="18"/>
      <c r="W57" s="220" t="s">
        <v>68</v>
      </c>
      <c r="X57" s="406"/>
      <c r="Y57" s="35"/>
      <c r="Z57" s="5"/>
      <c r="AA57" s="4"/>
      <c r="AB57" s="4"/>
      <c r="AC57" s="34"/>
      <c r="AD57" s="36" t="s">
        <v>68</v>
      </c>
      <c r="AE57" s="119" t="s">
        <v>68</v>
      </c>
      <c r="AF57" s="119" t="s">
        <v>68</v>
      </c>
      <c r="AG57" s="7" t="s">
        <v>68</v>
      </c>
      <c r="AH57" s="235" t="s">
        <v>68</v>
      </c>
      <c r="AI57" s="35"/>
      <c r="AJ57" s="1"/>
      <c r="AK57" s="1"/>
      <c r="AL57" s="1"/>
      <c r="AM57" s="1"/>
      <c r="AN57" s="1"/>
      <c r="AO57" s="1"/>
      <c r="AP57" s="306"/>
      <c r="AQ57" s="240">
        <v>0</v>
      </c>
      <c r="AR57" s="1030">
        <f t="shared" si="1"/>
        <v>0</v>
      </c>
      <c r="AS57" s="1017"/>
      <c r="AT57" s="32"/>
      <c r="AU57" s="12"/>
      <c r="AV57" s="243" t="s">
        <v>68</v>
      </c>
      <c r="AW57" s="244" t="s">
        <v>68</v>
      </c>
      <c r="AX57" s="20"/>
      <c r="AY57" s="1"/>
      <c r="AZ57" s="1"/>
      <c r="BA57" s="18"/>
      <c r="BB57" s="32"/>
      <c r="BC57" s="341"/>
      <c r="BD57" s="5"/>
      <c r="BE57" s="5"/>
      <c r="BF57" s="5"/>
      <c r="BG57" s="38"/>
      <c r="BH57" s="14"/>
      <c r="BI57" s="794" t="s">
        <v>68</v>
      </c>
      <c r="BJ57" s="795" t="s">
        <v>68</v>
      </c>
      <c r="BK57" s="795" t="s">
        <v>68</v>
      </c>
      <c r="BL57" s="794"/>
      <c r="BM57" s="794"/>
      <c r="BN57" s="794"/>
      <c r="BO57" s="794"/>
      <c r="BP57" s="794"/>
      <c r="BQ57" s="794"/>
      <c r="BR57" s="794"/>
      <c r="BS57" s="794" t="s">
        <v>68</v>
      </c>
      <c r="BT57" s="14"/>
      <c r="BU57" s="14"/>
      <c r="BV57" s="14"/>
      <c r="BW57" s="14"/>
      <c r="BX57" s="14"/>
      <c r="BY57" s="1431" t="s">
        <v>1430</v>
      </c>
      <c r="BZ57" s="40" t="s">
        <v>76</v>
      </c>
      <c r="CA57" s="563"/>
      <c r="CB57" s="563"/>
      <c r="CC57" s="563"/>
      <c r="CD57" s="563"/>
      <c r="CE57" s="563"/>
      <c r="CF57" s="563"/>
      <c r="CG57" s="563"/>
      <c r="CH57" s="13"/>
    </row>
    <row r="58" spans="2:86" s="1241" customFormat="1" ht="90" hidden="1" customHeight="1">
      <c r="B58" s="1242"/>
      <c r="C58" s="1242"/>
      <c r="D58" s="1242"/>
      <c r="E58" s="1242"/>
      <c r="F58" s="1242"/>
      <c r="G58" s="1368"/>
      <c r="H58" s="490"/>
      <c r="I58" s="588">
        <v>2013</v>
      </c>
      <c r="J58" s="1680"/>
      <c r="K58" s="1747" t="s">
        <v>250</v>
      </c>
      <c r="L58" s="955"/>
      <c r="M58" s="203" t="s">
        <v>251</v>
      </c>
      <c r="N58" s="112" t="s">
        <v>252</v>
      </c>
      <c r="O58" s="112"/>
      <c r="P58" s="1255"/>
      <c r="Q58" s="1746"/>
      <c r="R58" s="1261"/>
      <c r="S58" s="1271"/>
      <c r="T58" s="1273" t="s">
        <v>68</v>
      </c>
      <c r="U58" s="955"/>
      <c r="V58" s="1271"/>
      <c r="W58" s="1278" t="s">
        <v>68</v>
      </c>
      <c r="X58" s="1631"/>
      <c r="Y58" s="340" t="s">
        <v>179</v>
      </c>
      <c r="Z58" s="1262">
        <v>41492</v>
      </c>
      <c r="AA58" s="1255">
        <v>5000000</v>
      </c>
      <c r="AB58" s="1255"/>
      <c r="AC58" s="1256"/>
      <c r="AD58" s="1257" t="s">
        <v>68</v>
      </c>
      <c r="AE58" s="1258" t="s">
        <v>68</v>
      </c>
      <c r="AF58" s="1258" t="s">
        <v>68</v>
      </c>
      <c r="AG58" s="1259" t="s">
        <v>68</v>
      </c>
      <c r="AH58" s="1749" t="s">
        <v>68</v>
      </c>
      <c r="AI58" s="340"/>
      <c r="AJ58" s="1261"/>
      <c r="AK58" s="1261"/>
      <c r="AL58" s="1261"/>
      <c r="AM58" s="1261"/>
      <c r="AN58" s="1261"/>
      <c r="AO58" s="1261"/>
      <c r="AP58" s="1263"/>
      <c r="AQ58" s="1750">
        <v>0</v>
      </c>
      <c r="AR58" s="1751">
        <f t="shared" si="1"/>
        <v>0</v>
      </c>
      <c r="AS58" s="1752"/>
      <c r="AT58" s="1267"/>
      <c r="AU58" s="1268"/>
      <c r="AV58" s="1269" t="s">
        <v>68</v>
      </c>
      <c r="AW58" s="1270"/>
      <c r="AX58" s="955"/>
      <c r="AY58" s="1261"/>
      <c r="AZ58" s="1261"/>
      <c r="BA58" s="1271"/>
      <c r="BB58" s="955"/>
      <c r="BC58" s="1756"/>
      <c r="BD58" s="1261"/>
      <c r="BE58" s="1261"/>
      <c r="BF58" s="1261"/>
      <c r="BG58" s="1272">
        <v>0</v>
      </c>
      <c r="BH58" s="1273"/>
      <c r="BI58" s="1753" t="s">
        <v>68</v>
      </c>
      <c r="BJ58" s="1754" t="s">
        <v>68</v>
      </c>
      <c r="BK58" s="1754" t="s">
        <v>68</v>
      </c>
      <c r="BL58" s="1753"/>
      <c r="BM58" s="1753"/>
      <c r="BN58" s="1753"/>
      <c r="BO58" s="1753"/>
      <c r="BP58" s="1753"/>
      <c r="BQ58" s="1753"/>
      <c r="BR58" s="1753"/>
      <c r="BS58" s="1753" t="s">
        <v>68</v>
      </c>
      <c r="BT58" s="1273"/>
      <c r="BU58" s="1273"/>
      <c r="BV58" s="1273"/>
      <c r="BW58" s="1273"/>
      <c r="BX58" s="1273"/>
      <c r="BY58" s="1771" t="s">
        <v>1430</v>
      </c>
      <c r="BZ58" s="1276" t="s">
        <v>76</v>
      </c>
      <c r="CA58" s="567"/>
      <c r="CB58" s="567"/>
      <c r="CC58" s="567"/>
      <c r="CD58" s="567"/>
      <c r="CE58" s="567"/>
      <c r="CF58" s="567"/>
      <c r="CG58" s="567"/>
      <c r="CH58" s="1756"/>
    </row>
    <row r="59" spans="2:86" customFormat="1" ht="90" hidden="1" customHeight="1">
      <c r="B59" s="23"/>
      <c r="C59" s="23"/>
      <c r="D59" s="23"/>
      <c r="E59" s="23"/>
      <c r="F59" s="23"/>
      <c r="G59" s="1368"/>
      <c r="H59" s="490">
        <v>43052</v>
      </c>
      <c r="I59" s="17">
        <v>2014</v>
      </c>
      <c r="J59" s="1676"/>
      <c r="K59" s="19" t="s">
        <v>253</v>
      </c>
      <c r="L59" s="20" t="s">
        <v>254</v>
      </c>
      <c r="M59" s="2" t="s">
        <v>66</v>
      </c>
      <c r="N59" s="3" t="s">
        <v>255</v>
      </c>
      <c r="O59" s="3"/>
      <c r="P59" s="4">
        <v>5400000</v>
      </c>
      <c r="Q59" s="6">
        <v>41690</v>
      </c>
      <c r="R59" s="5">
        <v>41694</v>
      </c>
      <c r="S59" s="12">
        <v>41783</v>
      </c>
      <c r="T59" s="14" t="s">
        <v>68</v>
      </c>
      <c r="U59" s="35" t="s">
        <v>256</v>
      </c>
      <c r="V59" s="19" t="s">
        <v>70</v>
      </c>
      <c r="W59" s="64">
        <v>41346</v>
      </c>
      <c r="X59" s="111"/>
      <c r="Y59" s="35" t="s">
        <v>179</v>
      </c>
      <c r="Z59" s="9">
        <v>41492</v>
      </c>
      <c r="AA59" s="4">
        <v>5000000</v>
      </c>
      <c r="AB59" s="4" t="s">
        <v>257</v>
      </c>
      <c r="AC59" s="34">
        <v>400000</v>
      </c>
      <c r="AD59" s="36">
        <v>41281</v>
      </c>
      <c r="AE59" s="119" t="s">
        <v>68</v>
      </c>
      <c r="AF59" s="119" t="s">
        <v>68</v>
      </c>
      <c r="AG59" s="7">
        <v>41294</v>
      </c>
      <c r="AH59" s="235">
        <v>41294</v>
      </c>
      <c r="AI59" s="35" t="s">
        <v>214</v>
      </c>
      <c r="AJ59" s="35" t="s">
        <v>258</v>
      </c>
      <c r="AK59" s="5">
        <v>41690</v>
      </c>
      <c r="AL59" s="35" t="s">
        <v>259</v>
      </c>
      <c r="AM59" s="5">
        <v>41690</v>
      </c>
      <c r="AN59" s="35" t="s">
        <v>260</v>
      </c>
      <c r="AO59" s="5">
        <v>41830</v>
      </c>
      <c r="AP59" s="306"/>
      <c r="AQ59" s="240">
        <v>0</v>
      </c>
      <c r="AR59" s="1030">
        <f t="shared" si="1"/>
        <v>0</v>
      </c>
      <c r="AS59" s="1017"/>
      <c r="AT59" s="253" t="s">
        <v>74</v>
      </c>
      <c r="AU59" s="12"/>
      <c r="AV59" s="32"/>
      <c r="AW59" s="54"/>
      <c r="AX59" s="32">
        <v>41800</v>
      </c>
      <c r="AY59" s="5">
        <v>41694</v>
      </c>
      <c r="AZ59" s="5">
        <v>41788</v>
      </c>
      <c r="BA59" s="12">
        <v>41800</v>
      </c>
      <c r="BB59" s="32">
        <v>41830</v>
      </c>
      <c r="BC59" s="341"/>
      <c r="BD59" s="5">
        <v>41694</v>
      </c>
      <c r="BE59" s="5">
        <v>41788</v>
      </c>
      <c r="BF59" s="5">
        <v>41800</v>
      </c>
      <c r="BG59" s="66"/>
      <c r="BH59" s="64">
        <v>41830</v>
      </c>
      <c r="BI59" s="794" t="s">
        <v>68</v>
      </c>
      <c r="BJ59" s="795" t="s">
        <v>68</v>
      </c>
      <c r="BK59" s="795" t="s">
        <v>68</v>
      </c>
      <c r="BL59" s="794"/>
      <c r="BM59" s="794"/>
      <c r="BN59" s="794"/>
      <c r="BO59" s="794"/>
      <c r="BP59" s="794"/>
      <c r="BQ59" s="794"/>
      <c r="BR59" s="794"/>
      <c r="BS59" s="794" t="s">
        <v>68</v>
      </c>
      <c r="BT59" s="14"/>
      <c r="BU59" s="14"/>
      <c r="BV59" s="14"/>
      <c r="BW59" s="14"/>
      <c r="BX59" s="14"/>
      <c r="BY59" s="1431" t="s">
        <v>1430</v>
      </c>
      <c r="BZ59" s="40" t="s">
        <v>76</v>
      </c>
      <c r="CA59" s="563"/>
      <c r="CB59" s="563"/>
      <c r="CC59" s="563"/>
      <c r="CD59" s="563"/>
      <c r="CE59" s="563"/>
      <c r="CF59" s="563"/>
      <c r="CG59" s="563"/>
      <c r="CH59" s="13"/>
    </row>
    <row r="60" spans="2:86" customFormat="1" ht="80.099999999999994" hidden="1" customHeight="1">
      <c r="B60" s="23"/>
      <c r="C60" s="23"/>
      <c r="D60" s="23"/>
      <c r="E60" s="23"/>
      <c r="F60" s="23"/>
      <c r="G60" s="1368">
        <v>42005</v>
      </c>
      <c r="H60" s="490">
        <v>43052</v>
      </c>
      <c r="I60" s="17">
        <v>2014</v>
      </c>
      <c r="J60" s="1676"/>
      <c r="K60" s="18" t="s">
        <v>77</v>
      </c>
      <c r="L60" s="20" t="s">
        <v>261</v>
      </c>
      <c r="M60" s="2" t="s">
        <v>262</v>
      </c>
      <c r="N60" s="3" t="s">
        <v>263</v>
      </c>
      <c r="O60" s="3"/>
      <c r="P60" s="4">
        <v>1489185.94</v>
      </c>
      <c r="Q60" s="6">
        <v>41683</v>
      </c>
      <c r="R60" s="5">
        <v>41687</v>
      </c>
      <c r="S60" s="12">
        <v>41734</v>
      </c>
      <c r="T60" s="64">
        <v>41683</v>
      </c>
      <c r="U60" s="35" t="s">
        <v>264</v>
      </c>
      <c r="V60" s="19" t="s">
        <v>70</v>
      </c>
      <c r="W60" s="217" t="s">
        <v>74</v>
      </c>
      <c r="X60" s="67"/>
      <c r="Y60" s="35" t="s">
        <v>265</v>
      </c>
      <c r="Z60" s="5">
        <v>41698</v>
      </c>
      <c r="AA60" s="4">
        <v>1489185.94</v>
      </c>
      <c r="AB60" s="4"/>
      <c r="AC60" s="34"/>
      <c r="AD60" s="36">
        <v>41582</v>
      </c>
      <c r="AE60" s="119" t="s">
        <v>68</v>
      </c>
      <c r="AF60" s="119" t="s">
        <v>68</v>
      </c>
      <c r="AG60" s="7">
        <v>41598</v>
      </c>
      <c r="AH60" s="235">
        <v>41683</v>
      </c>
      <c r="AI60" s="35" t="s">
        <v>266</v>
      </c>
      <c r="AJ60" s="1" t="s">
        <v>68</v>
      </c>
      <c r="AK60" s="1" t="s">
        <v>68</v>
      </c>
      <c r="AL60" s="1" t="s">
        <v>267</v>
      </c>
      <c r="AM60" s="5">
        <v>41687</v>
      </c>
      <c r="AN60" s="5" t="s">
        <v>268</v>
      </c>
      <c r="AO60" s="5">
        <v>41740</v>
      </c>
      <c r="AP60" s="306"/>
      <c r="AQ60" s="37">
        <v>0</v>
      </c>
      <c r="AR60" s="1031">
        <v>1408849.34</v>
      </c>
      <c r="AS60" s="1018"/>
      <c r="AT60" s="32">
        <v>41687</v>
      </c>
      <c r="AU60" s="12">
        <v>41734</v>
      </c>
      <c r="AV60" s="32" t="s">
        <v>68</v>
      </c>
      <c r="AW60" s="54" t="s">
        <v>68</v>
      </c>
      <c r="AX60" s="32">
        <v>41736</v>
      </c>
      <c r="AY60" s="5">
        <v>41687</v>
      </c>
      <c r="AZ60" s="5">
        <v>41734</v>
      </c>
      <c r="BA60" s="12">
        <v>41738</v>
      </c>
      <c r="BB60" s="32">
        <v>41737</v>
      </c>
      <c r="BC60" s="341"/>
      <c r="BD60" s="5">
        <v>41687</v>
      </c>
      <c r="BE60" s="5">
        <v>41734</v>
      </c>
      <c r="BF60" s="5">
        <v>41738</v>
      </c>
      <c r="BG60" s="278">
        <v>1214525.28</v>
      </c>
      <c r="BH60" s="64">
        <v>41737</v>
      </c>
      <c r="BI60" s="794" t="s">
        <v>68</v>
      </c>
      <c r="BJ60" s="795" t="s">
        <v>68</v>
      </c>
      <c r="BK60" s="795" t="s">
        <v>68</v>
      </c>
      <c r="BL60" s="794"/>
      <c r="BM60" s="794"/>
      <c r="BN60" s="794"/>
      <c r="BO60" s="794"/>
      <c r="BP60" s="794"/>
      <c r="BQ60" s="794"/>
      <c r="BR60" s="794"/>
      <c r="BS60" s="794" t="s">
        <v>68</v>
      </c>
      <c r="BT60" s="14"/>
      <c r="BU60" s="14"/>
      <c r="BV60" s="14"/>
      <c r="BW60" s="14"/>
      <c r="BX60" s="14"/>
      <c r="BY60" s="1431" t="s">
        <v>1430</v>
      </c>
      <c r="BZ60" s="40" t="s">
        <v>76</v>
      </c>
      <c r="CA60" s="563"/>
      <c r="CB60" s="563"/>
      <c r="CC60" s="563"/>
      <c r="CD60" s="563"/>
      <c r="CE60" s="563"/>
      <c r="CF60" s="563"/>
      <c r="CG60" s="563"/>
      <c r="CH60" s="13"/>
    </row>
    <row r="61" spans="2:86" customFormat="1" ht="80.099999999999994" hidden="1" customHeight="1">
      <c r="B61" s="23"/>
      <c r="C61" s="23"/>
      <c r="D61" s="23"/>
      <c r="E61" s="23"/>
      <c r="F61" s="23"/>
      <c r="G61" s="1368">
        <v>42005</v>
      </c>
      <c r="H61" s="490"/>
      <c r="I61" s="17">
        <v>2014</v>
      </c>
      <c r="J61" s="1676"/>
      <c r="K61" s="19" t="s">
        <v>269</v>
      </c>
      <c r="L61" s="20" t="s">
        <v>270</v>
      </c>
      <c r="M61" s="2" t="s">
        <v>4077</v>
      </c>
      <c r="N61" s="3" t="s">
        <v>271</v>
      </c>
      <c r="O61" s="3"/>
      <c r="P61" s="4">
        <v>450000</v>
      </c>
      <c r="Q61" s="6">
        <v>41781</v>
      </c>
      <c r="R61" s="257">
        <v>41705</v>
      </c>
      <c r="S61" s="258">
        <v>41789</v>
      </c>
      <c r="T61" s="14" t="s">
        <v>68</v>
      </c>
      <c r="U61" s="20" t="s">
        <v>68</v>
      </c>
      <c r="V61" s="19" t="s">
        <v>213</v>
      </c>
      <c r="W61" s="220" t="s">
        <v>68</v>
      </c>
      <c r="X61" s="406"/>
      <c r="Y61" s="35" t="s">
        <v>272</v>
      </c>
      <c r="Z61" s="9">
        <v>41781</v>
      </c>
      <c r="AA61" s="4">
        <v>400000</v>
      </c>
      <c r="AB61" s="4"/>
      <c r="AC61" s="34"/>
      <c r="AD61" s="36" t="s">
        <v>68</v>
      </c>
      <c r="AE61" s="119" t="s">
        <v>68</v>
      </c>
      <c r="AF61" s="119" t="s">
        <v>68</v>
      </c>
      <c r="AG61" s="7" t="s">
        <v>68</v>
      </c>
      <c r="AH61" s="235" t="s">
        <v>68</v>
      </c>
      <c r="AI61" s="35" t="s">
        <v>68</v>
      </c>
      <c r="AJ61" s="1" t="s">
        <v>68</v>
      </c>
      <c r="AK61" s="1"/>
      <c r="AL61" s="1" t="s">
        <v>68</v>
      </c>
      <c r="AM61" s="1"/>
      <c r="AN61" s="1" t="s">
        <v>68</v>
      </c>
      <c r="AO61" s="1"/>
      <c r="AP61" s="306"/>
      <c r="AQ61" s="240">
        <v>0</v>
      </c>
      <c r="AR61" s="1030">
        <f>BG61</f>
        <v>0</v>
      </c>
      <c r="AS61" s="1017"/>
      <c r="AT61" s="253" t="s">
        <v>74</v>
      </c>
      <c r="AU61" s="12"/>
      <c r="AV61" s="243" t="s">
        <v>68</v>
      </c>
      <c r="AW61" s="54" t="s">
        <v>68</v>
      </c>
      <c r="AX61" s="253" t="s">
        <v>74</v>
      </c>
      <c r="AY61" s="1"/>
      <c r="AZ61" s="1"/>
      <c r="BA61" s="18"/>
      <c r="BB61" s="253" t="s">
        <v>74</v>
      </c>
      <c r="BC61" s="558"/>
      <c r="BD61" s="1"/>
      <c r="BE61" s="1"/>
      <c r="BF61" s="1"/>
      <c r="BG61" s="38"/>
      <c r="BH61" s="14" t="s">
        <v>68</v>
      </c>
      <c r="BI61" s="794" t="s">
        <v>68</v>
      </c>
      <c r="BJ61" s="795" t="s">
        <v>68</v>
      </c>
      <c r="BK61" s="795" t="s">
        <v>68</v>
      </c>
      <c r="BL61" s="794"/>
      <c r="BM61" s="794"/>
      <c r="BN61" s="794"/>
      <c r="BO61" s="794"/>
      <c r="BP61" s="794"/>
      <c r="BQ61" s="794"/>
      <c r="BR61" s="794"/>
      <c r="BS61" s="794" t="s">
        <v>68</v>
      </c>
      <c r="BT61" s="14"/>
      <c r="BU61" s="14"/>
      <c r="BV61" s="14"/>
      <c r="BW61" s="14"/>
      <c r="BX61" s="14"/>
      <c r="BY61" s="1431" t="s">
        <v>1430</v>
      </c>
      <c r="BZ61" s="40" t="s">
        <v>76</v>
      </c>
      <c r="CA61" s="563"/>
      <c r="CB61" s="563"/>
      <c r="CC61" s="563"/>
      <c r="CD61" s="563"/>
      <c r="CE61" s="563"/>
      <c r="CF61" s="563"/>
      <c r="CG61" s="563"/>
      <c r="CH61" s="13"/>
    </row>
    <row r="62" spans="2:86" customFormat="1" ht="80.099999999999994" hidden="1" customHeight="1">
      <c r="B62" s="23"/>
      <c r="C62" s="23"/>
      <c r="D62" s="23"/>
      <c r="E62" s="23"/>
      <c r="F62" s="23"/>
      <c r="G62" s="1055">
        <v>42005</v>
      </c>
      <c r="H62" s="490"/>
      <c r="I62" s="17">
        <v>2014</v>
      </c>
      <c r="J62" s="1676"/>
      <c r="K62" s="19" t="s">
        <v>269</v>
      </c>
      <c r="L62" s="20" t="s">
        <v>273</v>
      </c>
      <c r="M62" s="2" t="s">
        <v>4077</v>
      </c>
      <c r="N62" s="3" t="s">
        <v>274</v>
      </c>
      <c r="O62" s="3"/>
      <c r="P62" s="4">
        <v>300000</v>
      </c>
      <c r="Q62" s="6">
        <v>41761</v>
      </c>
      <c r="R62" s="257">
        <v>41761</v>
      </c>
      <c r="S62" s="258">
        <v>41822</v>
      </c>
      <c r="T62" s="14" t="s">
        <v>68</v>
      </c>
      <c r="U62" s="20" t="s">
        <v>68</v>
      </c>
      <c r="V62" s="19" t="s">
        <v>213</v>
      </c>
      <c r="W62" s="220" t="s">
        <v>68</v>
      </c>
      <c r="X62" s="406"/>
      <c r="Y62" s="35" t="s">
        <v>275</v>
      </c>
      <c r="Z62" s="9">
        <v>41781</v>
      </c>
      <c r="AA62" s="4">
        <v>300000</v>
      </c>
      <c r="AB62" s="4"/>
      <c r="AC62" s="34"/>
      <c r="AD62" s="36" t="s">
        <v>68</v>
      </c>
      <c r="AE62" s="119" t="s">
        <v>68</v>
      </c>
      <c r="AF62" s="119" t="s">
        <v>68</v>
      </c>
      <c r="AG62" s="7" t="s">
        <v>68</v>
      </c>
      <c r="AH62" s="235" t="s">
        <v>68</v>
      </c>
      <c r="AI62" s="35" t="s">
        <v>68</v>
      </c>
      <c r="AJ62" s="1" t="s">
        <v>68</v>
      </c>
      <c r="AK62" s="1"/>
      <c r="AL62" s="1" t="s">
        <v>68</v>
      </c>
      <c r="AM62" s="1"/>
      <c r="AN62" s="1" t="s">
        <v>68</v>
      </c>
      <c r="AO62" s="1"/>
      <c r="AP62" s="306"/>
      <c r="AQ62" s="240">
        <v>0</v>
      </c>
      <c r="AR62" s="1030">
        <f>BG62</f>
        <v>0</v>
      </c>
      <c r="AS62" s="1017"/>
      <c r="AT62" s="253" t="s">
        <v>74</v>
      </c>
      <c r="AU62" s="12"/>
      <c r="AV62" s="243" t="s">
        <v>68</v>
      </c>
      <c r="AW62" s="54" t="s">
        <v>68</v>
      </c>
      <c r="AX62" s="253" t="s">
        <v>74</v>
      </c>
      <c r="AY62" s="1"/>
      <c r="AZ62" s="1"/>
      <c r="BA62" s="18"/>
      <c r="BB62" s="253" t="s">
        <v>74</v>
      </c>
      <c r="BC62" s="558"/>
      <c r="BD62" s="1"/>
      <c r="BE62" s="1"/>
      <c r="BF62" s="1"/>
      <c r="BG62" s="38"/>
      <c r="BH62" s="14" t="s">
        <v>68</v>
      </c>
      <c r="BI62" s="794" t="s">
        <v>68</v>
      </c>
      <c r="BJ62" s="795" t="s">
        <v>68</v>
      </c>
      <c r="BK62" s="795" t="s">
        <v>68</v>
      </c>
      <c r="BL62" s="794"/>
      <c r="BM62" s="794"/>
      <c r="BN62" s="794"/>
      <c r="BO62" s="794"/>
      <c r="BP62" s="794"/>
      <c r="BQ62" s="794"/>
      <c r="BR62" s="794"/>
      <c r="BS62" s="794" t="s">
        <v>68</v>
      </c>
      <c r="BT62" s="14"/>
      <c r="BU62" s="14"/>
      <c r="BV62" s="14"/>
      <c r="BW62" s="14"/>
      <c r="BX62" s="14"/>
      <c r="BY62" s="1431" t="s">
        <v>1430</v>
      </c>
      <c r="BZ62" s="40" t="s">
        <v>76</v>
      </c>
      <c r="CA62" s="563"/>
      <c r="CB62" s="563"/>
      <c r="CC62" s="563"/>
      <c r="CD62" s="563"/>
      <c r="CE62" s="563"/>
      <c r="CF62" s="563"/>
      <c r="CG62" s="563"/>
      <c r="CH62" s="13"/>
    </row>
    <row r="63" spans="2:86" customFormat="1" ht="80.099999999999994" hidden="1" customHeight="1">
      <c r="B63" s="23"/>
      <c r="C63" s="23"/>
      <c r="D63" s="23"/>
      <c r="E63" s="23"/>
      <c r="F63" s="23"/>
      <c r="G63" s="1055">
        <v>42005</v>
      </c>
      <c r="H63" s="490"/>
      <c r="I63" s="17">
        <v>2014</v>
      </c>
      <c r="J63" s="1676"/>
      <c r="K63" s="19" t="s">
        <v>166</v>
      </c>
      <c r="L63" s="20" t="s">
        <v>276</v>
      </c>
      <c r="M63" s="2" t="s">
        <v>4077</v>
      </c>
      <c r="N63" s="3" t="s">
        <v>277</v>
      </c>
      <c r="O63" s="3"/>
      <c r="P63" s="4">
        <v>91000</v>
      </c>
      <c r="Q63" s="6">
        <v>41705</v>
      </c>
      <c r="R63" s="62">
        <v>41705</v>
      </c>
      <c r="S63" s="63">
        <v>41789</v>
      </c>
      <c r="T63" s="14" t="s">
        <v>68</v>
      </c>
      <c r="U63" s="20" t="s">
        <v>68</v>
      </c>
      <c r="V63" s="19" t="s">
        <v>213</v>
      </c>
      <c r="W63" s="220" t="s">
        <v>68</v>
      </c>
      <c r="X63" s="406"/>
      <c r="Y63" s="35" t="s">
        <v>278</v>
      </c>
      <c r="Z63" s="9">
        <v>41781</v>
      </c>
      <c r="AA63" s="4">
        <v>91000</v>
      </c>
      <c r="AB63" s="4"/>
      <c r="AC63" s="34"/>
      <c r="AD63" s="36" t="s">
        <v>68</v>
      </c>
      <c r="AE63" s="119" t="s">
        <v>68</v>
      </c>
      <c r="AF63" s="119" t="s">
        <v>68</v>
      </c>
      <c r="AG63" s="7" t="s">
        <v>68</v>
      </c>
      <c r="AH63" s="235" t="s">
        <v>68</v>
      </c>
      <c r="AI63" s="35" t="s">
        <v>68</v>
      </c>
      <c r="AJ63" s="1" t="s">
        <v>68</v>
      </c>
      <c r="AK63" s="1"/>
      <c r="AL63" s="1" t="s">
        <v>68</v>
      </c>
      <c r="AM63" s="1"/>
      <c r="AN63" s="1" t="s">
        <v>68</v>
      </c>
      <c r="AO63" s="1"/>
      <c r="AP63" s="306"/>
      <c r="AQ63" s="240">
        <v>0</v>
      </c>
      <c r="AR63" s="1031">
        <f>BG63</f>
        <v>0</v>
      </c>
      <c r="AS63" s="1017"/>
      <c r="AT63" s="253" t="s">
        <v>74</v>
      </c>
      <c r="AU63" s="12"/>
      <c r="AV63" s="243" t="s">
        <v>68</v>
      </c>
      <c r="AW63" s="54" t="s">
        <v>68</v>
      </c>
      <c r="AX63" s="253" t="s">
        <v>74</v>
      </c>
      <c r="AY63" s="1"/>
      <c r="AZ63" s="1"/>
      <c r="BA63" s="18"/>
      <c r="BB63" s="253" t="s">
        <v>74</v>
      </c>
      <c r="BC63" s="558"/>
      <c r="BD63" s="1"/>
      <c r="BE63" s="1"/>
      <c r="BF63" s="1"/>
      <c r="BG63" s="38"/>
      <c r="BH63" s="14" t="s">
        <v>68</v>
      </c>
      <c r="BI63" s="794" t="s">
        <v>68</v>
      </c>
      <c r="BJ63" s="795" t="s">
        <v>68</v>
      </c>
      <c r="BK63" s="795" t="s">
        <v>68</v>
      </c>
      <c r="BL63" s="794"/>
      <c r="BM63" s="794"/>
      <c r="BN63" s="794"/>
      <c r="BO63" s="794"/>
      <c r="BP63" s="794"/>
      <c r="BQ63" s="794"/>
      <c r="BR63" s="794"/>
      <c r="BS63" s="794" t="s">
        <v>68</v>
      </c>
      <c r="BT63" s="14"/>
      <c r="BU63" s="14"/>
      <c r="BV63" s="14"/>
      <c r="BW63" s="14"/>
      <c r="BX63" s="14"/>
      <c r="BY63" s="1431" t="s">
        <v>1430</v>
      </c>
      <c r="BZ63" s="40" t="s">
        <v>76</v>
      </c>
      <c r="CA63" s="563"/>
      <c r="CB63" s="563"/>
      <c r="CC63" s="563"/>
      <c r="CD63" s="563"/>
      <c r="CE63" s="563"/>
      <c r="CF63" s="563"/>
      <c r="CG63" s="563"/>
      <c r="CH63" s="13"/>
    </row>
    <row r="64" spans="2:86" s="1241" customFormat="1" ht="80.099999999999994" hidden="1" customHeight="1">
      <c r="B64" s="1242"/>
      <c r="C64" s="1242"/>
      <c r="D64" s="1242"/>
      <c r="E64" s="1242"/>
      <c r="F64" s="1242"/>
      <c r="G64" s="610">
        <v>42005</v>
      </c>
      <c r="H64" s="610"/>
      <c r="I64" s="588">
        <v>2014</v>
      </c>
      <c r="J64" s="1680"/>
      <c r="K64" s="1271" t="s">
        <v>77</v>
      </c>
      <c r="L64" s="955" t="s">
        <v>279</v>
      </c>
      <c r="M64" s="112" t="s">
        <v>251</v>
      </c>
      <c r="N64" s="112" t="s">
        <v>4149</v>
      </c>
      <c r="O64" s="112"/>
      <c r="P64" s="1255">
        <v>48856.42</v>
      </c>
      <c r="Q64" s="1746">
        <v>41859</v>
      </c>
      <c r="R64" s="1262">
        <v>41862</v>
      </c>
      <c r="S64" s="1268">
        <v>41874</v>
      </c>
      <c r="T64" s="1273" t="s">
        <v>68</v>
      </c>
      <c r="U64" s="955" t="s">
        <v>68</v>
      </c>
      <c r="V64" s="1747" t="s">
        <v>114</v>
      </c>
      <c r="W64" s="1748">
        <v>41837</v>
      </c>
      <c r="X64" s="1252"/>
      <c r="Y64" s="340" t="s">
        <v>280</v>
      </c>
      <c r="Z64" s="1254">
        <v>41830</v>
      </c>
      <c r="AA64" s="1255">
        <v>48856.42</v>
      </c>
      <c r="AB64" s="1255"/>
      <c r="AC64" s="1256"/>
      <c r="AD64" s="1257" t="s">
        <v>68</v>
      </c>
      <c r="AE64" s="1258" t="s">
        <v>68</v>
      </c>
      <c r="AF64" s="1258" t="s">
        <v>68</v>
      </c>
      <c r="AG64" s="1259" t="s">
        <v>68</v>
      </c>
      <c r="AH64" s="1749" t="s">
        <v>68</v>
      </c>
      <c r="AI64" s="340" t="s">
        <v>68</v>
      </c>
      <c r="AJ64" s="1261" t="s">
        <v>68</v>
      </c>
      <c r="AK64" s="1261"/>
      <c r="AL64" s="1261" t="s">
        <v>68</v>
      </c>
      <c r="AM64" s="1261"/>
      <c r="AN64" s="1261" t="s">
        <v>68</v>
      </c>
      <c r="AO64" s="1261"/>
      <c r="AP64" s="1263"/>
      <c r="AQ64" s="1750">
        <v>0</v>
      </c>
      <c r="AR64" s="1751">
        <f>BG64</f>
        <v>0</v>
      </c>
      <c r="AS64" s="1752"/>
      <c r="AT64" s="1267" t="s">
        <v>74</v>
      </c>
      <c r="AU64" s="1268"/>
      <c r="AV64" s="1267"/>
      <c r="AW64" s="1270"/>
      <c r="AX64" s="955"/>
      <c r="AY64" s="1261"/>
      <c r="AZ64" s="1261"/>
      <c r="BA64" s="1271"/>
      <c r="BB64" s="955"/>
      <c r="BC64" s="1756"/>
      <c r="BD64" s="1261"/>
      <c r="BE64" s="1261"/>
      <c r="BF64" s="1261"/>
      <c r="BG64" s="1272">
        <v>0</v>
      </c>
      <c r="BH64" s="1273"/>
      <c r="BI64" s="1753" t="s">
        <v>68</v>
      </c>
      <c r="BJ64" s="1754" t="s">
        <v>68</v>
      </c>
      <c r="BK64" s="1754" t="s">
        <v>68</v>
      </c>
      <c r="BL64" s="1753"/>
      <c r="BM64" s="1753"/>
      <c r="BN64" s="1753"/>
      <c r="BO64" s="1753"/>
      <c r="BP64" s="1753"/>
      <c r="BQ64" s="1753"/>
      <c r="BR64" s="1753"/>
      <c r="BS64" s="1753" t="s">
        <v>68</v>
      </c>
      <c r="BT64" s="1273"/>
      <c r="BU64" s="1273"/>
      <c r="BV64" s="1273"/>
      <c r="BW64" s="1273"/>
      <c r="BX64" s="1273"/>
      <c r="BY64" s="1755" t="s">
        <v>1430</v>
      </c>
      <c r="BZ64" s="1276" t="s">
        <v>76</v>
      </c>
      <c r="CA64" s="567"/>
      <c r="CB64" s="567"/>
      <c r="CC64" s="567"/>
      <c r="CD64" s="567"/>
      <c r="CE64" s="567"/>
      <c r="CF64" s="567"/>
      <c r="CG64" s="567"/>
      <c r="CH64" s="1756"/>
    </row>
    <row r="65" spans="2:86" s="1241" customFormat="1" ht="80.099999999999994" hidden="1" customHeight="1">
      <c r="B65" s="1242"/>
      <c r="C65" s="1242"/>
      <c r="D65" s="1242"/>
      <c r="E65" s="1242"/>
      <c r="F65" s="1242"/>
      <c r="G65" s="610">
        <v>42005</v>
      </c>
      <c r="H65" s="610"/>
      <c r="I65" s="588">
        <v>2014</v>
      </c>
      <c r="J65" s="1680"/>
      <c r="K65" s="1271" t="s">
        <v>77</v>
      </c>
      <c r="L65" s="955" t="s">
        <v>281</v>
      </c>
      <c r="M65" s="112" t="s">
        <v>251</v>
      </c>
      <c r="N65" s="112" t="s">
        <v>4150</v>
      </c>
      <c r="O65" s="112"/>
      <c r="P65" s="1255">
        <v>75328.27</v>
      </c>
      <c r="Q65" s="1746">
        <v>41831</v>
      </c>
      <c r="R65" s="1262">
        <v>41834</v>
      </c>
      <c r="S65" s="1268">
        <v>41846</v>
      </c>
      <c r="T65" s="1273" t="s">
        <v>68</v>
      </c>
      <c r="U65" s="955" t="s">
        <v>68</v>
      </c>
      <c r="V65" s="1747" t="s">
        <v>114</v>
      </c>
      <c r="W65" s="1748">
        <v>41837</v>
      </c>
      <c r="X65" s="1252"/>
      <c r="Y65" s="340" t="s">
        <v>280</v>
      </c>
      <c r="Z65" s="1254">
        <v>41830</v>
      </c>
      <c r="AA65" s="1255">
        <v>75328.27</v>
      </c>
      <c r="AB65" s="1255"/>
      <c r="AC65" s="1256"/>
      <c r="AD65" s="1257" t="s">
        <v>68</v>
      </c>
      <c r="AE65" s="1258" t="s">
        <v>68</v>
      </c>
      <c r="AF65" s="1258" t="s">
        <v>68</v>
      </c>
      <c r="AG65" s="1259" t="s">
        <v>68</v>
      </c>
      <c r="AH65" s="1749" t="s">
        <v>68</v>
      </c>
      <c r="AI65" s="340" t="s">
        <v>68</v>
      </c>
      <c r="AJ65" s="1261" t="s">
        <v>68</v>
      </c>
      <c r="AK65" s="1261"/>
      <c r="AL65" s="1261" t="s">
        <v>68</v>
      </c>
      <c r="AM65" s="1261"/>
      <c r="AN65" s="1261" t="s">
        <v>68</v>
      </c>
      <c r="AO65" s="1261"/>
      <c r="AP65" s="1263"/>
      <c r="AQ65" s="1264">
        <v>14837.44</v>
      </c>
      <c r="AR65" s="1265">
        <v>17964.8</v>
      </c>
      <c r="AS65" s="1266"/>
      <c r="AT65" s="1267" t="s">
        <v>74</v>
      </c>
      <c r="AU65" s="1268"/>
      <c r="AV65" s="1267"/>
      <c r="AW65" s="1270"/>
      <c r="AX65" s="955"/>
      <c r="AY65" s="1261"/>
      <c r="AZ65" s="1261"/>
      <c r="BA65" s="1271"/>
      <c r="BB65" s="955"/>
      <c r="BC65" s="1756"/>
      <c r="BD65" s="1261"/>
      <c r="BE65" s="1261"/>
      <c r="BF65" s="1261"/>
      <c r="BG65" s="1272">
        <v>32802.239999999998</v>
      </c>
      <c r="BH65" s="1273"/>
      <c r="BI65" s="1753" t="s">
        <v>68</v>
      </c>
      <c r="BJ65" s="1754" t="s">
        <v>68</v>
      </c>
      <c r="BK65" s="1754" t="s">
        <v>68</v>
      </c>
      <c r="BL65" s="1753"/>
      <c r="BM65" s="1753"/>
      <c r="BN65" s="1753"/>
      <c r="BO65" s="1753"/>
      <c r="BP65" s="1753"/>
      <c r="BQ65" s="1753"/>
      <c r="BR65" s="1753"/>
      <c r="BS65" s="1753" t="s">
        <v>68</v>
      </c>
      <c r="BT65" s="1273"/>
      <c r="BU65" s="1273"/>
      <c r="BV65" s="1273"/>
      <c r="BW65" s="1273"/>
      <c r="BX65" s="1273"/>
      <c r="BY65" s="1755" t="s">
        <v>1430</v>
      </c>
      <c r="BZ65" s="1276" t="s">
        <v>76</v>
      </c>
      <c r="CA65" s="567"/>
      <c r="CB65" s="567"/>
      <c r="CC65" s="567"/>
      <c r="CD65" s="567"/>
      <c r="CE65" s="567"/>
      <c r="CF65" s="567"/>
      <c r="CG65" s="567"/>
      <c r="CH65" s="1756"/>
    </row>
    <row r="66" spans="2:86" s="1241" customFormat="1" ht="80.099999999999994" hidden="1" customHeight="1">
      <c r="B66" s="1242"/>
      <c r="C66" s="1242"/>
      <c r="D66" s="1242"/>
      <c r="E66" s="1242"/>
      <c r="F66" s="1242"/>
      <c r="G66" s="610">
        <v>42005</v>
      </c>
      <c r="H66" s="610"/>
      <c r="I66" s="588">
        <v>2014</v>
      </c>
      <c r="J66" s="1680"/>
      <c r="K66" s="1271" t="s">
        <v>77</v>
      </c>
      <c r="L66" s="955" t="s">
        <v>282</v>
      </c>
      <c r="M66" s="112" t="s">
        <v>251</v>
      </c>
      <c r="N66" s="112" t="s">
        <v>4151</v>
      </c>
      <c r="O66" s="112"/>
      <c r="P66" s="1255">
        <v>109593.60000000001</v>
      </c>
      <c r="Q66" s="1746">
        <v>41817</v>
      </c>
      <c r="R66" s="1262">
        <v>41821</v>
      </c>
      <c r="S66" s="1268">
        <v>41834</v>
      </c>
      <c r="T66" s="1273" t="s">
        <v>68</v>
      </c>
      <c r="U66" s="955" t="s">
        <v>68</v>
      </c>
      <c r="V66" s="1747" t="s">
        <v>114</v>
      </c>
      <c r="W66" s="1748">
        <v>41837</v>
      </c>
      <c r="X66" s="1252"/>
      <c r="Y66" s="340" t="s">
        <v>280</v>
      </c>
      <c r="Z66" s="1254">
        <v>41830</v>
      </c>
      <c r="AA66" s="1255">
        <v>109593.60000000001</v>
      </c>
      <c r="AB66" s="1255"/>
      <c r="AC66" s="1256"/>
      <c r="AD66" s="1257" t="s">
        <v>68</v>
      </c>
      <c r="AE66" s="1258" t="s">
        <v>68</v>
      </c>
      <c r="AF66" s="1258" t="s">
        <v>68</v>
      </c>
      <c r="AG66" s="1259" t="s">
        <v>68</v>
      </c>
      <c r="AH66" s="1749" t="s">
        <v>68</v>
      </c>
      <c r="AI66" s="340" t="s">
        <v>68</v>
      </c>
      <c r="AJ66" s="1261" t="s">
        <v>68</v>
      </c>
      <c r="AK66" s="1261"/>
      <c r="AL66" s="1261" t="s">
        <v>68</v>
      </c>
      <c r="AM66" s="1261"/>
      <c r="AN66" s="1261" t="s">
        <v>68</v>
      </c>
      <c r="AO66" s="1261"/>
      <c r="AP66" s="1263"/>
      <c r="AQ66" s="1264">
        <v>30578.12</v>
      </c>
      <c r="AR66" s="1265">
        <v>68868.759999999995</v>
      </c>
      <c r="AS66" s="1266"/>
      <c r="AT66" s="1267" t="s">
        <v>74</v>
      </c>
      <c r="AU66" s="1268"/>
      <c r="AV66" s="1267"/>
      <c r="AW66" s="1270"/>
      <c r="AX66" s="955"/>
      <c r="AY66" s="1261"/>
      <c r="AZ66" s="1261"/>
      <c r="BA66" s="1271"/>
      <c r="BB66" s="955"/>
      <c r="BC66" s="1756"/>
      <c r="BD66" s="1261"/>
      <c r="BE66" s="1261"/>
      <c r="BF66" s="1261"/>
      <c r="BG66" s="1272">
        <v>99446.87999999999</v>
      </c>
      <c r="BH66" s="1273"/>
      <c r="BI66" s="1753" t="s">
        <v>68</v>
      </c>
      <c r="BJ66" s="1754" t="s">
        <v>68</v>
      </c>
      <c r="BK66" s="1754" t="s">
        <v>68</v>
      </c>
      <c r="BL66" s="1753"/>
      <c r="BM66" s="1753"/>
      <c r="BN66" s="1753"/>
      <c r="BO66" s="1753"/>
      <c r="BP66" s="1753"/>
      <c r="BQ66" s="1753"/>
      <c r="BR66" s="1753"/>
      <c r="BS66" s="1753" t="s">
        <v>68</v>
      </c>
      <c r="BT66" s="1273"/>
      <c r="BU66" s="1273"/>
      <c r="BV66" s="1273"/>
      <c r="BW66" s="1273"/>
      <c r="BX66" s="1273"/>
      <c r="BY66" s="1755" t="s">
        <v>1430</v>
      </c>
      <c r="BZ66" s="1276" t="s">
        <v>76</v>
      </c>
      <c r="CA66" s="567"/>
      <c r="CB66" s="567"/>
      <c r="CC66" s="567"/>
      <c r="CD66" s="567"/>
      <c r="CE66" s="567"/>
      <c r="CF66" s="567"/>
      <c r="CG66" s="567"/>
      <c r="CH66" s="1756"/>
    </row>
    <row r="67" spans="2:86" s="1241" customFormat="1" ht="80.099999999999994" hidden="1" customHeight="1">
      <c r="B67" s="1242"/>
      <c r="C67" s="1242"/>
      <c r="D67" s="1242"/>
      <c r="E67" s="1242"/>
      <c r="F67" s="1242"/>
      <c r="G67" s="610">
        <v>42005</v>
      </c>
      <c r="H67" s="610"/>
      <c r="I67" s="588">
        <v>2014</v>
      </c>
      <c r="J67" s="1680"/>
      <c r="K67" s="1271" t="s">
        <v>77</v>
      </c>
      <c r="L67" s="955" t="s">
        <v>283</v>
      </c>
      <c r="M67" s="112" t="s">
        <v>251</v>
      </c>
      <c r="N67" s="112" t="s">
        <v>4152</v>
      </c>
      <c r="O67" s="112"/>
      <c r="P67" s="1255">
        <v>56400.28</v>
      </c>
      <c r="Q67" s="1746">
        <v>41845</v>
      </c>
      <c r="R67" s="1262">
        <v>41848</v>
      </c>
      <c r="S67" s="1268">
        <v>41860</v>
      </c>
      <c r="T67" s="1273" t="s">
        <v>68</v>
      </c>
      <c r="U67" s="955" t="s">
        <v>68</v>
      </c>
      <c r="V67" s="1747" t="s">
        <v>114</v>
      </c>
      <c r="W67" s="1748">
        <v>41837</v>
      </c>
      <c r="X67" s="1252"/>
      <c r="Y67" s="340" t="s">
        <v>280</v>
      </c>
      <c r="Z67" s="1254">
        <v>41830</v>
      </c>
      <c r="AA67" s="1255">
        <v>56400.28</v>
      </c>
      <c r="AB67" s="1255"/>
      <c r="AC67" s="1256"/>
      <c r="AD67" s="1257" t="s">
        <v>68</v>
      </c>
      <c r="AE67" s="1258" t="s">
        <v>68</v>
      </c>
      <c r="AF67" s="1258" t="s">
        <v>68</v>
      </c>
      <c r="AG67" s="1259" t="s">
        <v>68</v>
      </c>
      <c r="AH67" s="1749" t="s">
        <v>68</v>
      </c>
      <c r="AI67" s="340" t="s">
        <v>68</v>
      </c>
      <c r="AJ67" s="1261" t="s">
        <v>68</v>
      </c>
      <c r="AK67" s="1261"/>
      <c r="AL67" s="1261" t="s">
        <v>68</v>
      </c>
      <c r="AM67" s="1261"/>
      <c r="AN67" s="1261" t="s">
        <v>68</v>
      </c>
      <c r="AO67" s="1261"/>
      <c r="AP67" s="1263"/>
      <c r="AQ67" s="1750">
        <v>0</v>
      </c>
      <c r="AR67" s="1751">
        <f>BG67</f>
        <v>0</v>
      </c>
      <c r="AS67" s="1752"/>
      <c r="AT67" s="1267" t="s">
        <v>74</v>
      </c>
      <c r="AU67" s="1268"/>
      <c r="AV67" s="1267"/>
      <c r="AW67" s="1270"/>
      <c r="AX67" s="955"/>
      <c r="AY67" s="1261"/>
      <c r="AZ67" s="1261"/>
      <c r="BA67" s="1271"/>
      <c r="BB67" s="955"/>
      <c r="BC67" s="1756"/>
      <c r="BD67" s="1261"/>
      <c r="BE67" s="1261"/>
      <c r="BF67" s="1261"/>
      <c r="BG67" s="1272">
        <v>0</v>
      </c>
      <c r="BH67" s="1273"/>
      <c r="BI67" s="1753" t="s">
        <v>68</v>
      </c>
      <c r="BJ67" s="1754" t="s">
        <v>68</v>
      </c>
      <c r="BK67" s="1754" t="s">
        <v>68</v>
      </c>
      <c r="BL67" s="1753"/>
      <c r="BM67" s="1753"/>
      <c r="BN67" s="1753"/>
      <c r="BO67" s="1753"/>
      <c r="BP67" s="1753"/>
      <c r="BQ67" s="1753"/>
      <c r="BR67" s="1753"/>
      <c r="BS67" s="1753" t="s">
        <v>68</v>
      </c>
      <c r="BT67" s="1273"/>
      <c r="BU67" s="1273"/>
      <c r="BV67" s="1273"/>
      <c r="BW67" s="1273"/>
      <c r="BX67" s="1273"/>
      <c r="BY67" s="1755" t="s">
        <v>1430</v>
      </c>
      <c r="BZ67" s="1276" t="s">
        <v>76</v>
      </c>
      <c r="CA67" s="567"/>
      <c r="CB67" s="567"/>
      <c r="CC67" s="567"/>
      <c r="CD67" s="567"/>
      <c r="CE67" s="567"/>
      <c r="CF67" s="567"/>
      <c r="CG67" s="567"/>
      <c r="CH67" s="1756"/>
    </row>
    <row r="68" spans="2:86" s="1241" customFormat="1" ht="80.099999999999994" hidden="1" customHeight="1">
      <c r="B68" s="1242"/>
      <c r="C68" s="1242"/>
      <c r="D68" s="1242"/>
      <c r="E68" s="1242"/>
      <c r="F68" s="1242"/>
      <c r="G68" s="610">
        <v>42005</v>
      </c>
      <c r="H68" s="610"/>
      <c r="I68" s="588">
        <v>2014</v>
      </c>
      <c r="J68" s="1680"/>
      <c r="K68" s="1271" t="s">
        <v>77</v>
      </c>
      <c r="L68" s="955" t="s">
        <v>284</v>
      </c>
      <c r="M68" s="112" t="s">
        <v>251</v>
      </c>
      <c r="N68" s="112" t="s">
        <v>4153</v>
      </c>
      <c r="O68" s="112"/>
      <c r="P68" s="1255">
        <v>592587.04</v>
      </c>
      <c r="Q68" s="1746">
        <v>41831</v>
      </c>
      <c r="R68" s="1262">
        <v>41848</v>
      </c>
      <c r="S68" s="1268">
        <v>41874</v>
      </c>
      <c r="T68" s="1273" t="s">
        <v>68</v>
      </c>
      <c r="U68" s="955" t="s">
        <v>68</v>
      </c>
      <c r="V68" s="1747" t="s">
        <v>114</v>
      </c>
      <c r="W68" s="1748">
        <v>41837</v>
      </c>
      <c r="X68" s="1252"/>
      <c r="Y68" s="340" t="s">
        <v>280</v>
      </c>
      <c r="Z68" s="1254">
        <v>41830</v>
      </c>
      <c r="AA68" s="1255"/>
      <c r="AB68" s="1255"/>
      <c r="AC68" s="1256"/>
      <c r="AD68" s="1257" t="s">
        <v>68</v>
      </c>
      <c r="AE68" s="1258" t="s">
        <v>68</v>
      </c>
      <c r="AF68" s="1258" t="s">
        <v>68</v>
      </c>
      <c r="AG68" s="1259" t="s">
        <v>68</v>
      </c>
      <c r="AH68" s="1749" t="s">
        <v>68</v>
      </c>
      <c r="AI68" s="340" t="s">
        <v>68</v>
      </c>
      <c r="AJ68" s="1261" t="s">
        <v>68</v>
      </c>
      <c r="AK68" s="1261"/>
      <c r="AL68" s="1261" t="s">
        <v>68</v>
      </c>
      <c r="AM68" s="1261"/>
      <c r="AN68" s="1261" t="s">
        <v>68</v>
      </c>
      <c r="AO68" s="1261"/>
      <c r="AP68" s="1263"/>
      <c r="AQ68" s="1264">
        <v>104941.03</v>
      </c>
      <c r="AR68" s="1265">
        <v>186129.4</v>
      </c>
      <c r="AS68" s="1266"/>
      <c r="AT68" s="1267" t="s">
        <v>74</v>
      </c>
      <c r="AU68" s="1268"/>
      <c r="AV68" s="1267"/>
      <c r="AW68" s="1270"/>
      <c r="AX68" s="955"/>
      <c r="AY68" s="1261"/>
      <c r="AZ68" s="1261"/>
      <c r="BA68" s="1271"/>
      <c r="BB68" s="955"/>
      <c r="BC68" s="1756"/>
      <c r="BD68" s="1261"/>
      <c r="BE68" s="1261"/>
      <c r="BF68" s="1261"/>
      <c r="BG68" s="1272">
        <v>291070.43</v>
      </c>
      <c r="BH68" s="1273"/>
      <c r="BI68" s="1753" t="s">
        <v>68</v>
      </c>
      <c r="BJ68" s="1754" t="s">
        <v>68</v>
      </c>
      <c r="BK68" s="1754" t="s">
        <v>68</v>
      </c>
      <c r="BL68" s="1753"/>
      <c r="BM68" s="1753"/>
      <c r="BN68" s="1753"/>
      <c r="BO68" s="1753"/>
      <c r="BP68" s="1753"/>
      <c r="BQ68" s="1753"/>
      <c r="BR68" s="1753"/>
      <c r="BS68" s="1753" t="s">
        <v>68</v>
      </c>
      <c r="BT68" s="1273"/>
      <c r="BU68" s="1273"/>
      <c r="BV68" s="1273"/>
      <c r="BW68" s="1273"/>
      <c r="BX68" s="1273"/>
      <c r="BY68" s="1755" t="s">
        <v>1430</v>
      </c>
      <c r="BZ68" s="1276" t="s">
        <v>76</v>
      </c>
      <c r="CA68" s="567"/>
      <c r="CB68" s="567"/>
      <c r="CC68" s="567"/>
      <c r="CD68" s="567"/>
      <c r="CE68" s="567"/>
      <c r="CF68" s="567"/>
      <c r="CG68" s="567"/>
      <c r="CH68" s="1756"/>
    </row>
    <row r="69" spans="2:86" s="1241" customFormat="1" ht="80.099999999999994" hidden="1" customHeight="1">
      <c r="B69" s="1242"/>
      <c r="C69" s="1242"/>
      <c r="D69" s="1242"/>
      <c r="E69" s="1242"/>
      <c r="F69" s="1242"/>
      <c r="G69" s="610">
        <v>42005</v>
      </c>
      <c r="H69" s="610"/>
      <c r="I69" s="588">
        <v>2014</v>
      </c>
      <c r="J69" s="1680"/>
      <c r="K69" s="1271" t="s">
        <v>77</v>
      </c>
      <c r="L69" s="955" t="s">
        <v>285</v>
      </c>
      <c r="M69" s="112" t="s">
        <v>251</v>
      </c>
      <c r="N69" s="112" t="s">
        <v>4154</v>
      </c>
      <c r="O69" s="112"/>
      <c r="P69" s="1255">
        <v>346618.19</v>
      </c>
      <c r="Q69" s="1746">
        <v>41873</v>
      </c>
      <c r="R69" s="1262">
        <v>41876</v>
      </c>
      <c r="S69" s="1268">
        <v>41902</v>
      </c>
      <c r="T69" s="1273" t="s">
        <v>68</v>
      </c>
      <c r="U69" s="955" t="s">
        <v>68</v>
      </c>
      <c r="V69" s="1747" t="s">
        <v>114</v>
      </c>
      <c r="W69" s="1748">
        <v>41837</v>
      </c>
      <c r="X69" s="1252"/>
      <c r="Y69" s="1757" t="s">
        <v>280</v>
      </c>
      <c r="Z69" s="1254">
        <v>41830</v>
      </c>
      <c r="AA69" s="1255">
        <v>346618.19</v>
      </c>
      <c r="AB69" s="1255"/>
      <c r="AC69" s="1256"/>
      <c r="AD69" s="1257" t="s">
        <v>68</v>
      </c>
      <c r="AE69" s="1258" t="s">
        <v>68</v>
      </c>
      <c r="AF69" s="1258" t="s">
        <v>68</v>
      </c>
      <c r="AG69" s="1259" t="s">
        <v>68</v>
      </c>
      <c r="AH69" s="1749" t="s">
        <v>68</v>
      </c>
      <c r="AI69" s="340" t="s">
        <v>68</v>
      </c>
      <c r="AJ69" s="1261" t="s">
        <v>68</v>
      </c>
      <c r="AK69" s="1261"/>
      <c r="AL69" s="1261" t="s">
        <v>68</v>
      </c>
      <c r="AM69" s="1261"/>
      <c r="AN69" s="1261" t="s">
        <v>68</v>
      </c>
      <c r="AO69" s="1261"/>
      <c r="AP69" s="1263"/>
      <c r="AQ69" s="1750">
        <v>0</v>
      </c>
      <c r="AR69" s="1751">
        <f>BG69</f>
        <v>0</v>
      </c>
      <c r="AS69" s="1752"/>
      <c r="AT69" s="1267" t="s">
        <v>74</v>
      </c>
      <c r="AU69" s="1268"/>
      <c r="AV69" s="1267"/>
      <c r="AW69" s="1270"/>
      <c r="AX69" s="955"/>
      <c r="AY69" s="1261"/>
      <c r="AZ69" s="1261"/>
      <c r="BA69" s="1271"/>
      <c r="BB69" s="955"/>
      <c r="BC69" s="1756"/>
      <c r="BD69" s="1261"/>
      <c r="BE69" s="1261"/>
      <c r="BF69" s="1261"/>
      <c r="BG69" s="1272">
        <v>0</v>
      </c>
      <c r="BH69" s="1273"/>
      <c r="BI69" s="1753" t="s">
        <v>68</v>
      </c>
      <c r="BJ69" s="1754" t="s">
        <v>68</v>
      </c>
      <c r="BK69" s="1754" t="s">
        <v>68</v>
      </c>
      <c r="BL69" s="1753"/>
      <c r="BM69" s="1753"/>
      <c r="BN69" s="1753"/>
      <c r="BO69" s="1753"/>
      <c r="BP69" s="1753"/>
      <c r="BQ69" s="1753"/>
      <c r="BR69" s="1753"/>
      <c r="BS69" s="1753" t="s">
        <v>68</v>
      </c>
      <c r="BT69" s="1273"/>
      <c r="BU69" s="1273"/>
      <c r="BV69" s="1273"/>
      <c r="BW69" s="1273"/>
      <c r="BX69" s="1273"/>
      <c r="BY69" s="1755" t="s">
        <v>1430</v>
      </c>
      <c r="BZ69" s="1276" t="s">
        <v>76</v>
      </c>
      <c r="CA69" s="567"/>
      <c r="CB69" s="567"/>
      <c r="CC69" s="567"/>
      <c r="CD69" s="567"/>
      <c r="CE69" s="567"/>
      <c r="CF69" s="567"/>
      <c r="CG69" s="567"/>
      <c r="CH69" s="1756"/>
    </row>
    <row r="70" spans="2:86" s="1241" customFormat="1" ht="80.099999999999994" hidden="1" customHeight="1">
      <c r="B70" s="1242"/>
      <c r="C70" s="1242"/>
      <c r="D70" s="1242"/>
      <c r="E70" s="1242"/>
      <c r="F70" s="1242"/>
      <c r="G70" s="610">
        <v>42005</v>
      </c>
      <c r="H70" s="610"/>
      <c r="I70" s="588">
        <v>2014</v>
      </c>
      <c r="J70" s="1680"/>
      <c r="K70" s="1271" t="s">
        <v>77</v>
      </c>
      <c r="L70" s="955" t="s">
        <v>286</v>
      </c>
      <c r="M70" s="112" t="s">
        <v>251</v>
      </c>
      <c r="N70" s="112" t="s">
        <v>4155</v>
      </c>
      <c r="O70" s="112"/>
      <c r="P70" s="1255">
        <v>100696.44</v>
      </c>
      <c r="Q70" s="1746">
        <v>41887</v>
      </c>
      <c r="R70" s="1262">
        <v>41890</v>
      </c>
      <c r="S70" s="1268">
        <v>41902</v>
      </c>
      <c r="T70" s="1273" t="s">
        <v>68</v>
      </c>
      <c r="U70" s="955" t="s">
        <v>68</v>
      </c>
      <c r="V70" s="1747" t="s">
        <v>114</v>
      </c>
      <c r="W70" s="1748">
        <v>41855</v>
      </c>
      <c r="X70" s="1252"/>
      <c r="Y70" s="1757" t="s">
        <v>280</v>
      </c>
      <c r="Z70" s="1254">
        <v>41830</v>
      </c>
      <c r="AA70" s="1255">
        <v>100696.44</v>
      </c>
      <c r="AB70" s="1255"/>
      <c r="AC70" s="1256"/>
      <c r="AD70" s="1257" t="s">
        <v>68</v>
      </c>
      <c r="AE70" s="1258" t="s">
        <v>68</v>
      </c>
      <c r="AF70" s="1258" t="s">
        <v>68</v>
      </c>
      <c r="AG70" s="1259" t="s">
        <v>68</v>
      </c>
      <c r="AH70" s="1749" t="s">
        <v>68</v>
      </c>
      <c r="AI70" s="340" t="s">
        <v>68</v>
      </c>
      <c r="AJ70" s="1261" t="s">
        <v>68</v>
      </c>
      <c r="AK70" s="1261"/>
      <c r="AL70" s="1261" t="s">
        <v>68</v>
      </c>
      <c r="AM70" s="1261"/>
      <c r="AN70" s="1261" t="s">
        <v>68</v>
      </c>
      <c r="AO70" s="1261"/>
      <c r="AP70" s="1263"/>
      <c r="AQ70" s="1264">
        <v>16447.95</v>
      </c>
      <c r="AR70" s="1265">
        <v>38537.69</v>
      </c>
      <c r="AS70" s="1266"/>
      <c r="AT70" s="1267" t="s">
        <v>74</v>
      </c>
      <c r="AU70" s="1268"/>
      <c r="AV70" s="1267"/>
      <c r="AW70" s="1270"/>
      <c r="AX70" s="955"/>
      <c r="AY70" s="1261"/>
      <c r="AZ70" s="1261"/>
      <c r="BA70" s="1271"/>
      <c r="BB70" s="955"/>
      <c r="BC70" s="1756"/>
      <c r="BD70" s="1261"/>
      <c r="BE70" s="1261"/>
      <c r="BF70" s="1261"/>
      <c r="BG70" s="1272">
        <v>54985.64</v>
      </c>
      <c r="BH70" s="1273"/>
      <c r="BI70" s="1753" t="s">
        <v>68</v>
      </c>
      <c r="BJ70" s="1754" t="s">
        <v>68</v>
      </c>
      <c r="BK70" s="1754" t="s">
        <v>68</v>
      </c>
      <c r="BL70" s="1753"/>
      <c r="BM70" s="1753"/>
      <c r="BN70" s="1753"/>
      <c r="BO70" s="1753"/>
      <c r="BP70" s="1753"/>
      <c r="BQ70" s="1753"/>
      <c r="BR70" s="1753"/>
      <c r="BS70" s="1753" t="s">
        <v>68</v>
      </c>
      <c r="BT70" s="1273"/>
      <c r="BU70" s="1273"/>
      <c r="BV70" s="1273"/>
      <c r="BW70" s="1273"/>
      <c r="BX70" s="1273"/>
      <c r="BY70" s="1755" t="s">
        <v>1430</v>
      </c>
      <c r="BZ70" s="1276" t="s">
        <v>76</v>
      </c>
      <c r="CA70" s="567"/>
      <c r="CB70" s="567"/>
      <c r="CC70" s="567"/>
      <c r="CD70" s="567"/>
      <c r="CE70" s="567"/>
      <c r="CF70" s="567"/>
      <c r="CG70" s="567"/>
      <c r="CH70" s="1756"/>
    </row>
    <row r="71" spans="2:86" s="1241" customFormat="1" ht="80.099999999999994" hidden="1" customHeight="1">
      <c r="B71" s="1242"/>
      <c r="C71" s="1242"/>
      <c r="D71" s="1242"/>
      <c r="E71" s="1242"/>
      <c r="F71" s="1242"/>
      <c r="G71" s="610">
        <v>42005</v>
      </c>
      <c r="H71" s="610"/>
      <c r="I71" s="588">
        <v>2014</v>
      </c>
      <c r="J71" s="1680"/>
      <c r="K71" s="1271" t="s">
        <v>77</v>
      </c>
      <c r="L71" s="955" t="s">
        <v>287</v>
      </c>
      <c r="M71" s="112" t="s">
        <v>251</v>
      </c>
      <c r="N71" s="112" t="s">
        <v>4156</v>
      </c>
      <c r="O71" s="112"/>
      <c r="P71" s="1255">
        <v>129939.7</v>
      </c>
      <c r="Q71" s="1746">
        <v>41873</v>
      </c>
      <c r="R71" s="1262">
        <v>41876</v>
      </c>
      <c r="S71" s="1268">
        <v>41888</v>
      </c>
      <c r="T71" s="1273" t="s">
        <v>68</v>
      </c>
      <c r="U71" s="955" t="s">
        <v>68</v>
      </c>
      <c r="V71" s="1747" t="s">
        <v>114</v>
      </c>
      <c r="W71" s="1748">
        <v>41855</v>
      </c>
      <c r="X71" s="1252"/>
      <c r="Y71" s="1757" t="s">
        <v>280</v>
      </c>
      <c r="Z71" s="1254">
        <v>41830</v>
      </c>
      <c r="AA71" s="1255">
        <v>129939.7</v>
      </c>
      <c r="AB71" s="1255"/>
      <c r="AC71" s="1256"/>
      <c r="AD71" s="1257" t="s">
        <v>68</v>
      </c>
      <c r="AE71" s="1258" t="s">
        <v>68</v>
      </c>
      <c r="AF71" s="1258" t="s">
        <v>68</v>
      </c>
      <c r="AG71" s="1259" t="s">
        <v>68</v>
      </c>
      <c r="AH71" s="1749" t="s">
        <v>68</v>
      </c>
      <c r="AI71" s="340" t="s">
        <v>68</v>
      </c>
      <c r="AJ71" s="1261" t="s">
        <v>68</v>
      </c>
      <c r="AK71" s="1261"/>
      <c r="AL71" s="1261" t="s">
        <v>68</v>
      </c>
      <c r="AM71" s="1261"/>
      <c r="AN71" s="1261" t="s">
        <v>68</v>
      </c>
      <c r="AO71" s="1261"/>
      <c r="AP71" s="1263"/>
      <c r="AQ71" s="1264">
        <v>17733.349999999999</v>
      </c>
      <c r="AR71" s="1265">
        <v>69608.899999999994</v>
      </c>
      <c r="AS71" s="1266"/>
      <c r="AT71" s="1267" t="s">
        <v>74</v>
      </c>
      <c r="AU71" s="1268"/>
      <c r="AV71" s="1267"/>
      <c r="AW71" s="1270"/>
      <c r="AX71" s="955"/>
      <c r="AY71" s="1261"/>
      <c r="AZ71" s="1261"/>
      <c r="BA71" s="1271"/>
      <c r="BB71" s="955"/>
      <c r="BC71" s="1756"/>
      <c r="BD71" s="1261"/>
      <c r="BE71" s="1261"/>
      <c r="BF71" s="1261"/>
      <c r="BG71" s="1272">
        <v>87342.25</v>
      </c>
      <c r="BH71" s="1273"/>
      <c r="BI71" s="1753" t="s">
        <v>68</v>
      </c>
      <c r="BJ71" s="1754" t="s">
        <v>68</v>
      </c>
      <c r="BK71" s="1754" t="s">
        <v>68</v>
      </c>
      <c r="BL71" s="1753"/>
      <c r="BM71" s="1753"/>
      <c r="BN71" s="1753"/>
      <c r="BO71" s="1753"/>
      <c r="BP71" s="1753"/>
      <c r="BQ71" s="1753"/>
      <c r="BR71" s="1753"/>
      <c r="BS71" s="1753" t="s">
        <v>68</v>
      </c>
      <c r="BT71" s="1273"/>
      <c r="BU71" s="1273"/>
      <c r="BV71" s="1273"/>
      <c r="BW71" s="1273"/>
      <c r="BX71" s="1273"/>
      <c r="BY71" s="1755" t="s">
        <v>1430</v>
      </c>
      <c r="BZ71" s="1276" t="s">
        <v>76</v>
      </c>
      <c r="CA71" s="567"/>
      <c r="CB71" s="567"/>
      <c r="CC71" s="567"/>
      <c r="CD71" s="567"/>
      <c r="CE71" s="567"/>
      <c r="CF71" s="567"/>
      <c r="CG71" s="567"/>
      <c r="CH71" s="1756"/>
    </row>
    <row r="72" spans="2:86" s="1241" customFormat="1" ht="80.099999999999994" hidden="1" customHeight="1">
      <c r="B72" s="1242"/>
      <c r="C72" s="1242"/>
      <c r="D72" s="1242"/>
      <c r="E72" s="1242"/>
      <c r="F72" s="1242"/>
      <c r="G72" s="610">
        <v>42005</v>
      </c>
      <c r="H72" s="610"/>
      <c r="I72" s="588">
        <v>2014</v>
      </c>
      <c r="J72" s="1680"/>
      <c r="K72" s="1271" t="s">
        <v>77</v>
      </c>
      <c r="L72" s="955" t="s">
        <v>288</v>
      </c>
      <c r="M72" s="112" t="s">
        <v>251</v>
      </c>
      <c r="N72" s="112" t="s">
        <v>4157</v>
      </c>
      <c r="O72" s="112"/>
      <c r="P72" s="1255">
        <v>659302.69999999995</v>
      </c>
      <c r="Q72" s="1746">
        <v>41901</v>
      </c>
      <c r="R72" s="1262">
        <v>41904</v>
      </c>
      <c r="S72" s="1268">
        <v>41930</v>
      </c>
      <c r="T72" s="1273" t="s">
        <v>68</v>
      </c>
      <c r="U72" s="955" t="s">
        <v>68</v>
      </c>
      <c r="V72" s="1747" t="s">
        <v>114</v>
      </c>
      <c r="W72" s="1748">
        <v>41855</v>
      </c>
      <c r="X72" s="1252"/>
      <c r="Y72" s="1757" t="s">
        <v>280</v>
      </c>
      <c r="Z72" s="1254">
        <v>41830</v>
      </c>
      <c r="AA72" s="1255"/>
      <c r="AB72" s="1255"/>
      <c r="AC72" s="1256"/>
      <c r="AD72" s="1257" t="s">
        <v>68</v>
      </c>
      <c r="AE72" s="1258" t="s">
        <v>68</v>
      </c>
      <c r="AF72" s="1258" t="s">
        <v>68</v>
      </c>
      <c r="AG72" s="1259" t="s">
        <v>68</v>
      </c>
      <c r="AH72" s="1749" t="s">
        <v>68</v>
      </c>
      <c r="AI72" s="340" t="s">
        <v>68</v>
      </c>
      <c r="AJ72" s="1261" t="s">
        <v>68</v>
      </c>
      <c r="AK72" s="1261"/>
      <c r="AL72" s="1261" t="s">
        <v>68</v>
      </c>
      <c r="AM72" s="1261"/>
      <c r="AN72" s="1261" t="s">
        <v>68</v>
      </c>
      <c r="AO72" s="1261"/>
      <c r="AP72" s="1263"/>
      <c r="AQ72" s="1264">
        <v>91012.84</v>
      </c>
      <c r="AR72" s="1265">
        <v>150324</v>
      </c>
      <c r="AS72" s="1266"/>
      <c r="AT72" s="1267" t="s">
        <v>74</v>
      </c>
      <c r="AU72" s="1268"/>
      <c r="AV72" s="1267"/>
      <c r="AW72" s="1270"/>
      <c r="AX72" s="955"/>
      <c r="AY72" s="1261"/>
      <c r="AZ72" s="1261"/>
      <c r="BA72" s="1271"/>
      <c r="BB72" s="955"/>
      <c r="BC72" s="1756"/>
      <c r="BD72" s="1261"/>
      <c r="BE72" s="1261"/>
      <c r="BF72" s="1261"/>
      <c r="BG72" s="1272">
        <v>241336.84</v>
      </c>
      <c r="BH72" s="1273"/>
      <c r="BI72" s="1753" t="s">
        <v>68</v>
      </c>
      <c r="BJ72" s="1754" t="s">
        <v>68</v>
      </c>
      <c r="BK72" s="1754" t="s">
        <v>68</v>
      </c>
      <c r="BL72" s="1753"/>
      <c r="BM72" s="1753"/>
      <c r="BN72" s="1753"/>
      <c r="BO72" s="1753"/>
      <c r="BP72" s="1753"/>
      <c r="BQ72" s="1753"/>
      <c r="BR72" s="1753"/>
      <c r="BS72" s="1753" t="s">
        <v>68</v>
      </c>
      <c r="BT72" s="1273"/>
      <c r="BU72" s="1273"/>
      <c r="BV72" s="1273"/>
      <c r="BW72" s="1273"/>
      <c r="BX72" s="1273"/>
      <c r="BY72" s="1755" t="s">
        <v>1430</v>
      </c>
      <c r="BZ72" s="1276" t="s">
        <v>76</v>
      </c>
      <c r="CA72" s="567"/>
      <c r="CB72" s="567"/>
      <c r="CC72" s="567"/>
      <c r="CD72" s="567"/>
      <c r="CE72" s="567"/>
      <c r="CF72" s="567"/>
      <c r="CG72" s="567"/>
      <c r="CH72" s="1756"/>
    </row>
    <row r="73" spans="2:86" customFormat="1" ht="80.099999999999994" hidden="1" customHeight="1">
      <c r="B73" s="23"/>
      <c r="C73" s="23"/>
      <c r="D73" s="23"/>
      <c r="E73" s="23"/>
      <c r="F73" s="23"/>
      <c r="G73" s="1055">
        <v>42005</v>
      </c>
      <c r="H73" s="490">
        <v>42979</v>
      </c>
      <c r="I73" s="17">
        <v>2014</v>
      </c>
      <c r="J73" s="1676"/>
      <c r="K73" s="19" t="s">
        <v>64</v>
      </c>
      <c r="L73" s="20" t="s">
        <v>289</v>
      </c>
      <c r="M73" s="2" t="s">
        <v>66</v>
      </c>
      <c r="N73" s="3" t="s">
        <v>290</v>
      </c>
      <c r="O73" s="3"/>
      <c r="P73" s="4">
        <v>2564100.69</v>
      </c>
      <c r="Q73" s="6">
        <v>41824</v>
      </c>
      <c r="R73" s="5">
        <v>41855</v>
      </c>
      <c r="S73" s="12">
        <v>41884</v>
      </c>
      <c r="T73" s="14" t="s">
        <v>68</v>
      </c>
      <c r="U73" s="35" t="s">
        <v>69</v>
      </c>
      <c r="V73" s="19" t="s">
        <v>70</v>
      </c>
      <c r="W73" s="64">
        <v>41842</v>
      </c>
      <c r="X73" s="111"/>
      <c r="Y73" s="20" t="s">
        <v>291</v>
      </c>
      <c r="Z73" s="9">
        <v>41718</v>
      </c>
      <c r="AA73" s="4">
        <v>2564102.5699999998</v>
      </c>
      <c r="AB73" s="4"/>
      <c r="AC73" s="34"/>
      <c r="AD73" s="36">
        <v>41820</v>
      </c>
      <c r="AE73" s="119">
        <v>41824</v>
      </c>
      <c r="AF73" s="119" t="s">
        <v>68</v>
      </c>
      <c r="AG73" s="7">
        <v>41824</v>
      </c>
      <c r="AH73" s="235">
        <v>41824</v>
      </c>
      <c r="AI73" s="266" t="s">
        <v>232</v>
      </c>
      <c r="AJ73" s="1">
        <v>1850636</v>
      </c>
      <c r="AK73" s="5">
        <v>41824</v>
      </c>
      <c r="AL73" s="1">
        <v>1850641</v>
      </c>
      <c r="AM73" s="5">
        <v>41827</v>
      </c>
      <c r="AN73" s="267">
        <v>1861341</v>
      </c>
      <c r="AO73" s="5">
        <v>41970</v>
      </c>
      <c r="AP73" s="306"/>
      <c r="AQ73" s="37">
        <v>0</v>
      </c>
      <c r="AR73" s="1031">
        <v>2586760.2200000002</v>
      </c>
      <c r="AS73" s="1018"/>
      <c r="AT73" s="78">
        <v>41858</v>
      </c>
      <c r="AU73" s="12">
        <v>41912</v>
      </c>
      <c r="AV73" s="32" t="s">
        <v>68</v>
      </c>
      <c r="AW73" s="54" t="s">
        <v>68</v>
      </c>
      <c r="AX73" s="247">
        <v>41918</v>
      </c>
      <c r="AY73" s="5">
        <v>41916</v>
      </c>
      <c r="AZ73" s="5">
        <v>41900</v>
      </c>
      <c r="BA73" s="12">
        <v>41916</v>
      </c>
      <c r="BB73" s="247">
        <v>41919</v>
      </c>
      <c r="BC73" s="1942"/>
      <c r="BD73" s="5">
        <v>41855</v>
      </c>
      <c r="BE73" s="5">
        <v>41900</v>
      </c>
      <c r="BF73" s="5">
        <v>41916</v>
      </c>
      <c r="BG73" s="38">
        <v>2586760.2200000002</v>
      </c>
      <c r="BH73" s="279">
        <v>41919</v>
      </c>
      <c r="BI73" s="794" t="s">
        <v>68</v>
      </c>
      <c r="BJ73" s="795" t="s">
        <v>68</v>
      </c>
      <c r="BK73" s="795" t="s">
        <v>68</v>
      </c>
      <c r="BL73" s="794"/>
      <c r="BM73" s="794"/>
      <c r="BN73" s="794"/>
      <c r="BO73" s="794"/>
      <c r="BP73" s="794"/>
      <c r="BQ73" s="794"/>
      <c r="BR73" s="794"/>
      <c r="BS73" s="794" t="s">
        <v>68</v>
      </c>
      <c r="BT73" s="14"/>
      <c r="BU73" s="14"/>
      <c r="BV73" s="14"/>
      <c r="BW73" s="14"/>
      <c r="BX73" s="14"/>
      <c r="BY73" s="1431" t="s">
        <v>1430</v>
      </c>
      <c r="BZ73" s="40" t="s">
        <v>76</v>
      </c>
      <c r="CA73" s="563"/>
      <c r="CB73" s="563"/>
      <c r="CC73" s="563"/>
      <c r="CD73" s="563"/>
      <c r="CE73" s="563"/>
      <c r="CF73" s="563"/>
      <c r="CG73" s="563"/>
      <c r="CH73" s="13"/>
    </row>
    <row r="74" spans="2:86" customFormat="1" ht="80.099999999999994" hidden="1" customHeight="1">
      <c r="B74" s="23"/>
      <c r="C74" s="23"/>
      <c r="D74" s="23"/>
      <c r="E74" s="23"/>
      <c r="F74" s="23"/>
      <c r="G74" s="1055">
        <v>42005</v>
      </c>
      <c r="H74" s="490"/>
      <c r="I74" s="17">
        <v>2014</v>
      </c>
      <c r="J74" s="1676"/>
      <c r="K74" s="19" t="s">
        <v>166</v>
      </c>
      <c r="L74" s="20" t="s">
        <v>292</v>
      </c>
      <c r="M74" s="2" t="s">
        <v>4077</v>
      </c>
      <c r="N74" s="3" t="s">
        <v>293</v>
      </c>
      <c r="O74" s="3"/>
      <c r="P74" s="4">
        <v>119790.69</v>
      </c>
      <c r="Q74" s="6">
        <v>41876</v>
      </c>
      <c r="R74" s="5">
        <v>41876</v>
      </c>
      <c r="S74" s="12">
        <v>41907</v>
      </c>
      <c r="T74" s="14" t="s">
        <v>68</v>
      </c>
      <c r="U74" s="20" t="s">
        <v>68</v>
      </c>
      <c r="V74" s="19" t="s">
        <v>70</v>
      </c>
      <c r="W74" s="220" t="s">
        <v>68</v>
      </c>
      <c r="X74" s="406"/>
      <c r="Y74" s="20" t="s">
        <v>294</v>
      </c>
      <c r="Z74" s="9">
        <v>41876</v>
      </c>
      <c r="AA74" s="4">
        <v>107289.52</v>
      </c>
      <c r="AB74" s="4"/>
      <c r="AC74" s="34"/>
      <c r="AD74" s="36" t="s">
        <v>68</v>
      </c>
      <c r="AE74" s="119" t="s">
        <v>68</v>
      </c>
      <c r="AF74" s="119" t="s">
        <v>68</v>
      </c>
      <c r="AG74" s="7" t="s">
        <v>68</v>
      </c>
      <c r="AH74" s="235" t="s">
        <v>68</v>
      </c>
      <c r="AI74" s="35" t="s">
        <v>68</v>
      </c>
      <c r="AJ74" s="1" t="s">
        <v>68</v>
      </c>
      <c r="AK74" s="1"/>
      <c r="AL74" s="1" t="s">
        <v>68</v>
      </c>
      <c r="AM74" s="1"/>
      <c r="AN74" s="1" t="s">
        <v>68</v>
      </c>
      <c r="AO74" s="1"/>
      <c r="AP74" s="306"/>
      <c r="AQ74" s="240">
        <v>0</v>
      </c>
      <c r="AR74" s="1030">
        <f>BG74</f>
        <v>0</v>
      </c>
      <c r="AS74" s="1017"/>
      <c r="AT74" s="253">
        <v>41877</v>
      </c>
      <c r="AU74" s="12">
        <v>41888</v>
      </c>
      <c r="AV74" s="243" t="s">
        <v>68</v>
      </c>
      <c r="AW74" s="54"/>
      <c r="AX74" s="169" t="s">
        <v>74</v>
      </c>
      <c r="AY74" s="1"/>
      <c r="AZ74" s="1"/>
      <c r="BA74" s="18"/>
      <c r="BB74" s="169" t="s">
        <v>74</v>
      </c>
      <c r="BC74" s="1659"/>
      <c r="BD74" s="1"/>
      <c r="BE74" s="1"/>
      <c r="BF74" s="1"/>
      <c r="BG74" s="38">
        <v>0</v>
      </c>
      <c r="BH74" s="222" t="s">
        <v>74</v>
      </c>
      <c r="BI74" s="794" t="s">
        <v>68</v>
      </c>
      <c r="BJ74" s="795" t="s">
        <v>68</v>
      </c>
      <c r="BK74" s="795" t="s">
        <v>68</v>
      </c>
      <c r="BL74" s="794"/>
      <c r="BM74" s="794"/>
      <c r="BN74" s="794"/>
      <c r="BO74" s="794"/>
      <c r="BP74" s="794"/>
      <c r="BQ74" s="794"/>
      <c r="BR74" s="794"/>
      <c r="BS74" s="794" t="s">
        <v>68</v>
      </c>
      <c r="BT74" s="14"/>
      <c r="BU74" s="14"/>
      <c r="BV74" s="14"/>
      <c r="BW74" s="14"/>
      <c r="BX74" s="14"/>
      <c r="BY74" s="1431" t="s">
        <v>1430</v>
      </c>
      <c r="BZ74" s="40" t="s">
        <v>76</v>
      </c>
      <c r="CA74" s="563"/>
      <c r="CB74" s="563"/>
      <c r="CC74" s="563"/>
      <c r="CD74" s="563"/>
      <c r="CE74" s="563"/>
      <c r="CF74" s="563"/>
      <c r="CG74" s="563"/>
      <c r="CH74" s="13"/>
    </row>
    <row r="75" spans="2:86" customFormat="1" ht="80.099999999999994" hidden="1" customHeight="1">
      <c r="B75" s="23"/>
      <c r="C75" s="23"/>
      <c r="D75" s="23"/>
      <c r="E75" s="23"/>
      <c r="F75" s="23"/>
      <c r="G75" s="1055">
        <v>42005</v>
      </c>
      <c r="H75" s="490"/>
      <c r="I75" s="17">
        <v>2014</v>
      </c>
      <c r="J75" s="1676"/>
      <c r="K75" s="18" t="s">
        <v>77</v>
      </c>
      <c r="L75" s="20" t="s">
        <v>295</v>
      </c>
      <c r="M75" s="2" t="s">
        <v>4077</v>
      </c>
      <c r="N75" s="3" t="s">
        <v>296</v>
      </c>
      <c r="O75" s="3"/>
      <c r="P75" s="4">
        <v>1543344.7</v>
      </c>
      <c r="Q75" s="6">
        <v>41883</v>
      </c>
      <c r="R75" s="5">
        <v>41883</v>
      </c>
      <c r="S75" s="5">
        <v>41912</v>
      </c>
      <c r="T75" s="14" t="s">
        <v>68</v>
      </c>
      <c r="U75" s="20" t="s">
        <v>68</v>
      </c>
      <c r="V75" s="19" t="s">
        <v>114</v>
      </c>
      <c r="W75" s="64">
        <v>41842</v>
      </c>
      <c r="X75" s="111"/>
      <c r="Y75" s="35" t="s">
        <v>297</v>
      </c>
      <c r="Z75" s="9">
        <v>41876</v>
      </c>
      <c r="AA75" s="4">
        <v>1543344.7</v>
      </c>
      <c r="AB75" s="4"/>
      <c r="AC75" s="34"/>
      <c r="AD75" s="36" t="s">
        <v>68</v>
      </c>
      <c r="AE75" s="119" t="s">
        <v>68</v>
      </c>
      <c r="AF75" s="119" t="s">
        <v>68</v>
      </c>
      <c r="AG75" s="7" t="s">
        <v>68</v>
      </c>
      <c r="AH75" s="235" t="s">
        <v>68</v>
      </c>
      <c r="AI75" s="35" t="s">
        <v>68</v>
      </c>
      <c r="AJ75" s="1" t="s">
        <v>68</v>
      </c>
      <c r="AK75" s="1"/>
      <c r="AL75" s="1" t="s">
        <v>68</v>
      </c>
      <c r="AM75" s="1"/>
      <c r="AN75" s="1" t="s">
        <v>68</v>
      </c>
      <c r="AO75" s="1"/>
      <c r="AP75" s="306"/>
      <c r="AQ75" s="37">
        <v>171733.79</v>
      </c>
      <c r="AR75" s="1031">
        <v>957201.51</v>
      </c>
      <c r="AS75" s="1018"/>
      <c r="AT75" s="32">
        <v>41899</v>
      </c>
      <c r="AU75" s="12">
        <v>41968</v>
      </c>
      <c r="AV75" s="32" t="s">
        <v>68</v>
      </c>
      <c r="AW75" s="54">
        <v>41896</v>
      </c>
      <c r="AX75" s="32">
        <v>41246</v>
      </c>
      <c r="AY75" s="5">
        <v>41900</v>
      </c>
      <c r="AZ75" s="1" t="s">
        <v>68</v>
      </c>
      <c r="BA75" s="12">
        <v>41976</v>
      </c>
      <c r="BB75" s="32">
        <v>41978</v>
      </c>
      <c r="BC75" s="341"/>
      <c r="BD75" s="5">
        <v>41900</v>
      </c>
      <c r="BE75" s="5">
        <v>41912</v>
      </c>
      <c r="BF75" s="5">
        <v>41976</v>
      </c>
      <c r="BG75" s="38">
        <v>1128935.3</v>
      </c>
      <c r="BH75" s="14" t="s">
        <v>68</v>
      </c>
      <c r="BI75" s="794" t="s">
        <v>68</v>
      </c>
      <c r="BJ75" s="795" t="s">
        <v>68</v>
      </c>
      <c r="BK75" s="795" t="s">
        <v>68</v>
      </c>
      <c r="BL75" s="794"/>
      <c r="BM75" s="794"/>
      <c r="BN75" s="794"/>
      <c r="BO75" s="794"/>
      <c r="BP75" s="794"/>
      <c r="BQ75" s="794"/>
      <c r="BR75" s="794"/>
      <c r="BS75" s="794" t="s">
        <v>68</v>
      </c>
      <c r="BT75" s="14"/>
      <c r="BU75" s="14"/>
      <c r="BV75" s="14"/>
      <c r="BW75" s="14"/>
      <c r="BX75" s="14"/>
      <c r="BY75" s="1431" t="s">
        <v>1430</v>
      </c>
      <c r="BZ75" s="40" t="s">
        <v>76</v>
      </c>
      <c r="CA75" s="563"/>
      <c r="CB75" s="563"/>
      <c r="CC75" s="563"/>
      <c r="CD75" s="563"/>
      <c r="CE75" s="563"/>
      <c r="CF75" s="563"/>
      <c r="CG75" s="563"/>
      <c r="CH75" s="13"/>
    </row>
    <row r="76" spans="2:86" customFormat="1" ht="80.099999999999994" hidden="1" customHeight="1">
      <c r="B76" s="23"/>
      <c r="C76" s="23"/>
      <c r="D76" s="23"/>
      <c r="E76" s="23"/>
      <c r="F76" s="23"/>
      <c r="G76" s="1055">
        <v>42005</v>
      </c>
      <c r="H76" s="490"/>
      <c r="I76" s="17">
        <v>2014</v>
      </c>
      <c r="J76" s="1676"/>
      <c r="K76" s="19" t="s">
        <v>166</v>
      </c>
      <c r="L76" s="20" t="s">
        <v>298</v>
      </c>
      <c r="M76" s="2" t="s">
        <v>4077</v>
      </c>
      <c r="N76" s="3" t="s">
        <v>299</v>
      </c>
      <c r="O76" s="3"/>
      <c r="P76" s="4">
        <v>200000</v>
      </c>
      <c r="Q76" s="6">
        <v>41830</v>
      </c>
      <c r="R76" s="5">
        <v>41834</v>
      </c>
      <c r="S76" s="12">
        <v>41897</v>
      </c>
      <c r="T76" s="14" t="s">
        <v>68</v>
      </c>
      <c r="U76" s="20" t="s">
        <v>68</v>
      </c>
      <c r="V76" s="19" t="s">
        <v>300</v>
      </c>
      <c r="W76" s="220" t="s">
        <v>68</v>
      </c>
      <c r="X76" s="406"/>
      <c r="Y76" s="35" t="s">
        <v>301</v>
      </c>
      <c r="Z76" s="9">
        <v>41876</v>
      </c>
      <c r="AA76" s="4">
        <v>200000</v>
      </c>
      <c r="AB76" s="4"/>
      <c r="AC76" s="34"/>
      <c r="AD76" s="36" t="s">
        <v>68</v>
      </c>
      <c r="AE76" s="119" t="s">
        <v>68</v>
      </c>
      <c r="AF76" s="119" t="s">
        <v>68</v>
      </c>
      <c r="AG76" s="7" t="s">
        <v>68</v>
      </c>
      <c r="AH76" s="235" t="s">
        <v>68</v>
      </c>
      <c r="AI76" s="35" t="s">
        <v>68</v>
      </c>
      <c r="AJ76" s="1" t="s">
        <v>68</v>
      </c>
      <c r="AK76" s="1"/>
      <c r="AL76" s="1" t="s">
        <v>68</v>
      </c>
      <c r="AM76" s="1"/>
      <c r="AN76" s="1" t="s">
        <v>68</v>
      </c>
      <c r="AO76" s="1"/>
      <c r="AP76" s="306"/>
      <c r="AQ76" s="240">
        <v>0</v>
      </c>
      <c r="AR76" s="1030">
        <f>BG76</f>
        <v>0</v>
      </c>
      <c r="AS76" s="1017"/>
      <c r="AT76" s="253" t="s">
        <v>74</v>
      </c>
      <c r="AU76" s="12"/>
      <c r="AV76" s="243" t="s">
        <v>68</v>
      </c>
      <c r="AW76" s="54"/>
      <c r="AX76" s="169" t="s">
        <v>74</v>
      </c>
      <c r="AY76" s="1"/>
      <c r="AZ76" s="1"/>
      <c r="BA76" s="18"/>
      <c r="BB76" s="169" t="s">
        <v>74</v>
      </c>
      <c r="BC76" s="1659"/>
      <c r="BD76" s="1"/>
      <c r="BE76" s="1"/>
      <c r="BF76" s="1"/>
      <c r="BG76" s="38">
        <v>0</v>
      </c>
      <c r="BH76" s="222" t="s">
        <v>74</v>
      </c>
      <c r="BI76" s="794" t="s">
        <v>68</v>
      </c>
      <c r="BJ76" s="795" t="s">
        <v>68</v>
      </c>
      <c r="BK76" s="795" t="s">
        <v>68</v>
      </c>
      <c r="BL76" s="794"/>
      <c r="BM76" s="794"/>
      <c r="BN76" s="794"/>
      <c r="BO76" s="794"/>
      <c r="BP76" s="794"/>
      <c r="BQ76" s="794"/>
      <c r="BR76" s="794"/>
      <c r="BS76" s="794" t="s">
        <v>68</v>
      </c>
      <c r="BT76" s="14"/>
      <c r="BU76" s="14"/>
      <c r="BV76" s="14"/>
      <c r="BW76" s="14"/>
      <c r="BX76" s="14"/>
      <c r="BY76" s="1431" t="s">
        <v>1430</v>
      </c>
      <c r="BZ76" s="40" t="s">
        <v>76</v>
      </c>
      <c r="CA76" s="563"/>
      <c r="CB76" s="563"/>
      <c r="CC76" s="563"/>
      <c r="CD76" s="563"/>
      <c r="CE76" s="563"/>
      <c r="CF76" s="563"/>
      <c r="CG76" s="563"/>
      <c r="CH76" s="13"/>
    </row>
    <row r="77" spans="2:86" customFormat="1" ht="80.099999999999994" hidden="1" customHeight="1">
      <c r="B77" s="23"/>
      <c r="C77" s="23"/>
      <c r="D77" s="23"/>
      <c r="E77" s="23"/>
      <c r="F77" s="23"/>
      <c r="G77" s="1055">
        <v>42005</v>
      </c>
      <c r="H77" s="490"/>
      <c r="I77" s="260">
        <v>2014</v>
      </c>
      <c r="J77" s="1677"/>
      <c r="K77" s="19" t="s">
        <v>302</v>
      </c>
      <c r="L77" s="35" t="s">
        <v>303</v>
      </c>
      <c r="M77" s="2" t="s">
        <v>4077</v>
      </c>
      <c r="N77" s="3" t="s">
        <v>304</v>
      </c>
      <c r="O77" s="3"/>
      <c r="P77" s="261">
        <v>3311850</v>
      </c>
      <c r="Q77" s="262">
        <v>41922</v>
      </c>
      <c r="R77" s="263">
        <v>41927</v>
      </c>
      <c r="S77" s="225">
        <v>41988</v>
      </c>
      <c r="T77" s="14" t="s">
        <v>68</v>
      </c>
      <c r="U77" s="20" t="s">
        <v>68</v>
      </c>
      <c r="V77" s="19" t="s">
        <v>305</v>
      </c>
      <c r="W77" s="226" t="s">
        <v>68</v>
      </c>
      <c r="X77" s="1616"/>
      <c r="Y77" s="35" t="s">
        <v>306</v>
      </c>
      <c r="Z77" s="265">
        <v>41935</v>
      </c>
      <c r="AA77" s="261">
        <v>311850</v>
      </c>
      <c r="AB77" s="4"/>
      <c r="AC77" s="34"/>
      <c r="AD77" s="36" t="s">
        <v>68</v>
      </c>
      <c r="AE77" s="119" t="s">
        <v>68</v>
      </c>
      <c r="AF77" s="119" t="s">
        <v>68</v>
      </c>
      <c r="AG77" s="7" t="s">
        <v>68</v>
      </c>
      <c r="AH77" s="235" t="s">
        <v>68</v>
      </c>
      <c r="AI77" s="35" t="s">
        <v>68</v>
      </c>
      <c r="AJ77" s="1" t="s">
        <v>68</v>
      </c>
      <c r="AK77" s="1"/>
      <c r="AL77" s="1" t="s">
        <v>68</v>
      </c>
      <c r="AM77" s="1"/>
      <c r="AN77" s="1" t="s">
        <v>68</v>
      </c>
      <c r="AO77" s="2"/>
      <c r="AP77" s="308"/>
      <c r="AQ77" s="240">
        <v>0</v>
      </c>
      <c r="AR77" s="1030">
        <f>BG77</f>
        <v>0</v>
      </c>
      <c r="AS77" s="1017"/>
      <c r="AT77" s="273" t="s">
        <v>74</v>
      </c>
      <c r="AU77" s="225"/>
      <c r="AV77" s="243" t="s">
        <v>68</v>
      </c>
      <c r="AW77" s="58" t="s">
        <v>68</v>
      </c>
      <c r="AX77" s="280" t="s">
        <v>74</v>
      </c>
      <c r="AY77" s="2"/>
      <c r="AZ77" s="2"/>
      <c r="BA77" s="19"/>
      <c r="BB77" s="280" t="s">
        <v>74</v>
      </c>
      <c r="BC77" s="1688"/>
      <c r="BD77" s="2"/>
      <c r="BE77" s="2"/>
      <c r="BF77" s="2"/>
      <c r="BG77" s="272"/>
      <c r="BH77" s="281" t="s">
        <v>68</v>
      </c>
      <c r="BI77" s="794" t="s">
        <v>68</v>
      </c>
      <c r="BJ77" s="795" t="s">
        <v>68</v>
      </c>
      <c r="BK77" s="795" t="s">
        <v>68</v>
      </c>
      <c r="BL77" s="794"/>
      <c r="BM77" s="794"/>
      <c r="BN77" s="794"/>
      <c r="BO77" s="794"/>
      <c r="BP77" s="794"/>
      <c r="BQ77" s="794"/>
      <c r="BR77" s="794"/>
      <c r="BS77" s="794" t="s">
        <v>68</v>
      </c>
      <c r="BT77" s="14"/>
      <c r="BU77" s="14"/>
      <c r="BV77" s="14"/>
      <c r="BW77" s="14"/>
      <c r="BX77" s="14"/>
      <c r="BY77" s="1431" t="s">
        <v>1430</v>
      </c>
      <c r="BZ77" s="40" t="s">
        <v>76</v>
      </c>
      <c r="CA77" s="563"/>
      <c r="CB77" s="563"/>
      <c r="CC77" s="563"/>
      <c r="CD77" s="563"/>
      <c r="CE77" s="563"/>
      <c r="CF77" s="563"/>
      <c r="CG77" s="563"/>
      <c r="CH77" s="13"/>
    </row>
    <row r="78" spans="2:86" customFormat="1" ht="80.099999999999994" hidden="1" customHeight="1">
      <c r="B78" s="23"/>
      <c r="C78" s="23"/>
      <c r="D78" s="23"/>
      <c r="E78" s="23"/>
      <c r="F78" s="23"/>
      <c r="G78" s="1055">
        <v>42005</v>
      </c>
      <c r="H78" s="490"/>
      <c r="I78" s="260">
        <v>2014</v>
      </c>
      <c r="J78" s="1677"/>
      <c r="K78" s="19" t="s">
        <v>302</v>
      </c>
      <c r="L78" s="35" t="s">
        <v>307</v>
      </c>
      <c r="M78" s="2" t="s">
        <v>4077</v>
      </c>
      <c r="N78" s="3" t="s">
        <v>308</v>
      </c>
      <c r="O78" s="3"/>
      <c r="P78" s="261">
        <v>540540</v>
      </c>
      <c r="Q78" s="262">
        <v>41922</v>
      </c>
      <c r="R78" s="263">
        <v>41927</v>
      </c>
      <c r="S78" s="225">
        <v>41988</v>
      </c>
      <c r="T78" s="14" t="s">
        <v>68</v>
      </c>
      <c r="U78" s="20" t="s">
        <v>68</v>
      </c>
      <c r="V78" s="19" t="s">
        <v>305</v>
      </c>
      <c r="W78" s="226" t="s">
        <v>68</v>
      </c>
      <c r="X78" s="1616"/>
      <c r="Y78" s="35" t="s">
        <v>309</v>
      </c>
      <c r="Z78" s="265">
        <v>41935</v>
      </c>
      <c r="AA78" s="261">
        <v>540540</v>
      </c>
      <c r="AB78" s="4"/>
      <c r="AC78" s="34"/>
      <c r="AD78" s="36" t="s">
        <v>68</v>
      </c>
      <c r="AE78" s="119" t="s">
        <v>68</v>
      </c>
      <c r="AF78" s="119" t="s">
        <v>68</v>
      </c>
      <c r="AG78" s="7" t="s">
        <v>68</v>
      </c>
      <c r="AH78" s="235" t="s">
        <v>68</v>
      </c>
      <c r="AI78" s="35" t="s">
        <v>68</v>
      </c>
      <c r="AJ78" s="1" t="s">
        <v>68</v>
      </c>
      <c r="AK78" s="1"/>
      <c r="AL78" s="1" t="s">
        <v>68</v>
      </c>
      <c r="AM78" s="1"/>
      <c r="AN78" s="1" t="s">
        <v>68</v>
      </c>
      <c r="AO78" s="2"/>
      <c r="AP78" s="308"/>
      <c r="AQ78" s="240">
        <v>0</v>
      </c>
      <c r="AR78" s="1030">
        <f>BG78</f>
        <v>0</v>
      </c>
      <c r="AS78" s="1017">
        <v>494784.79</v>
      </c>
      <c r="AT78" s="273" t="s">
        <v>74</v>
      </c>
      <c r="AU78" s="225"/>
      <c r="AV78" s="243" t="s">
        <v>68</v>
      </c>
      <c r="AW78" s="58" t="s">
        <v>68</v>
      </c>
      <c r="AX78" s="280" t="s">
        <v>74</v>
      </c>
      <c r="AY78" s="2"/>
      <c r="AZ78" s="2"/>
      <c r="BA78" s="19"/>
      <c r="BB78" s="280" t="s">
        <v>74</v>
      </c>
      <c r="BC78" s="1688"/>
      <c r="BD78" s="2"/>
      <c r="BE78" s="2"/>
      <c r="BF78" s="2"/>
      <c r="BG78" s="272"/>
      <c r="BH78" s="281" t="s">
        <v>68</v>
      </c>
      <c r="BI78" s="794" t="s">
        <v>68</v>
      </c>
      <c r="BJ78" s="795" t="s">
        <v>68</v>
      </c>
      <c r="BK78" s="795" t="s">
        <v>68</v>
      </c>
      <c r="BL78" s="794"/>
      <c r="BM78" s="794"/>
      <c r="BN78" s="794"/>
      <c r="BO78" s="794"/>
      <c r="BP78" s="794"/>
      <c r="BQ78" s="794"/>
      <c r="BR78" s="794"/>
      <c r="BS78" s="794" t="s">
        <v>68</v>
      </c>
      <c r="BT78" s="14"/>
      <c r="BU78" s="14"/>
      <c r="BV78" s="14"/>
      <c r="BW78" s="14"/>
      <c r="BX78" s="14"/>
      <c r="BY78" s="1431" t="s">
        <v>1430</v>
      </c>
      <c r="BZ78" s="40" t="s">
        <v>76</v>
      </c>
      <c r="CA78" s="563"/>
      <c r="CB78" s="563"/>
      <c r="CC78" s="563"/>
      <c r="CD78" s="563"/>
      <c r="CE78" s="563"/>
      <c r="CF78" s="563"/>
      <c r="CG78" s="563"/>
      <c r="CH78" s="13"/>
    </row>
    <row r="79" spans="2:86" customFormat="1" ht="80.099999999999994" hidden="1" customHeight="1">
      <c r="B79" s="23"/>
      <c r="C79" s="23"/>
      <c r="D79" s="23"/>
      <c r="E79" s="23"/>
      <c r="F79" s="23"/>
      <c r="G79" s="1055">
        <v>42005</v>
      </c>
      <c r="H79" s="490"/>
      <c r="I79" s="17">
        <v>2014</v>
      </c>
      <c r="J79" s="1676"/>
      <c r="K79" s="19"/>
      <c r="L79" s="20" t="s">
        <v>310</v>
      </c>
      <c r="M79" s="2" t="s">
        <v>4077</v>
      </c>
      <c r="N79" s="3" t="s">
        <v>311</v>
      </c>
      <c r="O79" s="3"/>
      <c r="P79" s="4">
        <v>40279.599999999999</v>
      </c>
      <c r="Q79" s="6">
        <v>41939</v>
      </c>
      <c r="R79" s="5">
        <v>41939</v>
      </c>
      <c r="S79" s="12">
        <v>41954</v>
      </c>
      <c r="T79" s="14" t="s">
        <v>68</v>
      </c>
      <c r="U79" s="20" t="s">
        <v>68</v>
      </c>
      <c r="V79" s="19" t="s">
        <v>213</v>
      </c>
      <c r="W79" s="220" t="s">
        <v>68</v>
      </c>
      <c r="X79" s="406"/>
      <c r="Y79" s="20" t="s">
        <v>68</v>
      </c>
      <c r="Z79" s="9"/>
      <c r="AA79" s="4"/>
      <c r="AB79" s="4"/>
      <c r="AC79" s="34"/>
      <c r="AD79" s="36" t="s">
        <v>68</v>
      </c>
      <c r="AE79" s="119" t="s">
        <v>68</v>
      </c>
      <c r="AF79" s="119" t="s">
        <v>68</v>
      </c>
      <c r="AG79" s="7" t="s">
        <v>68</v>
      </c>
      <c r="AH79" s="235" t="s">
        <v>68</v>
      </c>
      <c r="AI79" s="35" t="s">
        <v>68</v>
      </c>
      <c r="AJ79" s="1" t="s">
        <v>68</v>
      </c>
      <c r="AK79" s="1"/>
      <c r="AL79" s="1" t="s">
        <v>68</v>
      </c>
      <c r="AM79" s="1"/>
      <c r="AN79" s="1" t="s">
        <v>68</v>
      </c>
      <c r="AO79" s="1"/>
      <c r="AP79" s="306"/>
      <c r="AQ79" s="240">
        <v>0</v>
      </c>
      <c r="AR79" s="1030">
        <f>BG79</f>
        <v>0</v>
      </c>
      <c r="AS79" s="1017"/>
      <c r="AT79" s="253" t="s">
        <v>74</v>
      </c>
      <c r="AU79" s="12" t="s">
        <v>68</v>
      </c>
      <c r="AV79" s="243" t="s">
        <v>68</v>
      </c>
      <c r="AW79" s="54" t="s">
        <v>68</v>
      </c>
      <c r="AX79" s="253" t="s">
        <v>74</v>
      </c>
      <c r="AY79" s="1"/>
      <c r="AZ79" s="1"/>
      <c r="BA79" s="18"/>
      <c r="BB79" s="253" t="s">
        <v>74</v>
      </c>
      <c r="BC79" s="558"/>
      <c r="BD79" s="1"/>
      <c r="BE79" s="1"/>
      <c r="BF79" s="1"/>
      <c r="BG79" s="38"/>
      <c r="BH79" s="282" t="s">
        <v>68</v>
      </c>
      <c r="BI79" s="794" t="s">
        <v>68</v>
      </c>
      <c r="BJ79" s="795" t="s">
        <v>68</v>
      </c>
      <c r="BK79" s="795" t="s">
        <v>68</v>
      </c>
      <c r="BL79" s="794"/>
      <c r="BM79" s="794"/>
      <c r="BN79" s="794"/>
      <c r="BO79" s="794"/>
      <c r="BP79" s="794"/>
      <c r="BQ79" s="794"/>
      <c r="BR79" s="794"/>
      <c r="BS79" s="794" t="s">
        <v>68</v>
      </c>
      <c r="BT79" s="14"/>
      <c r="BU79" s="14"/>
      <c r="BV79" s="14"/>
      <c r="BW79" s="14"/>
      <c r="BX79" s="14"/>
      <c r="BY79" s="1431" t="s">
        <v>1430</v>
      </c>
      <c r="BZ79" s="40" t="s">
        <v>76</v>
      </c>
      <c r="CA79" s="563"/>
      <c r="CB79" s="563"/>
      <c r="CC79" s="563"/>
      <c r="CD79" s="563"/>
      <c r="CE79" s="563"/>
      <c r="CF79" s="563"/>
      <c r="CG79" s="563"/>
      <c r="CH79" s="13"/>
    </row>
    <row r="80" spans="2:86" customFormat="1" ht="80.099999999999994" hidden="1" customHeight="1">
      <c r="B80" s="23"/>
      <c r="C80" s="23"/>
      <c r="D80" s="23"/>
      <c r="E80" s="23"/>
      <c r="F80" s="23"/>
      <c r="G80" s="1055">
        <v>42005</v>
      </c>
      <c r="H80" s="490">
        <v>42979</v>
      </c>
      <c r="I80" s="17">
        <v>2014</v>
      </c>
      <c r="J80" s="1676"/>
      <c r="K80" s="19" t="s">
        <v>163</v>
      </c>
      <c r="L80" s="20" t="s">
        <v>312</v>
      </c>
      <c r="M80" s="2" t="s">
        <v>66</v>
      </c>
      <c r="N80" s="3" t="s">
        <v>313</v>
      </c>
      <c r="O80" s="3"/>
      <c r="P80" s="4">
        <v>3006508.94</v>
      </c>
      <c r="Q80" s="6">
        <v>41848</v>
      </c>
      <c r="R80" s="5">
        <v>41855</v>
      </c>
      <c r="S80" s="12">
        <v>41975</v>
      </c>
      <c r="T80" s="14" t="s">
        <v>68</v>
      </c>
      <c r="U80" s="35" t="s">
        <v>314</v>
      </c>
      <c r="V80" s="19" t="s">
        <v>70</v>
      </c>
      <c r="W80" s="64">
        <v>41705</v>
      </c>
      <c r="X80" s="111"/>
      <c r="Y80" s="20" t="s">
        <v>315</v>
      </c>
      <c r="Z80" s="9">
        <v>41718</v>
      </c>
      <c r="AA80" s="4">
        <v>3006511</v>
      </c>
      <c r="AB80" s="4"/>
      <c r="AC80" s="34"/>
      <c r="AD80" s="36">
        <v>41736</v>
      </c>
      <c r="AE80" s="119" t="s">
        <v>68</v>
      </c>
      <c r="AF80" s="119" t="s">
        <v>68</v>
      </c>
      <c r="AG80" s="7">
        <v>41743</v>
      </c>
      <c r="AH80" s="235">
        <v>41743</v>
      </c>
      <c r="AI80" s="35" t="s">
        <v>316</v>
      </c>
      <c r="AJ80" s="1" t="s">
        <v>317</v>
      </c>
      <c r="AK80" s="5">
        <v>41848</v>
      </c>
      <c r="AL80" s="1" t="s">
        <v>318</v>
      </c>
      <c r="AM80" s="5">
        <v>41848</v>
      </c>
      <c r="AN80" s="1" t="s">
        <v>83</v>
      </c>
      <c r="AO80" s="1"/>
      <c r="AP80" s="306"/>
      <c r="AQ80" s="240">
        <v>0</v>
      </c>
      <c r="AR80" s="1030">
        <f>BG80</f>
        <v>0</v>
      </c>
      <c r="AS80" s="1017"/>
      <c r="AT80" s="78">
        <v>41856</v>
      </c>
      <c r="AU80" s="12">
        <v>42014</v>
      </c>
      <c r="AV80" s="32"/>
      <c r="AW80" s="54"/>
      <c r="AX80" s="169" t="s">
        <v>74</v>
      </c>
      <c r="AY80" s="1"/>
      <c r="AZ80" s="1"/>
      <c r="BA80" s="18"/>
      <c r="BB80" s="169" t="s">
        <v>74</v>
      </c>
      <c r="BC80" s="1659"/>
      <c r="BD80" s="1"/>
      <c r="BE80" s="1"/>
      <c r="BF80" s="1"/>
      <c r="BG80" s="38">
        <v>0</v>
      </c>
      <c r="BH80" s="222" t="s">
        <v>74</v>
      </c>
      <c r="BI80" s="794" t="s">
        <v>68</v>
      </c>
      <c r="BJ80" s="795" t="s">
        <v>68</v>
      </c>
      <c r="BK80" s="795" t="s">
        <v>68</v>
      </c>
      <c r="BL80" s="794"/>
      <c r="BM80" s="794"/>
      <c r="BN80" s="794"/>
      <c r="BO80" s="794"/>
      <c r="BP80" s="794"/>
      <c r="BQ80" s="794"/>
      <c r="BR80" s="794"/>
      <c r="BS80" s="794" t="s">
        <v>68</v>
      </c>
      <c r="BT80" s="14"/>
      <c r="BU80" s="14"/>
      <c r="BV80" s="14"/>
      <c r="BW80" s="14"/>
      <c r="BX80" s="14"/>
      <c r="BY80" s="1431" t="s">
        <v>1430</v>
      </c>
      <c r="BZ80" s="40" t="s">
        <v>76</v>
      </c>
      <c r="CA80" s="563"/>
      <c r="CB80" s="563"/>
      <c r="CC80" s="563"/>
      <c r="CD80" s="563"/>
      <c r="CE80" s="563"/>
      <c r="CF80" s="563"/>
      <c r="CG80" s="563"/>
      <c r="CH80" s="13"/>
    </row>
    <row r="81" spans="2:86" customFormat="1" ht="80.099999999999994" hidden="1" customHeight="1">
      <c r="B81" s="23"/>
      <c r="C81" s="23"/>
      <c r="D81" s="23"/>
      <c r="E81" s="23"/>
      <c r="F81" s="23"/>
      <c r="G81" s="1055">
        <v>42005</v>
      </c>
      <c r="H81" s="490">
        <v>42979</v>
      </c>
      <c r="I81" s="17">
        <v>2014</v>
      </c>
      <c r="J81" s="1676"/>
      <c r="K81" s="18" t="s">
        <v>77</v>
      </c>
      <c r="L81" s="20" t="s">
        <v>319</v>
      </c>
      <c r="M81" s="2" t="s">
        <v>79</v>
      </c>
      <c r="N81" s="3" t="s">
        <v>320</v>
      </c>
      <c r="O81" s="3"/>
      <c r="P81" s="85">
        <v>887908.66</v>
      </c>
      <c r="Q81" s="6">
        <v>41901</v>
      </c>
      <c r="R81" s="5">
        <v>41911</v>
      </c>
      <c r="S81" s="12">
        <v>41954</v>
      </c>
      <c r="T81" s="64">
        <v>41877</v>
      </c>
      <c r="U81" s="35" t="s">
        <v>321</v>
      </c>
      <c r="V81" s="19" t="s">
        <v>70</v>
      </c>
      <c r="W81" s="64">
        <v>41842</v>
      </c>
      <c r="X81" s="111"/>
      <c r="Y81" s="35" t="s">
        <v>322</v>
      </c>
      <c r="Z81" s="9">
        <v>41876</v>
      </c>
      <c r="AA81" s="4">
        <v>824740.12</v>
      </c>
      <c r="AB81" s="4"/>
      <c r="AC81" s="34"/>
      <c r="AD81" s="36" t="s">
        <v>68</v>
      </c>
      <c r="AE81" s="119" t="s">
        <v>68</v>
      </c>
      <c r="AF81" s="119" t="s">
        <v>68</v>
      </c>
      <c r="AG81" s="7" t="s">
        <v>68</v>
      </c>
      <c r="AH81" s="235" t="s">
        <v>68</v>
      </c>
      <c r="AI81" s="35" t="s">
        <v>323</v>
      </c>
      <c r="AJ81" s="1" t="s">
        <v>324</v>
      </c>
      <c r="AK81" s="5">
        <v>41901</v>
      </c>
      <c r="AL81" s="1" t="s">
        <v>325</v>
      </c>
      <c r="AM81" s="5">
        <v>41901</v>
      </c>
      <c r="AN81" s="1" t="s">
        <v>326</v>
      </c>
      <c r="AO81" s="5">
        <v>41988</v>
      </c>
      <c r="AP81" s="306"/>
      <c r="AQ81" s="37">
        <v>0</v>
      </c>
      <c r="AR81" s="1031">
        <v>987415.17</v>
      </c>
      <c r="AS81" s="1018"/>
      <c r="AT81" s="32">
        <v>41929</v>
      </c>
      <c r="AU81" s="12">
        <v>41955</v>
      </c>
      <c r="AV81" s="32" t="s">
        <v>68</v>
      </c>
      <c r="AW81" s="54" t="s">
        <v>68</v>
      </c>
      <c r="AX81" s="32">
        <v>41956</v>
      </c>
      <c r="AY81" s="5">
        <v>41911</v>
      </c>
      <c r="AZ81" s="5">
        <v>41955</v>
      </c>
      <c r="BA81" s="12">
        <v>41955</v>
      </c>
      <c r="BB81" s="32">
        <v>41957</v>
      </c>
      <c r="BC81" s="341"/>
      <c r="BD81" s="5">
        <v>41911</v>
      </c>
      <c r="BE81" s="5">
        <v>41955</v>
      </c>
      <c r="BF81" s="5">
        <v>41955</v>
      </c>
      <c r="BG81" s="38">
        <v>987415.17</v>
      </c>
      <c r="BH81" s="64">
        <v>41957</v>
      </c>
      <c r="BI81" s="794" t="s">
        <v>68</v>
      </c>
      <c r="BJ81" s="795" t="s">
        <v>68</v>
      </c>
      <c r="BK81" s="795" t="s">
        <v>68</v>
      </c>
      <c r="BL81" s="794"/>
      <c r="BM81" s="794"/>
      <c r="BN81" s="794"/>
      <c r="BO81" s="794"/>
      <c r="BP81" s="794"/>
      <c r="BQ81" s="794"/>
      <c r="BR81" s="794"/>
      <c r="BS81" s="794" t="s">
        <v>68</v>
      </c>
      <c r="BT81" s="14"/>
      <c r="BU81" s="14"/>
      <c r="BV81" s="14"/>
      <c r="BW81" s="14"/>
      <c r="BX81" s="14"/>
      <c r="BY81" s="1431" t="s">
        <v>1430</v>
      </c>
      <c r="BZ81" s="40" t="s">
        <v>76</v>
      </c>
      <c r="CA81" s="563"/>
      <c r="CB81" s="563"/>
      <c r="CC81" s="563"/>
      <c r="CD81" s="563"/>
      <c r="CE81" s="563"/>
      <c r="CF81" s="563"/>
      <c r="CG81" s="563"/>
      <c r="CH81" s="13"/>
    </row>
    <row r="82" spans="2:86" customFormat="1" ht="80.099999999999994" hidden="1" customHeight="1">
      <c r="B82" s="23"/>
      <c r="C82" s="23"/>
      <c r="D82" s="23"/>
      <c r="E82" s="23"/>
      <c r="F82" s="23"/>
      <c r="G82" s="1055">
        <v>42005</v>
      </c>
      <c r="H82" s="490"/>
      <c r="I82" s="17">
        <v>2014</v>
      </c>
      <c r="J82" s="1676"/>
      <c r="K82" s="18" t="s">
        <v>77</v>
      </c>
      <c r="L82" s="20" t="s">
        <v>327</v>
      </c>
      <c r="M82" s="2" t="s">
        <v>4077</v>
      </c>
      <c r="N82" s="3" t="s">
        <v>328</v>
      </c>
      <c r="O82" s="3"/>
      <c r="P82" s="4">
        <v>295674.09999999998</v>
      </c>
      <c r="Q82" s="6">
        <v>41823</v>
      </c>
      <c r="R82" s="5">
        <v>41823</v>
      </c>
      <c r="S82" s="12">
        <v>41850</v>
      </c>
      <c r="T82" s="14" t="s">
        <v>68</v>
      </c>
      <c r="U82" s="20" t="s">
        <v>68</v>
      </c>
      <c r="V82" s="19" t="s">
        <v>114</v>
      </c>
      <c r="W82" s="64">
        <v>41837</v>
      </c>
      <c r="X82" s="111"/>
      <c r="Y82" s="20" t="s">
        <v>280</v>
      </c>
      <c r="Z82" s="9">
        <v>41829</v>
      </c>
      <c r="AA82" s="4">
        <v>109593.60000000001</v>
      </c>
      <c r="AB82" s="4"/>
      <c r="AC82" s="34"/>
      <c r="AD82" s="36" t="s">
        <v>68</v>
      </c>
      <c r="AE82" s="119" t="s">
        <v>68</v>
      </c>
      <c r="AF82" s="119" t="s">
        <v>68</v>
      </c>
      <c r="AG82" s="7" t="s">
        <v>68</v>
      </c>
      <c r="AH82" s="235" t="s">
        <v>68</v>
      </c>
      <c r="AI82" s="35" t="s">
        <v>68</v>
      </c>
      <c r="AJ82" s="1" t="s">
        <v>68</v>
      </c>
      <c r="AK82" s="1"/>
      <c r="AL82" s="1" t="s">
        <v>68</v>
      </c>
      <c r="AM82" s="1"/>
      <c r="AN82" s="1" t="s">
        <v>68</v>
      </c>
      <c r="AO82" s="1"/>
      <c r="AP82" s="306"/>
      <c r="AQ82" s="37">
        <v>71002.28</v>
      </c>
      <c r="AR82" s="1031">
        <v>203201.22</v>
      </c>
      <c r="AS82" s="1018"/>
      <c r="AT82" s="253" t="s">
        <v>74</v>
      </c>
      <c r="AU82" s="12"/>
      <c r="AV82" s="32" t="s">
        <v>68</v>
      </c>
      <c r="AW82" s="54">
        <v>41822</v>
      </c>
      <c r="AX82" s="20"/>
      <c r="AY82" s="1"/>
      <c r="AZ82" s="1"/>
      <c r="BA82" s="18"/>
      <c r="BB82" s="32">
        <v>41873</v>
      </c>
      <c r="BC82" s="341"/>
      <c r="BD82" s="5">
        <v>41823</v>
      </c>
      <c r="BE82" s="5">
        <v>41850</v>
      </c>
      <c r="BF82" s="5">
        <v>41871</v>
      </c>
      <c r="BG82" s="38">
        <v>274203.5</v>
      </c>
      <c r="BH82" s="14" t="s">
        <v>68</v>
      </c>
      <c r="BI82" s="794" t="s">
        <v>68</v>
      </c>
      <c r="BJ82" s="795" t="s">
        <v>68</v>
      </c>
      <c r="BK82" s="795" t="s">
        <v>68</v>
      </c>
      <c r="BL82" s="794"/>
      <c r="BM82" s="794"/>
      <c r="BN82" s="794"/>
      <c r="BO82" s="794"/>
      <c r="BP82" s="794"/>
      <c r="BQ82" s="794"/>
      <c r="BR82" s="794"/>
      <c r="BS82" s="794" t="s">
        <v>68</v>
      </c>
      <c r="BT82" s="14"/>
      <c r="BU82" s="14"/>
      <c r="BV82" s="14"/>
      <c r="BW82" s="14"/>
      <c r="BX82" s="14"/>
      <c r="BY82" s="1431" t="s">
        <v>1430</v>
      </c>
      <c r="BZ82" s="40" t="s">
        <v>76</v>
      </c>
      <c r="CA82" s="563"/>
      <c r="CB82" s="563"/>
      <c r="CC82" s="563"/>
      <c r="CD82" s="563"/>
      <c r="CE82" s="563"/>
      <c r="CF82" s="563"/>
      <c r="CG82" s="563"/>
      <c r="CH82" s="13"/>
    </row>
    <row r="83" spans="2:86" customFormat="1" ht="80.099999999999994" hidden="1" customHeight="1">
      <c r="B83" s="23"/>
      <c r="C83" s="23"/>
      <c r="D83" s="23"/>
      <c r="E83" s="23"/>
      <c r="F83" s="23"/>
      <c r="G83" s="1055">
        <v>42005</v>
      </c>
      <c r="H83" s="490"/>
      <c r="I83" s="17">
        <v>2014</v>
      </c>
      <c r="J83" s="1676"/>
      <c r="K83" s="18" t="s">
        <v>77</v>
      </c>
      <c r="L83" s="20" t="s">
        <v>329</v>
      </c>
      <c r="M83" s="2" t="s">
        <v>4077</v>
      </c>
      <c r="N83" s="3" t="s">
        <v>330</v>
      </c>
      <c r="O83" s="3"/>
      <c r="P83" s="4">
        <v>220909.46</v>
      </c>
      <c r="Q83" s="6">
        <v>41823</v>
      </c>
      <c r="R83" s="5">
        <v>41841</v>
      </c>
      <c r="S83" s="12">
        <v>41881</v>
      </c>
      <c r="T83" s="14" t="s">
        <v>68</v>
      </c>
      <c r="U83" s="20" t="s">
        <v>68</v>
      </c>
      <c r="V83" s="19" t="s">
        <v>114</v>
      </c>
      <c r="W83" s="64">
        <v>41837</v>
      </c>
      <c r="X83" s="111"/>
      <c r="Y83" s="20" t="s">
        <v>280</v>
      </c>
      <c r="Z83" s="9">
        <v>41829</v>
      </c>
      <c r="AA83" s="4">
        <v>75328.27</v>
      </c>
      <c r="AB83" s="4"/>
      <c r="AC83" s="34"/>
      <c r="AD83" s="36" t="s">
        <v>68</v>
      </c>
      <c r="AE83" s="119" t="s">
        <v>68</v>
      </c>
      <c r="AF83" s="119" t="s">
        <v>68</v>
      </c>
      <c r="AG83" s="7" t="s">
        <v>68</v>
      </c>
      <c r="AH83" s="235" t="s">
        <v>68</v>
      </c>
      <c r="AI83" s="35" t="s">
        <v>68</v>
      </c>
      <c r="AJ83" s="1" t="s">
        <v>68</v>
      </c>
      <c r="AK83" s="1"/>
      <c r="AL83" s="1" t="s">
        <v>68</v>
      </c>
      <c r="AM83" s="1"/>
      <c r="AN83" s="1" t="s">
        <v>68</v>
      </c>
      <c r="AO83" s="1"/>
      <c r="AP83" s="306"/>
      <c r="AQ83" s="37">
        <v>46590.98</v>
      </c>
      <c r="AR83" s="1031">
        <v>184903.69</v>
      </c>
      <c r="AS83" s="1018"/>
      <c r="AT83" s="253" t="s">
        <v>74</v>
      </c>
      <c r="AU83" s="12"/>
      <c r="AV83" s="32" t="s">
        <v>68</v>
      </c>
      <c r="AW83" s="54">
        <v>41822</v>
      </c>
      <c r="AX83" s="20"/>
      <c r="AY83" s="1"/>
      <c r="AZ83" s="1"/>
      <c r="BA83" s="18"/>
      <c r="BB83" s="32">
        <v>41873</v>
      </c>
      <c r="BC83" s="341"/>
      <c r="BD83" s="5">
        <v>41844</v>
      </c>
      <c r="BE83" s="5">
        <v>41881</v>
      </c>
      <c r="BF83" s="5">
        <v>41853</v>
      </c>
      <c r="BG83" s="38">
        <v>231494.67</v>
      </c>
      <c r="BH83" s="14" t="s">
        <v>68</v>
      </c>
      <c r="BI83" s="794" t="s">
        <v>68</v>
      </c>
      <c r="BJ83" s="795" t="s">
        <v>68</v>
      </c>
      <c r="BK83" s="795" t="s">
        <v>68</v>
      </c>
      <c r="BL83" s="794"/>
      <c r="BM83" s="794"/>
      <c r="BN83" s="794"/>
      <c r="BO83" s="794"/>
      <c r="BP83" s="794"/>
      <c r="BQ83" s="794"/>
      <c r="BR83" s="794"/>
      <c r="BS83" s="794" t="s">
        <v>68</v>
      </c>
      <c r="BT83" s="14"/>
      <c r="BU83" s="14"/>
      <c r="BV83" s="14"/>
      <c r="BW83" s="14"/>
      <c r="BX83" s="14"/>
      <c r="BY83" s="1431" t="s">
        <v>1430</v>
      </c>
      <c r="BZ83" s="40" t="s">
        <v>76</v>
      </c>
      <c r="CA83" s="563"/>
      <c r="CB83" s="563"/>
      <c r="CC83" s="563"/>
      <c r="CD83" s="563"/>
      <c r="CE83" s="563"/>
      <c r="CF83" s="563"/>
      <c r="CG83" s="563"/>
      <c r="CH83" s="13"/>
    </row>
    <row r="84" spans="2:86" customFormat="1" ht="80.099999999999994" hidden="1" customHeight="1">
      <c r="B84" s="23"/>
      <c r="C84" s="23"/>
      <c r="D84" s="23"/>
      <c r="E84" s="23"/>
      <c r="F84" s="23"/>
      <c r="G84" s="1055">
        <v>42005</v>
      </c>
      <c r="H84" s="490"/>
      <c r="I84" s="17">
        <v>2014</v>
      </c>
      <c r="J84" s="1676"/>
      <c r="K84" s="18" t="s">
        <v>77</v>
      </c>
      <c r="L84" s="20" t="s">
        <v>331</v>
      </c>
      <c r="M84" s="2" t="s">
        <v>4077</v>
      </c>
      <c r="N84" s="3" t="s">
        <v>332</v>
      </c>
      <c r="O84" s="3"/>
      <c r="P84" s="4">
        <v>200492.77</v>
      </c>
      <c r="Q84" s="6">
        <v>41823</v>
      </c>
      <c r="R84" s="5">
        <v>41827</v>
      </c>
      <c r="S84" s="12">
        <v>41881</v>
      </c>
      <c r="T84" s="14" t="s">
        <v>68</v>
      </c>
      <c r="U84" s="20" t="s">
        <v>68</v>
      </c>
      <c r="V84" s="19" t="s">
        <v>114</v>
      </c>
      <c r="W84" s="64"/>
      <c r="X84" s="111"/>
      <c r="Y84" s="20" t="s">
        <v>280</v>
      </c>
      <c r="Z84" s="9">
        <v>41829</v>
      </c>
      <c r="AA84" s="4">
        <v>346618.19</v>
      </c>
      <c r="AB84" s="4"/>
      <c r="AC84" s="34"/>
      <c r="AD84" s="36" t="s">
        <v>68</v>
      </c>
      <c r="AE84" s="119" t="s">
        <v>68</v>
      </c>
      <c r="AF84" s="119" t="s">
        <v>68</v>
      </c>
      <c r="AG84" s="7" t="s">
        <v>68</v>
      </c>
      <c r="AH84" s="235" t="s">
        <v>68</v>
      </c>
      <c r="AI84" s="35" t="s">
        <v>68</v>
      </c>
      <c r="AJ84" s="1" t="s">
        <v>68</v>
      </c>
      <c r="AK84" s="1"/>
      <c r="AL84" s="1" t="s">
        <v>68</v>
      </c>
      <c r="AM84" s="1"/>
      <c r="AN84" s="1" t="s">
        <v>68</v>
      </c>
      <c r="AO84" s="1"/>
      <c r="AP84" s="306"/>
      <c r="AQ84" s="37">
        <v>47210.84</v>
      </c>
      <c r="AR84" s="1031">
        <v>179349.44</v>
      </c>
      <c r="AS84" s="1018"/>
      <c r="AT84" s="253" t="s">
        <v>74</v>
      </c>
      <c r="AU84" s="12"/>
      <c r="AV84" s="243" t="s">
        <v>68</v>
      </c>
      <c r="AW84" s="54">
        <v>41822</v>
      </c>
      <c r="AX84" s="20"/>
      <c r="AY84" s="1"/>
      <c r="AZ84" s="1"/>
      <c r="BA84" s="18"/>
      <c r="BB84" s="32">
        <v>41880</v>
      </c>
      <c r="BC84" s="341"/>
      <c r="BD84" s="5">
        <v>41830</v>
      </c>
      <c r="BE84" s="5">
        <v>41881</v>
      </c>
      <c r="BF84" s="5">
        <v>41878</v>
      </c>
      <c r="BG84" s="38">
        <v>226560.28</v>
      </c>
      <c r="BH84" s="14" t="s">
        <v>68</v>
      </c>
      <c r="BI84" s="794" t="s">
        <v>68</v>
      </c>
      <c r="BJ84" s="795" t="s">
        <v>68</v>
      </c>
      <c r="BK84" s="795" t="s">
        <v>68</v>
      </c>
      <c r="BL84" s="794"/>
      <c r="BM84" s="794"/>
      <c r="BN84" s="794"/>
      <c r="BO84" s="794"/>
      <c r="BP84" s="794"/>
      <c r="BQ84" s="794"/>
      <c r="BR84" s="794"/>
      <c r="BS84" s="794" t="s">
        <v>68</v>
      </c>
      <c r="BT84" s="14"/>
      <c r="BU84" s="14"/>
      <c r="BV84" s="14"/>
      <c r="BW84" s="14"/>
      <c r="BX84" s="14"/>
      <c r="BY84" s="1431" t="s">
        <v>1430</v>
      </c>
      <c r="BZ84" s="40" t="s">
        <v>76</v>
      </c>
      <c r="CA84" s="563"/>
      <c r="CB84" s="563"/>
      <c r="CC84" s="563"/>
      <c r="CD84" s="563"/>
      <c r="CE84" s="563"/>
      <c r="CF84" s="563"/>
      <c r="CG84" s="563"/>
      <c r="CH84" s="13"/>
    </row>
    <row r="85" spans="2:86" customFormat="1" ht="80.099999999999994" hidden="1" customHeight="1">
      <c r="B85" s="23"/>
      <c r="C85" s="23"/>
      <c r="D85" s="23"/>
      <c r="E85" s="23"/>
      <c r="F85" s="23"/>
      <c r="G85" s="1055">
        <v>42005</v>
      </c>
      <c r="H85" s="490"/>
      <c r="I85" s="17">
        <v>2014</v>
      </c>
      <c r="J85" s="1676"/>
      <c r="K85" s="18" t="s">
        <v>77</v>
      </c>
      <c r="L85" s="20" t="s">
        <v>333</v>
      </c>
      <c r="M85" s="2" t="s">
        <v>4077</v>
      </c>
      <c r="N85" s="3" t="s">
        <v>334</v>
      </c>
      <c r="O85" s="3"/>
      <c r="P85" s="4">
        <v>191497.02</v>
      </c>
      <c r="Q85" s="6">
        <v>41823</v>
      </c>
      <c r="R85" s="5">
        <v>41865</v>
      </c>
      <c r="S85" s="12">
        <v>41881</v>
      </c>
      <c r="T85" s="14" t="s">
        <v>68</v>
      </c>
      <c r="U85" s="20" t="s">
        <v>68</v>
      </c>
      <c r="V85" s="19" t="s">
        <v>114</v>
      </c>
      <c r="W85" s="64">
        <v>41837</v>
      </c>
      <c r="X85" s="111"/>
      <c r="Y85" s="20" t="s">
        <v>280</v>
      </c>
      <c r="Z85" s="9">
        <v>41829</v>
      </c>
      <c r="AA85" s="4">
        <v>48856.42</v>
      </c>
      <c r="AB85" s="4"/>
      <c r="AC85" s="34"/>
      <c r="AD85" s="36" t="s">
        <v>68</v>
      </c>
      <c r="AE85" s="119" t="s">
        <v>68</v>
      </c>
      <c r="AF85" s="119" t="s">
        <v>68</v>
      </c>
      <c r="AG85" s="7" t="s">
        <v>68</v>
      </c>
      <c r="AH85" s="235" t="s">
        <v>68</v>
      </c>
      <c r="AI85" s="35" t="s">
        <v>68</v>
      </c>
      <c r="AJ85" s="1" t="s">
        <v>68</v>
      </c>
      <c r="AK85" s="1"/>
      <c r="AL85" s="1" t="s">
        <v>68</v>
      </c>
      <c r="AM85" s="1"/>
      <c r="AN85" s="1" t="s">
        <v>68</v>
      </c>
      <c r="AO85" s="1"/>
      <c r="AP85" s="306"/>
      <c r="AQ85" s="37">
        <v>55805.66</v>
      </c>
      <c r="AR85" s="1031">
        <v>212810.42</v>
      </c>
      <c r="AS85" s="1018"/>
      <c r="AT85" s="253" t="s">
        <v>74</v>
      </c>
      <c r="AU85" s="12"/>
      <c r="AV85" s="32" t="s">
        <v>68</v>
      </c>
      <c r="AW85" s="54">
        <v>41822</v>
      </c>
      <c r="AX85" s="20"/>
      <c r="AY85" s="1"/>
      <c r="AZ85" s="1"/>
      <c r="BA85" s="18"/>
      <c r="BB85" s="32">
        <v>41853</v>
      </c>
      <c r="BC85" s="341"/>
      <c r="BD85" s="5">
        <v>38192</v>
      </c>
      <c r="BE85" s="5">
        <v>41881</v>
      </c>
      <c r="BF85" s="5">
        <v>41873</v>
      </c>
      <c r="BG85" s="38">
        <v>268616.08</v>
      </c>
      <c r="BH85" s="14" t="s">
        <v>68</v>
      </c>
      <c r="BI85" s="794" t="s">
        <v>68</v>
      </c>
      <c r="BJ85" s="795" t="s">
        <v>68</v>
      </c>
      <c r="BK85" s="795" t="s">
        <v>68</v>
      </c>
      <c r="BL85" s="794"/>
      <c r="BM85" s="794"/>
      <c r="BN85" s="794"/>
      <c r="BO85" s="794"/>
      <c r="BP85" s="794"/>
      <c r="BQ85" s="794"/>
      <c r="BR85" s="794"/>
      <c r="BS85" s="794" t="s">
        <v>68</v>
      </c>
      <c r="BT85" s="14"/>
      <c r="BU85" s="14"/>
      <c r="BV85" s="14"/>
      <c r="BW85" s="14"/>
      <c r="BX85" s="14"/>
      <c r="BY85" s="1431" t="s">
        <v>1430</v>
      </c>
      <c r="BZ85" s="40" t="s">
        <v>76</v>
      </c>
      <c r="CA85" s="563"/>
      <c r="CB85" s="563"/>
      <c r="CC85" s="563"/>
      <c r="CD85" s="563"/>
      <c r="CE85" s="563"/>
      <c r="CF85" s="563"/>
      <c r="CG85" s="563"/>
      <c r="CH85" s="13"/>
    </row>
    <row r="86" spans="2:86" customFormat="1" ht="80.099999999999994" hidden="1" customHeight="1">
      <c r="B86" s="23"/>
      <c r="C86" s="23"/>
      <c r="D86" s="23"/>
      <c r="E86" s="23"/>
      <c r="F86" s="23"/>
      <c r="G86" s="1055">
        <v>42005</v>
      </c>
      <c r="H86" s="490"/>
      <c r="I86" s="17">
        <v>2014</v>
      </c>
      <c r="J86" s="1676"/>
      <c r="K86" s="18" t="s">
        <v>77</v>
      </c>
      <c r="L86" s="20" t="s">
        <v>335</v>
      </c>
      <c r="M86" s="2" t="s">
        <v>4077</v>
      </c>
      <c r="N86" s="3" t="s">
        <v>336</v>
      </c>
      <c r="O86" s="3"/>
      <c r="P86" s="4">
        <v>278434.27</v>
      </c>
      <c r="Q86" s="6">
        <v>41823</v>
      </c>
      <c r="R86" s="5">
        <v>41848</v>
      </c>
      <c r="S86" s="12">
        <v>41912</v>
      </c>
      <c r="T86" s="14" t="s">
        <v>68</v>
      </c>
      <c r="U86" s="20" t="s">
        <v>68</v>
      </c>
      <c r="V86" s="19" t="s">
        <v>114</v>
      </c>
      <c r="W86" s="64">
        <v>41855</v>
      </c>
      <c r="X86" s="111"/>
      <c r="Y86" s="20" t="s">
        <v>280</v>
      </c>
      <c r="Z86" s="9">
        <v>41829</v>
      </c>
      <c r="AA86" s="4">
        <v>48856.42</v>
      </c>
      <c r="AB86" s="4"/>
      <c r="AC86" s="34"/>
      <c r="AD86" s="36" t="s">
        <v>68</v>
      </c>
      <c r="AE86" s="119" t="s">
        <v>68</v>
      </c>
      <c r="AF86" s="119" t="s">
        <v>68</v>
      </c>
      <c r="AG86" s="7" t="s">
        <v>68</v>
      </c>
      <c r="AH86" s="235" t="s">
        <v>68</v>
      </c>
      <c r="AI86" s="35" t="s">
        <v>68</v>
      </c>
      <c r="AJ86" s="1" t="s">
        <v>68</v>
      </c>
      <c r="AK86" s="1"/>
      <c r="AL86" s="1" t="s">
        <v>68</v>
      </c>
      <c r="AM86" s="1"/>
      <c r="AN86" s="1" t="s">
        <v>68</v>
      </c>
      <c r="AO86" s="1"/>
      <c r="AP86" s="306"/>
      <c r="AQ86" s="37">
        <v>67214.3</v>
      </c>
      <c r="AR86" s="1031">
        <v>224211.08</v>
      </c>
      <c r="AS86" s="1018"/>
      <c r="AT86" s="253" t="s">
        <v>74</v>
      </c>
      <c r="AU86" s="12"/>
      <c r="AV86" s="32" t="s">
        <v>68</v>
      </c>
      <c r="AW86" s="54">
        <v>41850</v>
      </c>
      <c r="AX86" s="20"/>
      <c r="AY86" s="1"/>
      <c r="AZ86" s="1"/>
      <c r="BA86" s="18"/>
      <c r="BB86" s="32">
        <v>41908</v>
      </c>
      <c r="BC86" s="341"/>
      <c r="BD86" s="5">
        <v>41851</v>
      </c>
      <c r="BE86" s="5">
        <v>41912</v>
      </c>
      <c r="BF86" s="5">
        <v>41906</v>
      </c>
      <c r="BG86" s="38">
        <v>291385.03000000003</v>
      </c>
      <c r="BH86" s="14" t="s">
        <v>68</v>
      </c>
      <c r="BI86" s="794" t="s">
        <v>68</v>
      </c>
      <c r="BJ86" s="795" t="s">
        <v>68</v>
      </c>
      <c r="BK86" s="795" t="s">
        <v>68</v>
      </c>
      <c r="BL86" s="794"/>
      <c r="BM86" s="794"/>
      <c r="BN86" s="794"/>
      <c r="BO86" s="794"/>
      <c r="BP86" s="794"/>
      <c r="BQ86" s="794"/>
      <c r="BR86" s="794"/>
      <c r="BS86" s="794" t="s">
        <v>68</v>
      </c>
      <c r="BT86" s="14"/>
      <c r="BU86" s="14"/>
      <c r="BV86" s="14"/>
      <c r="BW86" s="14"/>
      <c r="BX86" s="14"/>
      <c r="BY86" s="1431" t="s">
        <v>1430</v>
      </c>
      <c r="BZ86" s="40" t="s">
        <v>76</v>
      </c>
      <c r="CA86" s="563"/>
      <c r="CB86" s="563"/>
      <c r="CC86" s="563"/>
      <c r="CD86" s="563"/>
      <c r="CE86" s="563"/>
      <c r="CF86" s="563"/>
      <c r="CG86" s="563"/>
      <c r="CH86" s="13"/>
    </row>
    <row r="87" spans="2:86" customFormat="1" ht="80.099999999999994" hidden="1" customHeight="1">
      <c r="B87" s="23"/>
      <c r="C87" s="23"/>
      <c r="D87" s="23"/>
      <c r="E87" s="23"/>
      <c r="F87" s="23"/>
      <c r="G87" s="1055">
        <v>42005</v>
      </c>
      <c r="H87" s="490"/>
      <c r="I87" s="17">
        <v>2014</v>
      </c>
      <c r="J87" s="1676"/>
      <c r="K87" s="18" t="s">
        <v>77</v>
      </c>
      <c r="L87" s="20" t="s">
        <v>337</v>
      </c>
      <c r="M87" s="2" t="s">
        <v>4077</v>
      </c>
      <c r="N87" s="3" t="s">
        <v>338</v>
      </c>
      <c r="O87" s="3"/>
      <c r="P87" s="4">
        <v>231798.06</v>
      </c>
      <c r="Q87" s="6">
        <v>41823</v>
      </c>
      <c r="R87" s="5">
        <v>41862</v>
      </c>
      <c r="S87" s="12">
        <v>41912</v>
      </c>
      <c r="T87" s="14" t="s">
        <v>68</v>
      </c>
      <c r="U87" s="20" t="s">
        <v>68</v>
      </c>
      <c r="V87" s="19" t="s">
        <v>114</v>
      </c>
      <c r="W87" s="64">
        <v>41855</v>
      </c>
      <c r="X87" s="111"/>
      <c r="Y87" s="20" t="s">
        <v>280</v>
      </c>
      <c r="Z87" s="9">
        <v>41829</v>
      </c>
      <c r="AA87" s="4">
        <v>48856.42</v>
      </c>
      <c r="AB87" s="4"/>
      <c r="AC87" s="34"/>
      <c r="AD87" s="36" t="s">
        <v>68</v>
      </c>
      <c r="AE87" s="119" t="s">
        <v>68</v>
      </c>
      <c r="AF87" s="119" t="s">
        <v>68</v>
      </c>
      <c r="AG87" s="7" t="s">
        <v>68</v>
      </c>
      <c r="AH87" s="235" t="s">
        <v>68</v>
      </c>
      <c r="AI87" s="35" t="s">
        <v>68</v>
      </c>
      <c r="AJ87" s="1" t="s">
        <v>68</v>
      </c>
      <c r="AK87" s="1"/>
      <c r="AL87" s="1" t="s">
        <v>68</v>
      </c>
      <c r="AM87" s="1"/>
      <c r="AN87" s="1" t="s">
        <v>68</v>
      </c>
      <c r="AO87" s="1"/>
      <c r="AP87" s="306"/>
      <c r="AQ87" s="37">
        <v>64837.35</v>
      </c>
      <c r="AR87" s="1031">
        <v>174076.95</v>
      </c>
      <c r="AS87" s="1018"/>
      <c r="AT87" s="253" t="s">
        <v>74</v>
      </c>
      <c r="AU87" s="12"/>
      <c r="AV87" s="32" t="s">
        <v>68</v>
      </c>
      <c r="AW87" s="54">
        <v>41850</v>
      </c>
      <c r="AX87" s="20"/>
      <c r="AY87" s="1"/>
      <c r="AZ87" s="1"/>
      <c r="BA87" s="18"/>
      <c r="BB87" s="32">
        <v>41908</v>
      </c>
      <c r="BC87" s="341"/>
      <c r="BD87" s="5">
        <v>41867</v>
      </c>
      <c r="BE87" s="5">
        <v>41912</v>
      </c>
      <c r="BF87" s="5">
        <v>41902</v>
      </c>
      <c r="BG87" s="38">
        <v>41912</v>
      </c>
      <c r="BH87" s="14" t="s">
        <v>68</v>
      </c>
      <c r="BI87" s="794" t="s">
        <v>68</v>
      </c>
      <c r="BJ87" s="795" t="s">
        <v>68</v>
      </c>
      <c r="BK87" s="795" t="s">
        <v>68</v>
      </c>
      <c r="BL87" s="794"/>
      <c r="BM87" s="794"/>
      <c r="BN87" s="794"/>
      <c r="BO87" s="794"/>
      <c r="BP87" s="794"/>
      <c r="BQ87" s="794"/>
      <c r="BR87" s="794"/>
      <c r="BS87" s="794" t="s">
        <v>68</v>
      </c>
      <c r="BT87" s="14"/>
      <c r="BU87" s="14"/>
      <c r="BV87" s="14"/>
      <c r="BW87" s="14"/>
      <c r="BX87" s="14"/>
      <c r="BY87" s="1431" t="s">
        <v>1430</v>
      </c>
      <c r="BZ87" s="40" t="s">
        <v>76</v>
      </c>
      <c r="CA87" s="563"/>
      <c r="CB87" s="563"/>
      <c r="CC87" s="563"/>
      <c r="CD87" s="563"/>
      <c r="CE87" s="563"/>
      <c r="CF87" s="563"/>
      <c r="CG87" s="563"/>
      <c r="CH87" s="13"/>
    </row>
    <row r="88" spans="2:86" customFormat="1" ht="80.099999999999994" hidden="1" customHeight="1">
      <c r="B88" s="23"/>
      <c r="C88" s="23"/>
      <c r="D88" s="23"/>
      <c r="E88" s="23"/>
      <c r="F88" s="23"/>
      <c r="G88" s="1055">
        <v>42005</v>
      </c>
      <c r="H88" s="490">
        <v>42979</v>
      </c>
      <c r="I88" s="17">
        <v>2014</v>
      </c>
      <c r="J88" s="1676"/>
      <c r="K88" s="19" t="s">
        <v>166</v>
      </c>
      <c r="L88" s="20" t="s">
        <v>339</v>
      </c>
      <c r="M88" s="2" t="s">
        <v>79</v>
      </c>
      <c r="N88" s="3" t="s">
        <v>340</v>
      </c>
      <c r="O88" s="3"/>
      <c r="P88" s="4">
        <v>425152.03</v>
      </c>
      <c r="Q88" s="6">
        <v>41901</v>
      </c>
      <c r="R88" s="5">
        <v>41904</v>
      </c>
      <c r="S88" s="12">
        <v>41941</v>
      </c>
      <c r="T88" s="64">
        <v>41901</v>
      </c>
      <c r="U88" s="35" t="s">
        <v>256</v>
      </c>
      <c r="V88" s="19" t="s">
        <v>70</v>
      </c>
      <c r="W88" s="220" t="s">
        <v>68</v>
      </c>
      <c r="X88" s="406"/>
      <c r="Y88" s="20" t="s">
        <v>294</v>
      </c>
      <c r="Z88" s="9">
        <v>41876</v>
      </c>
      <c r="AA88" s="4">
        <v>532441.55000000005</v>
      </c>
      <c r="AB88" s="4"/>
      <c r="AC88" s="34"/>
      <c r="AD88" s="36" t="s">
        <v>68</v>
      </c>
      <c r="AE88" s="119" t="s">
        <v>68</v>
      </c>
      <c r="AF88" s="119" t="s">
        <v>68</v>
      </c>
      <c r="AG88" s="7" t="s">
        <v>68</v>
      </c>
      <c r="AH88" s="235" t="s">
        <v>68</v>
      </c>
      <c r="AI88" s="35"/>
      <c r="AJ88" s="1"/>
      <c r="AK88" s="1"/>
      <c r="AL88" s="1"/>
      <c r="AM88" s="1"/>
      <c r="AN88" s="1"/>
      <c r="AO88" s="1"/>
      <c r="AP88" s="306"/>
      <c r="AQ88" s="240">
        <v>0</v>
      </c>
      <c r="AR88" s="1030">
        <f>BG88</f>
        <v>0</v>
      </c>
      <c r="AS88" s="1017"/>
      <c r="AT88" s="253" t="s">
        <v>74</v>
      </c>
      <c r="AU88" s="12"/>
      <c r="AV88" s="243" t="s">
        <v>68</v>
      </c>
      <c r="AW88" s="244" t="s">
        <v>68</v>
      </c>
      <c r="AX88" s="20"/>
      <c r="AY88" s="1"/>
      <c r="AZ88" s="1"/>
      <c r="BA88" s="18"/>
      <c r="BB88" s="20"/>
      <c r="BC88" s="13"/>
      <c r="BD88" s="1"/>
      <c r="BE88" s="1"/>
      <c r="BF88" s="1"/>
      <c r="BG88" s="38"/>
      <c r="BH88" s="14"/>
      <c r="BI88" s="794" t="s">
        <v>68</v>
      </c>
      <c r="BJ88" s="795" t="s">
        <v>68</v>
      </c>
      <c r="BK88" s="795" t="s">
        <v>68</v>
      </c>
      <c r="BL88" s="794"/>
      <c r="BM88" s="794"/>
      <c r="BN88" s="794"/>
      <c r="BO88" s="794"/>
      <c r="BP88" s="794"/>
      <c r="BQ88" s="794"/>
      <c r="BR88" s="794"/>
      <c r="BS88" s="794" t="s">
        <v>68</v>
      </c>
      <c r="BT88" s="14"/>
      <c r="BU88" s="14"/>
      <c r="BV88" s="14"/>
      <c r="BW88" s="14"/>
      <c r="BX88" s="14"/>
      <c r="BY88" s="1431" t="s">
        <v>1430</v>
      </c>
      <c r="BZ88" s="40" t="s">
        <v>76</v>
      </c>
      <c r="CA88" s="563"/>
      <c r="CB88" s="563"/>
      <c r="CC88" s="563"/>
      <c r="CD88" s="563"/>
      <c r="CE88" s="563"/>
      <c r="CF88" s="563"/>
      <c r="CG88" s="563"/>
      <c r="CH88" s="13"/>
    </row>
    <row r="89" spans="2:86" customFormat="1" ht="80.099999999999994" hidden="1" customHeight="1">
      <c r="B89" s="23"/>
      <c r="C89" s="23"/>
      <c r="D89" s="23"/>
      <c r="E89" s="23"/>
      <c r="F89" s="23"/>
      <c r="G89" s="1055">
        <v>42005</v>
      </c>
      <c r="H89" s="490"/>
      <c r="I89" s="17">
        <v>2014</v>
      </c>
      <c r="J89" s="1676"/>
      <c r="K89" s="19" t="s">
        <v>166</v>
      </c>
      <c r="L89" s="20" t="s">
        <v>341</v>
      </c>
      <c r="M89" s="2" t="s">
        <v>4077</v>
      </c>
      <c r="N89" s="3" t="s">
        <v>342</v>
      </c>
      <c r="O89" s="3"/>
      <c r="P89" s="4">
        <v>40000</v>
      </c>
      <c r="Q89" s="6">
        <v>41974</v>
      </c>
      <c r="R89" s="5">
        <v>41976</v>
      </c>
      <c r="S89" s="12">
        <v>41997</v>
      </c>
      <c r="T89" s="14" t="s">
        <v>68</v>
      </c>
      <c r="U89" s="20" t="s">
        <v>68</v>
      </c>
      <c r="V89" s="19" t="s">
        <v>70</v>
      </c>
      <c r="W89" s="220" t="s">
        <v>68</v>
      </c>
      <c r="X89" s="406"/>
      <c r="Y89" s="20" t="s">
        <v>343</v>
      </c>
      <c r="Z89" s="9">
        <v>41970</v>
      </c>
      <c r="AA89" s="4">
        <v>40000</v>
      </c>
      <c r="AB89" s="4"/>
      <c r="AC89" s="34"/>
      <c r="AD89" s="36" t="s">
        <v>68</v>
      </c>
      <c r="AE89" s="119" t="s">
        <v>68</v>
      </c>
      <c r="AF89" s="119" t="s">
        <v>68</v>
      </c>
      <c r="AG89" s="7" t="s">
        <v>68</v>
      </c>
      <c r="AH89" s="235" t="s">
        <v>68</v>
      </c>
      <c r="AI89" s="35" t="s">
        <v>68</v>
      </c>
      <c r="AJ89" s="1" t="s">
        <v>68</v>
      </c>
      <c r="AK89" s="1"/>
      <c r="AL89" s="1" t="s">
        <v>68</v>
      </c>
      <c r="AM89" s="1"/>
      <c r="AN89" s="1" t="s">
        <v>68</v>
      </c>
      <c r="AO89" s="1"/>
      <c r="AP89" s="306"/>
      <c r="AQ89" s="240">
        <v>0</v>
      </c>
      <c r="AR89" s="1030">
        <f>BG89</f>
        <v>0</v>
      </c>
      <c r="AS89" s="1017"/>
      <c r="AT89" s="253" t="s">
        <v>74</v>
      </c>
      <c r="AU89" s="12"/>
      <c r="AV89" s="243" t="s">
        <v>68</v>
      </c>
      <c r="AW89" s="54"/>
      <c r="AX89" s="20"/>
      <c r="AY89" s="1"/>
      <c r="AZ89" s="1"/>
      <c r="BA89" s="18"/>
      <c r="BB89" s="20"/>
      <c r="BC89" s="13"/>
      <c r="BD89" s="1"/>
      <c r="BE89" s="1"/>
      <c r="BF89" s="1"/>
      <c r="BG89" s="38"/>
      <c r="BH89" s="14" t="s">
        <v>68</v>
      </c>
      <c r="BI89" s="794" t="s">
        <v>68</v>
      </c>
      <c r="BJ89" s="795" t="s">
        <v>68</v>
      </c>
      <c r="BK89" s="795" t="s">
        <v>68</v>
      </c>
      <c r="BL89" s="794"/>
      <c r="BM89" s="794"/>
      <c r="BN89" s="794"/>
      <c r="BO89" s="794"/>
      <c r="BP89" s="794"/>
      <c r="BQ89" s="794"/>
      <c r="BR89" s="794"/>
      <c r="BS89" s="794" t="s">
        <v>68</v>
      </c>
      <c r="BT89" s="14"/>
      <c r="BU89" s="14"/>
      <c r="BV89" s="14"/>
      <c r="BW89" s="14"/>
      <c r="BX89" s="14"/>
      <c r="BY89" s="1431" t="s">
        <v>1430</v>
      </c>
      <c r="BZ89" s="40" t="s">
        <v>76</v>
      </c>
      <c r="CA89" s="563"/>
      <c r="CB89" s="563"/>
      <c r="CC89" s="563"/>
      <c r="CD89" s="563"/>
      <c r="CE89" s="563"/>
      <c r="CF89" s="563"/>
      <c r="CG89" s="563"/>
      <c r="CH89" s="13"/>
    </row>
    <row r="90" spans="2:86" customFormat="1" ht="80.099999999999994" hidden="1" customHeight="1">
      <c r="B90" s="23"/>
      <c r="C90" s="23"/>
      <c r="D90" s="23"/>
      <c r="E90" s="23"/>
      <c r="F90" s="23"/>
      <c r="G90" s="1055">
        <v>42005</v>
      </c>
      <c r="H90" s="490"/>
      <c r="I90" s="17">
        <v>2014</v>
      </c>
      <c r="J90" s="1676"/>
      <c r="K90" s="19" t="s">
        <v>166</v>
      </c>
      <c r="L90" s="20" t="s">
        <v>344</v>
      </c>
      <c r="M90" s="2" t="s">
        <v>4077</v>
      </c>
      <c r="N90" s="3" t="s">
        <v>345</v>
      </c>
      <c r="O90" s="3"/>
      <c r="P90" s="4">
        <v>15000</v>
      </c>
      <c r="Q90" s="6">
        <v>41974</v>
      </c>
      <c r="R90" s="5">
        <v>41981</v>
      </c>
      <c r="S90" s="12">
        <v>41995</v>
      </c>
      <c r="T90" s="14" t="s">
        <v>68</v>
      </c>
      <c r="U90" s="20" t="s">
        <v>68</v>
      </c>
      <c r="V90" s="19"/>
      <c r="W90" s="220" t="s">
        <v>68</v>
      </c>
      <c r="X90" s="406"/>
      <c r="Y90" s="20" t="s">
        <v>346</v>
      </c>
      <c r="Z90" s="9">
        <v>41988</v>
      </c>
      <c r="AA90" s="4">
        <v>15000</v>
      </c>
      <c r="AB90" s="4"/>
      <c r="AC90" s="34"/>
      <c r="AD90" s="36" t="s">
        <v>68</v>
      </c>
      <c r="AE90" s="119" t="s">
        <v>68</v>
      </c>
      <c r="AF90" s="119" t="s">
        <v>68</v>
      </c>
      <c r="AG90" s="7" t="s">
        <v>68</v>
      </c>
      <c r="AH90" s="235" t="s">
        <v>68</v>
      </c>
      <c r="AI90" s="35" t="s">
        <v>68</v>
      </c>
      <c r="AJ90" s="1" t="s">
        <v>68</v>
      </c>
      <c r="AK90" s="1"/>
      <c r="AL90" s="1" t="s">
        <v>68</v>
      </c>
      <c r="AM90" s="1"/>
      <c r="AN90" s="1" t="s">
        <v>68</v>
      </c>
      <c r="AO90" s="1"/>
      <c r="AP90" s="306"/>
      <c r="AQ90" s="240">
        <v>0</v>
      </c>
      <c r="AR90" s="1030">
        <f>BG90</f>
        <v>0</v>
      </c>
      <c r="AS90" s="1017"/>
      <c r="AT90" s="32" t="s">
        <v>68</v>
      </c>
      <c r="AU90" s="12" t="s">
        <v>68</v>
      </c>
      <c r="AV90" s="243" t="s">
        <v>68</v>
      </c>
      <c r="AW90" s="54" t="s">
        <v>68</v>
      </c>
      <c r="AX90" s="20" t="s">
        <v>68</v>
      </c>
      <c r="AY90" s="1"/>
      <c r="AZ90" s="1"/>
      <c r="BA90" s="18"/>
      <c r="BB90" s="20"/>
      <c r="BC90" s="13"/>
      <c r="BD90" s="1"/>
      <c r="BE90" s="1"/>
      <c r="BF90" s="1"/>
      <c r="BG90" s="38"/>
      <c r="BH90" s="14" t="s">
        <v>68</v>
      </c>
      <c r="BI90" s="794" t="s">
        <v>68</v>
      </c>
      <c r="BJ90" s="795" t="s">
        <v>68</v>
      </c>
      <c r="BK90" s="795" t="s">
        <v>68</v>
      </c>
      <c r="BL90" s="794"/>
      <c r="BM90" s="794"/>
      <c r="BN90" s="794"/>
      <c r="BO90" s="794"/>
      <c r="BP90" s="794"/>
      <c r="BQ90" s="794"/>
      <c r="BR90" s="794"/>
      <c r="BS90" s="794" t="s">
        <v>68</v>
      </c>
      <c r="BT90" s="14"/>
      <c r="BU90" s="14"/>
      <c r="BV90" s="14"/>
      <c r="BW90" s="14"/>
      <c r="BX90" s="14"/>
      <c r="BY90" s="1431" t="s">
        <v>1430</v>
      </c>
      <c r="BZ90" s="40" t="s">
        <v>76</v>
      </c>
      <c r="CA90" s="563"/>
      <c r="CB90" s="563"/>
      <c r="CC90" s="563"/>
      <c r="CD90" s="563"/>
      <c r="CE90" s="563"/>
      <c r="CF90" s="563"/>
      <c r="CG90" s="563"/>
      <c r="CH90" s="13"/>
    </row>
    <row r="91" spans="2:86" customFormat="1" ht="80.099999999999994" hidden="1" customHeight="1">
      <c r="B91" s="23"/>
      <c r="C91" s="23"/>
      <c r="D91" s="23"/>
      <c r="E91" s="23"/>
      <c r="F91" s="23"/>
      <c r="G91" s="1055">
        <v>42005</v>
      </c>
      <c r="H91" s="490"/>
      <c r="I91" s="17">
        <v>2014</v>
      </c>
      <c r="J91" s="1676"/>
      <c r="K91" s="19" t="s">
        <v>166</v>
      </c>
      <c r="L91" s="20" t="s">
        <v>347</v>
      </c>
      <c r="M91" s="2" t="s">
        <v>4077</v>
      </c>
      <c r="N91" s="3" t="s">
        <v>348</v>
      </c>
      <c r="O91" s="3"/>
      <c r="P91" s="4">
        <v>15000</v>
      </c>
      <c r="Q91" s="6">
        <v>41974</v>
      </c>
      <c r="R91" s="5">
        <v>41981</v>
      </c>
      <c r="S91" s="12">
        <v>41988</v>
      </c>
      <c r="T91" s="14" t="s">
        <v>68</v>
      </c>
      <c r="U91" s="20" t="s">
        <v>68</v>
      </c>
      <c r="V91" s="19"/>
      <c r="W91" s="220" t="s">
        <v>68</v>
      </c>
      <c r="X91" s="406"/>
      <c r="Y91" s="20" t="s">
        <v>349</v>
      </c>
      <c r="Z91" s="9">
        <v>41988</v>
      </c>
      <c r="AA91" s="4">
        <v>15000</v>
      </c>
      <c r="AB91" s="4"/>
      <c r="AC91" s="34"/>
      <c r="AD91" s="36" t="s">
        <v>68</v>
      </c>
      <c r="AE91" s="119" t="s">
        <v>68</v>
      </c>
      <c r="AF91" s="119" t="s">
        <v>68</v>
      </c>
      <c r="AG91" s="7" t="s">
        <v>68</v>
      </c>
      <c r="AH91" s="235" t="s">
        <v>68</v>
      </c>
      <c r="AI91" s="35" t="s">
        <v>68</v>
      </c>
      <c r="AJ91" s="1" t="s">
        <v>68</v>
      </c>
      <c r="AK91" s="1"/>
      <c r="AL91" s="1" t="s">
        <v>68</v>
      </c>
      <c r="AM91" s="1"/>
      <c r="AN91" s="1" t="s">
        <v>68</v>
      </c>
      <c r="AO91" s="1"/>
      <c r="AP91" s="306"/>
      <c r="AQ91" s="37">
        <v>0</v>
      </c>
      <c r="AR91" s="1031">
        <v>0</v>
      </c>
      <c r="AS91" s="1018"/>
      <c r="AT91" s="253" t="s">
        <v>74</v>
      </c>
      <c r="AU91" s="12"/>
      <c r="AV91" s="243" t="s">
        <v>68</v>
      </c>
      <c r="AW91" s="54"/>
      <c r="AX91" s="20"/>
      <c r="AY91" s="1"/>
      <c r="AZ91" s="1"/>
      <c r="BA91" s="18"/>
      <c r="BB91" s="20"/>
      <c r="BC91" s="13"/>
      <c r="BD91" s="1"/>
      <c r="BE91" s="1"/>
      <c r="BF91" s="1"/>
      <c r="BG91" s="38"/>
      <c r="BH91" s="14"/>
      <c r="BI91" s="794" t="s">
        <v>68</v>
      </c>
      <c r="BJ91" s="795" t="s">
        <v>68</v>
      </c>
      <c r="BK91" s="795" t="s">
        <v>68</v>
      </c>
      <c r="BL91" s="794"/>
      <c r="BM91" s="794"/>
      <c r="BN91" s="794"/>
      <c r="BO91" s="794"/>
      <c r="BP91" s="794"/>
      <c r="BQ91" s="794"/>
      <c r="BR91" s="794"/>
      <c r="BS91" s="794" t="s">
        <v>68</v>
      </c>
      <c r="BT91" s="14"/>
      <c r="BU91" s="14"/>
      <c r="BV91" s="14"/>
      <c r="BW91" s="14"/>
      <c r="BX91" s="14"/>
      <c r="BY91" s="1431" t="s">
        <v>1430</v>
      </c>
      <c r="BZ91" s="40" t="s">
        <v>76</v>
      </c>
      <c r="CA91" s="563"/>
      <c r="CB91" s="563"/>
      <c r="CC91" s="563"/>
      <c r="CD91" s="563"/>
      <c r="CE91" s="563"/>
      <c r="CF91" s="563"/>
      <c r="CG91" s="563"/>
      <c r="CH91" s="13"/>
    </row>
    <row r="92" spans="2:86" customFormat="1" ht="80.099999999999994" hidden="1" customHeight="1">
      <c r="B92" s="23"/>
      <c r="C92" s="23"/>
      <c r="D92" s="23"/>
      <c r="E92" s="23"/>
      <c r="F92" s="23"/>
      <c r="G92" s="1055">
        <v>42005</v>
      </c>
      <c r="H92" s="490" t="s">
        <v>68</v>
      </c>
      <c r="I92" s="17">
        <v>2014</v>
      </c>
      <c r="J92" s="1676"/>
      <c r="K92" s="19" t="s">
        <v>247</v>
      </c>
      <c r="L92" s="20" t="s">
        <v>350</v>
      </c>
      <c r="M92" s="2" t="s">
        <v>350</v>
      </c>
      <c r="N92" s="3" t="s">
        <v>351</v>
      </c>
      <c r="O92" s="3"/>
      <c r="P92" s="4" t="s">
        <v>68</v>
      </c>
      <c r="Q92" s="6" t="s">
        <v>68</v>
      </c>
      <c r="R92" s="5" t="s">
        <v>68</v>
      </c>
      <c r="S92" s="12" t="s">
        <v>68</v>
      </c>
      <c r="T92" s="14" t="s">
        <v>68</v>
      </c>
      <c r="U92" s="35" t="s">
        <v>352</v>
      </c>
      <c r="V92" s="19" t="s">
        <v>352</v>
      </c>
      <c r="W92" s="220" t="s">
        <v>68</v>
      </c>
      <c r="X92" s="406"/>
      <c r="Y92" s="20"/>
      <c r="Z92" s="9"/>
      <c r="AA92" s="4">
        <v>1206603.23</v>
      </c>
      <c r="AB92" s="4"/>
      <c r="AC92" s="34"/>
      <c r="AD92" s="36" t="s">
        <v>68</v>
      </c>
      <c r="AE92" s="119" t="s">
        <v>68</v>
      </c>
      <c r="AF92" s="119" t="s">
        <v>68</v>
      </c>
      <c r="AG92" s="7" t="s">
        <v>68</v>
      </c>
      <c r="AH92" s="235" t="s">
        <v>68</v>
      </c>
      <c r="AI92" s="35" t="s">
        <v>68</v>
      </c>
      <c r="AJ92" s="1" t="s">
        <v>68</v>
      </c>
      <c r="AK92" s="1"/>
      <c r="AL92" s="1" t="s">
        <v>68</v>
      </c>
      <c r="AM92" s="1"/>
      <c r="AN92" s="1" t="s">
        <v>68</v>
      </c>
      <c r="AO92" s="1"/>
      <c r="AP92" s="306"/>
      <c r="AQ92" s="37" t="s">
        <v>68</v>
      </c>
      <c r="AR92" s="1031" t="s">
        <v>68</v>
      </c>
      <c r="AS92" s="1018"/>
      <c r="AT92" s="32" t="s">
        <v>68</v>
      </c>
      <c r="AU92" s="12" t="s">
        <v>68</v>
      </c>
      <c r="AV92" s="243" t="s">
        <v>68</v>
      </c>
      <c r="AW92" s="244" t="s">
        <v>68</v>
      </c>
      <c r="AX92" s="20" t="s">
        <v>68</v>
      </c>
      <c r="AY92" s="1"/>
      <c r="AZ92" s="1"/>
      <c r="BA92" s="18"/>
      <c r="BB92" s="20" t="s">
        <v>68</v>
      </c>
      <c r="BC92" s="13"/>
      <c r="BD92" s="1"/>
      <c r="BE92" s="1"/>
      <c r="BF92" s="1"/>
      <c r="BG92" s="38"/>
      <c r="BH92" s="14" t="s">
        <v>68</v>
      </c>
      <c r="BI92" s="794" t="s">
        <v>68</v>
      </c>
      <c r="BJ92" s="795" t="s">
        <v>68</v>
      </c>
      <c r="BK92" s="795" t="s">
        <v>68</v>
      </c>
      <c r="BL92" s="794"/>
      <c r="BM92" s="794"/>
      <c r="BN92" s="794"/>
      <c r="BO92" s="794"/>
      <c r="BP92" s="794"/>
      <c r="BQ92" s="794"/>
      <c r="BR92" s="794"/>
      <c r="BS92" s="794" t="s">
        <v>68</v>
      </c>
      <c r="BT92" s="14"/>
      <c r="BU92" s="14"/>
      <c r="BV92" s="14"/>
      <c r="BW92" s="14"/>
      <c r="BX92" s="14"/>
      <c r="BY92" s="1431" t="s">
        <v>1430</v>
      </c>
      <c r="BZ92" s="40" t="s">
        <v>76</v>
      </c>
      <c r="CA92" s="563"/>
      <c r="CB92" s="563"/>
      <c r="CC92" s="563"/>
      <c r="CD92" s="563"/>
      <c r="CE92" s="563"/>
      <c r="CF92" s="563"/>
      <c r="CG92" s="563"/>
      <c r="CH92" s="13"/>
    </row>
    <row r="93" spans="2:86" customFormat="1" ht="80.099999999999994" hidden="1" customHeight="1">
      <c r="B93" s="23"/>
      <c r="C93" s="23"/>
      <c r="D93" s="23"/>
      <c r="E93" s="23"/>
      <c r="F93" s="23"/>
      <c r="G93" s="1055">
        <v>42005</v>
      </c>
      <c r="H93" s="490" t="s">
        <v>68</v>
      </c>
      <c r="I93" s="17">
        <v>2014</v>
      </c>
      <c r="J93" s="1676"/>
      <c r="K93" s="19" t="s">
        <v>247</v>
      </c>
      <c r="L93" s="20" t="s">
        <v>350</v>
      </c>
      <c r="M93" s="2" t="s">
        <v>350</v>
      </c>
      <c r="N93" s="3" t="s">
        <v>353</v>
      </c>
      <c r="O93" s="3"/>
      <c r="P93" s="4" t="s">
        <v>68</v>
      </c>
      <c r="Q93" s="6" t="s">
        <v>68</v>
      </c>
      <c r="R93" s="5" t="s">
        <v>68</v>
      </c>
      <c r="S93" s="12" t="s">
        <v>68</v>
      </c>
      <c r="T93" s="14" t="s">
        <v>68</v>
      </c>
      <c r="U93" s="35" t="s">
        <v>352</v>
      </c>
      <c r="V93" s="19" t="s">
        <v>352</v>
      </c>
      <c r="W93" s="220" t="s">
        <v>68</v>
      </c>
      <c r="X93" s="406"/>
      <c r="Y93" s="20"/>
      <c r="Z93" s="9"/>
      <c r="AA93" s="4">
        <v>2293183.36</v>
      </c>
      <c r="AB93" s="4"/>
      <c r="AC93" s="34"/>
      <c r="AD93" s="36" t="s">
        <v>68</v>
      </c>
      <c r="AE93" s="119" t="s">
        <v>68</v>
      </c>
      <c r="AF93" s="119" t="s">
        <v>68</v>
      </c>
      <c r="AG93" s="7" t="s">
        <v>68</v>
      </c>
      <c r="AH93" s="235" t="s">
        <v>68</v>
      </c>
      <c r="AI93" s="35" t="s">
        <v>68</v>
      </c>
      <c r="AJ93" s="1" t="s">
        <v>68</v>
      </c>
      <c r="AK93" s="1"/>
      <c r="AL93" s="1" t="s">
        <v>68</v>
      </c>
      <c r="AM93" s="1"/>
      <c r="AN93" s="1" t="s">
        <v>68</v>
      </c>
      <c r="AO93" s="1"/>
      <c r="AP93" s="306"/>
      <c r="AQ93" s="37" t="s">
        <v>68</v>
      </c>
      <c r="AR93" s="1031" t="s">
        <v>68</v>
      </c>
      <c r="AS93" s="1018"/>
      <c r="AT93" s="32" t="s">
        <v>68</v>
      </c>
      <c r="AU93" s="12" t="s">
        <v>68</v>
      </c>
      <c r="AV93" s="243" t="s">
        <v>68</v>
      </c>
      <c r="AW93" s="244" t="s">
        <v>68</v>
      </c>
      <c r="AX93" s="20" t="s">
        <v>68</v>
      </c>
      <c r="AY93" s="1"/>
      <c r="AZ93" s="1"/>
      <c r="BA93" s="18"/>
      <c r="BB93" s="20" t="s">
        <v>68</v>
      </c>
      <c r="BC93" s="13"/>
      <c r="BD93" s="1"/>
      <c r="BE93" s="1"/>
      <c r="BF93" s="1"/>
      <c r="BG93" s="38"/>
      <c r="BH93" s="14" t="s">
        <v>68</v>
      </c>
      <c r="BI93" s="794" t="s">
        <v>68</v>
      </c>
      <c r="BJ93" s="795" t="s">
        <v>68</v>
      </c>
      <c r="BK93" s="795" t="s">
        <v>68</v>
      </c>
      <c r="BL93" s="794"/>
      <c r="BM93" s="794"/>
      <c r="BN93" s="794"/>
      <c r="BO93" s="794"/>
      <c r="BP93" s="794"/>
      <c r="BQ93" s="794"/>
      <c r="BR93" s="794"/>
      <c r="BS93" s="794" t="s">
        <v>68</v>
      </c>
      <c r="BT93" s="14"/>
      <c r="BU93" s="14"/>
      <c r="BV93" s="14"/>
      <c r="BW93" s="14"/>
      <c r="BX93" s="14"/>
      <c r="BY93" s="1431" t="s">
        <v>1430</v>
      </c>
      <c r="BZ93" s="40" t="s">
        <v>76</v>
      </c>
      <c r="CA93" s="563"/>
      <c r="CB93" s="563"/>
      <c r="CC93" s="563"/>
      <c r="CD93" s="563"/>
      <c r="CE93" s="563"/>
      <c r="CF93" s="563"/>
      <c r="CG93" s="563"/>
      <c r="CH93" s="13"/>
    </row>
    <row r="94" spans="2:86" customFormat="1" ht="80.099999999999994" hidden="1" customHeight="1" thickBot="1">
      <c r="B94" s="23"/>
      <c r="C94" s="23"/>
      <c r="D94" s="23"/>
      <c r="E94" s="23"/>
      <c r="F94" s="23"/>
      <c r="G94" s="1055">
        <v>42005</v>
      </c>
      <c r="H94" s="490" t="s">
        <v>68</v>
      </c>
      <c r="I94" s="17">
        <v>2014</v>
      </c>
      <c r="J94" s="1676"/>
      <c r="K94" s="19" t="s">
        <v>247</v>
      </c>
      <c r="L94" s="20" t="s">
        <v>350</v>
      </c>
      <c r="M94" s="2" t="s">
        <v>350</v>
      </c>
      <c r="N94" s="3" t="s">
        <v>354</v>
      </c>
      <c r="O94" s="3"/>
      <c r="P94" s="4" t="s">
        <v>68</v>
      </c>
      <c r="Q94" s="6" t="s">
        <v>68</v>
      </c>
      <c r="R94" s="5" t="s">
        <v>68</v>
      </c>
      <c r="S94" s="12" t="s">
        <v>68</v>
      </c>
      <c r="T94" s="14" t="s">
        <v>68</v>
      </c>
      <c r="U94" s="35" t="s">
        <v>352</v>
      </c>
      <c r="V94" s="19" t="s">
        <v>352</v>
      </c>
      <c r="W94" s="220" t="s">
        <v>68</v>
      </c>
      <c r="X94" s="406"/>
      <c r="Y94" s="20"/>
      <c r="Z94" s="9"/>
      <c r="AA94" s="4">
        <v>1179678.05</v>
      </c>
      <c r="AB94" s="4"/>
      <c r="AC94" s="34"/>
      <c r="AD94" s="36" t="s">
        <v>68</v>
      </c>
      <c r="AE94" s="119" t="s">
        <v>68</v>
      </c>
      <c r="AF94" s="119" t="s">
        <v>68</v>
      </c>
      <c r="AG94" s="7" t="s">
        <v>68</v>
      </c>
      <c r="AH94" s="235" t="s">
        <v>68</v>
      </c>
      <c r="AI94" s="191" t="s">
        <v>68</v>
      </c>
      <c r="AJ94" s="268" t="s">
        <v>68</v>
      </c>
      <c r="AK94" s="268"/>
      <c r="AL94" s="268" t="s">
        <v>68</v>
      </c>
      <c r="AM94" s="268"/>
      <c r="AN94" s="268" t="s">
        <v>68</v>
      </c>
      <c r="AO94" s="268"/>
      <c r="AP94" s="309"/>
      <c r="AQ94" s="274" t="s">
        <v>68</v>
      </c>
      <c r="AR94" s="1033" t="s">
        <v>68</v>
      </c>
      <c r="AS94" s="1020"/>
      <c r="AT94" s="276" t="s">
        <v>68</v>
      </c>
      <c r="AU94" s="190" t="s">
        <v>68</v>
      </c>
      <c r="AV94" s="243" t="s">
        <v>68</v>
      </c>
      <c r="AW94" s="244" t="s">
        <v>68</v>
      </c>
      <c r="AX94" s="184" t="s">
        <v>68</v>
      </c>
      <c r="AY94" s="268"/>
      <c r="AZ94" s="268"/>
      <c r="BA94" s="269"/>
      <c r="BB94" s="184" t="s">
        <v>68</v>
      </c>
      <c r="BC94" s="16"/>
      <c r="BD94" s="268"/>
      <c r="BE94" s="268"/>
      <c r="BF94" s="268"/>
      <c r="BG94" s="275"/>
      <c r="BH94" s="283" t="s">
        <v>68</v>
      </c>
      <c r="BI94" s="794" t="s">
        <v>68</v>
      </c>
      <c r="BJ94" s="795" t="s">
        <v>68</v>
      </c>
      <c r="BK94" s="795" t="s">
        <v>68</v>
      </c>
      <c r="BL94" s="794"/>
      <c r="BM94" s="794"/>
      <c r="BN94" s="794"/>
      <c r="BO94" s="794"/>
      <c r="BP94" s="794"/>
      <c r="BQ94" s="794"/>
      <c r="BR94" s="794"/>
      <c r="BS94" s="794" t="s">
        <v>68</v>
      </c>
      <c r="BT94" s="14"/>
      <c r="BU94" s="14"/>
      <c r="BV94" s="14"/>
      <c r="BW94" s="14"/>
      <c r="BX94" s="14"/>
      <c r="BY94" s="1431" t="s">
        <v>1430</v>
      </c>
      <c r="BZ94" s="40" t="s">
        <v>76</v>
      </c>
      <c r="CA94" s="563"/>
      <c r="CB94" s="563"/>
      <c r="CC94" s="563"/>
      <c r="CD94" s="563"/>
      <c r="CE94" s="563"/>
      <c r="CF94" s="563"/>
      <c r="CG94" s="563"/>
      <c r="CH94" s="13"/>
    </row>
    <row r="95" spans="2:86" customFormat="1" ht="80.099999999999994" hidden="1" customHeight="1" thickTop="1">
      <c r="B95" s="23"/>
      <c r="C95" s="23"/>
      <c r="D95" s="23"/>
      <c r="E95" s="23"/>
      <c r="F95" s="23"/>
      <c r="G95" s="1055">
        <v>42005</v>
      </c>
      <c r="H95" s="490">
        <v>43048</v>
      </c>
      <c r="I95" s="17">
        <v>2015</v>
      </c>
      <c r="J95" s="1676"/>
      <c r="K95" s="18" t="s">
        <v>77</v>
      </c>
      <c r="L95" s="20" t="s">
        <v>355</v>
      </c>
      <c r="M95" s="2" t="s">
        <v>79</v>
      </c>
      <c r="N95" s="3" t="s">
        <v>356</v>
      </c>
      <c r="O95" s="3"/>
      <c r="P95" s="4">
        <v>265913.18</v>
      </c>
      <c r="Q95" s="6">
        <v>42010</v>
      </c>
      <c r="R95" s="5">
        <v>42016</v>
      </c>
      <c r="S95" s="12">
        <v>42030</v>
      </c>
      <c r="T95" s="64">
        <v>42010</v>
      </c>
      <c r="U95" s="35" t="s">
        <v>357</v>
      </c>
      <c r="V95" s="19" t="s">
        <v>114</v>
      </c>
      <c r="W95" s="216">
        <v>42220</v>
      </c>
      <c r="X95" s="578"/>
      <c r="Y95" s="124" t="s">
        <v>74</v>
      </c>
      <c r="Z95" s="9"/>
      <c r="AA95" s="4"/>
      <c r="AB95" s="4"/>
      <c r="AC95" s="34"/>
      <c r="AD95" s="36" t="s">
        <v>68</v>
      </c>
      <c r="AE95" s="119" t="s">
        <v>68</v>
      </c>
      <c r="AF95" s="119" t="s">
        <v>68</v>
      </c>
      <c r="AG95" s="7" t="s">
        <v>68</v>
      </c>
      <c r="AH95" s="235" t="s">
        <v>68</v>
      </c>
      <c r="AI95" s="294" t="s">
        <v>186</v>
      </c>
      <c r="AJ95" s="658" t="s">
        <v>68</v>
      </c>
      <c r="AK95" s="658"/>
      <c r="AL95" s="658" t="s">
        <v>358</v>
      </c>
      <c r="AM95" s="295">
        <v>42010</v>
      </c>
      <c r="AN95" s="658" t="s">
        <v>83</v>
      </c>
      <c r="AO95" s="658"/>
      <c r="AP95" s="310">
        <f>26591.36</f>
        <v>26591.360000000001</v>
      </c>
      <c r="AQ95" s="296">
        <v>0</v>
      </c>
      <c r="AR95" s="1034">
        <v>264744.99</v>
      </c>
      <c r="AS95" s="1021"/>
      <c r="AT95" s="298">
        <v>42016</v>
      </c>
      <c r="AU95" s="299">
        <v>42024</v>
      </c>
      <c r="AV95" s="298" t="s">
        <v>68</v>
      </c>
      <c r="AW95" s="300" t="s">
        <v>68</v>
      </c>
      <c r="AX95" s="298"/>
      <c r="AY95" s="295"/>
      <c r="AZ95" s="295"/>
      <c r="BA95" s="299"/>
      <c r="BB95" s="298">
        <v>42073</v>
      </c>
      <c r="BC95" s="1943"/>
      <c r="BD95" s="295"/>
      <c r="BE95" s="295"/>
      <c r="BF95" s="295"/>
      <c r="BG95" s="297">
        <f>AQ95+AR95</f>
        <v>264744.99</v>
      </c>
      <c r="BH95" s="301"/>
      <c r="BI95" s="794" t="s">
        <v>68</v>
      </c>
      <c r="BJ95" s="795" t="s">
        <v>68</v>
      </c>
      <c r="BK95" s="795" t="s">
        <v>68</v>
      </c>
      <c r="BL95" s="794"/>
      <c r="BM95" s="794"/>
      <c r="BN95" s="794"/>
      <c r="BO95" s="794"/>
      <c r="BP95" s="794"/>
      <c r="BQ95" s="794"/>
      <c r="BR95" s="794"/>
      <c r="BS95" s="794" t="s">
        <v>68</v>
      </c>
      <c r="BT95" s="14"/>
      <c r="BU95" s="14"/>
      <c r="BV95" s="14"/>
      <c r="BW95" s="14"/>
      <c r="BX95" s="14"/>
      <c r="BY95" s="1431" t="s">
        <v>1430</v>
      </c>
      <c r="BZ95" s="40" t="s">
        <v>76</v>
      </c>
      <c r="CA95" s="563"/>
      <c r="CB95" s="563"/>
      <c r="CC95" s="563"/>
      <c r="CD95" s="563"/>
      <c r="CE95" s="563"/>
      <c r="CF95" s="563"/>
      <c r="CG95" s="563"/>
      <c r="CH95" s="13"/>
    </row>
    <row r="96" spans="2:86" customFormat="1" ht="80.099999999999994" hidden="1" customHeight="1">
      <c r="B96" s="23"/>
      <c r="C96" s="23"/>
      <c r="D96" s="23"/>
      <c r="E96" s="23"/>
      <c r="F96" s="23"/>
      <c r="G96" s="1055">
        <v>42005</v>
      </c>
      <c r="H96" s="490">
        <v>42979</v>
      </c>
      <c r="I96" s="17">
        <v>2015</v>
      </c>
      <c r="J96" s="1676"/>
      <c r="K96" s="19" t="s">
        <v>166</v>
      </c>
      <c r="L96" s="20" t="s">
        <v>359</v>
      </c>
      <c r="M96" s="2" t="s">
        <v>79</v>
      </c>
      <c r="N96" s="3" t="s">
        <v>360</v>
      </c>
      <c r="O96" s="3"/>
      <c r="P96" s="4">
        <v>95412.78</v>
      </c>
      <c r="Q96" s="6">
        <v>42006</v>
      </c>
      <c r="R96" s="5">
        <v>42006</v>
      </c>
      <c r="S96" s="12">
        <v>42015</v>
      </c>
      <c r="T96" s="64">
        <v>42006</v>
      </c>
      <c r="U96" s="35" t="s">
        <v>264</v>
      </c>
      <c r="V96" s="19" t="s">
        <v>114</v>
      </c>
      <c r="W96" s="220" t="s">
        <v>68</v>
      </c>
      <c r="X96" s="406"/>
      <c r="Y96" s="20"/>
      <c r="Z96" s="9"/>
      <c r="AA96" s="4"/>
      <c r="AB96" s="4"/>
      <c r="AC96" s="34"/>
      <c r="AD96" s="36" t="s">
        <v>68</v>
      </c>
      <c r="AE96" s="119" t="s">
        <v>68</v>
      </c>
      <c r="AF96" s="119" t="s">
        <v>68</v>
      </c>
      <c r="AG96" s="7" t="s">
        <v>68</v>
      </c>
      <c r="AH96" s="235" t="s">
        <v>68</v>
      </c>
      <c r="AI96" s="35" t="s">
        <v>214</v>
      </c>
      <c r="AJ96" s="1" t="s">
        <v>68</v>
      </c>
      <c r="AK96" s="1"/>
      <c r="AL96" s="1" t="s">
        <v>361</v>
      </c>
      <c r="AM96" s="5">
        <v>42006</v>
      </c>
      <c r="AN96" s="1" t="s">
        <v>83</v>
      </c>
      <c r="AO96" s="1"/>
      <c r="AP96" s="306">
        <v>19082.560000000001</v>
      </c>
      <c r="AQ96" s="240">
        <v>0</v>
      </c>
      <c r="AR96" s="1030">
        <f>BG96</f>
        <v>94772.53</v>
      </c>
      <c r="AS96" s="1017"/>
      <c r="AT96" s="32">
        <v>42006</v>
      </c>
      <c r="AU96" s="12">
        <v>42014</v>
      </c>
      <c r="AV96" s="243" t="s">
        <v>68</v>
      </c>
      <c r="AW96" s="244" t="s">
        <v>68</v>
      </c>
      <c r="AX96" s="32">
        <v>42016</v>
      </c>
      <c r="AY96" s="5">
        <v>42006</v>
      </c>
      <c r="AZ96" s="5">
        <v>42014</v>
      </c>
      <c r="BA96" s="12">
        <v>42014</v>
      </c>
      <c r="BB96" s="32">
        <v>42016</v>
      </c>
      <c r="BC96" s="341"/>
      <c r="BD96" s="5">
        <v>42006</v>
      </c>
      <c r="BE96" s="5">
        <v>42014</v>
      </c>
      <c r="BF96" s="5">
        <v>42014</v>
      </c>
      <c r="BG96" s="38">
        <v>94772.53</v>
      </c>
      <c r="BH96" s="14"/>
      <c r="BI96" s="794" t="s">
        <v>68</v>
      </c>
      <c r="BJ96" s="795" t="s">
        <v>68</v>
      </c>
      <c r="BK96" s="795" t="s">
        <v>68</v>
      </c>
      <c r="BL96" s="794"/>
      <c r="BM96" s="794"/>
      <c r="BN96" s="794"/>
      <c r="BO96" s="794"/>
      <c r="BP96" s="794"/>
      <c r="BQ96" s="794"/>
      <c r="BR96" s="794"/>
      <c r="BS96" s="794" t="s">
        <v>68</v>
      </c>
      <c r="BT96" s="14"/>
      <c r="BU96" s="14"/>
      <c r="BV96" s="14"/>
      <c r="BW96" s="14"/>
      <c r="BX96" s="14"/>
      <c r="BY96" s="1431" t="s">
        <v>1430</v>
      </c>
      <c r="BZ96" s="40" t="s">
        <v>76</v>
      </c>
      <c r="CA96" s="563"/>
      <c r="CB96" s="563"/>
      <c r="CC96" s="563"/>
      <c r="CD96" s="563"/>
      <c r="CE96" s="563"/>
      <c r="CF96" s="563"/>
      <c r="CG96" s="563"/>
      <c r="CH96" s="13"/>
    </row>
    <row r="97" spans="2:86" customFormat="1" ht="80.099999999999994" hidden="1" customHeight="1">
      <c r="B97" s="23"/>
      <c r="C97" s="23"/>
      <c r="D97" s="23"/>
      <c r="E97" s="23"/>
      <c r="F97" s="23"/>
      <c r="G97" s="1055">
        <v>42005</v>
      </c>
      <c r="H97" s="490">
        <v>42979</v>
      </c>
      <c r="I97" s="17">
        <v>2015</v>
      </c>
      <c r="J97" s="1676"/>
      <c r="K97" s="18" t="s">
        <v>77</v>
      </c>
      <c r="L97" s="20" t="s">
        <v>362</v>
      </c>
      <c r="M97" s="2" t="s">
        <v>66</v>
      </c>
      <c r="N97" s="3" t="s">
        <v>363</v>
      </c>
      <c r="O97" s="3"/>
      <c r="P97" s="4">
        <v>2359096.67</v>
      </c>
      <c r="Q97" s="6">
        <v>42046</v>
      </c>
      <c r="R97" s="5">
        <v>42051</v>
      </c>
      <c r="S97" s="12">
        <v>42080</v>
      </c>
      <c r="T97" s="14" t="s">
        <v>68</v>
      </c>
      <c r="U97" s="35" t="s">
        <v>364</v>
      </c>
      <c r="V97" s="19" t="s">
        <v>70</v>
      </c>
      <c r="W97" s="64">
        <v>42032</v>
      </c>
      <c r="X97" s="111"/>
      <c r="Y97" s="20" t="s">
        <v>365</v>
      </c>
      <c r="Z97" s="9">
        <v>41970</v>
      </c>
      <c r="AA97" s="4">
        <v>2600000</v>
      </c>
      <c r="AB97" s="4" t="s">
        <v>68</v>
      </c>
      <c r="AC97" s="34" t="s">
        <v>68</v>
      </c>
      <c r="AD97" s="36">
        <v>42037</v>
      </c>
      <c r="AE97" s="119">
        <v>42038</v>
      </c>
      <c r="AF97" s="119" t="s">
        <v>68</v>
      </c>
      <c r="AG97" s="7">
        <v>42045</v>
      </c>
      <c r="AH97" s="235">
        <v>42045</v>
      </c>
      <c r="AI97" s="35"/>
      <c r="AJ97" s="1"/>
      <c r="AK97" s="1"/>
      <c r="AL97" s="1"/>
      <c r="AM97" s="1"/>
      <c r="AN97" s="1"/>
      <c r="AO97" s="1"/>
      <c r="AP97" s="306"/>
      <c r="AQ97" s="240">
        <v>0</v>
      </c>
      <c r="AR97" s="1030">
        <f>BG97</f>
        <v>2336472.5699999998</v>
      </c>
      <c r="AS97" s="1017">
        <v>2571671.19</v>
      </c>
      <c r="AT97" s="253" t="s">
        <v>74</v>
      </c>
      <c r="AU97" s="12"/>
      <c r="AV97" s="32" t="s">
        <v>68</v>
      </c>
      <c r="AW97" s="55" t="s">
        <v>68</v>
      </c>
      <c r="AX97" s="32"/>
      <c r="AY97" s="5"/>
      <c r="AZ97" s="5"/>
      <c r="BA97" s="12"/>
      <c r="BB97" s="32"/>
      <c r="BC97" s="341"/>
      <c r="BD97" s="5"/>
      <c r="BE97" s="5"/>
      <c r="BF97" s="5"/>
      <c r="BG97" s="38">
        <v>2336472.5699999998</v>
      </c>
      <c r="BH97" s="14"/>
      <c r="BI97" s="794" t="s">
        <v>68</v>
      </c>
      <c r="BJ97" s="795" t="s">
        <v>68</v>
      </c>
      <c r="BK97" s="795" t="s">
        <v>68</v>
      </c>
      <c r="BL97" s="794"/>
      <c r="BM97" s="794"/>
      <c r="BN97" s="794"/>
      <c r="BO97" s="794"/>
      <c r="BP97" s="794"/>
      <c r="BQ97" s="794"/>
      <c r="BR97" s="794"/>
      <c r="BS97" s="794" t="s">
        <v>68</v>
      </c>
      <c r="BT97" s="14"/>
      <c r="BU97" s="14"/>
      <c r="BV97" s="14"/>
      <c r="BW97" s="14"/>
      <c r="BX97" s="14"/>
      <c r="BY97" s="1431" t="s">
        <v>1430</v>
      </c>
      <c r="BZ97" s="40" t="s">
        <v>76</v>
      </c>
      <c r="CA97" s="563"/>
      <c r="CB97" s="563"/>
      <c r="CC97" s="563"/>
      <c r="CD97" s="563"/>
      <c r="CE97" s="563"/>
      <c r="CF97" s="563"/>
      <c r="CG97" s="563"/>
      <c r="CH97" s="13"/>
    </row>
    <row r="98" spans="2:86" customFormat="1" ht="80.099999999999994" hidden="1" customHeight="1">
      <c r="B98" s="23"/>
      <c r="C98" s="23"/>
      <c r="D98" s="23"/>
      <c r="E98" s="23"/>
      <c r="F98" s="23"/>
      <c r="G98" s="1055">
        <v>42005</v>
      </c>
      <c r="H98" s="490">
        <v>42979</v>
      </c>
      <c r="I98" s="17">
        <v>2015</v>
      </c>
      <c r="J98" s="1676"/>
      <c r="K98" s="18" t="s">
        <v>77</v>
      </c>
      <c r="L98" s="20" t="s">
        <v>366</v>
      </c>
      <c r="M98" s="2" t="s">
        <v>79</v>
      </c>
      <c r="N98" s="3" t="s">
        <v>367</v>
      </c>
      <c r="O98" s="3"/>
      <c r="P98" s="4">
        <v>260536.84</v>
      </c>
      <c r="Q98" s="6">
        <v>42209</v>
      </c>
      <c r="R98" s="5">
        <v>42212</v>
      </c>
      <c r="S98" s="12">
        <v>42225</v>
      </c>
      <c r="T98" s="64">
        <v>42209</v>
      </c>
      <c r="U98" s="35" t="s">
        <v>368</v>
      </c>
      <c r="V98" s="19" t="s">
        <v>70</v>
      </c>
      <c r="W98" s="593" t="s">
        <v>74</v>
      </c>
      <c r="X98" s="791"/>
      <c r="Y98" s="20" t="s">
        <v>365</v>
      </c>
      <c r="Z98" s="9">
        <v>41970</v>
      </c>
      <c r="AA98" s="4">
        <v>2600000</v>
      </c>
      <c r="AB98" s="4"/>
      <c r="AC98" s="34"/>
      <c r="AD98" s="36" t="s">
        <v>68</v>
      </c>
      <c r="AE98" s="119" t="s">
        <v>68</v>
      </c>
      <c r="AF98" s="119" t="s">
        <v>68</v>
      </c>
      <c r="AG98" s="7" t="s">
        <v>68</v>
      </c>
      <c r="AH98" s="235" t="s">
        <v>68</v>
      </c>
      <c r="AI98" s="35" t="s">
        <v>107</v>
      </c>
      <c r="AJ98" s="1" t="s">
        <v>68</v>
      </c>
      <c r="AK98" s="1"/>
      <c r="AL98" s="1" t="s">
        <v>369</v>
      </c>
      <c r="AM98" s="62">
        <v>42209</v>
      </c>
      <c r="AN98" s="1" t="s">
        <v>83</v>
      </c>
      <c r="AO98" s="1"/>
      <c r="AP98" s="306">
        <v>26053.68</v>
      </c>
      <c r="AQ98" s="240">
        <v>0</v>
      </c>
      <c r="AR98" s="1030">
        <f>BG98</f>
        <v>227660.7</v>
      </c>
      <c r="AS98" s="1017"/>
      <c r="AT98" s="253" t="s">
        <v>74</v>
      </c>
      <c r="AU98" s="12"/>
      <c r="AV98" s="243" t="s">
        <v>68</v>
      </c>
      <c r="AW98" s="244" t="s">
        <v>68</v>
      </c>
      <c r="AX98" s="32"/>
      <c r="AY98" s="5"/>
      <c r="AZ98" s="5"/>
      <c r="BA98" s="12"/>
      <c r="BB98" s="32"/>
      <c r="BC98" s="341"/>
      <c r="BD98" s="5"/>
      <c r="BE98" s="5"/>
      <c r="BF98" s="5"/>
      <c r="BG98" s="38">
        <v>227660.7</v>
      </c>
      <c r="BH98" s="14"/>
      <c r="BI98" s="794" t="s">
        <v>68</v>
      </c>
      <c r="BJ98" s="795" t="s">
        <v>68</v>
      </c>
      <c r="BK98" s="795" t="s">
        <v>68</v>
      </c>
      <c r="BL98" s="794"/>
      <c r="BM98" s="794"/>
      <c r="BN98" s="794"/>
      <c r="BO98" s="794"/>
      <c r="BP98" s="794"/>
      <c r="BQ98" s="794"/>
      <c r="BR98" s="794"/>
      <c r="BS98" s="794" t="s">
        <v>68</v>
      </c>
      <c r="BT98" s="14"/>
      <c r="BU98" s="14"/>
      <c r="BV98" s="14"/>
      <c r="BW98" s="14"/>
      <c r="BX98" s="14"/>
      <c r="BY98" s="1431" t="s">
        <v>1430</v>
      </c>
      <c r="BZ98" s="40" t="s">
        <v>76</v>
      </c>
      <c r="CA98" s="563"/>
      <c r="CB98" s="563"/>
      <c r="CC98" s="563"/>
      <c r="CD98" s="563"/>
      <c r="CE98" s="563"/>
      <c r="CF98" s="563"/>
      <c r="CG98" s="563"/>
      <c r="CH98" s="13"/>
    </row>
    <row r="99" spans="2:86" customFormat="1" ht="80.099999999999994" hidden="1" customHeight="1">
      <c r="B99" s="23"/>
      <c r="C99" s="23"/>
      <c r="D99" s="23"/>
      <c r="E99" s="23"/>
      <c r="F99" s="23"/>
      <c r="G99" s="1055">
        <v>42005</v>
      </c>
      <c r="H99" s="490">
        <v>42979</v>
      </c>
      <c r="I99" s="17">
        <v>2015</v>
      </c>
      <c r="J99" s="1676"/>
      <c r="K99" s="18" t="s">
        <v>77</v>
      </c>
      <c r="L99" s="20" t="s">
        <v>370</v>
      </c>
      <c r="M99" s="2" t="s">
        <v>79</v>
      </c>
      <c r="N99" s="3" t="s">
        <v>371</v>
      </c>
      <c r="O99" s="3"/>
      <c r="P99" s="4">
        <v>307899.96000000002</v>
      </c>
      <c r="Q99" s="6">
        <v>42047</v>
      </c>
      <c r="R99" s="5">
        <v>42051</v>
      </c>
      <c r="S99" s="12">
        <v>42065</v>
      </c>
      <c r="T99" s="64">
        <v>42047</v>
      </c>
      <c r="U99" s="35" t="s">
        <v>357</v>
      </c>
      <c r="V99" s="19" t="s">
        <v>114</v>
      </c>
      <c r="W99" s="593" t="s">
        <v>74</v>
      </c>
      <c r="X99" s="791"/>
      <c r="Y99" s="124" t="s">
        <v>74</v>
      </c>
      <c r="Z99" s="595"/>
      <c r="AA99" s="4"/>
      <c r="AB99" s="4" t="s">
        <v>372</v>
      </c>
      <c r="AC99" s="34">
        <v>61579.99</v>
      </c>
      <c r="AD99" s="36" t="s">
        <v>68</v>
      </c>
      <c r="AE99" s="119" t="s">
        <v>68</v>
      </c>
      <c r="AF99" s="119" t="s">
        <v>68</v>
      </c>
      <c r="AG99" s="7" t="s">
        <v>68</v>
      </c>
      <c r="AH99" s="235" t="s">
        <v>68</v>
      </c>
      <c r="AI99" s="35" t="s">
        <v>186</v>
      </c>
      <c r="AJ99" s="1" t="s">
        <v>68</v>
      </c>
      <c r="AK99" s="1"/>
      <c r="AL99" s="1" t="s">
        <v>373</v>
      </c>
      <c r="AM99" s="5">
        <v>42047</v>
      </c>
      <c r="AN99" s="1" t="s">
        <v>83</v>
      </c>
      <c r="AO99" s="1"/>
      <c r="AP99" s="306">
        <f>30790+6158</f>
        <v>36948</v>
      </c>
      <c r="AQ99" s="37">
        <v>0</v>
      </c>
      <c r="AR99" s="1031">
        <v>306551.53999999998</v>
      </c>
      <c r="AS99" s="1018">
        <v>307687.59999999998</v>
      </c>
      <c r="AT99" s="32">
        <v>42051</v>
      </c>
      <c r="AU99" s="12">
        <v>42065</v>
      </c>
      <c r="AV99" s="32" t="s">
        <v>68</v>
      </c>
      <c r="AW99" s="55" t="s">
        <v>68</v>
      </c>
      <c r="AX99" s="32"/>
      <c r="AY99" s="5"/>
      <c r="AZ99" s="5"/>
      <c r="BA99" s="12"/>
      <c r="BB99" s="32">
        <v>42113</v>
      </c>
      <c r="BC99" s="341"/>
      <c r="BD99" s="5"/>
      <c r="BE99" s="5"/>
      <c r="BF99" s="5"/>
      <c r="BG99" s="38">
        <f>AQ99+AR99</f>
        <v>306551.53999999998</v>
      </c>
      <c r="BH99" s="14"/>
      <c r="BI99" s="794" t="s">
        <v>68</v>
      </c>
      <c r="BJ99" s="795" t="s">
        <v>68</v>
      </c>
      <c r="BK99" s="795" t="s">
        <v>68</v>
      </c>
      <c r="BL99" s="794"/>
      <c r="BM99" s="794"/>
      <c r="BN99" s="794"/>
      <c r="BO99" s="794"/>
      <c r="BP99" s="794"/>
      <c r="BQ99" s="794"/>
      <c r="BR99" s="794"/>
      <c r="BS99" s="794" t="s">
        <v>68</v>
      </c>
      <c r="BT99" s="14"/>
      <c r="BU99" s="14"/>
      <c r="BV99" s="14"/>
      <c r="BW99" s="14"/>
      <c r="BX99" s="14"/>
      <c r="BY99" s="1431" t="s">
        <v>1430</v>
      </c>
      <c r="BZ99" s="40" t="s">
        <v>76</v>
      </c>
      <c r="CA99" s="563"/>
      <c r="CB99" s="563"/>
      <c r="CC99" s="563"/>
      <c r="CD99" s="563"/>
      <c r="CE99" s="563"/>
      <c r="CF99" s="563"/>
      <c r="CG99" s="563"/>
      <c r="CH99" s="13"/>
    </row>
    <row r="100" spans="2:86" customFormat="1" ht="80.099999999999994" hidden="1" customHeight="1">
      <c r="B100" s="23"/>
      <c r="C100" s="23"/>
      <c r="D100" s="23"/>
      <c r="E100" s="23"/>
      <c r="F100" s="23"/>
      <c r="G100" s="1055">
        <v>42005</v>
      </c>
      <c r="H100" s="490">
        <v>42979</v>
      </c>
      <c r="I100" s="17">
        <v>2015</v>
      </c>
      <c r="J100" s="1676"/>
      <c r="K100" s="18" t="s">
        <v>77</v>
      </c>
      <c r="L100" s="20" t="s">
        <v>374</v>
      </c>
      <c r="M100" s="2" t="s">
        <v>79</v>
      </c>
      <c r="N100" s="3" t="s">
        <v>375</v>
      </c>
      <c r="O100" s="3"/>
      <c r="P100" s="4">
        <v>422690.66</v>
      </c>
      <c r="Q100" s="6">
        <v>42109</v>
      </c>
      <c r="R100" s="5">
        <v>42114</v>
      </c>
      <c r="S100" s="12">
        <v>42128</v>
      </c>
      <c r="T100" s="64">
        <v>42109</v>
      </c>
      <c r="U100" s="35" t="s">
        <v>357</v>
      </c>
      <c r="V100" s="19" t="s">
        <v>114</v>
      </c>
      <c r="W100" s="216">
        <v>42220</v>
      </c>
      <c r="X100" s="578"/>
      <c r="Y100" s="20" t="s">
        <v>376</v>
      </c>
      <c r="Z100" s="9">
        <v>41970</v>
      </c>
      <c r="AA100" s="4">
        <v>482007.52</v>
      </c>
      <c r="AB100" s="4"/>
      <c r="AC100" s="34"/>
      <c r="AD100" s="36" t="s">
        <v>68</v>
      </c>
      <c r="AE100" s="119" t="s">
        <v>68</v>
      </c>
      <c r="AF100" s="119" t="s">
        <v>68</v>
      </c>
      <c r="AG100" s="7" t="s">
        <v>68</v>
      </c>
      <c r="AH100" s="235" t="s">
        <v>68</v>
      </c>
      <c r="AI100" s="35" t="s">
        <v>186</v>
      </c>
      <c r="AJ100" s="1" t="s">
        <v>68</v>
      </c>
      <c r="AK100" s="1"/>
      <c r="AL100" s="1" t="s">
        <v>377</v>
      </c>
      <c r="AM100" s="5">
        <v>42109</v>
      </c>
      <c r="AN100" s="1" t="s">
        <v>83</v>
      </c>
      <c r="AO100" s="1"/>
      <c r="AP100" s="306">
        <v>42269.07</v>
      </c>
      <c r="AQ100" s="37">
        <v>0</v>
      </c>
      <c r="AR100" s="1031">
        <v>375226.96</v>
      </c>
      <c r="AS100" s="1018">
        <v>642743.62</v>
      </c>
      <c r="AT100" s="32">
        <v>42114</v>
      </c>
      <c r="AU100" s="12">
        <v>41763</v>
      </c>
      <c r="AV100" s="32" t="s">
        <v>68</v>
      </c>
      <c r="AW100" s="55" t="s">
        <v>68</v>
      </c>
      <c r="AX100" s="20"/>
      <c r="AY100" s="1"/>
      <c r="AZ100" s="1"/>
      <c r="BA100" s="18"/>
      <c r="BB100" s="32"/>
      <c r="BC100" s="341"/>
      <c r="BD100" s="5"/>
      <c r="BE100" s="5"/>
      <c r="BF100" s="5"/>
      <c r="BG100" s="38">
        <f>AQ100+AR100</f>
        <v>375226.96</v>
      </c>
      <c r="BH100" s="14"/>
      <c r="BI100" s="794" t="s">
        <v>68</v>
      </c>
      <c r="BJ100" s="795" t="s">
        <v>68</v>
      </c>
      <c r="BK100" s="795" t="s">
        <v>68</v>
      </c>
      <c r="BL100" s="794"/>
      <c r="BM100" s="794"/>
      <c r="BN100" s="794"/>
      <c r="BO100" s="794"/>
      <c r="BP100" s="794"/>
      <c r="BQ100" s="794"/>
      <c r="BR100" s="794"/>
      <c r="BS100" s="794" t="s">
        <v>68</v>
      </c>
      <c r="BT100" s="14"/>
      <c r="BU100" s="14"/>
      <c r="BV100" s="14"/>
      <c r="BW100" s="14"/>
      <c r="BX100" s="14"/>
      <c r="BY100" s="1431" t="s">
        <v>1430</v>
      </c>
      <c r="BZ100" s="40" t="s">
        <v>76</v>
      </c>
      <c r="CA100" s="563"/>
      <c r="CB100" s="563"/>
      <c r="CC100" s="563"/>
      <c r="CD100" s="563"/>
      <c r="CE100" s="563"/>
      <c r="CF100" s="563"/>
      <c r="CG100" s="563"/>
      <c r="CH100" s="13"/>
    </row>
    <row r="101" spans="2:86" customFormat="1" ht="80.099999999999994" hidden="1" customHeight="1">
      <c r="B101" s="23"/>
      <c r="C101" s="23"/>
      <c r="D101" s="23"/>
      <c r="E101" s="23"/>
      <c r="F101" s="23"/>
      <c r="G101" s="1055">
        <v>42005</v>
      </c>
      <c r="H101" s="490">
        <v>42979</v>
      </c>
      <c r="I101" s="17">
        <v>2015</v>
      </c>
      <c r="J101" s="1676"/>
      <c r="K101" s="18" t="s">
        <v>77</v>
      </c>
      <c r="L101" s="20" t="s">
        <v>378</v>
      </c>
      <c r="M101" s="2" t="s">
        <v>79</v>
      </c>
      <c r="N101" s="3" t="s">
        <v>379</v>
      </c>
      <c r="O101" s="3"/>
      <c r="P101" s="4">
        <v>1182630</v>
      </c>
      <c r="Q101" s="6">
        <v>42209</v>
      </c>
      <c r="R101" s="5">
        <v>42212</v>
      </c>
      <c r="S101" s="12">
        <v>42239</v>
      </c>
      <c r="T101" s="64">
        <v>42209</v>
      </c>
      <c r="U101" s="35" t="s">
        <v>357</v>
      </c>
      <c r="V101" s="164" t="s">
        <v>114</v>
      </c>
      <c r="W101" s="216">
        <v>42215</v>
      </c>
      <c r="X101" s="578"/>
      <c r="Y101" s="20" t="s">
        <v>380</v>
      </c>
      <c r="Z101" s="9">
        <v>42244</v>
      </c>
      <c r="AA101" s="4">
        <v>1182630</v>
      </c>
      <c r="AB101" s="4"/>
      <c r="AC101" s="34"/>
      <c r="AD101" s="36" t="s">
        <v>68</v>
      </c>
      <c r="AE101" s="119" t="s">
        <v>68</v>
      </c>
      <c r="AF101" s="119" t="s">
        <v>68</v>
      </c>
      <c r="AG101" s="7" t="s">
        <v>68</v>
      </c>
      <c r="AH101" s="235" t="s">
        <v>68</v>
      </c>
      <c r="AI101" s="35" t="s">
        <v>186</v>
      </c>
      <c r="AJ101" s="1" t="s">
        <v>381</v>
      </c>
      <c r="AK101" s="5">
        <v>42209</v>
      </c>
      <c r="AL101" s="1" t="s">
        <v>382</v>
      </c>
      <c r="AM101" s="5">
        <v>42209</v>
      </c>
      <c r="AN101" s="1" t="s">
        <v>83</v>
      </c>
      <c r="AO101" s="1"/>
      <c r="AP101" s="306"/>
      <c r="AQ101" s="240">
        <v>0</v>
      </c>
      <c r="AR101" s="1030">
        <f t="shared" ref="AR101:AR130" si="2">BG101</f>
        <v>232729.26</v>
      </c>
      <c r="AS101" s="1017"/>
      <c r="AT101" s="32"/>
      <c r="AU101" s="12"/>
      <c r="AV101" s="32" t="s">
        <v>68</v>
      </c>
      <c r="AW101" s="55" t="s">
        <v>68</v>
      </c>
      <c r="AX101" s="20"/>
      <c r="AY101" s="1"/>
      <c r="AZ101" s="1"/>
      <c r="BA101" s="18"/>
      <c r="BB101" s="32"/>
      <c r="BC101" s="341"/>
      <c r="BD101" s="5"/>
      <c r="BE101" s="5"/>
      <c r="BF101" s="5"/>
      <c r="BG101" s="38">
        <v>232729.26</v>
      </c>
      <c r="BH101" s="14"/>
      <c r="BI101" s="794" t="s">
        <v>68</v>
      </c>
      <c r="BJ101" s="795" t="s">
        <v>68</v>
      </c>
      <c r="BK101" s="795" t="s">
        <v>68</v>
      </c>
      <c r="BL101" s="794"/>
      <c r="BM101" s="794"/>
      <c r="BN101" s="794"/>
      <c r="BO101" s="794"/>
      <c r="BP101" s="794"/>
      <c r="BQ101" s="794"/>
      <c r="BR101" s="794"/>
      <c r="BS101" s="794" t="s">
        <v>68</v>
      </c>
      <c r="BT101" s="14"/>
      <c r="BU101" s="14"/>
      <c r="BV101" s="14"/>
      <c r="BW101" s="14"/>
      <c r="BX101" s="14"/>
      <c r="BY101" s="1431" t="s">
        <v>1430</v>
      </c>
      <c r="BZ101" s="40" t="s">
        <v>76</v>
      </c>
      <c r="CA101" s="563"/>
      <c r="CB101" s="563"/>
      <c r="CC101" s="563"/>
      <c r="CD101" s="563"/>
      <c r="CE101" s="563"/>
      <c r="CF101" s="563"/>
      <c r="CG101" s="563"/>
      <c r="CH101" s="13"/>
    </row>
    <row r="102" spans="2:86" s="1241" customFormat="1" ht="80.099999999999994" hidden="1" customHeight="1">
      <c r="B102" s="1242"/>
      <c r="C102" s="1242"/>
      <c r="D102" s="1242"/>
      <c r="E102" s="1242"/>
      <c r="F102" s="1242"/>
      <c r="G102" s="610">
        <v>42005</v>
      </c>
      <c r="H102" s="610"/>
      <c r="I102" s="588">
        <v>2015</v>
      </c>
      <c r="J102" s="1680"/>
      <c r="K102" s="1747" t="s">
        <v>166</v>
      </c>
      <c r="L102" s="955" t="s">
        <v>378</v>
      </c>
      <c r="M102" s="203" t="s">
        <v>251</v>
      </c>
      <c r="N102" s="112" t="s">
        <v>383</v>
      </c>
      <c r="O102" s="112"/>
      <c r="P102" s="1255"/>
      <c r="Q102" s="1746"/>
      <c r="R102" s="1262"/>
      <c r="S102" s="1268"/>
      <c r="T102" s="1273" t="s">
        <v>68</v>
      </c>
      <c r="U102" s="955" t="s">
        <v>68</v>
      </c>
      <c r="V102" s="636"/>
      <c r="W102" s="1278" t="s">
        <v>68</v>
      </c>
      <c r="X102" s="1631"/>
      <c r="Y102" s="955" t="s">
        <v>384</v>
      </c>
      <c r="Z102" s="1254">
        <v>42244</v>
      </c>
      <c r="AA102" s="1255">
        <v>70000</v>
      </c>
      <c r="AB102" s="1255"/>
      <c r="AC102" s="1256"/>
      <c r="AD102" s="1257" t="s">
        <v>68</v>
      </c>
      <c r="AE102" s="1258" t="s">
        <v>68</v>
      </c>
      <c r="AF102" s="1258" t="s">
        <v>68</v>
      </c>
      <c r="AG102" s="1259" t="s">
        <v>68</v>
      </c>
      <c r="AH102" s="1749" t="s">
        <v>68</v>
      </c>
      <c r="AI102" s="340" t="s">
        <v>68</v>
      </c>
      <c r="AJ102" s="1261" t="s">
        <v>68</v>
      </c>
      <c r="AK102" s="1261"/>
      <c r="AL102" s="1261" t="s">
        <v>68</v>
      </c>
      <c r="AM102" s="1261"/>
      <c r="AN102" s="1261" t="s">
        <v>68</v>
      </c>
      <c r="AO102" s="1261"/>
      <c r="AP102" s="1263"/>
      <c r="AQ102" s="1750">
        <v>0</v>
      </c>
      <c r="AR102" s="1751">
        <f t="shared" si="2"/>
        <v>0</v>
      </c>
      <c r="AS102" s="1752"/>
      <c r="AT102" s="1267"/>
      <c r="AU102" s="1268"/>
      <c r="AV102" s="1269" t="s">
        <v>68</v>
      </c>
      <c r="AW102" s="1758"/>
      <c r="AX102" s="955"/>
      <c r="AY102" s="1261"/>
      <c r="AZ102" s="1261"/>
      <c r="BA102" s="1271"/>
      <c r="BB102" s="1267"/>
      <c r="BC102" s="1944"/>
      <c r="BD102" s="1262"/>
      <c r="BE102" s="1262"/>
      <c r="BF102" s="1262"/>
      <c r="BG102" s="1272"/>
      <c r="BH102" s="1273"/>
      <c r="BI102" s="1753" t="s">
        <v>68</v>
      </c>
      <c r="BJ102" s="1754" t="s">
        <v>68</v>
      </c>
      <c r="BK102" s="1754" t="s">
        <v>68</v>
      </c>
      <c r="BL102" s="1753"/>
      <c r="BM102" s="1753"/>
      <c r="BN102" s="1753"/>
      <c r="BO102" s="1753"/>
      <c r="BP102" s="1753"/>
      <c r="BQ102" s="1753"/>
      <c r="BR102" s="1753"/>
      <c r="BS102" s="1753" t="s">
        <v>68</v>
      </c>
      <c r="BT102" s="1276" t="s">
        <v>385</v>
      </c>
      <c r="BU102" s="1276"/>
      <c r="BV102" s="1276"/>
      <c r="BW102" s="1276"/>
      <c r="BX102" s="1276"/>
      <c r="BY102" s="1755" t="s">
        <v>1430</v>
      </c>
      <c r="BZ102" s="1276" t="s">
        <v>76</v>
      </c>
      <c r="CA102" s="567"/>
      <c r="CB102" s="567"/>
      <c r="CC102" s="567"/>
      <c r="CD102" s="567"/>
      <c r="CE102" s="567"/>
      <c r="CF102" s="567"/>
      <c r="CG102" s="567"/>
      <c r="CH102" s="1756"/>
    </row>
    <row r="103" spans="2:86" customFormat="1" ht="80.099999999999994" hidden="1" customHeight="1">
      <c r="B103" s="23"/>
      <c r="C103" s="23"/>
      <c r="D103" s="23"/>
      <c r="E103" s="23"/>
      <c r="F103" s="23"/>
      <c r="G103" s="1055">
        <v>42005</v>
      </c>
      <c r="H103" s="490">
        <v>43063</v>
      </c>
      <c r="I103" s="17">
        <v>2015</v>
      </c>
      <c r="J103" s="1676"/>
      <c r="K103" s="19" t="s">
        <v>166</v>
      </c>
      <c r="L103" s="20" t="s">
        <v>386</v>
      </c>
      <c r="M103" s="2" t="s">
        <v>4077</v>
      </c>
      <c r="N103" s="3" t="s">
        <v>387</v>
      </c>
      <c r="O103" s="3"/>
      <c r="P103" s="4">
        <v>92000</v>
      </c>
      <c r="Q103" s="6">
        <v>42128</v>
      </c>
      <c r="R103" s="5">
        <v>42128</v>
      </c>
      <c r="S103" s="12">
        <v>42133</v>
      </c>
      <c r="T103" s="14" t="s">
        <v>68</v>
      </c>
      <c r="U103" s="20" t="s">
        <v>68</v>
      </c>
      <c r="V103" s="164" t="s">
        <v>114</v>
      </c>
      <c r="W103" s="220" t="s">
        <v>68</v>
      </c>
      <c r="X103" s="406"/>
      <c r="Y103" s="20" t="s">
        <v>388</v>
      </c>
      <c r="Z103" s="9">
        <v>42185</v>
      </c>
      <c r="AA103" s="4"/>
      <c r="AB103" s="4"/>
      <c r="AC103" s="34"/>
      <c r="AD103" s="36" t="s">
        <v>68</v>
      </c>
      <c r="AE103" s="119" t="s">
        <v>68</v>
      </c>
      <c r="AF103" s="119" t="s">
        <v>68</v>
      </c>
      <c r="AG103" s="7" t="s">
        <v>68</v>
      </c>
      <c r="AH103" s="235" t="s">
        <v>68</v>
      </c>
      <c r="AI103" s="35" t="s">
        <v>68</v>
      </c>
      <c r="AJ103" s="1" t="s">
        <v>68</v>
      </c>
      <c r="AK103" s="1"/>
      <c r="AL103" s="1" t="s">
        <v>68</v>
      </c>
      <c r="AM103" s="1"/>
      <c r="AN103" s="1" t="s">
        <v>68</v>
      </c>
      <c r="AO103" s="1"/>
      <c r="AP103" s="306"/>
      <c r="AQ103" s="240">
        <v>0</v>
      </c>
      <c r="AR103" s="1030">
        <f t="shared" si="2"/>
        <v>91219.3</v>
      </c>
      <c r="AS103" s="1017"/>
      <c r="AT103" s="32"/>
      <c r="AU103" s="12"/>
      <c r="AV103" s="243" t="s">
        <v>68</v>
      </c>
      <c r="AW103" s="55">
        <v>42128</v>
      </c>
      <c r="AX103" s="20"/>
      <c r="AY103" s="1"/>
      <c r="AZ103" s="1"/>
      <c r="BA103" s="18"/>
      <c r="BB103" s="32"/>
      <c r="BC103" s="341"/>
      <c r="BD103" s="5"/>
      <c r="BE103" s="5"/>
      <c r="BF103" s="5"/>
      <c r="BG103" s="306">
        <v>91219.3</v>
      </c>
      <c r="BH103" s="14"/>
      <c r="BI103" s="794" t="s">
        <v>68</v>
      </c>
      <c r="BJ103" s="795" t="s">
        <v>68</v>
      </c>
      <c r="BK103" s="795" t="s">
        <v>68</v>
      </c>
      <c r="BL103" s="794"/>
      <c r="BM103" s="794"/>
      <c r="BN103" s="794"/>
      <c r="BO103" s="794"/>
      <c r="BP103" s="794"/>
      <c r="BQ103" s="794"/>
      <c r="BR103" s="794"/>
      <c r="BS103" s="794" t="s">
        <v>68</v>
      </c>
      <c r="BT103" s="14"/>
      <c r="BU103" s="14"/>
      <c r="BV103" s="14"/>
      <c r="BW103" s="14"/>
      <c r="BX103" s="14"/>
      <c r="BY103" s="1431" t="s">
        <v>1430</v>
      </c>
      <c r="BZ103" s="40" t="s">
        <v>76</v>
      </c>
      <c r="CA103" s="563"/>
      <c r="CB103" s="563"/>
      <c r="CC103" s="563"/>
      <c r="CD103" s="563"/>
      <c r="CE103" s="563"/>
      <c r="CF103" s="563"/>
      <c r="CG103" s="563"/>
      <c r="CH103" s="13"/>
    </row>
    <row r="104" spans="2:86" customFormat="1" ht="80.099999999999994" hidden="1" customHeight="1">
      <c r="B104" s="23"/>
      <c r="C104" s="23"/>
      <c r="D104" s="23"/>
      <c r="E104" s="23"/>
      <c r="F104" s="23"/>
      <c r="G104" s="1055">
        <v>42005</v>
      </c>
      <c r="H104" s="490">
        <v>43063</v>
      </c>
      <c r="I104" s="17">
        <v>2015</v>
      </c>
      <c r="J104" s="1676"/>
      <c r="K104" s="19" t="s">
        <v>166</v>
      </c>
      <c r="L104" s="20" t="s">
        <v>389</v>
      </c>
      <c r="M104" s="2" t="s">
        <v>4077</v>
      </c>
      <c r="N104" s="3" t="s">
        <v>390</v>
      </c>
      <c r="O104" s="3"/>
      <c r="P104" s="4">
        <v>180484.7</v>
      </c>
      <c r="Q104" s="6">
        <v>42186</v>
      </c>
      <c r="R104" s="5">
        <v>42186</v>
      </c>
      <c r="S104" s="12">
        <v>42195</v>
      </c>
      <c r="T104" s="14" t="s">
        <v>68</v>
      </c>
      <c r="U104" s="20" t="s">
        <v>68</v>
      </c>
      <c r="V104" s="164" t="s">
        <v>391</v>
      </c>
      <c r="W104" s="64">
        <v>42186</v>
      </c>
      <c r="X104" s="111"/>
      <c r="Y104" s="20"/>
      <c r="Z104" s="9"/>
      <c r="AA104" s="4"/>
      <c r="AB104" s="4"/>
      <c r="AC104" s="34"/>
      <c r="AD104" s="36" t="s">
        <v>68</v>
      </c>
      <c r="AE104" s="119" t="s">
        <v>68</v>
      </c>
      <c r="AF104" s="119" t="s">
        <v>68</v>
      </c>
      <c r="AG104" s="7" t="s">
        <v>68</v>
      </c>
      <c r="AH104" s="235" t="s">
        <v>68</v>
      </c>
      <c r="AI104" s="35" t="s">
        <v>68</v>
      </c>
      <c r="AJ104" s="1"/>
      <c r="AK104" s="1"/>
      <c r="AL104" s="1"/>
      <c r="AM104" s="1"/>
      <c r="AN104" s="1"/>
      <c r="AO104" s="1"/>
      <c r="AP104" s="306"/>
      <c r="AQ104" s="240">
        <v>0</v>
      </c>
      <c r="AR104" s="1030">
        <f t="shared" si="2"/>
        <v>176723.04</v>
      </c>
      <c r="AS104" s="1017"/>
      <c r="AT104" s="32">
        <v>42187</v>
      </c>
      <c r="AU104" s="12">
        <v>42193</v>
      </c>
      <c r="AV104" s="32" t="s">
        <v>68</v>
      </c>
      <c r="AW104" s="55" t="s">
        <v>389</v>
      </c>
      <c r="AX104" s="20"/>
      <c r="AY104" s="1"/>
      <c r="AZ104" s="1"/>
      <c r="BA104" s="18"/>
      <c r="BB104" s="32"/>
      <c r="BC104" s="341"/>
      <c r="BD104" s="5"/>
      <c r="BE104" s="5"/>
      <c r="BF104" s="5"/>
      <c r="BG104" s="306">
        <v>176723.04</v>
      </c>
      <c r="BH104" s="14"/>
      <c r="BI104" s="794" t="s">
        <v>68</v>
      </c>
      <c r="BJ104" s="795" t="s">
        <v>68</v>
      </c>
      <c r="BK104" s="795" t="s">
        <v>68</v>
      </c>
      <c r="BL104" s="794"/>
      <c r="BM104" s="794"/>
      <c r="BN104" s="794"/>
      <c r="BO104" s="794"/>
      <c r="BP104" s="794"/>
      <c r="BQ104" s="794"/>
      <c r="BR104" s="794"/>
      <c r="BS104" s="794" t="s">
        <v>68</v>
      </c>
      <c r="BT104" s="14"/>
      <c r="BU104" s="14"/>
      <c r="BV104" s="14"/>
      <c r="BW104" s="14"/>
      <c r="BX104" s="14"/>
      <c r="BY104" s="1431" t="s">
        <v>1430</v>
      </c>
      <c r="BZ104" s="40" t="s">
        <v>76</v>
      </c>
      <c r="CA104" s="563"/>
      <c r="CB104" s="563"/>
      <c r="CC104" s="563"/>
      <c r="CD104" s="563"/>
      <c r="CE104" s="563"/>
      <c r="CF104" s="563"/>
      <c r="CG104" s="563"/>
      <c r="CH104" s="13"/>
    </row>
    <row r="105" spans="2:86" customFormat="1" ht="80.099999999999994" hidden="1" customHeight="1">
      <c r="B105" s="23"/>
      <c r="C105" s="23"/>
      <c r="D105" s="23"/>
      <c r="E105" s="23"/>
      <c r="F105" s="23"/>
      <c r="G105" s="1055">
        <v>42005</v>
      </c>
      <c r="H105" s="490">
        <v>43063</v>
      </c>
      <c r="I105" s="17">
        <v>2015</v>
      </c>
      <c r="J105" s="1676"/>
      <c r="K105" s="19" t="s">
        <v>166</v>
      </c>
      <c r="L105" s="20" t="s">
        <v>392</v>
      </c>
      <c r="M105" s="2" t="s">
        <v>4077</v>
      </c>
      <c r="N105" s="3" t="s">
        <v>393</v>
      </c>
      <c r="O105" s="3"/>
      <c r="P105" s="4">
        <v>117631.84</v>
      </c>
      <c r="Q105" s="6">
        <v>42186</v>
      </c>
      <c r="R105" s="5">
        <v>42186</v>
      </c>
      <c r="S105" s="12">
        <v>42195</v>
      </c>
      <c r="T105" s="14" t="s">
        <v>68</v>
      </c>
      <c r="U105" s="20" t="s">
        <v>68</v>
      </c>
      <c r="V105" s="164" t="s">
        <v>391</v>
      </c>
      <c r="W105" s="64">
        <v>42186</v>
      </c>
      <c r="X105" s="111"/>
      <c r="Y105" s="20"/>
      <c r="Z105" s="9"/>
      <c r="AA105" s="4"/>
      <c r="AB105" s="4"/>
      <c r="AC105" s="34"/>
      <c r="AD105" s="36" t="s">
        <v>68</v>
      </c>
      <c r="AE105" s="119" t="s">
        <v>68</v>
      </c>
      <c r="AF105" s="119" t="s">
        <v>68</v>
      </c>
      <c r="AG105" s="7" t="s">
        <v>68</v>
      </c>
      <c r="AH105" s="235" t="s">
        <v>68</v>
      </c>
      <c r="AI105" s="35" t="s">
        <v>68</v>
      </c>
      <c r="AJ105" s="1"/>
      <c r="AK105" s="1"/>
      <c r="AL105" s="1"/>
      <c r="AM105" s="1"/>
      <c r="AN105" s="1"/>
      <c r="AO105" s="1"/>
      <c r="AP105" s="306"/>
      <c r="AQ105" s="240">
        <v>0</v>
      </c>
      <c r="AR105" s="1030">
        <f t="shared" si="2"/>
        <v>115384.29</v>
      </c>
      <c r="AS105" s="1017"/>
      <c r="AT105" s="32">
        <v>42187</v>
      </c>
      <c r="AU105" s="12">
        <v>42193</v>
      </c>
      <c r="AV105" s="32" t="s">
        <v>68</v>
      </c>
      <c r="AW105" s="55" t="s">
        <v>392</v>
      </c>
      <c r="AX105" s="20"/>
      <c r="AY105" s="1"/>
      <c r="AZ105" s="1"/>
      <c r="BA105" s="18"/>
      <c r="BB105" s="32"/>
      <c r="BC105" s="341"/>
      <c r="BD105" s="5"/>
      <c r="BE105" s="5"/>
      <c r="BF105" s="5"/>
      <c r="BG105" s="306">
        <v>115384.29</v>
      </c>
      <c r="BH105" s="14"/>
      <c r="BI105" s="794" t="s">
        <v>68</v>
      </c>
      <c r="BJ105" s="795" t="s">
        <v>68</v>
      </c>
      <c r="BK105" s="795" t="s">
        <v>68</v>
      </c>
      <c r="BL105" s="794"/>
      <c r="BM105" s="794"/>
      <c r="BN105" s="794"/>
      <c r="BO105" s="794"/>
      <c r="BP105" s="794"/>
      <c r="BQ105" s="794"/>
      <c r="BR105" s="794"/>
      <c r="BS105" s="794" t="s">
        <v>68</v>
      </c>
      <c r="BT105" s="14"/>
      <c r="BU105" s="14"/>
      <c r="BV105" s="14"/>
      <c r="BW105" s="14"/>
      <c r="BX105" s="14"/>
      <c r="BY105" s="1431" t="s">
        <v>1430</v>
      </c>
      <c r="BZ105" s="40" t="s">
        <v>76</v>
      </c>
      <c r="CA105" s="563"/>
      <c r="CB105" s="563"/>
      <c r="CC105" s="563"/>
      <c r="CD105" s="563"/>
      <c r="CE105" s="563"/>
      <c r="CF105" s="563"/>
      <c r="CG105" s="563"/>
      <c r="CH105" s="13"/>
    </row>
    <row r="106" spans="2:86" customFormat="1" ht="80.099999999999994" hidden="1" customHeight="1">
      <c r="B106" s="23"/>
      <c r="C106" s="23"/>
      <c r="D106" s="23"/>
      <c r="E106" s="23"/>
      <c r="F106" s="23"/>
      <c r="G106" s="1055">
        <v>42005</v>
      </c>
      <c r="H106" s="490">
        <v>43063</v>
      </c>
      <c r="I106" s="17">
        <v>2015</v>
      </c>
      <c r="J106" s="1676"/>
      <c r="K106" s="18" t="s">
        <v>77</v>
      </c>
      <c r="L106" s="20" t="s">
        <v>394</v>
      </c>
      <c r="M106" s="2" t="s">
        <v>4077</v>
      </c>
      <c r="N106" s="3" t="s">
        <v>395</v>
      </c>
      <c r="O106" s="3"/>
      <c r="P106" s="4">
        <v>315420.59999999998</v>
      </c>
      <c r="Q106" s="6">
        <v>42193</v>
      </c>
      <c r="R106" s="5">
        <v>42193</v>
      </c>
      <c r="S106" s="12">
        <v>42200</v>
      </c>
      <c r="T106" s="14" t="s">
        <v>68</v>
      </c>
      <c r="U106" s="20" t="s">
        <v>68</v>
      </c>
      <c r="V106" s="164" t="s">
        <v>391</v>
      </c>
      <c r="W106" s="64">
        <v>42219</v>
      </c>
      <c r="X106" s="111"/>
      <c r="Y106" s="20" t="s">
        <v>396</v>
      </c>
      <c r="Z106" s="9">
        <v>42244</v>
      </c>
      <c r="AA106" s="4">
        <v>143420</v>
      </c>
      <c r="AB106" s="4"/>
      <c r="AC106" s="34"/>
      <c r="AD106" s="36" t="s">
        <v>68</v>
      </c>
      <c r="AE106" s="119" t="s">
        <v>68</v>
      </c>
      <c r="AF106" s="119" t="s">
        <v>68</v>
      </c>
      <c r="AG106" s="7" t="s">
        <v>68</v>
      </c>
      <c r="AH106" s="235" t="s">
        <v>68</v>
      </c>
      <c r="AI106" s="35" t="s">
        <v>68</v>
      </c>
      <c r="AJ106" s="1"/>
      <c r="AK106" s="1"/>
      <c r="AL106" s="1"/>
      <c r="AM106" s="1"/>
      <c r="AN106" s="1"/>
      <c r="AO106" s="1"/>
      <c r="AP106" s="306"/>
      <c r="AQ106" s="240">
        <v>0</v>
      </c>
      <c r="AR106" s="1030">
        <f t="shared" si="2"/>
        <v>172769.33</v>
      </c>
      <c r="AS106" s="1017">
        <v>172739.95</v>
      </c>
      <c r="AT106" s="32">
        <v>42194</v>
      </c>
      <c r="AU106" s="12">
        <v>42200</v>
      </c>
      <c r="AV106" s="32" t="s">
        <v>68</v>
      </c>
      <c r="AW106" s="55" t="s">
        <v>68</v>
      </c>
      <c r="AX106" s="20"/>
      <c r="AY106" s="1"/>
      <c r="AZ106" s="1"/>
      <c r="BA106" s="18"/>
      <c r="BB106" s="32"/>
      <c r="BC106" s="341"/>
      <c r="BD106" s="5"/>
      <c r="BE106" s="5"/>
      <c r="BF106" s="5"/>
      <c r="BG106" s="306">
        <v>172769.33</v>
      </c>
      <c r="BH106" s="14"/>
      <c r="BI106" s="794" t="s">
        <v>68</v>
      </c>
      <c r="BJ106" s="795" t="s">
        <v>68</v>
      </c>
      <c r="BK106" s="795" t="s">
        <v>68</v>
      </c>
      <c r="BL106" s="794"/>
      <c r="BM106" s="794"/>
      <c r="BN106" s="794"/>
      <c r="BO106" s="794"/>
      <c r="BP106" s="794"/>
      <c r="BQ106" s="794"/>
      <c r="BR106" s="794"/>
      <c r="BS106" s="794" t="s">
        <v>68</v>
      </c>
      <c r="BT106" s="14"/>
      <c r="BU106" s="14"/>
      <c r="BV106" s="14"/>
      <c r="BW106" s="14"/>
      <c r="BX106" s="14"/>
      <c r="BY106" s="1431" t="s">
        <v>1430</v>
      </c>
      <c r="BZ106" s="40" t="s">
        <v>76</v>
      </c>
      <c r="CA106" s="563"/>
      <c r="CB106" s="563"/>
      <c r="CC106" s="563"/>
      <c r="CD106" s="563"/>
      <c r="CE106" s="563"/>
      <c r="CF106" s="563"/>
      <c r="CG106" s="563"/>
      <c r="CH106" s="13"/>
    </row>
    <row r="107" spans="2:86" customFormat="1" ht="80.099999999999994" hidden="1" customHeight="1">
      <c r="B107" s="23"/>
      <c r="C107" s="23"/>
      <c r="D107" s="23"/>
      <c r="E107" s="23"/>
      <c r="F107" s="23"/>
      <c r="G107" s="1055">
        <v>42005</v>
      </c>
      <c r="H107" s="490">
        <v>43063</v>
      </c>
      <c r="I107" s="17">
        <v>2015</v>
      </c>
      <c r="J107" s="1676"/>
      <c r="K107" s="18" t="s">
        <v>77</v>
      </c>
      <c r="L107" s="20" t="s">
        <v>397</v>
      </c>
      <c r="M107" s="2" t="s">
        <v>4077</v>
      </c>
      <c r="N107" s="3" t="s">
        <v>398</v>
      </c>
      <c r="O107" s="3"/>
      <c r="P107" s="4">
        <v>144879.81</v>
      </c>
      <c r="Q107" s="6">
        <v>42201</v>
      </c>
      <c r="R107" s="5">
        <v>42201</v>
      </c>
      <c r="S107" s="12">
        <v>42216</v>
      </c>
      <c r="T107" s="14" t="s">
        <v>68</v>
      </c>
      <c r="U107" s="20" t="s">
        <v>68</v>
      </c>
      <c r="V107" s="19" t="s">
        <v>391</v>
      </c>
      <c r="W107" s="64">
        <v>42199</v>
      </c>
      <c r="X107" s="111"/>
      <c r="Y107" s="20" t="s">
        <v>396</v>
      </c>
      <c r="Z107" s="9">
        <v>42244</v>
      </c>
      <c r="AA107" s="4">
        <v>138749.84</v>
      </c>
      <c r="AB107" s="4"/>
      <c r="AC107" s="34"/>
      <c r="AD107" s="36" t="s">
        <v>68</v>
      </c>
      <c r="AE107" s="119" t="s">
        <v>68</v>
      </c>
      <c r="AF107" s="119" t="s">
        <v>68</v>
      </c>
      <c r="AG107" s="7" t="s">
        <v>68</v>
      </c>
      <c r="AH107" s="235" t="s">
        <v>68</v>
      </c>
      <c r="AI107" s="35" t="s">
        <v>68</v>
      </c>
      <c r="AJ107" s="1"/>
      <c r="AK107" s="1"/>
      <c r="AL107" s="1"/>
      <c r="AM107" s="1"/>
      <c r="AN107" s="1"/>
      <c r="AO107" s="1"/>
      <c r="AP107" s="306"/>
      <c r="AQ107" s="240">
        <v>0</v>
      </c>
      <c r="AR107" s="1030">
        <f t="shared" si="2"/>
        <v>138640.54</v>
      </c>
      <c r="AS107" s="1017">
        <v>138726.94</v>
      </c>
      <c r="AT107" s="32">
        <v>42201</v>
      </c>
      <c r="AU107" s="12">
        <v>42207</v>
      </c>
      <c r="AV107" s="32" t="s">
        <v>68</v>
      </c>
      <c r="AW107" s="55" t="s">
        <v>68</v>
      </c>
      <c r="AX107" s="20"/>
      <c r="AY107" s="1"/>
      <c r="AZ107" s="1"/>
      <c r="BA107" s="18"/>
      <c r="BB107" s="32"/>
      <c r="BC107" s="341"/>
      <c r="BD107" s="5"/>
      <c r="BE107" s="5"/>
      <c r="BF107" s="5"/>
      <c r="BG107" s="306">
        <v>138640.54</v>
      </c>
      <c r="BH107" s="14"/>
      <c r="BI107" s="794" t="s">
        <v>68</v>
      </c>
      <c r="BJ107" s="795" t="s">
        <v>68</v>
      </c>
      <c r="BK107" s="795" t="s">
        <v>68</v>
      </c>
      <c r="BL107" s="794"/>
      <c r="BM107" s="794"/>
      <c r="BN107" s="794"/>
      <c r="BO107" s="794"/>
      <c r="BP107" s="794"/>
      <c r="BQ107" s="794"/>
      <c r="BR107" s="794"/>
      <c r="BS107" s="794" t="s">
        <v>68</v>
      </c>
      <c r="BT107" s="14"/>
      <c r="BU107" s="14"/>
      <c r="BV107" s="14"/>
      <c r="BW107" s="14"/>
      <c r="BX107" s="14"/>
      <c r="BY107" s="1431" t="s">
        <v>1430</v>
      </c>
      <c r="BZ107" s="40" t="s">
        <v>76</v>
      </c>
      <c r="CA107" s="563"/>
      <c r="CB107" s="563"/>
      <c r="CC107" s="563"/>
      <c r="CD107" s="563"/>
      <c r="CE107" s="563"/>
      <c r="CF107" s="563"/>
      <c r="CG107" s="563"/>
      <c r="CH107" s="13"/>
    </row>
    <row r="108" spans="2:86" customFormat="1" ht="80.099999999999994" hidden="1" customHeight="1">
      <c r="B108" s="23"/>
      <c r="C108" s="23"/>
      <c r="D108" s="23"/>
      <c r="E108" s="23"/>
      <c r="F108" s="23"/>
      <c r="G108" s="1055">
        <v>42005</v>
      </c>
      <c r="H108" s="490">
        <v>43063</v>
      </c>
      <c r="I108" s="17">
        <v>2015</v>
      </c>
      <c r="J108" s="1676"/>
      <c r="K108" s="18" t="s">
        <v>77</v>
      </c>
      <c r="L108" s="20" t="s">
        <v>399</v>
      </c>
      <c r="M108" s="2" t="s">
        <v>4077</v>
      </c>
      <c r="N108" s="3" t="s">
        <v>400</v>
      </c>
      <c r="O108" s="3"/>
      <c r="P108" s="4">
        <v>74934.460000000006</v>
      </c>
      <c r="Q108" s="6">
        <v>42201</v>
      </c>
      <c r="R108" s="5">
        <v>42201</v>
      </c>
      <c r="S108" s="12">
        <v>42216</v>
      </c>
      <c r="T108" s="14" t="s">
        <v>68</v>
      </c>
      <c r="U108" s="20" t="s">
        <v>68</v>
      </c>
      <c r="V108" s="19" t="s">
        <v>391</v>
      </c>
      <c r="W108" s="64">
        <v>42198</v>
      </c>
      <c r="X108" s="111"/>
      <c r="Y108" s="20" t="s">
        <v>388</v>
      </c>
      <c r="Z108" s="9">
        <v>42185</v>
      </c>
      <c r="AA108" s="4">
        <v>74934.460000000006</v>
      </c>
      <c r="AB108" s="4"/>
      <c r="AC108" s="34"/>
      <c r="AD108" s="36" t="s">
        <v>68</v>
      </c>
      <c r="AE108" s="119" t="s">
        <v>68</v>
      </c>
      <c r="AF108" s="119" t="s">
        <v>68</v>
      </c>
      <c r="AG108" s="7" t="s">
        <v>68</v>
      </c>
      <c r="AH108" s="235" t="s">
        <v>68</v>
      </c>
      <c r="AI108" s="35" t="s">
        <v>68</v>
      </c>
      <c r="AJ108" s="1"/>
      <c r="AK108" s="1"/>
      <c r="AL108" s="1"/>
      <c r="AM108" s="1"/>
      <c r="AN108" s="1"/>
      <c r="AO108" s="1"/>
      <c r="AP108" s="306"/>
      <c r="AQ108" s="240">
        <v>0</v>
      </c>
      <c r="AR108" s="1030">
        <f t="shared" si="2"/>
        <v>69164.95</v>
      </c>
      <c r="AS108" s="1017"/>
      <c r="AT108" s="32">
        <v>42208</v>
      </c>
      <c r="AU108" s="12">
        <v>42214</v>
      </c>
      <c r="AV108" s="32" t="s">
        <v>68</v>
      </c>
      <c r="AW108" s="55" t="s">
        <v>68</v>
      </c>
      <c r="AX108" s="20"/>
      <c r="AY108" s="1"/>
      <c r="AZ108" s="1"/>
      <c r="BA108" s="18"/>
      <c r="BB108" s="32"/>
      <c r="BC108" s="341"/>
      <c r="BD108" s="5"/>
      <c r="BE108" s="5"/>
      <c r="BF108" s="5"/>
      <c r="BG108" s="306">
        <v>69164.95</v>
      </c>
      <c r="BH108" s="14"/>
      <c r="BI108" s="794" t="s">
        <v>68</v>
      </c>
      <c r="BJ108" s="795" t="s">
        <v>68</v>
      </c>
      <c r="BK108" s="795" t="s">
        <v>68</v>
      </c>
      <c r="BL108" s="794"/>
      <c r="BM108" s="794"/>
      <c r="BN108" s="794"/>
      <c r="BO108" s="794"/>
      <c r="BP108" s="794"/>
      <c r="BQ108" s="794"/>
      <c r="BR108" s="794"/>
      <c r="BS108" s="794" t="s">
        <v>68</v>
      </c>
      <c r="BT108" s="14"/>
      <c r="BU108" s="14"/>
      <c r="BV108" s="14"/>
      <c r="BW108" s="14"/>
      <c r="BX108" s="14"/>
      <c r="BY108" s="1431" t="s">
        <v>1430</v>
      </c>
      <c r="BZ108" s="40" t="s">
        <v>76</v>
      </c>
      <c r="CA108" s="563"/>
      <c r="CB108" s="563"/>
      <c r="CC108" s="563"/>
      <c r="CD108" s="563"/>
      <c r="CE108" s="563"/>
      <c r="CF108" s="563"/>
      <c r="CG108" s="563"/>
      <c r="CH108" s="13"/>
    </row>
    <row r="109" spans="2:86" customFormat="1" ht="80.099999999999994" hidden="1" customHeight="1">
      <c r="B109" s="23"/>
      <c r="C109" s="23"/>
      <c r="D109" s="23"/>
      <c r="E109" s="23"/>
      <c r="F109" s="23"/>
      <c r="G109" s="1055">
        <v>42005</v>
      </c>
      <c r="H109" s="490">
        <v>43063</v>
      </c>
      <c r="I109" s="17">
        <v>2015</v>
      </c>
      <c r="J109" s="1676"/>
      <c r="K109" s="18" t="s">
        <v>77</v>
      </c>
      <c r="L109" s="20" t="s">
        <v>401</v>
      </c>
      <c r="M109" s="2" t="s">
        <v>4077</v>
      </c>
      <c r="N109" s="3" t="s">
        <v>402</v>
      </c>
      <c r="O109" s="3"/>
      <c r="P109" s="4">
        <v>116511.12</v>
      </c>
      <c r="Q109" s="6">
        <v>42219</v>
      </c>
      <c r="R109" s="5">
        <v>42219</v>
      </c>
      <c r="S109" s="12">
        <v>42226</v>
      </c>
      <c r="T109" s="14" t="s">
        <v>68</v>
      </c>
      <c r="U109" s="20" t="s">
        <v>68</v>
      </c>
      <c r="V109" s="19" t="s">
        <v>391</v>
      </c>
      <c r="W109" s="593" t="s">
        <v>74</v>
      </c>
      <c r="X109" s="791"/>
      <c r="Y109" s="20" t="s">
        <v>388</v>
      </c>
      <c r="Z109" s="9">
        <v>42185</v>
      </c>
      <c r="AA109" s="4">
        <v>50562.9</v>
      </c>
      <c r="AB109" s="4"/>
      <c r="AC109" s="34"/>
      <c r="AD109" s="36" t="s">
        <v>68</v>
      </c>
      <c r="AE109" s="119" t="s">
        <v>68</v>
      </c>
      <c r="AF109" s="119" t="s">
        <v>68</v>
      </c>
      <c r="AG109" s="7" t="s">
        <v>68</v>
      </c>
      <c r="AH109" s="235" t="s">
        <v>68</v>
      </c>
      <c r="AI109" s="35" t="s">
        <v>68</v>
      </c>
      <c r="AJ109" s="1" t="s">
        <v>68</v>
      </c>
      <c r="AK109" s="1"/>
      <c r="AL109" s="1" t="s">
        <v>68</v>
      </c>
      <c r="AM109" s="1"/>
      <c r="AN109" s="1" t="s">
        <v>68</v>
      </c>
      <c r="AO109" s="1"/>
      <c r="AP109" s="306"/>
      <c r="AQ109" s="240">
        <v>0</v>
      </c>
      <c r="AR109" s="1030">
        <f t="shared" si="2"/>
        <v>47908.56</v>
      </c>
      <c r="AS109" s="1017">
        <v>47899.59</v>
      </c>
      <c r="AT109" s="32">
        <v>42222</v>
      </c>
      <c r="AU109" s="12">
        <v>42224</v>
      </c>
      <c r="AV109" s="243" t="s">
        <v>68</v>
      </c>
      <c r="AW109" s="55" t="s">
        <v>401</v>
      </c>
      <c r="AX109" s="20"/>
      <c r="AY109" s="1"/>
      <c r="AZ109" s="1"/>
      <c r="BA109" s="18"/>
      <c r="BB109" s="32"/>
      <c r="BC109" s="341"/>
      <c r="BD109" s="5"/>
      <c r="BE109" s="5"/>
      <c r="BF109" s="5"/>
      <c r="BG109" s="306">
        <v>47908.56</v>
      </c>
      <c r="BH109" s="14"/>
      <c r="BI109" s="794" t="s">
        <v>68</v>
      </c>
      <c r="BJ109" s="795" t="s">
        <v>68</v>
      </c>
      <c r="BK109" s="795" t="s">
        <v>68</v>
      </c>
      <c r="BL109" s="794"/>
      <c r="BM109" s="794"/>
      <c r="BN109" s="794"/>
      <c r="BO109" s="794"/>
      <c r="BP109" s="794"/>
      <c r="BQ109" s="794"/>
      <c r="BR109" s="794"/>
      <c r="BS109" s="794" t="s">
        <v>68</v>
      </c>
      <c r="BT109" s="14"/>
      <c r="BU109" s="14"/>
      <c r="BV109" s="14"/>
      <c r="BW109" s="14"/>
      <c r="BX109" s="14"/>
      <c r="BY109" s="1431" t="s">
        <v>1430</v>
      </c>
      <c r="BZ109" s="40" t="s">
        <v>76</v>
      </c>
      <c r="CA109" s="563"/>
      <c r="CB109" s="563"/>
      <c r="CC109" s="563"/>
      <c r="CD109" s="563"/>
      <c r="CE109" s="563"/>
      <c r="CF109" s="563"/>
      <c r="CG109" s="563"/>
      <c r="CH109" s="13"/>
    </row>
    <row r="110" spans="2:86" customFormat="1" ht="80.099999999999994" hidden="1" customHeight="1">
      <c r="B110" s="23"/>
      <c r="C110" s="23"/>
      <c r="D110" s="23"/>
      <c r="E110" s="23"/>
      <c r="F110" s="23"/>
      <c r="G110" s="1055">
        <v>42005</v>
      </c>
      <c r="H110" s="490">
        <v>43063</v>
      </c>
      <c r="I110" s="17">
        <v>2015</v>
      </c>
      <c r="J110" s="1676"/>
      <c r="K110" s="18" t="s">
        <v>77</v>
      </c>
      <c r="L110" s="20" t="s">
        <v>403</v>
      </c>
      <c r="M110" s="2" t="s">
        <v>4077</v>
      </c>
      <c r="N110" s="3" t="s">
        <v>404</v>
      </c>
      <c r="O110" s="3"/>
      <c r="P110" s="4">
        <v>256635.81</v>
      </c>
      <c r="Q110" s="6">
        <v>42201</v>
      </c>
      <c r="R110" s="5">
        <v>42201</v>
      </c>
      <c r="S110" s="12">
        <v>42216</v>
      </c>
      <c r="T110" s="14" t="s">
        <v>68</v>
      </c>
      <c r="U110" s="20" t="s">
        <v>68</v>
      </c>
      <c r="V110" s="19" t="s">
        <v>391</v>
      </c>
      <c r="W110" s="593" t="s">
        <v>74</v>
      </c>
      <c r="X110" s="791"/>
      <c r="Y110" s="20" t="s">
        <v>396</v>
      </c>
      <c r="Z110" s="9">
        <v>42244</v>
      </c>
      <c r="AA110" s="4">
        <v>256635.81</v>
      </c>
      <c r="AB110" s="4"/>
      <c r="AC110" s="34"/>
      <c r="AD110" s="36" t="s">
        <v>68</v>
      </c>
      <c r="AE110" s="119" t="s">
        <v>68</v>
      </c>
      <c r="AF110" s="119" t="s">
        <v>68</v>
      </c>
      <c r="AG110" s="7" t="s">
        <v>68</v>
      </c>
      <c r="AH110" s="235" t="s">
        <v>68</v>
      </c>
      <c r="AI110" s="35" t="s">
        <v>68</v>
      </c>
      <c r="AJ110" s="1" t="s">
        <v>68</v>
      </c>
      <c r="AK110" s="1"/>
      <c r="AL110" s="1" t="s">
        <v>68</v>
      </c>
      <c r="AM110" s="1"/>
      <c r="AN110" s="1" t="s">
        <v>68</v>
      </c>
      <c r="AO110" s="1"/>
      <c r="AP110" s="306"/>
      <c r="AQ110" s="240">
        <v>0</v>
      </c>
      <c r="AR110" s="1030">
        <f t="shared" si="2"/>
        <v>259847.94</v>
      </c>
      <c r="AS110" s="1017">
        <v>259797.82</v>
      </c>
      <c r="AT110" s="32">
        <v>42201</v>
      </c>
      <c r="AU110" s="12">
        <v>42214</v>
      </c>
      <c r="AV110" s="243" t="s">
        <v>68</v>
      </c>
      <c r="AW110" s="55" t="s">
        <v>403</v>
      </c>
      <c r="AX110" s="20"/>
      <c r="AY110" s="1"/>
      <c r="AZ110" s="1"/>
      <c r="BA110" s="18"/>
      <c r="BB110" s="32"/>
      <c r="BC110" s="341"/>
      <c r="BD110" s="5"/>
      <c r="BE110" s="5"/>
      <c r="BF110" s="5"/>
      <c r="BG110" s="306">
        <v>259847.94</v>
      </c>
      <c r="BH110" s="14"/>
      <c r="BI110" s="794" t="s">
        <v>68</v>
      </c>
      <c r="BJ110" s="795" t="s">
        <v>68</v>
      </c>
      <c r="BK110" s="795" t="s">
        <v>68</v>
      </c>
      <c r="BL110" s="794"/>
      <c r="BM110" s="794"/>
      <c r="BN110" s="794"/>
      <c r="BO110" s="794"/>
      <c r="BP110" s="794"/>
      <c r="BQ110" s="794"/>
      <c r="BR110" s="794"/>
      <c r="BS110" s="794" t="s">
        <v>68</v>
      </c>
      <c r="BT110" s="14"/>
      <c r="BU110" s="14"/>
      <c r="BV110" s="14"/>
      <c r="BW110" s="14"/>
      <c r="BX110" s="14"/>
      <c r="BY110" s="1431" t="s">
        <v>1430</v>
      </c>
      <c r="BZ110" s="40" t="s">
        <v>76</v>
      </c>
      <c r="CA110" s="563"/>
      <c r="CB110" s="563"/>
      <c r="CC110" s="563"/>
      <c r="CD110" s="563"/>
      <c r="CE110" s="563"/>
      <c r="CF110" s="563"/>
      <c r="CG110" s="563"/>
      <c r="CH110" s="13"/>
    </row>
    <row r="111" spans="2:86" customFormat="1" ht="80.099999999999994" hidden="1" customHeight="1">
      <c r="B111" s="23"/>
      <c r="C111" s="23"/>
      <c r="D111" s="23"/>
      <c r="E111" s="23"/>
      <c r="F111" s="23"/>
      <c r="G111" s="1055">
        <v>42005</v>
      </c>
      <c r="H111" s="490">
        <v>43063</v>
      </c>
      <c r="I111" s="17">
        <v>2015</v>
      </c>
      <c r="J111" s="1676"/>
      <c r="K111" s="18" t="s">
        <v>77</v>
      </c>
      <c r="L111" s="20" t="s">
        <v>405</v>
      </c>
      <c r="M111" s="2" t="s">
        <v>4077</v>
      </c>
      <c r="N111" s="3" t="s">
        <v>406</v>
      </c>
      <c r="O111" s="3"/>
      <c r="P111" s="4">
        <v>186751.07</v>
      </c>
      <c r="Q111" s="6">
        <v>42188</v>
      </c>
      <c r="R111" s="5">
        <v>42191</v>
      </c>
      <c r="S111" s="12">
        <v>42210</v>
      </c>
      <c r="T111" s="14" t="s">
        <v>68</v>
      </c>
      <c r="U111" s="20" t="s">
        <v>68</v>
      </c>
      <c r="V111" s="19" t="s">
        <v>391</v>
      </c>
      <c r="W111" s="593" t="s">
        <v>74</v>
      </c>
      <c r="X111" s="791"/>
      <c r="Y111" s="20" t="s">
        <v>396</v>
      </c>
      <c r="Z111" s="9">
        <v>42244</v>
      </c>
      <c r="AA111" s="4">
        <v>186751.07</v>
      </c>
      <c r="AB111" s="4"/>
      <c r="AC111" s="34"/>
      <c r="AD111" s="36" t="s">
        <v>68</v>
      </c>
      <c r="AE111" s="119" t="s">
        <v>68</v>
      </c>
      <c r="AF111" s="119" t="s">
        <v>68</v>
      </c>
      <c r="AG111" s="7" t="s">
        <v>68</v>
      </c>
      <c r="AH111" s="235" t="s">
        <v>68</v>
      </c>
      <c r="AI111" s="35" t="s">
        <v>68</v>
      </c>
      <c r="AJ111" s="1" t="s">
        <v>68</v>
      </c>
      <c r="AK111" s="1"/>
      <c r="AL111" s="1" t="s">
        <v>68</v>
      </c>
      <c r="AM111" s="1"/>
      <c r="AN111" s="1" t="s">
        <v>68</v>
      </c>
      <c r="AO111" s="1"/>
      <c r="AP111" s="306"/>
      <c r="AQ111" s="240">
        <v>0</v>
      </c>
      <c r="AR111" s="1030">
        <f t="shared" si="2"/>
        <v>152162.73000000001</v>
      </c>
      <c r="AS111" s="1017">
        <v>152135.64000000001</v>
      </c>
      <c r="AT111" s="32">
        <v>42191</v>
      </c>
      <c r="AU111" s="12">
        <v>42210</v>
      </c>
      <c r="AV111" s="243" t="s">
        <v>68</v>
      </c>
      <c r="AW111" s="55" t="s">
        <v>405</v>
      </c>
      <c r="AX111" s="20"/>
      <c r="AY111" s="1"/>
      <c r="AZ111" s="1"/>
      <c r="BA111" s="18"/>
      <c r="BB111" s="32"/>
      <c r="BC111" s="341"/>
      <c r="BD111" s="5"/>
      <c r="BE111" s="5"/>
      <c r="BF111" s="5"/>
      <c r="BG111" s="306">
        <v>152162.73000000001</v>
      </c>
      <c r="BH111" s="14"/>
      <c r="BI111" s="794" t="s">
        <v>68</v>
      </c>
      <c r="BJ111" s="795" t="s">
        <v>68</v>
      </c>
      <c r="BK111" s="795" t="s">
        <v>68</v>
      </c>
      <c r="BL111" s="794"/>
      <c r="BM111" s="794"/>
      <c r="BN111" s="794"/>
      <c r="BO111" s="794"/>
      <c r="BP111" s="794"/>
      <c r="BQ111" s="794"/>
      <c r="BR111" s="794"/>
      <c r="BS111" s="794" t="s">
        <v>68</v>
      </c>
      <c r="BT111" s="14"/>
      <c r="BU111" s="14"/>
      <c r="BV111" s="14"/>
      <c r="BW111" s="14"/>
      <c r="BX111" s="14"/>
      <c r="BY111" s="1431" t="s">
        <v>1430</v>
      </c>
      <c r="BZ111" s="40" t="s">
        <v>76</v>
      </c>
      <c r="CA111" s="563"/>
      <c r="CB111" s="563"/>
      <c r="CC111" s="563"/>
      <c r="CD111" s="563"/>
      <c r="CE111" s="563"/>
      <c r="CF111" s="563"/>
      <c r="CG111" s="563"/>
      <c r="CH111" s="13"/>
    </row>
    <row r="112" spans="2:86" customFormat="1" ht="80.099999999999994" hidden="1" customHeight="1">
      <c r="B112" s="23"/>
      <c r="C112" s="23"/>
      <c r="D112" s="23"/>
      <c r="E112" s="23"/>
      <c r="F112" s="23"/>
      <c r="G112" s="1055">
        <v>42005</v>
      </c>
      <c r="H112" s="490">
        <v>43063</v>
      </c>
      <c r="I112" s="17">
        <v>2015</v>
      </c>
      <c r="J112" s="1676"/>
      <c r="K112" s="18" t="s">
        <v>77</v>
      </c>
      <c r="L112" s="20" t="s">
        <v>407</v>
      </c>
      <c r="M112" s="2" t="s">
        <v>4077</v>
      </c>
      <c r="N112" s="3" t="s">
        <v>408</v>
      </c>
      <c r="O112" s="3"/>
      <c r="P112" s="4">
        <v>359833.1</v>
      </c>
      <c r="Q112" s="6">
        <v>42210</v>
      </c>
      <c r="R112" s="5">
        <v>42210</v>
      </c>
      <c r="S112" s="12">
        <v>42226</v>
      </c>
      <c r="T112" s="14" t="s">
        <v>68</v>
      </c>
      <c r="U112" s="20" t="s">
        <v>68</v>
      </c>
      <c r="V112" s="19" t="s">
        <v>391</v>
      </c>
      <c r="W112" s="593" t="s">
        <v>74</v>
      </c>
      <c r="X112" s="791"/>
      <c r="Y112" s="20" t="s">
        <v>396</v>
      </c>
      <c r="Z112" s="9">
        <v>42244</v>
      </c>
      <c r="AA112" s="4">
        <v>359833.1</v>
      </c>
      <c r="AB112" s="4"/>
      <c r="AC112" s="34"/>
      <c r="AD112" s="36" t="s">
        <v>68</v>
      </c>
      <c r="AE112" s="119" t="s">
        <v>68</v>
      </c>
      <c r="AF112" s="119" t="s">
        <v>68</v>
      </c>
      <c r="AG112" s="7" t="s">
        <v>68</v>
      </c>
      <c r="AH112" s="235" t="s">
        <v>68</v>
      </c>
      <c r="AI112" s="35" t="s">
        <v>68</v>
      </c>
      <c r="AJ112" s="1" t="s">
        <v>68</v>
      </c>
      <c r="AK112" s="1"/>
      <c r="AL112" s="1" t="s">
        <v>68</v>
      </c>
      <c r="AM112" s="1"/>
      <c r="AN112" s="1" t="s">
        <v>68</v>
      </c>
      <c r="AO112" s="1"/>
      <c r="AP112" s="306"/>
      <c r="AQ112" s="240">
        <v>0</v>
      </c>
      <c r="AR112" s="1030">
        <f t="shared" si="2"/>
        <v>351798.17</v>
      </c>
      <c r="AS112" s="1017">
        <v>351731.88</v>
      </c>
      <c r="AT112" s="32">
        <v>42215</v>
      </c>
      <c r="AU112" s="12">
        <v>42221</v>
      </c>
      <c r="AV112" s="243" t="s">
        <v>68</v>
      </c>
      <c r="AW112" s="55" t="s">
        <v>407</v>
      </c>
      <c r="AX112" s="20"/>
      <c r="AY112" s="1"/>
      <c r="AZ112" s="1"/>
      <c r="BA112" s="18"/>
      <c r="BB112" s="32"/>
      <c r="BC112" s="341"/>
      <c r="BD112" s="5"/>
      <c r="BE112" s="5"/>
      <c r="BF112" s="5"/>
      <c r="BG112" s="306">
        <v>351798.17</v>
      </c>
      <c r="BH112" s="14"/>
      <c r="BI112" s="794" t="s">
        <v>68</v>
      </c>
      <c r="BJ112" s="795" t="s">
        <v>68</v>
      </c>
      <c r="BK112" s="795" t="s">
        <v>68</v>
      </c>
      <c r="BL112" s="794"/>
      <c r="BM112" s="794"/>
      <c r="BN112" s="794"/>
      <c r="BO112" s="794"/>
      <c r="BP112" s="794"/>
      <c r="BQ112" s="794"/>
      <c r="BR112" s="794"/>
      <c r="BS112" s="794" t="s">
        <v>68</v>
      </c>
      <c r="BT112" s="14"/>
      <c r="BU112" s="14"/>
      <c r="BV112" s="14"/>
      <c r="BW112" s="14"/>
      <c r="BX112" s="14"/>
      <c r="BY112" s="1431" t="s">
        <v>1430</v>
      </c>
      <c r="BZ112" s="40" t="s">
        <v>76</v>
      </c>
      <c r="CA112" s="563"/>
      <c r="CB112" s="563"/>
      <c r="CC112" s="563"/>
      <c r="CD112" s="563"/>
      <c r="CE112" s="563"/>
      <c r="CF112" s="563"/>
      <c r="CG112" s="563"/>
      <c r="CH112" s="13"/>
    </row>
    <row r="113" spans="2:86" customFormat="1" ht="80.099999999999994" hidden="1" customHeight="1">
      <c r="B113" s="23"/>
      <c r="C113" s="23"/>
      <c r="D113" s="23"/>
      <c r="E113" s="23"/>
      <c r="F113" s="23"/>
      <c r="G113" s="1055">
        <v>42005</v>
      </c>
      <c r="H113" s="490">
        <v>43063</v>
      </c>
      <c r="I113" s="17">
        <v>2015</v>
      </c>
      <c r="J113" s="1676"/>
      <c r="K113" s="18" t="s">
        <v>77</v>
      </c>
      <c r="L113" s="20" t="s">
        <v>409</v>
      </c>
      <c r="M113" s="2" t="s">
        <v>4077</v>
      </c>
      <c r="N113" s="3" t="s">
        <v>410</v>
      </c>
      <c r="O113" s="3"/>
      <c r="P113" s="4">
        <v>225508.89</v>
      </c>
      <c r="Q113" s="6">
        <v>42226</v>
      </c>
      <c r="R113" s="5">
        <v>42226</v>
      </c>
      <c r="S113" s="12">
        <v>42238</v>
      </c>
      <c r="T113" s="14" t="s">
        <v>68</v>
      </c>
      <c r="U113" s="20" t="s">
        <v>68</v>
      </c>
      <c r="V113" s="19" t="s">
        <v>391</v>
      </c>
      <c r="W113" s="593" t="s">
        <v>74</v>
      </c>
      <c r="X113" s="791"/>
      <c r="Y113" s="20" t="s">
        <v>396</v>
      </c>
      <c r="Z113" s="9">
        <v>42244</v>
      </c>
      <c r="AA113" s="4">
        <v>225508.89</v>
      </c>
      <c r="AB113" s="4"/>
      <c r="AC113" s="34"/>
      <c r="AD113" s="36" t="s">
        <v>68</v>
      </c>
      <c r="AE113" s="119" t="s">
        <v>68</v>
      </c>
      <c r="AF113" s="119" t="s">
        <v>68</v>
      </c>
      <c r="AG113" s="7" t="s">
        <v>68</v>
      </c>
      <c r="AH113" s="235" t="s">
        <v>68</v>
      </c>
      <c r="AI113" s="35" t="s">
        <v>68</v>
      </c>
      <c r="AJ113" s="1" t="s">
        <v>68</v>
      </c>
      <c r="AK113" s="1"/>
      <c r="AL113" s="1" t="s">
        <v>68</v>
      </c>
      <c r="AM113" s="1"/>
      <c r="AN113" s="1" t="s">
        <v>68</v>
      </c>
      <c r="AO113" s="1"/>
      <c r="AP113" s="306"/>
      <c r="AQ113" s="240">
        <v>0</v>
      </c>
      <c r="AR113" s="1030">
        <f t="shared" si="2"/>
        <v>232729.26</v>
      </c>
      <c r="AS113" s="1017">
        <v>232686.16</v>
      </c>
      <c r="AT113" s="32">
        <v>42226</v>
      </c>
      <c r="AU113" s="12">
        <v>42235</v>
      </c>
      <c r="AV113" s="243" t="s">
        <v>68</v>
      </c>
      <c r="AW113" s="55" t="s">
        <v>409</v>
      </c>
      <c r="AX113" s="20"/>
      <c r="AY113" s="1"/>
      <c r="AZ113" s="1"/>
      <c r="BA113" s="18"/>
      <c r="BB113" s="32"/>
      <c r="BC113" s="341"/>
      <c r="BD113" s="5"/>
      <c r="BE113" s="5"/>
      <c r="BF113" s="5"/>
      <c r="BG113" s="306">
        <v>232729.26</v>
      </c>
      <c r="BH113" s="14"/>
      <c r="BI113" s="794" t="s">
        <v>68</v>
      </c>
      <c r="BJ113" s="795" t="s">
        <v>68</v>
      </c>
      <c r="BK113" s="795" t="s">
        <v>68</v>
      </c>
      <c r="BL113" s="794"/>
      <c r="BM113" s="794"/>
      <c r="BN113" s="794"/>
      <c r="BO113" s="794"/>
      <c r="BP113" s="794"/>
      <c r="BQ113" s="794"/>
      <c r="BR113" s="794"/>
      <c r="BS113" s="794" t="s">
        <v>68</v>
      </c>
      <c r="BT113" s="14"/>
      <c r="BU113" s="14"/>
      <c r="BV113" s="14"/>
      <c r="BW113" s="14"/>
      <c r="BX113" s="14"/>
      <c r="BY113" s="1431" t="s">
        <v>1430</v>
      </c>
      <c r="BZ113" s="40" t="s">
        <v>76</v>
      </c>
      <c r="CA113" s="563"/>
      <c r="CB113" s="563"/>
      <c r="CC113" s="563"/>
      <c r="CD113" s="563"/>
      <c r="CE113" s="563"/>
      <c r="CF113" s="563"/>
      <c r="CG113" s="563"/>
      <c r="CH113" s="13"/>
    </row>
    <row r="114" spans="2:86" customFormat="1" ht="80.099999999999994" hidden="1" customHeight="1">
      <c r="B114" s="23"/>
      <c r="C114" s="23"/>
      <c r="D114" s="23"/>
      <c r="E114" s="23"/>
      <c r="F114" s="23"/>
      <c r="G114" s="1055">
        <v>42005</v>
      </c>
      <c r="H114" s="490">
        <v>43063</v>
      </c>
      <c r="I114" s="17">
        <v>2015</v>
      </c>
      <c r="J114" s="1676"/>
      <c r="K114" s="18" t="s">
        <v>77</v>
      </c>
      <c r="L114" s="20" t="s">
        <v>411</v>
      </c>
      <c r="M114" s="2" t="s">
        <v>4077</v>
      </c>
      <c r="N114" s="3" t="s">
        <v>412</v>
      </c>
      <c r="O114" s="3"/>
      <c r="P114" s="4">
        <v>373029.23</v>
      </c>
      <c r="Q114" s="6">
        <v>42188</v>
      </c>
      <c r="R114" s="5">
        <v>42191</v>
      </c>
      <c r="S114" s="12">
        <v>42210</v>
      </c>
      <c r="T114" s="14" t="s">
        <v>68</v>
      </c>
      <c r="U114" s="20" t="s">
        <v>68</v>
      </c>
      <c r="V114" s="19" t="s">
        <v>391</v>
      </c>
      <c r="W114" s="64">
        <v>42186</v>
      </c>
      <c r="X114" s="111"/>
      <c r="Y114" s="20" t="s">
        <v>388</v>
      </c>
      <c r="Z114" s="9">
        <v>42185</v>
      </c>
      <c r="AA114" s="4">
        <v>400121.57</v>
      </c>
      <c r="AB114" s="4"/>
      <c r="AC114" s="34"/>
      <c r="AD114" s="36" t="s">
        <v>68</v>
      </c>
      <c r="AE114" s="119" t="s">
        <v>68</v>
      </c>
      <c r="AF114" s="119" t="s">
        <v>68</v>
      </c>
      <c r="AG114" s="7" t="s">
        <v>68</v>
      </c>
      <c r="AH114" s="235" t="s">
        <v>68</v>
      </c>
      <c r="AI114" s="35" t="s">
        <v>68</v>
      </c>
      <c r="AJ114" s="1"/>
      <c r="AK114" s="1"/>
      <c r="AL114" s="1"/>
      <c r="AM114" s="1"/>
      <c r="AN114" s="1"/>
      <c r="AO114" s="1"/>
      <c r="AP114" s="306"/>
      <c r="AQ114" s="240">
        <v>0</v>
      </c>
      <c r="AR114" s="1030">
        <f t="shared" si="2"/>
        <v>374361.23</v>
      </c>
      <c r="AS114" s="1017">
        <v>331087.45</v>
      </c>
      <c r="AT114" s="32">
        <v>42191</v>
      </c>
      <c r="AU114" s="12">
        <v>42210</v>
      </c>
      <c r="AV114" s="32" t="s">
        <v>68</v>
      </c>
      <c r="AW114" s="55" t="s">
        <v>411</v>
      </c>
      <c r="AX114" s="20"/>
      <c r="AY114" s="1"/>
      <c r="AZ114" s="1"/>
      <c r="BA114" s="18"/>
      <c r="BB114" s="32"/>
      <c r="BC114" s="341"/>
      <c r="BD114" s="5"/>
      <c r="BE114" s="5"/>
      <c r="BF114" s="5"/>
      <c r="BG114" s="306">
        <v>374361.23</v>
      </c>
      <c r="BH114" s="14"/>
      <c r="BI114" s="794" t="s">
        <v>68</v>
      </c>
      <c r="BJ114" s="795" t="s">
        <v>68</v>
      </c>
      <c r="BK114" s="795" t="s">
        <v>68</v>
      </c>
      <c r="BL114" s="794"/>
      <c r="BM114" s="794"/>
      <c r="BN114" s="794"/>
      <c r="BO114" s="794"/>
      <c r="BP114" s="794"/>
      <c r="BQ114" s="794"/>
      <c r="BR114" s="794"/>
      <c r="BS114" s="794" t="s">
        <v>68</v>
      </c>
      <c r="BT114" s="14"/>
      <c r="BU114" s="14"/>
      <c r="BV114" s="14"/>
      <c r="BW114" s="14"/>
      <c r="BX114" s="14"/>
      <c r="BY114" s="1431" t="s">
        <v>1430</v>
      </c>
      <c r="BZ114" s="40" t="s">
        <v>76</v>
      </c>
      <c r="CA114" s="563"/>
      <c r="CB114" s="563"/>
      <c r="CC114" s="563"/>
      <c r="CD114" s="563"/>
      <c r="CE114" s="563"/>
      <c r="CF114" s="563"/>
      <c r="CG114" s="563"/>
      <c r="CH114" s="13"/>
    </row>
    <row r="115" spans="2:86" customFormat="1" ht="80.099999999999994" hidden="1" customHeight="1">
      <c r="B115" s="23"/>
      <c r="C115" s="23"/>
      <c r="D115" s="23"/>
      <c r="E115" s="23"/>
      <c r="F115" s="23"/>
      <c r="G115" s="1055">
        <v>42005</v>
      </c>
      <c r="H115" s="490">
        <v>43063</v>
      </c>
      <c r="I115" s="17">
        <v>2015</v>
      </c>
      <c r="J115" s="1676"/>
      <c r="K115" s="18" t="s">
        <v>77</v>
      </c>
      <c r="L115" s="20" t="s">
        <v>413</v>
      </c>
      <c r="M115" s="2" t="s">
        <v>4077</v>
      </c>
      <c r="N115" s="3" t="s">
        <v>414</v>
      </c>
      <c r="O115" s="3"/>
      <c r="P115" s="4">
        <v>847454.56</v>
      </c>
      <c r="Q115" s="6">
        <v>42219</v>
      </c>
      <c r="R115" s="5">
        <v>42219</v>
      </c>
      <c r="S115" s="12">
        <v>42231</v>
      </c>
      <c r="T115" s="14" t="s">
        <v>68</v>
      </c>
      <c r="U115" s="20" t="s">
        <v>68</v>
      </c>
      <c r="V115" s="19" t="s">
        <v>391</v>
      </c>
      <c r="W115" s="64">
        <v>42219</v>
      </c>
      <c r="X115" s="111"/>
      <c r="Y115" s="20" t="s">
        <v>388</v>
      </c>
      <c r="Z115" s="9">
        <v>42185</v>
      </c>
      <c r="AA115" s="4">
        <v>893540.34</v>
      </c>
      <c r="AB115" s="4"/>
      <c r="AC115" s="34"/>
      <c r="AD115" s="36" t="s">
        <v>68</v>
      </c>
      <c r="AE115" s="119" t="s">
        <v>68</v>
      </c>
      <c r="AF115" s="119" t="s">
        <v>68</v>
      </c>
      <c r="AG115" s="7" t="s">
        <v>68</v>
      </c>
      <c r="AH115" s="235" t="s">
        <v>68</v>
      </c>
      <c r="AI115" s="35" t="s">
        <v>68</v>
      </c>
      <c r="AJ115" s="1"/>
      <c r="AK115" s="1"/>
      <c r="AL115" s="1"/>
      <c r="AM115" s="1"/>
      <c r="AN115" s="1"/>
      <c r="AO115" s="1"/>
      <c r="AP115" s="306"/>
      <c r="AQ115" s="240">
        <v>0</v>
      </c>
      <c r="AR115" s="1030">
        <f t="shared" si="2"/>
        <v>733036.8</v>
      </c>
      <c r="AS115" s="1017">
        <v>845354.85</v>
      </c>
      <c r="AT115" s="32">
        <v>42219</v>
      </c>
      <c r="AU115" s="12">
        <v>42231</v>
      </c>
      <c r="AV115" s="32" t="s">
        <v>68</v>
      </c>
      <c r="AW115" s="55" t="s">
        <v>413</v>
      </c>
      <c r="AX115" s="20"/>
      <c r="AY115" s="1"/>
      <c r="AZ115" s="1"/>
      <c r="BA115" s="18"/>
      <c r="BB115" s="32"/>
      <c r="BC115" s="341"/>
      <c r="BD115" s="5"/>
      <c r="BE115" s="5"/>
      <c r="BF115" s="5"/>
      <c r="BG115" s="306">
        <v>733036.8</v>
      </c>
      <c r="BH115" s="14"/>
      <c r="BI115" s="794" t="s">
        <v>68</v>
      </c>
      <c r="BJ115" s="795" t="s">
        <v>68</v>
      </c>
      <c r="BK115" s="795" t="s">
        <v>68</v>
      </c>
      <c r="BL115" s="794"/>
      <c r="BM115" s="794"/>
      <c r="BN115" s="794"/>
      <c r="BO115" s="794"/>
      <c r="BP115" s="794"/>
      <c r="BQ115" s="794"/>
      <c r="BR115" s="794"/>
      <c r="BS115" s="794" t="s">
        <v>68</v>
      </c>
      <c r="BT115" s="14"/>
      <c r="BU115" s="14"/>
      <c r="BV115" s="14"/>
      <c r="BW115" s="14"/>
      <c r="BX115" s="14"/>
      <c r="BY115" s="1431" t="s">
        <v>1430</v>
      </c>
      <c r="BZ115" s="40" t="s">
        <v>76</v>
      </c>
      <c r="CA115" s="563"/>
      <c r="CB115" s="563"/>
      <c r="CC115" s="563"/>
      <c r="CD115" s="563"/>
      <c r="CE115" s="563"/>
      <c r="CF115" s="563"/>
      <c r="CG115" s="563"/>
      <c r="CH115" s="13"/>
    </row>
    <row r="116" spans="2:86" customFormat="1" ht="80.099999999999994" hidden="1" customHeight="1">
      <c r="B116" s="23"/>
      <c r="C116" s="23"/>
      <c r="D116" s="23"/>
      <c r="E116" s="23"/>
      <c r="F116" s="23"/>
      <c r="G116" s="1055">
        <v>42005</v>
      </c>
      <c r="H116" s="490">
        <v>43063</v>
      </c>
      <c r="I116" s="17">
        <v>2015</v>
      </c>
      <c r="J116" s="1676"/>
      <c r="K116" s="18" t="s">
        <v>77</v>
      </c>
      <c r="L116" s="20" t="s">
        <v>415</v>
      </c>
      <c r="M116" s="2" t="s">
        <v>4077</v>
      </c>
      <c r="N116" s="3" t="s">
        <v>416</v>
      </c>
      <c r="O116" s="3"/>
      <c r="P116" s="4">
        <v>510072.99</v>
      </c>
      <c r="Q116" s="6">
        <v>42186</v>
      </c>
      <c r="R116" s="5">
        <v>42233</v>
      </c>
      <c r="S116" s="12">
        <v>42247</v>
      </c>
      <c r="T116" s="14" t="s">
        <v>68</v>
      </c>
      <c r="U116" s="20" t="s">
        <v>68</v>
      </c>
      <c r="V116" s="19" t="s">
        <v>391</v>
      </c>
      <c r="W116" s="64">
        <v>42219</v>
      </c>
      <c r="X116" s="111"/>
      <c r="Y116" s="20" t="s">
        <v>388</v>
      </c>
      <c r="Z116" s="9">
        <v>42185</v>
      </c>
      <c r="AA116" s="4">
        <v>543382.36</v>
      </c>
      <c r="AB116" s="4"/>
      <c r="AC116" s="34"/>
      <c r="AD116" s="36" t="s">
        <v>68</v>
      </c>
      <c r="AE116" s="119" t="s">
        <v>68</v>
      </c>
      <c r="AF116" s="119" t="s">
        <v>68</v>
      </c>
      <c r="AG116" s="7" t="s">
        <v>68</v>
      </c>
      <c r="AH116" s="235" t="s">
        <v>68</v>
      </c>
      <c r="AI116" s="35" t="s">
        <v>68</v>
      </c>
      <c r="AJ116" s="1"/>
      <c r="AK116" s="1"/>
      <c r="AL116" s="1"/>
      <c r="AM116" s="1"/>
      <c r="AN116" s="1"/>
      <c r="AO116" s="1"/>
      <c r="AP116" s="306"/>
      <c r="AQ116" s="240">
        <v>0</v>
      </c>
      <c r="AR116" s="1030">
        <f t="shared" si="2"/>
        <v>508166.97</v>
      </c>
      <c r="AS116" s="1017">
        <v>508072.99</v>
      </c>
      <c r="AT116" s="32">
        <v>42233</v>
      </c>
      <c r="AU116" s="12">
        <v>42245</v>
      </c>
      <c r="AV116" s="32" t="s">
        <v>68</v>
      </c>
      <c r="AW116" s="55" t="s">
        <v>415</v>
      </c>
      <c r="AX116" s="20"/>
      <c r="AY116" s="1"/>
      <c r="AZ116" s="1"/>
      <c r="BA116" s="18"/>
      <c r="BB116" s="32"/>
      <c r="BC116" s="341"/>
      <c r="BD116" s="5"/>
      <c r="BE116" s="5"/>
      <c r="BF116" s="5"/>
      <c r="BG116" s="306">
        <v>508166.97</v>
      </c>
      <c r="BH116" s="14"/>
      <c r="BI116" s="794" t="s">
        <v>68</v>
      </c>
      <c r="BJ116" s="795" t="s">
        <v>68</v>
      </c>
      <c r="BK116" s="795" t="s">
        <v>68</v>
      </c>
      <c r="BL116" s="794"/>
      <c r="BM116" s="794"/>
      <c r="BN116" s="794"/>
      <c r="BO116" s="794"/>
      <c r="BP116" s="794"/>
      <c r="BQ116" s="794"/>
      <c r="BR116" s="794"/>
      <c r="BS116" s="794" t="s">
        <v>68</v>
      </c>
      <c r="BT116" s="14"/>
      <c r="BU116" s="14"/>
      <c r="BV116" s="14"/>
      <c r="BW116" s="14"/>
      <c r="BX116" s="14"/>
      <c r="BY116" s="1431" t="s">
        <v>1430</v>
      </c>
      <c r="BZ116" s="40" t="s">
        <v>76</v>
      </c>
      <c r="CA116" s="563"/>
      <c r="CB116" s="563"/>
      <c r="CC116" s="563"/>
      <c r="CD116" s="563"/>
      <c r="CE116" s="563"/>
      <c r="CF116" s="563"/>
      <c r="CG116" s="563"/>
      <c r="CH116" s="13"/>
    </row>
    <row r="117" spans="2:86" customFormat="1" ht="80.099999999999994" hidden="1" customHeight="1">
      <c r="B117" s="23"/>
      <c r="C117" s="23"/>
      <c r="D117" s="23"/>
      <c r="E117" s="23"/>
      <c r="F117" s="23"/>
      <c r="G117" s="1055">
        <v>42005</v>
      </c>
      <c r="H117" s="490">
        <v>43063</v>
      </c>
      <c r="I117" s="17">
        <v>2015</v>
      </c>
      <c r="J117" s="1676"/>
      <c r="K117" s="18" t="s">
        <v>77</v>
      </c>
      <c r="L117" s="20" t="s">
        <v>417</v>
      </c>
      <c r="M117" s="2" t="s">
        <v>4077</v>
      </c>
      <c r="N117" s="3" t="s">
        <v>418</v>
      </c>
      <c r="O117" s="3"/>
      <c r="P117" s="4">
        <v>125552.88</v>
      </c>
      <c r="Q117" s="6">
        <v>42219</v>
      </c>
      <c r="R117" s="5">
        <v>42219</v>
      </c>
      <c r="S117" s="12">
        <v>42231</v>
      </c>
      <c r="T117" s="14" t="s">
        <v>68</v>
      </c>
      <c r="U117" s="20" t="s">
        <v>68</v>
      </c>
      <c r="V117" s="19" t="s">
        <v>391</v>
      </c>
      <c r="W117" s="593" t="s">
        <v>74</v>
      </c>
      <c r="X117" s="791"/>
      <c r="Y117" s="20" t="s">
        <v>388</v>
      </c>
      <c r="Z117" s="9">
        <v>42185</v>
      </c>
      <c r="AA117" s="4">
        <v>400121.57</v>
      </c>
      <c r="AB117" s="4"/>
      <c r="AC117" s="34"/>
      <c r="AD117" s="36" t="s">
        <v>68</v>
      </c>
      <c r="AE117" s="119" t="s">
        <v>68</v>
      </c>
      <c r="AF117" s="119" t="s">
        <v>68</v>
      </c>
      <c r="AG117" s="7" t="s">
        <v>68</v>
      </c>
      <c r="AH117" s="235" t="s">
        <v>68</v>
      </c>
      <c r="AI117" s="35" t="s">
        <v>68</v>
      </c>
      <c r="AJ117" s="1" t="s">
        <v>68</v>
      </c>
      <c r="AK117" s="1"/>
      <c r="AL117" s="1" t="s">
        <v>68</v>
      </c>
      <c r="AM117" s="1"/>
      <c r="AN117" s="1" t="s">
        <v>68</v>
      </c>
      <c r="AO117" s="1"/>
      <c r="AP117" s="306"/>
      <c r="AQ117" s="240">
        <v>0</v>
      </c>
      <c r="AR117" s="1030">
        <f t="shared" si="2"/>
        <v>113692.02</v>
      </c>
      <c r="AS117" s="1017">
        <v>115878.96</v>
      </c>
      <c r="AT117" s="32">
        <v>42191</v>
      </c>
      <c r="AU117" s="12">
        <v>42210</v>
      </c>
      <c r="AV117" s="243" t="s">
        <v>68</v>
      </c>
      <c r="AW117" s="55" t="s">
        <v>411</v>
      </c>
      <c r="AX117" s="20"/>
      <c r="AY117" s="1"/>
      <c r="AZ117" s="1"/>
      <c r="BA117" s="18"/>
      <c r="BB117" s="32"/>
      <c r="BC117" s="341"/>
      <c r="BD117" s="5"/>
      <c r="BE117" s="5"/>
      <c r="BF117" s="5"/>
      <c r="BG117" s="306">
        <v>113692.02</v>
      </c>
      <c r="BH117" s="14"/>
      <c r="BI117" s="794" t="s">
        <v>68</v>
      </c>
      <c r="BJ117" s="795" t="s">
        <v>68</v>
      </c>
      <c r="BK117" s="795" t="s">
        <v>68</v>
      </c>
      <c r="BL117" s="794"/>
      <c r="BM117" s="794"/>
      <c r="BN117" s="794"/>
      <c r="BO117" s="794"/>
      <c r="BP117" s="794"/>
      <c r="BQ117" s="794"/>
      <c r="BR117" s="794"/>
      <c r="BS117" s="794" t="s">
        <v>68</v>
      </c>
      <c r="BT117" s="14"/>
      <c r="BU117" s="14"/>
      <c r="BV117" s="14"/>
      <c r="BW117" s="14"/>
      <c r="BX117" s="14"/>
      <c r="BY117" s="1431" t="s">
        <v>1430</v>
      </c>
      <c r="BZ117" s="40" t="s">
        <v>76</v>
      </c>
      <c r="CA117" s="563"/>
      <c r="CB117" s="563"/>
      <c r="CC117" s="563"/>
      <c r="CD117" s="563"/>
      <c r="CE117" s="563"/>
      <c r="CF117" s="563"/>
      <c r="CG117" s="563"/>
      <c r="CH117" s="13"/>
    </row>
    <row r="118" spans="2:86" customFormat="1" ht="80.099999999999994" hidden="1" customHeight="1">
      <c r="B118" s="23"/>
      <c r="C118" s="23"/>
      <c r="D118" s="23"/>
      <c r="E118" s="23"/>
      <c r="F118" s="23"/>
      <c r="G118" s="1055">
        <v>42005</v>
      </c>
      <c r="H118" s="490">
        <v>43063</v>
      </c>
      <c r="I118" s="17">
        <v>2015</v>
      </c>
      <c r="J118" s="1676"/>
      <c r="K118" s="18" t="s">
        <v>77</v>
      </c>
      <c r="L118" s="20" t="s">
        <v>419</v>
      </c>
      <c r="M118" s="2" t="s">
        <v>4077</v>
      </c>
      <c r="N118" s="3" t="s">
        <v>420</v>
      </c>
      <c r="O118" s="3"/>
      <c r="P118" s="4">
        <v>152209.54999999999</v>
      </c>
      <c r="Q118" s="6">
        <v>42225</v>
      </c>
      <c r="R118" s="5">
        <v>42225</v>
      </c>
      <c r="S118" s="12">
        <v>42247</v>
      </c>
      <c r="T118" s="14" t="s">
        <v>68</v>
      </c>
      <c r="U118" s="20" t="s">
        <v>68</v>
      </c>
      <c r="V118" s="19" t="s">
        <v>391</v>
      </c>
      <c r="W118" s="593" t="s">
        <v>74</v>
      </c>
      <c r="X118" s="791"/>
      <c r="Y118" s="20" t="s">
        <v>388</v>
      </c>
      <c r="Z118" s="9">
        <v>42185</v>
      </c>
      <c r="AA118" s="4">
        <v>120973.17</v>
      </c>
      <c r="AB118" s="4"/>
      <c r="AC118" s="34"/>
      <c r="AD118" s="36" t="s">
        <v>68</v>
      </c>
      <c r="AE118" s="119" t="s">
        <v>68</v>
      </c>
      <c r="AF118" s="119" t="s">
        <v>68</v>
      </c>
      <c r="AG118" s="7" t="s">
        <v>68</v>
      </c>
      <c r="AH118" s="235" t="s">
        <v>68</v>
      </c>
      <c r="AI118" s="35" t="s">
        <v>68</v>
      </c>
      <c r="AJ118" s="1" t="s">
        <v>68</v>
      </c>
      <c r="AK118" s="1"/>
      <c r="AL118" s="1" t="s">
        <v>68</v>
      </c>
      <c r="AM118" s="1"/>
      <c r="AN118" s="1" t="s">
        <v>68</v>
      </c>
      <c r="AO118" s="1"/>
      <c r="AP118" s="306"/>
      <c r="AQ118" s="240">
        <v>0</v>
      </c>
      <c r="AR118" s="1030">
        <f t="shared" si="2"/>
        <v>115900.93</v>
      </c>
      <c r="AS118" s="1017">
        <v>113748.67</v>
      </c>
      <c r="AT118" s="32">
        <v>42226</v>
      </c>
      <c r="AU118" s="12">
        <v>42231</v>
      </c>
      <c r="AV118" s="243" t="s">
        <v>68</v>
      </c>
      <c r="AW118" s="55">
        <v>42230</v>
      </c>
      <c r="AX118" s="20"/>
      <c r="AY118" s="1"/>
      <c r="AZ118" s="1"/>
      <c r="BA118" s="18"/>
      <c r="BB118" s="32"/>
      <c r="BC118" s="341"/>
      <c r="BD118" s="5"/>
      <c r="BE118" s="5"/>
      <c r="BF118" s="5"/>
      <c r="BG118" s="306">
        <v>115900.93</v>
      </c>
      <c r="BH118" s="14"/>
      <c r="BI118" s="794" t="s">
        <v>68</v>
      </c>
      <c r="BJ118" s="795" t="s">
        <v>68</v>
      </c>
      <c r="BK118" s="795" t="s">
        <v>68</v>
      </c>
      <c r="BL118" s="794"/>
      <c r="BM118" s="794"/>
      <c r="BN118" s="794"/>
      <c r="BO118" s="794"/>
      <c r="BP118" s="794"/>
      <c r="BQ118" s="794"/>
      <c r="BR118" s="794"/>
      <c r="BS118" s="794" t="s">
        <v>68</v>
      </c>
      <c r="BT118" s="14"/>
      <c r="BU118" s="14"/>
      <c r="BV118" s="14"/>
      <c r="BW118" s="14"/>
      <c r="BX118" s="14"/>
      <c r="BY118" s="1431" t="s">
        <v>1430</v>
      </c>
      <c r="BZ118" s="40" t="s">
        <v>76</v>
      </c>
      <c r="CA118" s="563"/>
      <c r="CB118" s="563"/>
      <c r="CC118" s="563"/>
      <c r="CD118" s="563"/>
      <c r="CE118" s="563"/>
      <c r="CF118" s="563"/>
      <c r="CG118" s="563"/>
      <c r="CH118" s="13"/>
    </row>
    <row r="119" spans="2:86" customFormat="1" ht="80.099999999999994" hidden="1" customHeight="1">
      <c r="B119" s="23"/>
      <c r="C119" s="23"/>
      <c r="D119" s="23"/>
      <c r="E119" s="23"/>
      <c r="F119" s="23"/>
      <c r="G119" s="1055">
        <v>42005</v>
      </c>
      <c r="H119" s="490">
        <v>42979</v>
      </c>
      <c r="I119" s="17">
        <v>2015</v>
      </c>
      <c r="J119" s="1676"/>
      <c r="K119" s="18" t="s">
        <v>77</v>
      </c>
      <c r="L119" s="20" t="s">
        <v>421</v>
      </c>
      <c r="M119" s="2" t="s">
        <v>79</v>
      </c>
      <c r="N119" s="3" t="s">
        <v>422</v>
      </c>
      <c r="O119" s="3"/>
      <c r="P119" s="4">
        <v>1093156.1599999999</v>
      </c>
      <c r="Q119" s="6">
        <v>42208</v>
      </c>
      <c r="R119" s="5">
        <v>42212</v>
      </c>
      <c r="S119" s="12">
        <v>42263</v>
      </c>
      <c r="T119" s="64">
        <v>42208</v>
      </c>
      <c r="U119" s="191" t="s">
        <v>423</v>
      </c>
      <c r="V119" s="19" t="s">
        <v>114</v>
      </c>
      <c r="W119" s="64">
        <v>42230</v>
      </c>
      <c r="X119" s="111"/>
      <c r="Y119" s="20" t="s">
        <v>424</v>
      </c>
      <c r="Z119" s="9">
        <v>41935</v>
      </c>
      <c r="AA119" s="4"/>
      <c r="AB119" s="4"/>
      <c r="AC119" s="34"/>
      <c r="AD119" s="36" t="s">
        <v>68</v>
      </c>
      <c r="AE119" s="119" t="s">
        <v>68</v>
      </c>
      <c r="AF119" s="119" t="s">
        <v>68</v>
      </c>
      <c r="AG119" s="7" t="s">
        <v>68</v>
      </c>
      <c r="AH119" s="235" t="s">
        <v>68</v>
      </c>
      <c r="AI119" s="35" t="s">
        <v>186</v>
      </c>
      <c r="AJ119" s="1" t="s">
        <v>68</v>
      </c>
      <c r="AK119" s="1"/>
      <c r="AL119" s="1" t="s">
        <v>425</v>
      </c>
      <c r="AM119" s="5">
        <v>42208</v>
      </c>
      <c r="AN119" s="1"/>
      <c r="AO119" s="1"/>
      <c r="AP119" s="306">
        <f>109315.62*2</f>
        <v>218631.24</v>
      </c>
      <c r="AQ119" s="240">
        <v>0</v>
      </c>
      <c r="AR119" s="1030">
        <f t="shared" si="2"/>
        <v>862676.78</v>
      </c>
      <c r="AS119" s="1017"/>
      <c r="AT119" s="32"/>
      <c r="AU119" s="12"/>
      <c r="AV119" s="32" t="s">
        <v>68</v>
      </c>
      <c r="AW119" s="55" t="s">
        <v>68</v>
      </c>
      <c r="AX119" s="59">
        <v>42254</v>
      </c>
      <c r="AY119" s="1" t="s">
        <v>68</v>
      </c>
      <c r="AZ119" s="1" t="s">
        <v>68</v>
      </c>
      <c r="BA119" s="18" t="s">
        <v>68</v>
      </c>
      <c r="BB119" s="32"/>
      <c r="BC119" s="341"/>
      <c r="BD119" s="5"/>
      <c r="BE119" s="5"/>
      <c r="BF119" s="5"/>
      <c r="BG119" s="38">
        <v>862676.78</v>
      </c>
      <c r="BH119" s="14"/>
      <c r="BI119" s="794" t="s">
        <v>68</v>
      </c>
      <c r="BJ119" s="795" t="s">
        <v>68</v>
      </c>
      <c r="BK119" s="795" t="s">
        <v>68</v>
      </c>
      <c r="BL119" s="794"/>
      <c r="BM119" s="794"/>
      <c r="BN119" s="794"/>
      <c r="BO119" s="794"/>
      <c r="BP119" s="794"/>
      <c r="BQ119" s="794"/>
      <c r="BR119" s="794"/>
      <c r="BS119" s="794" t="s">
        <v>68</v>
      </c>
      <c r="BT119" s="14"/>
      <c r="BU119" s="14"/>
      <c r="BV119" s="14"/>
      <c r="BW119" s="14"/>
      <c r="BX119" s="14"/>
      <c r="BY119" s="1431" t="s">
        <v>1430</v>
      </c>
      <c r="BZ119" s="40" t="s">
        <v>76</v>
      </c>
      <c r="CA119" s="563"/>
      <c r="CB119" s="563"/>
      <c r="CC119" s="563"/>
      <c r="CD119" s="563"/>
      <c r="CE119" s="563"/>
      <c r="CF119" s="563"/>
      <c r="CG119" s="563"/>
      <c r="CH119" s="13"/>
    </row>
    <row r="120" spans="2:86" customFormat="1" ht="80.099999999999994" hidden="1" customHeight="1">
      <c r="B120" s="23"/>
      <c r="C120" s="23"/>
      <c r="D120" s="23"/>
      <c r="E120" s="23"/>
      <c r="F120" s="23"/>
      <c r="G120" s="1055">
        <v>42005</v>
      </c>
      <c r="H120" s="490">
        <v>43063</v>
      </c>
      <c r="I120" s="182">
        <v>2015</v>
      </c>
      <c r="J120" s="1678"/>
      <c r="K120" s="18" t="s">
        <v>77</v>
      </c>
      <c r="L120" s="184" t="s">
        <v>426</v>
      </c>
      <c r="M120" s="2" t="s">
        <v>4077</v>
      </c>
      <c r="N120" s="186" t="s">
        <v>427</v>
      </c>
      <c r="O120" s="186"/>
      <c r="P120" s="187">
        <v>652283.77</v>
      </c>
      <c r="Q120" s="188">
        <v>42212</v>
      </c>
      <c r="R120" s="189">
        <v>42219</v>
      </c>
      <c r="S120" s="190">
        <v>42231</v>
      </c>
      <c r="T120" s="14" t="s">
        <v>68</v>
      </c>
      <c r="U120" s="20" t="s">
        <v>68</v>
      </c>
      <c r="V120" s="164" t="s">
        <v>391</v>
      </c>
      <c r="W120" s="68" t="s">
        <v>74</v>
      </c>
      <c r="X120" s="68"/>
      <c r="Y120" s="20" t="s">
        <v>396</v>
      </c>
      <c r="Z120" s="9">
        <v>42244</v>
      </c>
      <c r="AA120" s="4"/>
      <c r="AB120" s="4"/>
      <c r="AC120" s="34"/>
      <c r="AD120" s="36" t="s">
        <v>68</v>
      </c>
      <c r="AE120" s="119" t="s">
        <v>68</v>
      </c>
      <c r="AF120" s="119" t="s">
        <v>68</v>
      </c>
      <c r="AG120" s="7" t="s">
        <v>68</v>
      </c>
      <c r="AH120" s="235" t="s">
        <v>68</v>
      </c>
      <c r="AI120" s="35" t="s">
        <v>68</v>
      </c>
      <c r="AJ120" s="1" t="s">
        <v>68</v>
      </c>
      <c r="AK120" s="1"/>
      <c r="AL120" s="1" t="s">
        <v>68</v>
      </c>
      <c r="AM120" s="1"/>
      <c r="AN120" s="1" t="s">
        <v>68</v>
      </c>
      <c r="AO120" s="1"/>
      <c r="AP120" s="306"/>
      <c r="AQ120" s="240">
        <v>0</v>
      </c>
      <c r="AR120" s="1030">
        <f t="shared" si="2"/>
        <v>652262.11</v>
      </c>
      <c r="AS120" s="1017">
        <v>652140.78</v>
      </c>
      <c r="AT120" s="32"/>
      <c r="AU120" s="12"/>
      <c r="AV120" s="243" t="s">
        <v>68</v>
      </c>
      <c r="AW120" s="12"/>
      <c r="AX120" s="20"/>
      <c r="AY120" s="1"/>
      <c r="AZ120" s="1"/>
      <c r="BA120" s="18"/>
      <c r="BB120" s="32"/>
      <c r="BC120" s="341"/>
      <c r="BD120" s="5"/>
      <c r="BE120" s="5"/>
      <c r="BF120" s="5"/>
      <c r="BG120" s="306">
        <v>652262.11</v>
      </c>
      <c r="BH120" s="14"/>
      <c r="BI120" s="794" t="s">
        <v>68</v>
      </c>
      <c r="BJ120" s="795" t="s">
        <v>68</v>
      </c>
      <c r="BK120" s="795" t="s">
        <v>68</v>
      </c>
      <c r="BL120" s="794"/>
      <c r="BM120" s="794"/>
      <c r="BN120" s="794"/>
      <c r="BO120" s="794"/>
      <c r="BP120" s="794"/>
      <c r="BQ120" s="794"/>
      <c r="BR120" s="794"/>
      <c r="BS120" s="794" t="s">
        <v>68</v>
      </c>
      <c r="BT120" s="14"/>
      <c r="BU120" s="14"/>
      <c r="BV120" s="14"/>
      <c r="BW120" s="14"/>
      <c r="BX120" s="14"/>
      <c r="BY120" s="1431" t="s">
        <v>1430</v>
      </c>
      <c r="BZ120" s="40" t="s">
        <v>76</v>
      </c>
      <c r="CA120" s="563"/>
      <c r="CB120" s="563"/>
      <c r="CC120" s="563"/>
      <c r="CD120" s="563"/>
      <c r="CE120" s="563"/>
      <c r="CF120" s="563"/>
      <c r="CG120" s="563"/>
      <c r="CH120" s="13"/>
    </row>
    <row r="121" spans="2:86" customFormat="1" ht="80.099999999999994" hidden="1" customHeight="1">
      <c r="B121" s="23"/>
      <c r="C121" s="23"/>
      <c r="D121" s="23"/>
      <c r="E121" s="23"/>
      <c r="F121" s="23"/>
      <c r="G121" s="1055">
        <v>42005</v>
      </c>
      <c r="H121" s="490">
        <v>43063</v>
      </c>
      <c r="I121" s="182">
        <v>2015</v>
      </c>
      <c r="J121" s="1678"/>
      <c r="K121" s="18" t="s">
        <v>77</v>
      </c>
      <c r="L121" s="20" t="s">
        <v>428</v>
      </c>
      <c r="M121" s="2" t="s">
        <v>4077</v>
      </c>
      <c r="N121" s="3" t="s">
        <v>429</v>
      </c>
      <c r="O121" s="3"/>
      <c r="P121" s="4">
        <v>363720.15</v>
      </c>
      <c r="Q121" s="6">
        <v>42186</v>
      </c>
      <c r="R121" s="5">
        <v>42186</v>
      </c>
      <c r="S121" s="12">
        <v>42195</v>
      </c>
      <c r="T121" s="14" t="s">
        <v>68</v>
      </c>
      <c r="U121" s="20" t="s">
        <v>68</v>
      </c>
      <c r="V121" s="164" t="s">
        <v>391</v>
      </c>
      <c r="W121" s="289">
        <v>42186</v>
      </c>
      <c r="X121" s="1617"/>
      <c r="Y121" s="20" t="s">
        <v>388</v>
      </c>
      <c r="Z121" s="9">
        <v>42185</v>
      </c>
      <c r="AA121" s="285">
        <v>387852.54</v>
      </c>
      <c r="AB121" s="285"/>
      <c r="AC121" s="290"/>
      <c r="AD121" s="36" t="s">
        <v>68</v>
      </c>
      <c r="AE121" s="119" t="s">
        <v>68</v>
      </c>
      <c r="AF121" s="119" t="s">
        <v>68</v>
      </c>
      <c r="AG121" s="7" t="s">
        <v>68</v>
      </c>
      <c r="AH121" s="235" t="s">
        <v>68</v>
      </c>
      <c r="AI121" s="35" t="s">
        <v>68</v>
      </c>
      <c r="AJ121" s="1"/>
      <c r="AK121" s="1"/>
      <c r="AL121" s="1"/>
      <c r="AM121" s="1"/>
      <c r="AN121" s="1"/>
      <c r="AO121" s="1"/>
      <c r="AP121" s="306"/>
      <c r="AQ121" s="240">
        <v>0</v>
      </c>
      <c r="AR121" s="1030">
        <f t="shared" si="2"/>
        <v>362678.32</v>
      </c>
      <c r="AS121" s="1017">
        <v>362715.14</v>
      </c>
      <c r="AT121" s="32">
        <v>42186</v>
      </c>
      <c r="AU121" s="12">
        <v>42195</v>
      </c>
      <c r="AV121" s="32" t="s">
        <v>68</v>
      </c>
      <c r="AW121" s="12" t="s">
        <v>428</v>
      </c>
      <c r="AX121" s="20"/>
      <c r="AY121" s="1"/>
      <c r="AZ121" s="1"/>
      <c r="BA121" s="18"/>
      <c r="BB121" s="32"/>
      <c r="BC121" s="341"/>
      <c r="BD121" s="5"/>
      <c r="BE121" s="5"/>
      <c r="BF121" s="5"/>
      <c r="BG121" s="306">
        <v>362678.32</v>
      </c>
      <c r="BH121" s="14"/>
      <c r="BI121" s="794" t="s">
        <v>68</v>
      </c>
      <c r="BJ121" s="795" t="s">
        <v>68</v>
      </c>
      <c r="BK121" s="795" t="s">
        <v>68</v>
      </c>
      <c r="BL121" s="794"/>
      <c r="BM121" s="794"/>
      <c r="BN121" s="794"/>
      <c r="BO121" s="794"/>
      <c r="BP121" s="794"/>
      <c r="BQ121" s="794"/>
      <c r="BR121" s="794"/>
      <c r="BS121" s="794" t="s">
        <v>68</v>
      </c>
      <c r="BT121" s="14"/>
      <c r="BU121" s="14"/>
      <c r="BV121" s="14"/>
      <c r="BW121" s="14"/>
      <c r="BX121" s="14"/>
      <c r="BY121" s="1431" t="s">
        <v>1430</v>
      </c>
      <c r="BZ121" s="40" t="s">
        <v>76</v>
      </c>
      <c r="CA121" s="563"/>
      <c r="CB121" s="563"/>
      <c r="CC121" s="563"/>
      <c r="CD121" s="563"/>
      <c r="CE121" s="563"/>
      <c r="CF121" s="563"/>
      <c r="CG121" s="563"/>
      <c r="CH121" s="13"/>
    </row>
    <row r="122" spans="2:86" customFormat="1" ht="80.099999999999994" hidden="1" customHeight="1">
      <c r="B122" s="23"/>
      <c r="C122" s="23"/>
      <c r="D122" s="23"/>
      <c r="E122" s="23"/>
      <c r="F122" s="23"/>
      <c r="G122" s="1055">
        <v>42005</v>
      </c>
      <c r="H122" s="490">
        <v>43063</v>
      </c>
      <c r="I122" s="182">
        <v>2015</v>
      </c>
      <c r="J122" s="1678"/>
      <c r="K122" s="18" t="s">
        <v>77</v>
      </c>
      <c r="L122" s="207" t="s">
        <v>430</v>
      </c>
      <c r="M122" s="2" t="s">
        <v>4077</v>
      </c>
      <c r="N122" s="284" t="s">
        <v>431</v>
      </c>
      <c r="O122" s="284"/>
      <c r="P122" s="285">
        <v>410196.06</v>
      </c>
      <c r="Q122" s="286">
        <v>42219</v>
      </c>
      <c r="R122" s="287">
        <v>42219</v>
      </c>
      <c r="S122" s="288">
        <v>42231</v>
      </c>
      <c r="T122" s="14" t="s">
        <v>68</v>
      </c>
      <c r="U122" s="20" t="s">
        <v>68</v>
      </c>
      <c r="V122" s="164" t="s">
        <v>391</v>
      </c>
      <c r="W122" s="64">
        <v>42186</v>
      </c>
      <c r="X122" s="111"/>
      <c r="Y122" s="20" t="s">
        <v>432</v>
      </c>
      <c r="Z122" s="9">
        <v>42244</v>
      </c>
      <c r="AA122" s="4">
        <v>410196.06</v>
      </c>
      <c r="AB122" s="4"/>
      <c r="AC122" s="34"/>
      <c r="AD122" s="36" t="s">
        <v>68</v>
      </c>
      <c r="AE122" s="119" t="s">
        <v>68</v>
      </c>
      <c r="AF122" s="119" t="s">
        <v>68</v>
      </c>
      <c r="AG122" s="7" t="s">
        <v>68</v>
      </c>
      <c r="AH122" s="235" t="s">
        <v>68</v>
      </c>
      <c r="AI122" s="35" t="s">
        <v>68</v>
      </c>
      <c r="AJ122" s="1"/>
      <c r="AK122" s="1"/>
      <c r="AL122" s="1"/>
      <c r="AM122" s="1"/>
      <c r="AN122" s="1"/>
      <c r="AO122" s="1"/>
      <c r="AP122" s="306"/>
      <c r="AQ122" s="240">
        <v>0</v>
      </c>
      <c r="AR122" s="1030">
        <f t="shared" si="2"/>
        <v>383228.64</v>
      </c>
      <c r="AS122" s="1017">
        <v>339964.82</v>
      </c>
      <c r="AT122" s="32">
        <v>42219</v>
      </c>
      <c r="AU122" s="12">
        <v>42231</v>
      </c>
      <c r="AV122" s="32" t="s">
        <v>68</v>
      </c>
      <c r="AW122" s="12" t="s">
        <v>430</v>
      </c>
      <c r="AX122" s="20"/>
      <c r="AY122" s="1"/>
      <c r="AZ122" s="1"/>
      <c r="BA122" s="18"/>
      <c r="BB122" s="32"/>
      <c r="BC122" s="341"/>
      <c r="BD122" s="5"/>
      <c r="BE122" s="5"/>
      <c r="BF122" s="5"/>
      <c r="BG122" s="306">
        <v>383228.64</v>
      </c>
      <c r="BH122" s="14"/>
      <c r="BI122" s="794" t="s">
        <v>68</v>
      </c>
      <c r="BJ122" s="795" t="s">
        <v>68</v>
      </c>
      <c r="BK122" s="795" t="s">
        <v>68</v>
      </c>
      <c r="BL122" s="794"/>
      <c r="BM122" s="794"/>
      <c r="BN122" s="794"/>
      <c r="BO122" s="794"/>
      <c r="BP122" s="794"/>
      <c r="BQ122" s="794"/>
      <c r="BR122" s="794"/>
      <c r="BS122" s="794" t="s">
        <v>68</v>
      </c>
      <c r="BT122" s="14"/>
      <c r="BU122" s="14"/>
      <c r="BV122" s="14"/>
      <c r="BW122" s="14"/>
      <c r="BX122" s="14"/>
      <c r="BY122" s="1431" t="s">
        <v>1430</v>
      </c>
      <c r="BZ122" s="40" t="s">
        <v>76</v>
      </c>
      <c r="CA122" s="563"/>
      <c r="CB122" s="563"/>
      <c r="CC122" s="563"/>
      <c r="CD122" s="563"/>
      <c r="CE122" s="563"/>
      <c r="CF122" s="563"/>
      <c r="CG122" s="563"/>
      <c r="CH122" s="13"/>
    </row>
    <row r="123" spans="2:86" customFormat="1" ht="80.099999999999994" hidden="1" customHeight="1">
      <c r="B123" s="23"/>
      <c r="C123" s="23"/>
      <c r="D123" s="23"/>
      <c r="E123" s="23"/>
      <c r="F123" s="23"/>
      <c r="G123" s="1055">
        <v>42005</v>
      </c>
      <c r="H123" s="490">
        <v>43063</v>
      </c>
      <c r="I123" s="182">
        <v>2015</v>
      </c>
      <c r="J123" s="1678"/>
      <c r="K123" s="18" t="s">
        <v>77</v>
      </c>
      <c r="L123" s="20" t="s">
        <v>433</v>
      </c>
      <c r="M123" s="2" t="s">
        <v>4077</v>
      </c>
      <c r="N123" s="186" t="s">
        <v>434</v>
      </c>
      <c r="O123" s="186"/>
      <c r="P123" s="187">
        <v>471720.45</v>
      </c>
      <c r="Q123" s="188">
        <v>42230</v>
      </c>
      <c r="R123" s="189">
        <v>42232</v>
      </c>
      <c r="S123" s="190">
        <v>42247</v>
      </c>
      <c r="T123" s="14" t="s">
        <v>68</v>
      </c>
      <c r="U123" s="20" t="s">
        <v>68</v>
      </c>
      <c r="V123" s="164" t="s">
        <v>391</v>
      </c>
      <c r="W123" s="289">
        <v>42186</v>
      </c>
      <c r="X123" s="1617"/>
      <c r="Y123" s="20" t="s">
        <v>432</v>
      </c>
      <c r="Z123" s="9">
        <v>42244</v>
      </c>
      <c r="AA123" s="285">
        <v>471720.42</v>
      </c>
      <c r="AB123" s="285"/>
      <c r="AC123" s="290"/>
      <c r="AD123" s="36" t="s">
        <v>68</v>
      </c>
      <c r="AE123" s="119" t="s">
        <v>68</v>
      </c>
      <c r="AF123" s="119" t="s">
        <v>68</v>
      </c>
      <c r="AG123" s="7" t="s">
        <v>68</v>
      </c>
      <c r="AH123" s="235" t="s">
        <v>68</v>
      </c>
      <c r="AI123" s="35" t="s">
        <v>68</v>
      </c>
      <c r="AJ123" s="1"/>
      <c r="AK123" s="1"/>
      <c r="AL123" s="1"/>
      <c r="AM123" s="1"/>
      <c r="AN123" s="1"/>
      <c r="AO123" s="1"/>
      <c r="AP123" s="306"/>
      <c r="AQ123" s="240">
        <v>0</v>
      </c>
      <c r="AR123" s="1030">
        <f t="shared" si="2"/>
        <v>158385.24</v>
      </c>
      <c r="AS123" s="1017">
        <v>471670.56</v>
      </c>
      <c r="AT123" s="32">
        <v>42233</v>
      </c>
      <c r="AU123" s="12">
        <v>42245</v>
      </c>
      <c r="AV123" s="32" t="s">
        <v>68</v>
      </c>
      <c r="AW123" s="12" t="s">
        <v>433</v>
      </c>
      <c r="AX123" s="20"/>
      <c r="AY123" s="1"/>
      <c r="AZ123" s="1"/>
      <c r="BA123" s="18"/>
      <c r="BB123" s="32"/>
      <c r="BC123" s="341"/>
      <c r="BD123" s="5"/>
      <c r="BE123" s="5"/>
      <c r="BF123" s="5"/>
      <c r="BG123" s="306">
        <v>158385.24</v>
      </c>
      <c r="BH123" s="14"/>
      <c r="BI123" s="794" t="s">
        <v>68</v>
      </c>
      <c r="BJ123" s="795" t="s">
        <v>68</v>
      </c>
      <c r="BK123" s="795" t="s">
        <v>68</v>
      </c>
      <c r="BL123" s="794"/>
      <c r="BM123" s="794"/>
      <c r="BN123" s="794"/>
      <c r="BO123" s="794"/>
      <c r="BP123" s="794"/>
      <c r="BQ123" s="794"/>
      <c r="BR123" s="794"/>
      <c r="BS123" s="794" t="s">
        <v>68</v>
      </c>
      <c r="BT123" s="14"/>
      <c r="BU123" s="14"/>
      <c r="BV123" s="14"/>
      <c r="BW123" s="14"/>
      <c r="BX123" s="14"/>
      <c r="BY123" s="1431" t="s">
        <v>1430</v>
      </c>
      <c r="BZ123" s="40" t="s">
        <v>76</v>
      </c>
      <c r="CA123" s="563"/>
      <c r="CB123" s="563"/>
      <c r="CC123" s="563"/>
      <c r="CD123" s="563"/>
      <c r="CE123" s="563"/>
      <c r="CF123" s="563"/>
      <c r="CG123" s="563"/>
      <c r="CH123" s="13"/>
    </row>
    <row r="124" spans="2:86" customFormat="1" ht="80.099999999999994" hidden="1" customHeight="1">
      <c r="B124" s="23"/>
      <c r="C124" s="23"/>
      <c r="D124" s="23"/>
      <c r="E124" s="23"/>
      <c r="F124" s="23"/>
      <c r="G124" s="1055">
        <v>42005</v>
      </c>
      <c r="H124" s="490">
        <v>43063</v>
      </c>
      <c r="I124" s="182">
        <v>2015</v>
      </c>
      <c r="J124" s="1678"/>
      <c r="K124" s="18" t="s">
        <v>77</v>
      </c>
      <c r="L124" s="20" t="s">
        <v>435</v>
      </c>
      <c r="M124" s="2" t="s">
        <v>4077</v>
      </c>
      <c r="N124" s="186" t="s">
        <v>436</v>
      </c>
      <c r="O124" s="186"/>
      <c r="P124" s="187">
        <v>247047.85</v>
      </c>
      <c r="Q124" s="188">
        <v>42230</v>
      </c>
      <c r="R124" s="189">
        <v>42233</v>
      </c>
      <c r="S124" s="190">
        <v>42245</v>
      </c>
      <c r="T124" s="14" t="s">
        <v>68</v>
      </c>
      <c r="U124" s="20" t="s">
        <v>68</v>
      </c>
      <c r="V124" s="164" t="s">
        <v>391</v>
      </c>
      <c r="W124" s="64">
        <v>42186</v>
      </c>
      <c r="X124" s="111"/>
      <c r="Y124" s="20" t="s">
        <v>432</v>
      </c>
      <c r="Z124" s="9">
        <v>42244</v>
      </c>
      <c r="AA124" s="4">
        <v>256499.56</v>
      </c>
      <c r="AB124" s="4"/>
      <c r="AC124" s="34"/>
      <c r="AD124" s="36" t="s">
        <v>68</v>
      </c>
      <c r="AE124" s="119" t="s">
        <v>68</v>
      </c>
      <c r="AF124" s="119" t="s">
        <v>68</v>
      </c>
      <c r="AG124" s="7" t="s">
        <v>68</v>
      </c>
      <c r="AH124" s="235" t="s">
        <v>68</v>
      </c>
      <c r="AI124" s="35" t="s">
        <v>68</v>
      </c>
      <c r="AJ124" s="1"/>
      <c r="AK124" s="1"/>
      <c r="AL124" s="1"/>
      <c r="AM124" s="1"/>
      <c r="AN124" s="1"/>
      <c r="AO124" s="1"/>
      <c r="AP124" s="306"/>
      <c r="AQ124" s="240">
        <v>0</v>
      </c>
      <c r="AR124" s="1030">
        <f t="shared" si="2"/>
        <v>256750.89</v>
      </c>
      <c r="AS124" s="1017">
        <v>256724.74</v>
      </c>
      <c r="AT124" s="32">
        <v>42233</v>
      </c>
      <c r="AU124" s="12">
        <v>42245</v>
      </c>
      <c r="AV124" s="32" t="s">
        <v>68</v>
      </c>
      <c r="AW124" s="12" t="s">
        <v>435</v>
      </c>
      <c r="AX124" s="20"/>
      <c r="AY124" s="1"/>
      <c r="AZ124" s="1"/>
      <c r="BA124" s="18"/>
      <c r="BB124" s="32"/>
      <c r="BC124" s="341"/>
      <c r="BD124" s="5"/>
      <c r="BE124" s="5"/>
      <c r="BF124" s="5"/>
      <c r="BG124" s="306">
        <v>256750.89</v>
      </c>
      <c r="BH124" s="14"/>
      <c r="BI124" s="794" t="s">
        <v>68</v>
      </c>
      <c r="BJ124" s="795" t="s">
        <v>68</v>
      </c>
      <c r="BK124" s="795" t="s">
        <v>68</v>
      </c>
      <c r="BL124" s="794"/>
      <c r="BM124" s="794"/>
      <c r="BN124" s="794"/>
      <c r="BO124" s="794"/>
      <c r="BP124" s="794"/>
      <c r="BQ124" s="794"/>
      <c r="BR124" s="794"/>
      <c r="BS124" s="794" t="s">
        <v>68</v>
      </c>
      <c r="BT124" s="14"/>
      <c r="BU124" s="14"/>
      <c r="BV124" s="14"/>
      <c r="BW124" s="14"/>
      <c r="BX124" s="14"/>
      <c r="BY124" s="1431" t="s">
        <v>1430</v>
      </c>
      <c r="BZ124" s="40" t="s">
        <v>76</v>
      </c>
      <c r="CA124" s="563"/>
      <c r="CB124" s="563"/>
      <c r="CC124" s="563"/>
      <c r="CD124" s="563"/>
      <c r="CE124" s="563"/>
      <c r="CF124" s="563"/>
      <c r="CG124" s="563"/>
      <c r="CH124" s="13"/>
    </row>
    <row r="125" spans="2:86" customFormat="1" ht="80.099999999999994" hidden="1" customHeight="1">
      <c r="B125" s="23"/>
      <c r="C125" s="23"/>
      <c r="D125" s="23"/>
      <c r="E125" s="23"/>
      <c r="F125" s="23"/>
      <c r="G125" s="1055">
        <v>42005</v>
      </c>
      <c r="H125" s="490">
        <v>43063</v>
      </c>
      <c r="I125" s="182">
        <v>2015</v>
      </c>
      <c r="J125" s="1678"/>
      <c r="K125" s="18" t="s">
        <v>77</v>
      </c>
      <c r="L125" s="20" t="s">
        <v>437</v>
      </c>
      <c r="M125" s="2" t="s">
        <v>4077</v>
      </c>
      <c r="N125" s="186" t="s">
        <v>438</v>
      </c>
      <c r="O125" s="186"/>
      <c r="P125" s="187">
        <v>650294</v>
      </c>
      <c r="Q125" s="188">
        <v>42228</v>
      </c>
      <c r="R125" s="189">
        <v>42231</v>
      </c>
      <c r="S125" s="190">
        <v>42247</v>
      </c>
      <c r="T125" s="14" t="s">
        <v>68</v>
      </c>
      <c r="U125" s="20" t="s">
        <v>68</v>
      </c>
      <c r="V125" s="164" t="s">
        <v>391</v>
      </c>
      <c r="W125" s="289">
        <v>42223</v>
      </c>
      <c r="X125" s="1617"/>
      <c r="Y125" s="20"/>
      <c r="Z125" s="9"/>
      <c r="AA125" s="285"/>
      <c r="AB125" s="285"/>
      <c r="AC125" s="290"/>
      <c r="AD125" s="36" t="s">
        <v>68</v>
      </c>
      <c r="AE125" s="119" t="s">
        <v>68</v>
      </c>
      <c r="AF125" s="119" t="s">
        <v>68</v>
      </c>
      <c r="AG125" s="7" t="s">
        <v>68</v>
      </c>
      <c r="AH125" s="235" t="s">
        <v>68</v>
      </c>
      <c r="AI125" s="35" t="s">
        <v>68</v>
      </c>
      <c r="AJ125" s="1"/>
      <c r="AK125" s="1"/>
      <c r="AL125" s="1"/>
      <c r="AM125" s="1"/>
      <c r="AN125" s="1"/>
      <c r="AO125" s="1"/>
      <c r="AP125" s="306"/>
      <c r="AQ125" s="240">
        <v>0</v>
      </c>
      <c r="AR125" s="1030">
        <f t="shared" si="2"/>
        <v>362580.86</v>
      </c>
      <c r="AS125" s="1017">
        <v>650217.87</v>
      </c>
      <c r="AT125" s="32">
        <v>42233</v>
      </c>
      <c r="AU125" s="12">
        <v>42245</v>
      </c>
      <c r="AV125" s="32" t="s">
        <v>68</v>
      </c>
      <c r="AW125" s="12" t="s">
        <v>437</v>
      </c>
      <c r="AX125" s="20"/>
      <c r="AY125" s="1"/>
      <c r="AZ125" s="1"/>
      <c r="BA125" s="18"/>
      <c r="BB125" s="32"/>
      <c r="BC125" s="341"/>
      <c r="BD125" s="5"/>
      <c r="BE125" s="5"/>
      <c r="BF125" s="5"/>
      <c r="BG125" s="306">
        <v>362580.86</v>
      </c>
      <c r="BH125" s="14"/>
      <c r="BI125" s="794" t="s">
        <v>68</v>
      </c>
      <c r="BJ125" s="795" t="s">
        <v>68</v>
      </c>
      <c r="BK125" s="795" t="s">
        <v>68</v>
      </c>
      <c r="BL125" s="794"/>
      <c r="BM125" s="794"/>
      <c r="BN125" s="794"/>
      <c r="BO125" s="794"/>
      <c r="BP125" s="794"/>
      <c r="BQ125" s="794"/>
      <c r="BR125" s="794"/>
      <c r="BS125" s="794" t="s">
        <v>68</v>
      </c>
      <c r="BT125" s="14"/>
      <c r="BU125" s="14"/>
      <c r="BV125" s="14"/>
      <c r="BW125" s="14"/>
      <c r="BX125" s="14"/>
      <c r="BY125" s="1431" t="s">
        <v>1430</v>
      </c>
      <c r="BZ125" s="40" t="s">
        <v>76</v>
      </c>
      <c r="CA125" s="563"/>
      <c r="CB125" s="563"/>
      <c r="CC125" s="563"/>
      <c r="CD125" s="563"/>
      <c r="CE125" s="563"/>
      <c r="CF125" s="563"/>
      <c r="CG125" s="563"/>
      <c r="CH125" s="13"/>
    </row>
    <row r="126" spans="2:86" customFormat="1" ht="91.5" hidden="1" customHeight="1">
      <c r="B126" s="23"/>
      <c r="C126" s="23"/>
      <c r="D126" s="23"/>
      <c r="E126" s="23"/>
      <c r="F126" s="23"/>
      <c r="G126" s="1055">
        <v>42005</v>
      </c>
      <c r="H126" s="490">
        <v>43063</v>
      </c>
      <c r="I126" s="182">
        <v>2015</v>
      </c>
      <c r="J126" s="1678"/>
      <c r="K126" s="205" t="s">
        <v>166</v>
      </c>
      <c r="L126" s="20" t="s">
        <v>439</v>
      </c>
      <c r="M126" s="2" t="s">
        <v>4077</v>
      </c>
      <c r="N126" s="495" t="s">
        <v>440</v>
      </c>
      <c r="O126" s="495"/>
      <c r="P126" s="187">
        <v>425150</v>
      </c>
      <c r="Q126" s="188">
        <v>42195</v>
      </c>
      <c r="R126" s="189">
        <v>42198</v>
      </c>
      <c r="S126" s="190">
        <v>42223</v>
      </c>
      <c r="T126" s="14" t="s">
        <v>68</v>
      </c>
      <c r="U126" s="20" t="s">
        <v>68</v>
      </c>
      <c r="V126" s="19" t="s">
        <v>114</v>
      </c>
      <c r="W126" s="220" t="s">
        <v>68</v>
      </c>
      <c r="X126" s="406"/>
      <c r="Y126" s="20" t="s">
        <v>441</v>
      </c>
      <c r="Z126" s="9">
        <v>41876</v>
      </c>
      <c r="AA126" s="4">
        <v>425152.03</v>
      </c>
      <c r="AB126" s="4" t="s">
        <v>442</v>
      </c>
      <c r="AC126" s="34">
        <v>425150</v>
      </c>
      <c r="AD126" s="36" t="s">
        <v>68</v>
      </c>
      <c r="AE126" s="119" t="s">
        <v>68</v>
      </c>
      <c r="AF126" s="119" t="s">
        <v>68</v>
      </c>
      <c r="AG126" s="7" t="s">
        <v>68</v>
      </c>
      <c r="AH126" s="235" t="s">
        <v>68</v>
      </c>
      <c r="AI126" s="35" t="s">
        <v>68</v>
      </c>
      <c r="AJ126" s="1" t="s">
        <v>68</v>
      </c>
      <c r="AK126" s="1"/>
      <c r="AL126" s="1" t="s">
        <v>68</v>
      </c>
      <c r="AM126" s="1"/>
      <c r="AN126" s="1" t="s">
        <v>68</v>
      </c>
      <c r="AO126" s="1"/>
      <c r="AP126" s="306"/>
      <c r="AQ126" s="240">
        <v>0</v>
      </c>
      <c r="AR126" s="1030">
        <f t="shared" si="2"/>
        <v>56113.77</v>
      </c>
      <c r="AS126" s="1017"/>
      <c r="AT126" s="123" t="s">
        <v>443</v>
      </c>
      <c r="AU126" s="225" t="s">
        <v>443</v>
      </c>
      <c r="AV126" s="243" t="s">
        <v>68</v>
      </c>
      <c r="AW126" s="12"/>
      <c r="AX126" s="32">
        <v>42222</v>
      </c>
      <c r="AY126" s="5">
        <v>42229</v>
      </c>
      <c r="AZ126" s="5">
        <v>42223</v>
      </c>
      <c r="BA126" s="18"/>
      <c r="BB126" s="32">
        <v>42222</v>
      </c>
      <c r="BC126" s="341"/>
      <c r="BD126" s="5">
        <v>42229</v>
      </c>
      <c r="BE126" s="5">
        <v>42223</v>
      </c>
      <c r="BF126" s="5">
        <v>42223</v>
      </c>
      <c r="BG126" s="38">
        <v>56113.77</v>
      </c>
      <c r="BH126" s="14" t="s">
        <v>68</v>
      </c>
      <c r="BI126" s="794" t="s">
        <v>68</v>
      </c>
      <c r="BJ126" s="795" t="s">
        <v>68</v>
      </c>
      <c r="BK126" s="795" t="s">
        <v>68</v>
      </c>
      <c r="BL126" s="794"/>
      <c r="BM126" s="794"/>
      <c r="BN126" s="794"/>
      <c r="BO126" s="794"/>
      <c r="BP126" s="794"/>
      <c r="BQ126" s="794"/>
      <c r="BR126" s="794"/>
      <c r="BS126" s="794" t="s">
        <v>68</v>
      </c>
      <c r="BT126" s="14"/>
      <c r="BU126" s="14"/>
      <c r="BV126" s="14"/>
      <c r="BW126" s="14"/>
      <c r="BX126" s="14"/>
      <c r="BY126" s="1431" t="s">
        <v>1430</v>
      </c>
      <c r="BZ126" s="40" t="s">
        <v>76</v>
      </c>
      <c r="CA126" s="563"/>
      <c r="CB126" s="563"/>
      <c r="CC126" s="563"/>
      <c r="CD126" s="563"/>
      <c r="CE126" s="563"/>
      <c r="CF126" s="563"/>
      <c r="CG126" s="563"/>
      <c r="CH126" s="13"/>
    </row>
    <row r="127" spans="2:86" customFormat="1" ht="80.099999999999994" hidden="1" customHeight="1">
      <c r="B127" s="23"/>
      <c r="C127" s="23"/>
      <c r="D127" s="23"/>
      <c r="E127" s="23"/>
      <c r="F127" s="23"/>
      <c r="G127" s="1055">
        <v>42005</v>
      </c>
      <c r="H127" s="490">
        <v>43063</v>
      </c>
      <c r="I127" s="182">
        <v>2015</v>
      </c>
      <c r="J127" s="1678"/>
      <c r="K127" s="18" t="s">
        <v>77</v>
      </c>
      <c r="L127" s="20" t="s">
        <v>444</v>
      </c>
      <c r="M127" s="2" t="s">
        <v>4077</v>
      </c>
      <c r="N127" s="186" t="s">
        <v>445</v>
      </c>
      <c r="O127" s="186"/>
      <c r="P127" s="187">
        <v>365900.18</v>
      </c>
      <c r="Q127" s="188">
        <v>42254</v>
      </c>
      <c r="R127" s="189">
        <v>42254</v>
      </c>
      <c r="S127" s="190">
        <v>42210</v>
      </c>
      <c r="T127" s="14" t="s">
        <v>68</v>
      </c>
      <c r="U127" s="20" t="s">
        <v>68</v>
      </c>
      <c r="V127" s="291" t="s">
        <v>114</v>
      </c>
      <c r="W127" s="289">
        <v>42251</v>
      </c>
      <c r="X127" s="1617"/>
      <c r="Y127" s="292"/>
      <c r="Z127" s="293"/>
      <c r="AA127" s="285"/>
      <c r="AB127" s="285"/>
      <c r="AC127" s="290"/>
      <c r="AD127" s="36" t="s">
        <v>68</v>
      </c>
      <c r="AE127" s="119" t="s">
        <v>68</v>
      </c>
      <c r="AF127" s="119" t="s">
        <v>68</v>
      </c>
      <c r="AG127" s="7" t="s">
        <v>68</v>
      </c>
      <c r="AH127" s="235" t="s">
        <v>68</v>
      </c>
      <c r="AI127" s="35" t="s">
        <v>68</v>
      </c>
      <c r="AJ127" s="1"/>
      <c r="AK127" s="1"/>
      <c r="AL127" s="1"/>
      <c r="AM127" s="1"/>
      <c r="AN127" s="1"/>
      <c r="AO127" s="1"/>
      <c r="AP127" s="306"/>
      <c r="AQ127" s="240">
        <v>0</v>
      </c>
      <c r="AR127" s="1030">
        <f t="shared" si="2"/>
        <v>121302.28</v>
      </c>
      <c r="AS127" s="1017"/>
      <c r="AT127" s="32"/>
      <c r="AU127" s="12"/>
      <c r="AV127" s="32" t="s">
        <v>68</v>
      </c>
      <c r="AW127" s="12" t="s">
        <v>446</v>
      </c>
      <c r="AX127" s="20"/>
      <c r="AY127" s="1"/>
      <c r="AZ127" s="1"/>
      <c r="BA127" s="18"/>
      <c r="BB127" s="32"/>
      <c r="BC127" s="341"/>
      <c r="BD127" s="5"/>
      <c r="BE127" s="5"/>
      <c r="BF127" s="5"/>
      <c r="BG127" s="306">
        <v>121302.28</v>
      </c>
      <c r="BH127" s="14"/>
      <c r="BI127" s="794" t="s">
        <v>68</v>
      </c>
      <c r="BJ127" s="795" t="s">
        <v>68</v>
      </c>
      <c r="BK127" s="795" t="s">
        <v>68</v>
      </c>
      <c r="BL127" s="794"/>
      <c r="BM127" s="794"/>
      <c r="BN127" s="794"/>
      <c r="BO127" s="794"/>
      <c r="BP127" s="794"/>
      <c r="BQ127" s="794"/>
      <c r="BR127" s="794"/>
      <c r="BS127" s="794" t="s">
        <v>68</v>
      </c>
      <c r="BT127" s="14"/>
      <c r="BU127" s="14"/>
      <c r="BV127" s="14"/>
      <c r="BW127" s="14"/>
      <c r="BX127" s="14"/>
      <c r="BY127" s="1431" t="s">
        <v>1430</v>
      </c>
      <c r="BZ127" s="40" t="s">
        <v>76</v>
      </c>
      <c r="CA127" s="563"/>
      <c r="CB127" s="563"/>
      <c r="CC127" s="563"/>
      <c r="CD127" s="563"/>
      <c r="CE127" s="563"/>
      <c r="CF127" s="563"/>
      <c r="CG127" s="563"/>
      <c r="CH127" s="13"/>
    </row>
    <row r="128" spans="2:86" customFormat="1" ht="80.099999999999994" hidden="1" customHeight="1">
      <c r="B128" s="23"/>
      <c r="C128" s="23"/>
      <c r="D128" s="23"/>
      <c r="E128" s="23"/>
      <c r="F128" s="23"/>
      <c r="G128" s="1055">
        <v>42005</v>
      </c>
      <c r="H128" s="364">
        <v>43063</v>
      </c>
      <c r="I128" s="182">
        <v>2015</v>
      </c>
      <c r="J128" s="1678"/>
      <c r="K128" s="18" t="s">
        <v>77</v>
      </c>
      <c r="L128" s="20" t="s">
        <v>446</v>
      </c>
      <c r="M128" s="2" t="s">
        <v>4077</v>
      </c>
      <c r="N128" s="186" t="s">
        <v>447</v>
      </c>
      <c r="O128" s="186"/>
      <c r="P128" s="187">
        <v>289480.24</v>
      </c>
      <c r="Q128" s="188">
        <v>42258</v>
      </c>
      <c r="R128" s="189">
        <v>42258</v>
      </c>
      <c r="S128" s="190">
        <v>42272</v>
      </c>
      <c r="T128" s="14" t="s">
        <v>68</v>
      </c>
      <c r="U128" s="20" t="s">
        <v>68</v>
      </c>
      <c r="V128" s="19" t="s">
        <v>391</v>
      </c>
      <c r="W128" s="593" t="s">
        <v>74</v>
      </c>
      <c r="X128" s="791"/>
      <c r="Y128" s="20"/>
      <c r="Z128" s="9"/>
      <c r="AA128" s="4"/>
      <c r="AB128" s="4"/>
      <c r="AC128" s="34"/>
      <c r="AD128" s="36" t="s">
        <v>68</v>
      </c>
      <c r="AE128" s="119" t="s">
        <v>68</v>
      </c>
      <c r="AF128" s="119" t="s">
        <v>68</v>
      </c>
      <c r="AG128" s="7" t="s">
        <v>68</v>
      </c>
      <c r="AH128" s="235" t="s">
        <v>68</v>
      </c>
      <c r="AI128" s="35" t="s">
        <v>68</v>
      </c>
      <c r="AJ128" s="1" t="s">
        <v>68</v>
      </c>
      <c r="AK128" s="1"/>
      <c r="AL128" s="1" t="s">
        <v>68</v>
      </c>
      <c r="AM128" s="1"/>
      <c r="AN128" s="1" t="s">
        <v>68</v>
      </c>
      <c r="AO128" s="1"/>
      <c r="AP128" s="306"/>
      <c r="AQ128" s="240">
        <v>0</v>
      </c>
      <c r="AR128" s="1030">
        <f t="shared" si="2"/>
        <v>289195.57</v>
      </c>
      <c r="AS128" s="1017"/>
      <c r="AT128" s="32"/>
      <c r="AU128" s="12"/>
      <c r="AV128" s="243" t="s">
        <v>68</v>
      </c>
      <c r="AW128" s="12"/>
      <c r="AX128" s="20"/>
      <c r="AY128" s="1"/>
      <c r="AZ128" s="1"/>
      <c r="BA128" s="18"/>
      <c r="BB128" s="32"/>
      <c r="BC128" s="341"/>
      <c r="BD128" s="5"/>
      <c r="BE128" s="5"/>
      <c r="BF128" s="5"/>
      <c r="BG128" s="306">
        <v>289195.57</v>
      </c>
      <c r="BH128" s="14"/>
      <c r="BI128" s="794" t="s">
        <v>68</v>
      </c>
      <c r="BJ128" s="795" t="s">
        <v>68</v>
      </c>
      <c r="BK128" s="795" t="s">
        <v>68</v>
      </c>
      <c r="BL128" s="794"/>
      <c r="BM128" s="794"/>
      <c r="BN128" s="794"/>
      <c r="BO128" s="794"/>
      <c r="BP128" s="794"/>
      <c r="BQ128" s="794"/>
      <c r="BR128" s="794"/>
      <c r="BS128" s="794" t="s">
        <v>68</v>
      </c>
      <c r="BT128" s="14"/>
      <c r="BU128" s="14"/>
      <c r="BV128" s="14"/>
      <c r="BW128" s="14"/>
      <c r="BX128" s="14"/>
      <c r="BY128" s="1431" t="s">
        <v>1430</v>
      </c>
      <c r="BZ128" s="40" t="s">
        <v>76</v>
      </c>
      <c r="CA128" s="563"/>
      <c r="CB128" s="563"/>
      <c r="CC128" s="563"/>
      <c r="CD128" s="563"/>
      <c r="CE128" s="563"/>
      <c r="CF128" s="563"/>
      <c r="CG128" s="563"/>
      <c r="CH128" s="13"/>
    </row>
    <row r="129" spans="2:86" s="197" customFormat="1" ht="90.75" hidden="1" customHeight="1">
      <c r="B129" s="335"/>
      <c r="C129" s="335"/>
      <c r="D129" s="335"/>
      <c r="E129" s="335" t="s">
        <v>68</v>
      </c>
      <c r="F129" s="335"/>
      <c r="G129" s="1055">
        <v>43327</v>
      </c>
      <c r="H129" s="364">
        <v>43063</v>
      </c>
      <c r="I129" s="327">
        <v>2015</v>
      </c>
      <c r="J129" s="1679"/>
      <c r="K129" s="205" t="s">
        <v>77</v>
      </c>
      <c r="L129" s="174" t="s">
        <v>411</v>
      </c>
      <c r="M129" s="2" t="s">
        <v>4077</v>
      </c>
      <c r="N129" s="328" t="s">
        <v>448</v>
      </c>
      <c r="O129" s="328" t="s">
        <v>4458</v>
      </c>
      <c r="P129" s="85">
        <v>1538461.54</v>
      </c>
      <c r="Q129" s="69">
        <v>42320</v>
      </c>
      <c r="R129" s="255">
        <v>42321</v>
      </c>
      <c r="S129" s="245">
        <v>42369</v>
      </c>
      <c r="T129" s="282" t="s">
        <v>68</v>
      </c>
      <c r="U129" s="174" t="s">
        <v>68</v>
      </c>
      <c r="V129" s="716" t="s">
        <v>449</v>
      </c>
      <c r="W129" s="758">
        <v>42306</v>
      </c>
      <c r="X129" s="246"/>
      <c r="Y129" s="180" t="s">
        <v>450</v>
      </c>
      <c r="Z129" s="137">
        <v>42062</v>
      </c>
      <c r="AA129" s="85">
        <v>2804356.62</v>
      </c>
      <c r="AB129" s="759" t="s">
        <v>451</v>
      </c>
      <c r="AC129" s="741">
        <v>2564102.5699999998</v>
      </c>
      <c r="AD129" s="645" t="s">
        <v>68</v>
      </c>
      <c r="AE129" s="646" t="s">
        <v>68</v>
      </c>
      <c r="AF129" s="646" t="s">
        <v>68</v>
      </c>
      <c r="AG129" s="647" t="s">
        <v>68</v>
      </c>
      <c r="AH129" s="760" t="s">
        <v>68</v>
      </c>
      <c r="AI129" s="180" t="s">
        <v>68</v>
      </c>
      <c r="AJ129" s="71" t="s">
        <v>68</v>
      </c>
      <c r="AK129" s="71"/>
      <c r="AL129" s="71" t="s">
        <v>68</v>
      </c>
      <c r="AM129" s="71"/>
      <c r="AN129" s="71" t="s">
        <v>68</v>
      </c>
      <c r="AO129" s="71"/>
      <c r="AP129" s="601">
        <v>0</v>
      </c>
      <c r="AQ129" s="761">
        <v>0</v>
      </c>
      <c r="AR129" s="1035">
        <f t="shared" si="2"/>
        <v>2564102.5699999998</v>
      </c>
      <c r="AS129" s="1022"/>
      <c r="AT129" s="67" t="s">
        <v>74</v>
      </c>
      <c r="AU129" s="245" t="s">
        <v>68</v>
      </c>
      <c r="AV129" s="78" t="s">
        <v>68</v>
      </c>
      <c r="AW129" s="762" t="s">
        <v>452</v>
      </c>
      <c r="AX129" s="764">
        <v>42373</v>
      </c>
      <c r="AY129" s="255">
        <v>42321</v>
      </c>
      <c r="AZ129" s="71" t="s">
        <v>68</v>
      </c>
      <c r="BA129" s="245">
        <v>42369</v>
      </c>
      <c r="BB129" s="764">
        <v>42374</v>
      </c>
      <c r="BC129" s="1945"/>
      <c r="BD129" s="255">
        <v>42321</v>
      </c>
      <c r="BE129" s="255">
        <v>42369</v>
      </c>
      <c r="BF129" s="255">
        <v>42369</v>
      </c>
      <c r="BG129" s="72">
        <v>2564102.5699999998</v>
      </c>
      <c r="BH129" s="282" t="s">
        <v>68</v>
      </c>
      <c r="BI129" s="794" t="s">
        <v>68</v>
      </c>
      <c r="BJ129" s="795" t="s">
        <v>68</v>
      </c>
      <c r="BK129" s="795" t="s">
        <v>68</v>
      </c>
      <c r="BL129" s="794"/>
      <c r="BM129" s="794"/>
      <c r="BN129" s="794"/>
      <c r="BO129" s="794"/>
      <c r="BP129" s="794"/>
      <c r="BQ129" s="794"/>
      <c r="BR129" s="794"/>
      <c r="BS129" s="794" t="s">
        <v>68</v>
      </c>
      <c r="BT129" s="763" t="s">
        <v>453</v>
      </c>
      <c r="BU129" s="763"/>
      <c r="BV129" s="763"/>
      <c r="BW129" s="763"/>
      <c r="BX129" s="763"/>
      <c r="BY129" s="1432" t="s">
        <v>1567</v>
      </c>
      <c r="BZ129" s="649" t="s">
        <v>454</v>
      </c>
      <c r="CA129" s="566"/>
      <c r="CB129" s="566"/>
      <c r="CC129" s="566"/>
      <c r="CD129" s="566"/>
      <c r="CE129" s="566"/>
      <c r="CF129" s="566"/>
      <c r="CG129" s="566"/>
      <c r="CH129" s="329"/>
    </row>
    <row r="130" spans="2:86" customFormat="1" ht="90.75" hidden="1" customHeight="1">
      <c r="B130" s="23"/>
      <c r="C130" s="23"/>
      <c r="D130" s="23"/>
      <c r="E130" s="335" t="s">
        <v>68</v>
      </c>
      <c r="F130" s="335"/>
      <c r="G130" s="1055">
        <v>42307</v>
      </c>
      <c r="H130" s="490">
        <v>43063</v>
      </c>
      <c r="I130" s="17">
        <v>2015</v>
      </c>
      <c r="J130" s="1676"/>
      <c r="K130" s="19" t="s">
        <v>166</v>
      </c>
      <c r="L130" s="20" t="s">
        <v>455</v>
      </c>
      <c r="M130" s="2" t="s">
        <v>4077</v>
      </c>
      <c r="N130" s="3" t="s">
        <v>456</v>
      </c>
      <c r="O130" s="3" t="s">
        <v>2611</v>
      </c>
      <c r="P130" s="4">
        <v>162687</v>
      </c>
      <c r="Q130" s="6">
        <v>42278</v>
      </c>
      <c r="R130" s="5">
        <v>42278</v>
      </c>
      <c r="S130" s="12">
        <v>42338</v>
      </c>
      <c r="T130" s="14" t="s">
        <v>68</v>
      </c>
      <c r="U130" s="20" t="s">
        <v>68</v>
      </c>
      <c r="V130" s="183" t="s">
        <v>449</v>
      </c>
      <c r="W130" s="220" t="s">
        <v>68</v>
      </c>
      <c r="X130" s="406"/>
      <c r="Y130" s="138" t="s">
        <v>457</v>
      </c>
      <c r="Z130" s="80">
        <v>42453</v>
      </c>
      <c r="AA130" s="81">
        <v>153587</v>
      </c>
      <c r="AB130" s="261" t="s">
        <v>458</v>
      </c>
      <c r="AC130" s="34">
        <v>76560</v>
      </c>
      <c r="AD130" s="36" t="s">
        <v>68</v>
      </c>
      <c r="AE130" s="119" t="s">
        <v>68</v>
      </c>
      <c r="AF130" s="119" t="s">
        <v>68</v>
      </c>
      <c r="AG130" s="7" t="s">
        <v>68</v>
      </c>
      <c r="AH130" s="235" t="s">
        <v>68</v>
      </c>
      <c r="AI130" s="35" t="s">
        <v>68</v>
      </c>
      <c r="AJ130" s="1" t="s">
        <v>68</v>
      </c>
      <c r="AK130" s="1"/>
      <c r="AL130" s="1" t="s">
        <v>68</v>
      </c>
      <c r="AM130" s="1"/>
      <c r="AN130" s="1" t="s">
        <v>68</v>
      </c>
      <c r="AO130" s="1"/>
      <c r="AP130" s="306">
        <v>0</v>
      </c>
      <c r="AQ130" s="240">
        <v>0</v>
      </c>
      <c r="AR130" s="1030">
        <f t="shared" si="2"/>
        <v>264410.83</v>
      </c>
      <c r="AS130" s="1017"/>
      <c r="AT130" s="70">
        <v>42289</v>
      </c>
      <c r="AU130" s="12">
        <v>42592</v>
      </c>
      <c r="AV130" s="243" t="s">
        <v>68</v>
      </c>
      <c r="AW130" s="54" t="s">
        <v>68</v>
      </c>
      <c r="AX130" s="67" t="s">
        <v>68</v>
      </c>
      <c r="AY130" s="1"/>
      <c r="AZ130" s="1"/>
      <c r="BA130" s="18"/>
      <c r="BB130" s="67" t="s">
        <v>68</v>
      </c>
      <c r="BC130" s="1946"/>
      <c r="BD130" s="1"/>
      <c r="BE130" s="1"/>
      <c r="BF130" s="1"/>
      <c r="BG130" s="38">
        <v>264410.83</v>
      </c>
      <c r="BH130" s="14" t="s">
        <v>68</v>
      </c>
      <c r="BI130" s="794" t="s">
        <v>68</v>
      </c>
      <c r="BJ130" s="795" t="s">
        <v>68</v>
      </c>
      <c r="BK130" s="795" t="s">
        <v>68</v>
      </c>
      <c r="BL130" s="794"/>
      <c r="BM130" s="794"/>
      <c r="BN130" s="794"/>
      <c r="BO130" s="794"/>
      <c r="BP130" s="794"/>
      <c r="BQ130" s="794"/>
      <c r="BR130" s="794"/>
      <c r="BS130" s="794" t="s">
        <v>68</v>
      </c>
      <c r="BT130" s="14"/>
      <c r="BU130" s="14"/>
      <c r="BV130" s="14"/>
      <c r="BW130" s="14"/>
      <c r="BX130" s="14"/>
      <c r="BY130" s="1432" t="s">
        <v>1567</v>
      </c>
      <c r="BZ130" s="356" t="s">
        <v>459</v>
      </c>
      <c r="CA130" s="563"/>
      <c r="CB130" s="563"/>
      <c r="CC130" s="563"/>
      <c r="CD130" s="563"/>
      <c r="CE130" s="563"/>
      <c r="CF130" s="563"/>
      <c r="CG130" s="563"/>
      <c r="CH130" s="13"/>
    </row>
    <row r="131" spans="2:86" customFormat="1" ht="90.75" hidden="1" customHeight="1">
      <c r="B131" s="23"/>
      <c r="C131" s="23"/>
      <c r="D131" s="23"/>
      <c r="E131" s="335" t="s">
        <v>68</v>
      </c>
      <c r="F131" s="335"/>
      <c r="G131" s="1055">
        <v>43327</v>
      </c>
      <c r="H131" s="490">
        <v>43063</v>
      </c>
      <c r="I131" s="17">
        <v>2015</v>
      </c>
      <c r="J131" s="1676"/>
      <c r="K131" s="19" t="s">
        <v>460</v>
      </c>
      <c r="L131" s="131" t="s">
        <v>461</v>
      </c>
      <c r="M131" s="2" t="s">
        <v>4077</v>
      </c>
      <c r="N131" s="3" t="s">
        <v>448</v>
      </c>
      <c r="O131" s="3" t="s">
        <v>4458</v>
      </c>
      <c r="P131" s="4">
        <v>1538461.54</v>
      </c>
      <c r="Q131" s="6">
        <v>42320</v>
      </c>
      <c r="R131" s="5">
        <v>42321</v>
      </c>
      <c r="S131" s="12">
        <v>42369</v>
      </c>
      <c r="T131" s="14" t="s">
        <v>68</v>
      </c>
      <c r="U131" s="20" t="s">
        <v>68</v>
      </c>
      <c r="V131" s="183" t="s">
        <v>449</v>
      </c>
      <c r="W131" s="55">
        <v>42306</v>
      </c>
      <c r="X131" s="54"/>
      <c r="Y131" s="35" t="s">
        <v>450</v>
      </c>
      <c r="Z131" s="9">
        <v>42062</v>
      </c>
      <c r="AA131" s="4">
        <v>2804356.62</v>
      </c>
      <c r="AB131" s="261" t="s">
        <v>451</v>
      </c>
      <c r="AC131" s="34">
        <v>2564102.5699999998</v>
      </c>
      <c r="AD131" s="36" t="s">
        <v>68</v>
      </c>
      <c r="AE131" s="119" t="s">
        <v>68</v>
      </c>
      <c r="AF131" s="119" t="s">
        <v>68</v>
      </c>
      <c r="AG131" s="7" t="s">
        <v>68</v>
      </c>
      <c r="AH131" s="235" t="s">
        <v>68</v>
      </c>
      <c r="AI131" s="35" t="s">
        <v>68</v>
      </c>
      <c r="AJ131" s="1" t="s">
        <v>68</v>
      </c>
      <c r="AK131" s="1"/>
      <c r="AL131" s="1" t="s">
        <v>68</v>
      </c>
      <c r="AM131" s="1"/>
      <c r="AN131" s="1" t="s">
        <v>68</v>
      </c>
      <c r="AO131" s="1"/>
      <c r="AP131" s="306">
        <v>0</v>
      </c>
      <c r="AQ131" s="240">
        <v>471606.52</v>
      </c>
      <c r="AR131" s="1030">
        <v>1478527.73</v>
      </c>
      <c r="AS131" s="1017"/>
      <c r="AT131" s="67" t="s">
        <v>74</v>
      </c>
      <c r="AU131" s="12"/>
      <c r="AV131" s="32" t="s">
        <v>68</v>
      </c>
      <c r="AW131" s="58" t="s">
        <v>452</v>
      </c>
      <c r="AX131" s="522" t="s">
        <v>411</v>
      </c>
      <c r="AY131" s="1"/>
      <c r="AZ131" s="1"/>
      <c r="BA131" s="18"/>
      <c r="BB131" s="522" t="s">
        <v>411</v>
      </c>
      <c r="BC131" s="1947"/>
      <c r="BD131" s="1"/>
      <c r="BE131" s="1"/>
      <c r="BF131" s="1"/>
      <c r="BG131" s="38">
        <f>AQ131+AR131</f>
        <v>1950134.25</v>
      </c>
      <c r="BH131" s="14" t="s">
        <v>68</v>
      </c>
      <c r="BI131" s="794" t="s">
        <v>68</v>
      </c>
      <c r="BJ131" s="795" t="s">
        <v>68</v>
      </c>
      <c r="BK131" s="795" t="s">
        <v>68</v>
      </c>
      <c r="BL131" s="794"/>
      <c r="BM131" s="794"/>
      <c r="BN131" s="794"/>
      <c r="BO131" s="794"/>
      <c r="BP131" s="794"/>
      <c r="BQ131" s="794"/>
      <c r="BR131" s="794"/>
      <c r="BS131" s="794" t="s">
        <v>68</v>
      </c>
      <c r="BT131" s="755" t="s">
        <v>453</v>
      </c>
      <c r="BU131" s="755"/>
      <c r="BV131" s="755"/>
      <c r="BW131" s="755"/>
      <c r="BX131" s="755"/>
      <c r="BY131" s="1432" t="s">
        <v>1567</v>
      </c>
      <c r="BZ131" s="356" t="s">
        <v>459</v>
      </c>
      <c r="CA131" s="563"/>
      <c r="CB131" s="563"/>
      <c r="CC131" s="563"/>
      <c r="CD131" s="563"/>
      <c r="CE131" s="563"/>
      <c r="CF131" s="563"/>
      <c r="CG131" s="563"/>
      <c r="CH131" s="13"/>
    </row>
    <row r="132" spans="2:86" s="197" customFormat="1" ht="90.75" hidden="1" customHeight="1">
      <c r="B132" s="335"/>
      <c r="C132" s="335"/>
      <c r="D132" s="335"/>
      <c r="E132" s="335" t="s">
        <v>68</v>
      </c>
      <c r="F132" s="335"/>
      <c r="G132" s="1055">
        <v>43327</v>
      </c>
      <c r="H132" s="364">
        <v>43063</v>
      </c>
      <c r="I132" s="327">
        <v>2015</v>
      </c>
      <c r="J132" s="1679"/>
      <c r="K132" s="205" t="s">
        <v>64</v>
      </c>
      <c r="L132" s="174" t="s">
        <v>462</v>
      </c>
      <c r="M132" s="2" t="s">
        <v>4077</v>
      </c>
      <c r="N132" s="328" t="s">
        <v>463</v>
      </c>
      <c r="O132" s="328" t="s">
        <v>4458</v>
      </c>
      <c r="P132" s="85">
        <v>1025641.03</v>
      </c>
      <c r="Q132" s="69">
        <v>42320</v>
      </c>
      <c r="R132" s="255">
        <v>42321</v>
      </c>
      <c r="S132" s="245">
        <v>42369</v>
      </c>
      <c r="T132" s="282" t="s">
        <v>68</v>
      </c>
      <c r="U132" s="174" t="s">
        <v>68</v>
      </c>
      <c r="V132" s="716" t="s">
        <v>449</v>
      </c>
      <c r="W132" s="758">
        <v>42306</v>
      </c>
      <c r="X132" s="246"/>
      <c r="Y132" s="180" t="s">
        <v>464</v>
      </c>
      <c r="Z132" s="137">
        <v>42293</v>
      </c>
      <c r="AA132" s="85">
        <v>1025641</v>
      </c>
      <c r="AB132" s="85"/>
      <c r="AC132" s="741"/>
      <c r="AD132" s="645" t="s">
        <v>68</v>
      </c>
      <c r="AE132" s="646" t="s">
        <v>68</v>
      </c>
      <c r="AF132" s="646" t="s">
        <v>68</v>
      </c>
      <c r="AG132" s="647" t="s">
        <v>68</v>
      </c>
      <c r="AH132" s="760" t="s">
        <v>68</v>
      </c>
      <c r="AI132" s="180" t="s">
        <v>68</v>
      </c>
      <c r="AJ132" s="71" t="s">
        <v>68</v>
      </c>
      <c r="AK132" s="71" t="s">
        <v>68</v>
      </c>
      <c r="AL132" s="71" t="s">
        <v>68</v>
      </c>
      <c r="AM132" s="71" t="s">
        <v>68</v>
      </c>
      <c r="AN132" s="71" t="s">
        <v>68</v>
      </c>
      <c r="AO132" s="71" t="s">
        <v>68</v>
      </c>
      <c r="AP132" s="601">
        <v>0</v>
      </c>
      <c r="AQ132" s="74">
        <v>0</v>
      </c>
      <c r="AR132" s="1032">
        <v>0</v>
      </c>
      <c r="AS132" s="1019"/>
      <c r="AT132" s="67" t="s">
        <v>74</v>
      </c>
      <c r="AU132" s="245"/>
      <c r="AV132" s="387" t="s">
        <v>68</v>
      </c>
      <c r="AW132" s="765"/>
      <c r="AX132" s="522" t="s">
        <v>411</v>
      </c>
      <c r="AY132" s="71"/>
      <c r="AZ132" s="71"/>
      <c r="BA132" s="532"/>
      <c r="BB132" s="522" t="s">
        <v>411</v>
      </c>
      <c r="BC132" s="1947"/>
      <c r="BD132" s="1"/>
      <c r="BE132" s="1"/>
      <c r="BF132" s="1"/>
      <c r="BG132" s="38">
        <f>AQ132+AR132</f>
        <v>0</v>
      </c>
      <c r="BH132" s="282" t="s">
        <v>68</v>
      </c>
      <c r="BI132" s="794" t="s">
        <v>68</v>
      </c>
      <c r="BJ132" s="795" t="s">
        <v>68</v>
      </c>
      <c r="BK132" s="795" t="s">
        <v>68</v>
      </c>
      <c r="BL132" s="794"/>
      <c r="BM132" s="794"/>
      <c r="BN132" s="794"/>
      <c r="BO132" s="794"/>
      <c r="BP132" s="794"/>
      <c r="BQ132" s="794"/>
      <c r="BR132" s="794"/>
      <c r="BS132" s="794" t="s">
        <v>68</v>
      </c>
      <c r="BT132" s="763" t="s">
        <v>453</v>
      </c>
      <c r="BU132" s="763"/>
      <c r="BV132" s="763"/>
      <c r="BW132" s="763"/>
      <c r="BX132" s="763"/>
      <c r="BY132" s="1432" t="s">
        <v>1567</v>
      </c>
      <c r="BZ132" s="356" t="s">
        <v>459</v>
      </c>
      <c r="CA132" s="566"/>
      <c r="CB132" s="566"/>
      <c r="CC132" s="566"/>
      <c r="CD132" s="566"/>
      <c r="CE132" s="566"/>
      <c r="CF132" s="566"/>
      <c r="CG132" s="566"/>
      <c r="CH132" s="329"/>
    </row>
    <row r="133" spans="2:86" customFormat="1" ht="60.75" hidden="1" customHeight="1">
      <c r="B133" s="23"/>
      <c r="C133" s="23"/>
      <c r="D133" s="23"/>
      <c r="E133" s="23"/>
      <c r="F133" s="23"/>
      <c r="G133" s="1055">
        <v>42671</v>
      </c>
      <c r="H133" s="490">
        <v>43013</v>
      </c>
      <c r="I133" s="17">
        <v>2015</v>
      </c>
      <c r="J133" s="1676"/>
      <c r="K133" s="19" t="s">
        <v>465</v>
      </c>
      <c r="L133" s="35" t="s">
        <v>466</v>
      </c>
      <c r="M133" s="2" t="s">
        <v>467</v>
      </c>
      <c r="N133" s="3" t="s">
        <v>468</v>
      </c>
      <c r="O133" s="3" t="s">
        <v>2684</v>
      </c>
      <c r="P133" s="4">
        <v>1500000</v>
      </c>
      <c r="Q133" s="6">
        <v>42307</v>
      </c>
      <c r="R133" s="5">
        <v>42338</v>
      </c>
      <c r="S133" s="12">
        <v>42696</v>
      </c>
      <c r="T133" s="14" t="s">
        <v>68</v>
      </c>
      <c r="U133" s="35" t="s">
        <v>68</v>
      </c>
      <c r="V133" s="19" t="s">
        <v>68</v>
      </c>
      <c r="W133" s="220" t="s">
        <v>68</v>
      </c>
      <c r="X133" s="406"/>
      <c r="Y133" s="20" t="s">
        <v>68</v>
      </c>
      <c r="Z133" s="9" t="s">
        <v>68</v>
      </c>
      <c r="AA133" s="4" t="s">
        <v>68</v>
      </c>
      <c r="AB133" s="4" t="s">
        <v>68</v>
      </c>
      <c r="AC133" s="34" t="s">
        <v>68</v>
      </c>
      <c r="AD133" s="36" t="s">
        <v>68</v>
      </c>
      <c r="AE133" s="119" t="s">
        <v>68</v>
      </c>
      <c r="AF133" s="119" t="s">
        <v>68</v>
      </c>
      <c r="AG133" s="7" t="s">
        <v>68</v>
      </c>
      <c r="AH133" s="235" t="s">
        <v>68</v>
      </c>
      <c r="AI133" s="35" t="s">
        <v>68</v>
      </c>
      <c r="AJ133" s="1" t="s">
        <v>68</v>
      </c>
      <c r="AK133" s="1" t="s">
        <v>68</v>
      </c>
      <c r="AL133" s="1" t="s">
        <v>68</v>
      </c>
      <c r="AM133" s="1"/>
      <c r="AN133" s="1"/>
      <c r="AO133" s="1"/>
      <c r="AP133" s="306"/>
      <c r="AQ133" s="37">
        <v>0</v>
      </c>
      <c r="AR133" s="1031">
        <v>0</v>
      </c>
      <c r="AS133" s="1018"/>
      <c r="AT133" s="82" t="s">
        <v>68</v>
      </c>
      <c r="AU133" s="134" t="s">
        <v>68</v>
      </c>
      <c r="AV133" s="243" t="s">
        <v>68</v>
      </c>
      <c r="AW133" s="244" t="s">
        <v>68</v>
      </c>
      <c r="AX133" s="82" t="s">
        <v>68</v>
      </c>
      <c r="AY133" s="1"/>
      <c r="AZ133" s="1"/>
      <c r="BA133" s="18"/>
      <c r="BB133" s="82" t="s">
        <v>68</v>
      </c>
      <c r="BC133" s="1948"/>
      <c r="BD133" s="135"/>
      <c r="BE133" s="135"/>
      <c r="BF133" s="135"/>
      <c r="BG133" s="136">
        <f t="shared" ref="BG133:BG151" si="3">AQ133+AR133</f>
        <v>0</v>
      </c>
      <c r="BH133" s="14" t="s">
        <v>68</v>
      </c>
      <c r="BI133" s="794" t="s">
        <v>68</v>
      </c>
      <c r="BJ133" s="795" t="s">
        <v>68</v>
      </c>
      <c r="BK133" s="795" t="s">
        <v>68</v>
      </c>
      <c r="BL133" s="794"/>
      <c r="BM133" s="794"/>
      <c r="BN133" s="794"/>
      <c r="BO133" s="794"/>
      <c r="BP133" s="794"/>
      <c r="BQ133" s="794"/>
      <c r="BR133" s="794"/>
      <c r="BS133" s="794" t="s">
        <v>68</v>
      </c>
      <c r="BT133" s="64"/>
      <c r="BU133" s="64"/>
      <c r="BV133" s="64"/>
      <c r="BW133" s="64"/>
      <c r="BX133" s="64"/>
      <c r="BY133" s="1432" t="s">
        <v>1567</v>
      </c>
      <c r="BZ133" s="649" t="s">
        <v>454</v>
      </c>
      <c r="CA133" s="614"/>
      <c r="CB133" s="614"/>
      <c r="CC133" s="614"/>
      <c r="CD133" s="614"/>
      <c r="CE133" s="614"/>
      <c r="CF133" s="614"/>
      <c r="CG133" s="614"/>
      <c r="CH133" s="13"/>
    </row>
    <row r="134" spans="2:86" customFormat="1" ht="60.75" hidden="1" customHeight="1">
      <c r="B134" s="23"/>
      <c r="C134" s="23"/>
      <c r="D134" s="23"/>
      <c r="E134" s="335" t="s">
        <v>68</v>
      </c>
      <c r="F134" s="335"/>
      <c r="G134" s="1055">
        <v>42397</v>
      </c>
      <c r="H134" s="490">
        <v>43013</v>
      </c>
      <c r="I134" s="17">
        <v>2015</v>
      </c>
      <c r="J134" s="1676"/>
      <c r="K134" s="19" t="s">
        <v>465</v>
      </c>
      <c r="L134" s="20" t="s">
        <v>469</v>
      </c>
      <c r="M134" s="2" t="s">
        <v>79</v>
      </c>
      <c r="N134" s="3" t="s">
        <v>470</v>
      </c>
      <c r="O134" s="3" t="s">
        <v>2684</v>
      </c>
      <c r="P134" s="4">
        <v>1500000</v>
      </c>
      <c r="Q134" s="6">
        <v>42339</v>
      </c>
      <c r="R134" s="5">
        <v>42338</v>
      </c>
      <c r="S134" s="12">
        <v>42704</v>
      </c>
      <c r="T134" s="70">
        <v>42701</v>
      </c>
      <c r="U134" s="35" t="s">
        <v>471</v>
      </c>
      <c r="V134" s="19" t="s">
        <v>472</v>
      </c>
      <c r="W134" s="220">
        <v>42398</v>
      </c>
      <c r="X134" s="406"/>
      <c r="Y134" s="35" t="s">
        <v>473</v>
      </c>
      <c r="Z134" s="9">
        <v>42325</v>
      </c>
      <c r="AA134" s="4">
        <v>500000</v>
      </c>
      <c r="AB134" s="4"/>
      <c r="AC134" s="34"/>
      <c r="AD134" s="36" t="s">
        <v>68</v>
      </c>
      <c r="AE134" s="119" t="s">
        <v>68</v>
      </c>
      <c r="AF134" s="119" t="s">
        <v>68</v>
      </c>
      <c r="AG134" s="7" t="s">
        <v>68</v>
      </c>
      <c r="AH134" s="235" t="s">
        <v>68</v>
      </c>
      <c r="AI134" s="35" t="s">
        <v>232</v>
      </c>
      <c r="AJ134" s="1">
        <v>1955042</v>
      </c>
      <c r="AK134" s="5">
        <v>42338</v>
      </c>
      <c r="AL134" s="1">
        <v>1955045</v>
      </c>
      <c r="AM134" s="5">
        <v>42338</v>
      </c>
      <c r="AN134" s="71">
        <v>2010927</v>
      </c>
      <c r="AO134" s="5">
        <v>42569</v>
      </c>
      <c r="AP134" s="306">
        <f>525000+150000+150000</f>
        <v>825000</v>
      </c>
      <c r="AQ134" s="37">
        <v>0</v>
      </c>
      <c r="AR134" s="1032">
        <f>361614.4+671903.9+466581.7</f>
        <v>1500100</v>
      </c>
      <c r="AS134" s="1019"/>
      <c r="AT134" s="70">
        <v>42338</v>
      </c>
      <c r="AU134" s="12">
        <v>42543</v>
      </c>
      <c r="AV134" s="243" t="s">
        <v>68</v>
      </c>
      <c r="AW134" s="244" t="s">
        <v>68</v>
      </c>
      <c r="AX134" s="70">
        <v>42567</v>
      </c>
      <c r="AY134" s="5">
        <v>42338</v>
      </c>
      <c r="AZ134" s="5">
        <v>42696</v>
      </c>
      <c r="BA134" s="12">
        <v>42567</v>
      </c>
      <c r="BB134" s="70">
        <v>42580</v>
      </c>
      <c r="BC134" s="378"/>
      <c r="BD134" s="5">
        <v>42338</v>
      </c>
      <c r="BE134" s="5">
        <v>42696</v>
      </c>
      <c r="BF134" s="5">
        <v>42567</v>
      </c>
      <c r="BG134" s="38">
        <f t="shared" si="3"/>
        <v>1500100</v>
      </c>
      <c r="BH134" s="70">
        <v>42583</v>
      </c>
      <c r="BI134" s="794" t="s">
        <v>68</v>
      </c>
      <c r="BJ134" s="795" t="s">
        <v>68</v>
      </c>
      <c r="BK134" s="795" t="s">
        <v>68</v>
      </c>
      <c r="BL134" s="794"/>
      <c r="BM134" s="794"/>
      <c r="BN134" s="794"/>
      <c r="BO134" s="794"/>
      <c r="BP134" s="794"/>
      <c r="BQ134" s="794"/>
      <c r="BR134" s="794"/>
      <c r="BS134" s="794" t="s">
        <v>68</v>
      </c>
      <c r="BT134" s="70" t="s">
        <v>474</v>
      </c>
      <c r="BU134" s="70"/>
      <c r="BV134" s="70"/>
      <c r="BW134" s="70"/>
      <c r="BX134" s="70"/>
      <c r="BY134" s="1432" t="s">
        <v>1567</v>
      </c>
      <c r="BZ134" s="649" t="s">
        <v>454</v>
      </c>
      <c r="CA134" s="614"/>
      <c r="CB134" s="614"/>
      <c r="CC134" s="614"/>
      <c r="CD134" s="614"/>
      <c r="CE134" s="614"/>
      <c r="CF134" s="614"/>
      <c r="CG134" s="614"/>
      <c r="CH134" s="13"/>
    </row>
    <row r="135" spans="2:86" s="1241" customFormat="1" ht="75.75" hidden="1" customHeight="1">
      <c r="B135" s="1242"/>
      <c r="C135" s="1242"/>
      <c r="D135" s="1242"/>
      <c r="E135" s="1242"/>
      <c r="F135" s="1242"/>
      <c r="G135" s="610">
        <v>42795</v>
      </c>
      <c r="H135" s="610"/>
      <c r="I135" s="588">
        <v>2015</v>
      </c>
      <c r="J135" s="1680"/>
      <c r="K135" s="1747" t="s">
        <v>77</v>
      </c>
      <c r="L135" s="955" t="s">
        <v>362</v>
      </c>
      <c r="M135" s="201" t="s">
        <v>251</v>
      </c>
      <c r="N135" s="112" t="s">
        <v>475</v>
      </c>
      <c r="O135" s="112"/>
      <c r="P135" s="1255">
        <v>369433.09</v>
      </c>
      <c r="Q135" s="1746">
        <v>42593</v>
      </c>
      <c r="R135" s="1262">
        <v>42597</v>
      </c>
      <c r="S135" s="1268">
        <v>42704</v>
      </c>
      <c r="T135" s="1759" t="s">
        <v>74</v>
      </c>
      <c r="U135" s="1246" t="s">
        <v>476</v>
      </c>
      <c r="V135" s="1747" t="s">
        <v>477</v>
      </c>
      <c r="W135" s="1759" t="s">
        <v>74</v>
      </c>
      <c r="X135" s="1759"/>
      <c r="Y135" s="1759" t="s">
        <v>74</v>
      </c>
      <c r="Z135" s="1254"/>
      <c r="AA135" s="1255"/>
      <c r="AB135" s="1255"/>
      <c r="AC135" s="1256"/>
      <c r="AD135" s="1257" t="s">
        <v>68</v>
      </c>
      <c r="AE135" s="1258" t="s">
        <v>68</v>
      </c>
      <c r="AF135" s="1258" t="s">
        <v>68</v>
      </c>
      <c r="AG135" s="1259" t="s">
        <v>68</v>
      </c>
      <c r="AH135" s="1749" t="s">
        <v>68</v>
      </c>
      <c r="AI135" s="340" t="s">
        <v>68</v>
      </c>
      <c r="AJ135" s="1261" t="s">
        <v>68</v>
      </c>
      <c r="AK135" s="1262"/>
      <c r="AL135" s="1261" t="s">
        <v>68</v>
      </c>
      <c r="AM135" s="1262"/>
      <c r="AN135" s="1261" t="s">
        <v>68</v>
      </c>
      <c r="AO135" s="1261"/>
      <c r="AP135" s="1263">
        <v>0</v>
      </c>
      <c r="AQ135" s="1264">
        <v>0</v>
      </c>
      <c r="AR135" s="1265"/>
      <c r="AS135" s="1266"/>
      <c r="AT135" s="1759" t="s">
        <v>74</v>
      </c>
      <c r="AU135" s="1268"/>
      <c r="AV135" s="1267" t="s">
        <v>68</v>
      </c>
      <c r="AW135" s="1270" t="s">
        <v>68</v>
      </c>
      <c r="AX135" s="1759" t="s">
        <v>74</v>
      </c>
      <c r="AY135" s="1261"/>
      <c r="AZ135" s="1261"/>
      <c r="BA135" s="1271"/>
      <c r="BB135" s="1759" t="s">
        <v>74</v>
      </c>
      <c r="BC135" s="1949"/>
      <c r="BD135" s="1261"/>
      <c r="BE135" s="1261"/>
      <c r="BF135" s="1261"/>
      <c r="BG135" s="1272">
        <f t="shared" si="3"/>
        <v>0</v>
      </c>
      <c r="BH135" s="1759" t="s">
        <v>74</v>
      </c>
      <c r="BI135" s="1753" t="s">
        <v>68</v>
      </c>
      <c r="BJ135" s="1754" t="s">
        <v>68</v>
      </c>
      <c r="BK135" s="1754" t="s">
        <v>68</v>
      </c>
      <c r="BL135" s="1753"/>
      <c r="BM135" s="1753"/>
      <c r="BN135" s="1753"/>
      <c r="BO135" s="1753"/>
      <c r="BP135" s="1753"/>
      <c r="BQ135" s="1753"/>
      <c r="BR135" s="1753"/>
      <c r="BS135" s="1753" t="s">
        <v>68</v>
      </c>
      <c r="BT135" s="1759"/>
      <c r="BU135" s="1759"/>
      <c r="BV135" s="1759"/>
      <c r="BW135" s="1759"/>
      <c r="BX135" s="1759"/>
      <c r="BY135" s="1760" t="s">
        <v>1567</v>
      </c>
      <c r="BZ135" s="133" t="s">
        <v>478</v>
      </c>
      <c r="CA135" s="615"/>
      <c r="CB135" s="615"/>
      <c r="CC135" s="615"/>
      <c r="CD135" s="615"/>
      <c r="CE135" s="615"/>
      <c r="CF135" s="615"/>
      <c r="CG135" s="615"/>
      <c r="CH135" s="1756"/>
    </row>
    <row r="136" spans="2:86" customFormat="1" ht="105.75" hidden="1" customHeight="1">
      <c r="B136" s="23"/>
      <c r="C136" s="23"/>
      <c r="D136" s="23"/>
      <c r="E136" s="335" t="s">
        <v>68</v>
      </c>
      <c r="F136" s="335"/>
      <c r="G136" s="1055">
        <v>42808</v>
      </c>
      <c r="H136" s="490">
        <v>43063</v>
      </c>
      <c r="I136" s="17">
        <v>2016</v>
      </c>
      <c r="J136" s="1676"/>
      <c r="K136" s="19" t="s">
        <v>166</v>
      </c>
      <c r="L136" s="35" t="s">
        <v>479</v>
      </c>
      <c r="M136" s="2" t="s">
        <v>4077</v>
      </c>
      <c r="N136" s="3" t="s">
        <v>480</v>
      </c>
      <c r="O136" s="3" t="s">
        <v>2684</v>
      </c>
      <c r="P136" s="4">
        <v>375407.88</v>
      </c>
      <c r="Q136" s="6">
        <v>42403</v>
      </c>
      <c r="R136" s="5">
        <v>42405</v>
      </c>
      <c r="S136" s="12">
        <v>42441</v>
      </c>
      <c r="T136" s="14" t="s">
        <v>68</v>
      </c>
      <c r="U136" s="20" t="s">
        <v>68</v>
      </c>
      <c r="V136" s="183" t="s">
        <v>449</v>
      </c>
      <c r="W136" s="55">
        <v>42346</v>
      </c>
      <c r="X136" s="54"/>
      <c r="Y136" s="20" t="s">
        <v>481</v>
      </c>
      <c r="Z136" s="9">
        <v>42412</v>
      </c>
      <c r="AA136" s="4">
        <v>375407.88</v>
      </c>
      <c r="AB136" s="4"/>
      <c r="AC136" s="34"/>
      <c r="AD136" s="36" t="s">
        <v>68</v>
      </c>
      <c r="AE136" s="119" t="s">
        <v>68</v>
      </c>
      <c r="AF136" s="119" t="s">
        <v>68</v>
      </c>
      <c r="AG136" s="7" t="s">
        <v>68</v>
      </c>
      <c r="AH136" s="235" t="s">
        <v>68</v>
      </c>
      <c r="AI136" s="35" t="s">
        <v>68</v>
      </c>
      <c r="AJ136" s="1" t="s">
        <v>68</v>
      </c>
      <c r="AK136" s="5"/>
      <c r="AL136" s="1" t="s">
        <v>68</v>
      </c>
      <c r="AM136" s="5"/>
      <c r="AN136" s="1" t="s">
        <v>68</v>
      </c>
      <c r="AO136" s="1"/>
      <c r="AP136" s="306">
        <v>0</v>
      </c>
      <c r="AQ136" s="74">
        <v>51198.82</v>
      </c>
      <c r="AR136" s="1032">
        <v>131011.99</v>
      </c>
      <c r="AS136" s="1019"/>
      <c r="AT136" s="75">
        <v>42424</v>
      </c>
      <c r="AU136" s="12">
        <v>42444</v>
      </c>
      <c r="AV136" s="32" t="s">
        <v>68</v>
      </c>
      <c r="AW136" s="54" t="s">
        <v>482</v>
      </c>
      <c r="AX136" s="75">
        <v>42446</v>
      </c>
      <c r="AY136" s="76">
        <v>42405</v>
      </c>
      <c r="AZ136" s="76">
        <v>42441</v>
      </c>
      <c r="BA136" s="76">
        <v>42444</v>
      </c>
      <c r="BB136" s="75">
        <v>42446</v>
      </c>
      <c r="BC136" s="1950"/>
      <c r="BD136" s="76">
        <v>42405</v>
      </c>
      <c r="BE136" s="76">
        <v>42441</v>
      </c>
      <c r="BF136" s="76">
        <v>42444</v>
      </c>
      <c r="BG136" s="38">
        <f t="shared" si="3"/>
        <v>182210.81</v>
      </c>
      <c r="BH136" s="14" t="s">
        <v>68</v>
      </c>
      <c r="BI136" s="794" t="s">
        <v>68</v>
      </c>
      <c r="BJ136" s="795" t="s">
        <v>68</v>
      </c>
      <c r="BK136" s="795" t="s">
        <v>68</v>
      </c>
      <c r="BL136" s="794"/>
      <c r="BM136" s="794"/>
      <c r="BN136" s="794"/>
      <c r="BO136" s="794"/>
      <c r="BP136" s="794"/>
      <c r="BQ136" s="794"/>
      <c r="BR136" s="794"/>
      <c r="BS136" s="794" t="s">
        <v>68</v>
      </c>
      <c r="BT136" s="14"/>
      <c r="BU136" s="14"/>
      <c r="BV136" s="14"/>
      <c r="BW136" s="14"/>
      <c r="BX136" s="14"/>
      <c r="BY136" s="1432" t="s">
        <v>1567</v>
      </c>
      <c r="BZ136" s="649" t="s">
        <v>454</v>
      </c>
      <c r="CA136" s="616"/>
      <c r="CB136" s="616"/>
      <c r="CC136" s="616"/>
      <c r="CD136" s="616"/>
      <c r="CE136" s="616"/>
      <c r="CF136" s="616"/>
      <c r="CG136" s="616"/>
      <c r="CH136" s="13"/>
    </row>
    <row r="137" spans="2:86" customFormat="1" ht="63.75" hidden="1" customHeight="1">
      <c r="B137" s="23"/>
      <c r="C137" s="23"/>
      <c r="D137" s="23"/>
      <c r="E137" s="335" t="s">
        <v>68</v>
      </c>
      <c r="F137" s="335"/>
      <c r="G137" s="1055">
        <v>43356</v>
      </c>
      <c r="H137" s="490">
        <v>43063</v>
      </c>
      <c r="I137" s="17">
        <v>2016</v>
      </c>
      <c r="J137" s="1676"/>
      <c r="K137" s="19" t="s">
        <v>166</v>
      </c>
      <c r="L137" s="35" t="s">
        <v>483</v>
      </c>
      <c r="M137" s="2" t="s">
        <v>4077</v>
      </c>
      <c r="N137" s="3" t="s">
        <v>484</v>
      </c>
      <c r="O137" s="3" t="s">
        <v>2649</v>
      </c>
      <c r="P137" s="4">
        <v>46400</v>
      </c>
      <c r="Q137" s="6">
        <v>42433</v>
      </c>
      <c r="R137" s="5">
        <v>42434</v>
      </c>
      <c r="S137" s="12">
        <v>42439</v>
      </c>
      <c r="T137" s="14" t="s">
        <v>68</v>
      </c>
      <c r="U137" s="20" t="s">
        <v>68</v>
      </c>
      <c r="V137" s="183" t="s">
        <v>449</v>
      </c>
      <c r="W137" s="220" t="s">
        <v>68</v>
      </c>
      <c r="X137" s="406"/>
      <c r="Y137" s="82" t="s">
        <v>68</v>
      </c>
      <c r="Z137" s="137"/>
      <c r="AA137" s="85"/>
      <c r="AB137" s="4"/>
      <c r="AC137" s="34"/>
      <c r="AD137" s="36" t="s">
        <v>68</v>
      </c>
      <c r="AE137" s="119" t="s">
        <v>68</v>
      </c>
      <c r="AF137" s="119" t="s">
        <v>68</v>
      </c>
      <c r="AG137" s="7" t="s">
        <v>68</v>
      </c>
      <c r="AH137" s="235" t="s">
        <v>68</v>
      </c>
      <c r="AI137" s="35" t="s">
        <v>68</v>
      </c>
      <c r="AJ137" s="1" t="s">
        <v>68</v>
      </c>
      <c r="AK137" s="1"/>
      <c r="AL137" s="1" t="s">
        <v>68</v>
      </c>
      <c r="AM137" s="1"/>
      <c r="AN137" s="1" t="s">
        <v>68</v>
      </c>
      <c r="AO137" s="1"/>
      <c r="AP137" s="306">
        <v>0</v>
      </c>
      <c r="AQ137" s="74">
        <v>1600</v>
      </c>
      <c r="AR137" s="1032">
        <v>23200</v>
      </c>
      <c r="AS137" s="1019"/>
      <c r="AT137" s="386" t="s">
        <v>68</v>
      </c>
      <c r="AU137" s="12"/>
      <c r="AV137" s="243" t="s">
        <v>68</v>
      </c>
      <c r="AW137" s="246" t="s">
        <v>68</v>
      </c>
      <c r="AX137" s="75">
        <v>42489</v>
      </c>
      <c r="AY137" s="5">
        <v>42434</v>
      </c>
      <c r="AZ137" s="5">
        <v>42439</v>
      </c>
      <c r="BA137" s="12">
        <v>42487</v>
      </c>
      <c r="BB137" s="75">
        <v>42550</v>
      </c>
      <c r="BC137" s="1950"/>
      <c r="BD137" s="76">
        <v>42434</v>
      </c>
      <c r="BE137" s="76">
        <v>42439</v>
      </c>
      <c r="BF137" s="76">
        <v>42487</v>
      </c>
      <c r="BG137" s="136">
        <f t="shared" si="3"/>
        <v>24800</v>
      </c>
      <c r="BH137" s="14" t="s">
        <v>68</v>
      </c>
      <c r="BI137" s="794" t="s">
        <v>68</v>
      </c>
      <c r="BJ137" s="795" t="s">
        <v>68</v>
      </c>
      <c r="BK137" s="795" t="s">
        <v>68</v>
      </c>
      <c r="BL137" s="794"/>
      <c r="BM137" s="794"/>
      <c r="BN137" s="794"/>
      <c r="BO137" s="794"/>
      <c r="BP137" s="794"/>
      <c r="BQ137" s="794"/>
      <c r="BR137" s="794"/>
      <c r="BS137" s="794" t="s">
        <v>68</v>
      </c>
      <c r="BT137" s="14"/>
      <c r="BU137" s="14"/>
      <c r="BV137" s="14"/>
      <c r="BW137" s="14"/>
      <c r="BX137" s="14"/>
      <c r="BY137" s="1432" t="s">
        <v>1567</v>
      </c>
      <c r="BZ137" s="649" t="s">
        <v>454</v>
      </c>
      <c r="CA137" s="563"/>
      <c r="CB137" s="2"/>
      <c r="CC137" s="2"/>
      <c r="CD137" s="2"/>
      <c r="CE137" s="2"/>
      <c r="CF137" s="2"/>
      <c r="CG137" s="2"/>
      <c r="CH137" s="13"/>
    </row>
    <row r="138" spans="2:86" customFormat="1" ht="60.75" hidden="1" customHeight="1">
      <c r="B138" s="23"/>
      <c r="C138" s="23"/>
      <c r="D138" s="23"/>
      <c r="E138" s="335" t="s">
        <v>68</v>
      </c>
      <c r="F138" s="335"/>
      <c r="G138" s="1055">
        <v>42808</v>
      </c>
      <c r="H138" s="490">
        <v>43063</v>
      </c>
      <c r="I138" s="17">
        <v>2016</v>
      </c>
      <c r="J138" s="1676"/>
      <c r="K138" s="19" t="s">
        <v>166</v>
      </c>
      <c r="L138" s="35" t="s">
        <v>485</v>
      </c>
      <c r="M138" s="2" t="s">
        <v>4077</v>
      </c>
      <c r="N138" s="3" t="s">
        <v>486</v>
      </c>
      <c r="O138" s="3" t="s">
        <v>2574</v>
      </c>
      <c r="P138" s="4">
        <v>192889.77</v>
      </c>
      <c r="Q138" s="6">
        <v>42498</v>
      </c>
      <c r="R138" s="60">
        <v>42499</v>
      </c>
      <c r="S138" s="61">
        <v>42560</v>
      </c>
      <c r="T138" s="14" t="s">
        <v>68</v>
      </c>
      <c r="U138" s="20" t="s">
        <v>68</v>
      </c>
      <c r="V138" s="183" t="s">
        <v>449</v>
      </c>
      <c r="W138" s="220" t="s">
        <v>68</v>
      </c>
      <c r="X138" s="406"/>
      <c r="Y138" s="20" t="s">
        <v>487</v>
      </c>
      <c r="Z138" s="9">
        <v>42521</v>
      </c>
      <c r="AA138" s="4">
        <v>192889.77</v>
      </c>
      <c r="AB138" s="4"/>
      <c r="AC138" s="34"/>
      <c r="AD138" s="36" t="s">
        <v>68</v>
      </c>
      <c r="AE138" s="119" t="s">
        <v>68</v>
      </c>
      <c r="AF138" s="119" t="s">
        <v>68</v>
      </c>
      <c r="AG138" s="7" t="s">
        <v>68</v>
      </c>
      <c r="AH138" s="235" t="s">
        <v>68</v>
      </c>
      <c r="AI138" s="35" t="s">
        <v>68</v>
      </c>
      <c r="AJ138" s="1" t="s">
        <v>68</v>
      </c>
      <c r="AK138" s="1"/>
      <c r="AL138" s="1" t="s">
        <v>68</v>
      </c>
      <c r="AM138" s="1"/>
      <c r="AN138" s="1" t="s">
        <v>68</v>
      </c>
      <c r="AO138" s="1"/>
      <c r="AP138" s="306">
        <v>0</v>
      </c>
      <c r="AQ138" s="74">
        <v>25242.41</v>
      </c>
      <c r="AR138" s="1032">
        <v>180390.65</v>
      </c>
      <c r="AS138" s="1019"/>
      <c r="AT138" s="359">
        <v>42499</v>
      </c>
      <c r="AU138" s="12">
        <v>42723</v>
      </c>
      <c r="AV138" s="243" t="s">
        <v>68</v>
      </c>
      <c r="AW138" s="378" t="s">
        <v>68</v>
      </c>
      <c r="AX138" s="359">
        <v>42726</v>
      </c>
      <c r="AY138" s="5">
        <v>42499</v>
      </c>
      <c r="AZ138" s="5">
        <v>42560</v>
      </c>
      <c r="BA138" s="12">
        <v>42723</v>
      </c>
      <c r="BB138" s="359">
        <v>42726</v>
      </c>
      <c r="BC138" s="1951"/>
      <c r="BD138" s="360">
        <v>42499</v>
      </c>
      <c r="BE138" s="360">
        <v>42560</v>
      </c>
      <c r="BF138" s="360">
        <v>42723</v>
      </c>
      <c r="BG138" s="361">
        <f t="shared" si="3"/>
        <v>205633.06</v>
      </c>
      <c r="BH138" s="14" t="s">
        <v>68</v>
      </c>
      <c r="BI138" s="794" t="s">
        <v>68</v>
      </c>
      <c r="BJ138" s="795" t="s">
        <v>68</v>
      </c>
      <c r="BK138" s="795" t="s">
        <v>68</v>
      </c>
      <c r="BL138" s="794"/>
      <c r="BM138" s="794"/>
      <c r="BN138" s="794"/>
      <c r="BO138" s="794"/>
      <c r="BP138" s="794"/>
      <c r="BQ138" s="794"/>
      <c r="BR138" s="794"/>
      <c r="BS138" s="794" t="s">
        <v>68</v>
      </c>
      <c r="BT138" s="14"/>
      <c r="BU138" s="14"/>
      <c r="BV138" s="14"/>
      <c r="BW138" s="14"/>
      <c r="BX138" s="14"/>
      <c r="BY138" s="1432" t="s">
        <v>1567</v>
      </c>
      <c r="BZ138" s="649" t="s">
        <v>454</v>
      </c>
      <c r="CA138" s="617"/>
      <c r="CB138" s="617"/>
      <c r="CC138" s="617"/>
      <c r="CD138" s="617"/>
      <c r="CE138" s="617"/>
      <c r="CF138" s="617"/>
      <c r="CG138" s="617"/>
      <c r="CH138" s="13"/>
    </row>
    <row r="139" spans="2:86" customFormat="1" ht="60" hidden="1" customHeight="1">
      <c r="B139" s="23"/>
      <c r="C139" s="23"/>
      <c r="D139" s="23"/>
      <c r="E139" s="335" t="s">
        <v>68</v>
      </c>
      <c r="F139" s="335"/>
      <c r="G139" s="1055">
        <v>43299</v>
      </c>
      <c r="H139" s="490">
        <v>43063</v>
      </c>
      <c r="I139" s="17">
        <v>2016</v>
      </c>
      <c r="J139" s="1676"/>
      <c r="K139" s="19" t="s">
        <v>488</v>
      </c>
      <c r="L139" s="35" t="s">
        <v>489</v>
      </c>
      <c r="M139" s="2" t="s">
        <v>4077</v>
      </c>
      <c r="N139" s="3" t="s">
        <v>490</v>
      </c>
      <c r="O139" s="3" t="s">
        <v>2684</v>
      </c>
      <c r="P139" s="4">
        <v>509990.89</v>
      </c>
      <c r="Q139" s="6">
        <v>42521</v>
      </c>
      <c r="R139" s="5">
        <v>42522</v>
      </c>
      <c r="S139" s="12">
        <v>42578</v>
      </c>
      <c r="T139" s="14" t="s">
        <v>68</v>
      </c>
      <c r="U139" s="20" t="s">
        <v>68</v>
      </c>
      <c r="V139" s="183" t="s">
        <v>449</v>
      </c>
      <c r="W139" s="220" t="s">
        <v>68</v>
      </c>
      <c r="X139" s="406"/>
      <c r="Y139" s="20" t="s">
        <v>491</v>
      </c>
      <c r="Z139" s="9">
        <v>42453</v>
      </c>
      <c r="AA139" s="4">
        <v>1590000</v>
      </c>
      <c r="AB139" s="4"/>
      <c r="AC139" s="34"/>
      <c r="AD139" s="36" t="s">
        <v>68</v>
      </c>
      <c r="AE139" s="119" t="s">
        <v>68</v>
      </c>
      <c r="AF139" s="119" t="s">
        <v>68</v>
      </c>
      <c r="AG139" s="7" t="s">
        <v>68</v>
      </c>
      <c r="AH139" s="235" t="s">
        <v>68</v>
      </c>
      <c r="AI139" s="35" t="s">
        <v>68</v>
      </c>
      <c r="AJ139" s="1" t="s">
        <v>68</v>
      </c>
      <c r="AK139" s="1"/>
      <c r="AL139" s="1" t="s">
        <v>68</v>
      </c>
      <c r="AM139" s="1"/>
      <c r="AN139" s="1" t="s">
        <v>68</v>
      </c>
      <c r="AO139" s="1"/>
      <c r="AP139" s="306">
        <v>0</v>
      </c>
      <c r="AQ139" s="506">
        <v>181456</v>
      </c>
      <c r="AR139" s="600">
        <v>287054.42</v>
      </c>
      <c r="AS139" s="376"/>
      <c r="AT139" s="75">
        <v>42522</v>
      </c>
      <c r="AU139" s="12">
        <v>42649</v>
      </c>
      <c r="AV139" s="243" t="s">
        <v>68</v>
      </c>
      <c r="AW139" s="54" t="s">
        <v>492</v>
      </c>
      <c r="AX139" s="75">
        <v>42649</v>
      </c>
      <c r="AY139" s="5">
        <v>42522</v>
      </c>
      <c r="AZ139" s="5">
        <v>42548</v>
      </c>
      <c r="BA139" s="12">
        <v>42649</v>
      </c>
      <c r="BB139" s="75">
        <v>42649</v>
      </c>
      <c r="BC139" s="1950"/>
      <c r="BD139" s="5">
        <v>42522</v>
      </c>
      <c r="BE139" s="5">
        <v>42578</v>
      </c>
      <c r="BF139" s="5">
        <v>42649</v>
      </c>
      <c r="BG139" s="66">
        <v>361674.42</v>
      </c>
      <c r="BH139" s="14" t="s">
        <v>68</v>
      </c>
      <c r="BI139" s="794" t="s">
        <v>68</v>
      </c>
      <c r="BJ139" s="795" t="s">
        <v>68</v>
      </c>
      <c r="BK139" s="795" t="s">
        <v>68</v>
      </c>
      <c r="BL139" s="794"/>
      <c r="BM139" s="794"/>
      <c r="BN139" s="794"/>
      <c r="BO139" s="794"/>
      <c r="BP139" s="794"/>
      <c r="BQ139" s="794"/>
      <c r="BR139" s="794"/>
      <c r="BS139" s="794" t="s">
        <v>68</v>
      </c>
      <c r="BT139" s="14"/>
      <c r="BU139" s="14"/>
      <c r="BV139" s="14"/>
      <c r="BW139" s="14"/>
      <c r="BX139" s="14"/>
      <c r="BY139" s="1432" t="s">
        <v>1567</v>
      </c>
      <c r="BZ139" s="649" t="s">
        <v>454</v>
      </c>
      <c r="CA139" s="563"/>
      <c r="CB139" s="2"/>
      <c r="CC139" s="2"/>
      <c r="CD139" s="2"/>
      <c r="CE139" s="2"/>
      <c r="CF139" s="2"/>
      <c r="CG139" s="2"/>
      <c r="CH139" s="13"/>
    </row>
    <row r="140" spans="2:86" customFormat="1" ht="90" hidden="1" customHeight="1">
      <c r="B140" s="23"/>
      <c r="C140" s="23"/>
      <c r="D140" s="23"/>
      <c r="E140" s="335" t="s">
        <v>68</v>
      </c>
      <c r="F140" s="335"/>
      <c r="G140" s="1055">
        <v>43299</v>
      </c>
      <c r="H140" s="490">
        <v>43063</v>
      </c>
      <c r="I140" s="17">
        <v>2016</v>
      </c>
      <c r="J140" s="1676"/>
      <c r="K140" s="19" t="s">
        <v>488</v>
      </c>
      <c r="L140" s="35" t="s">
        <v>493</v>
      </c>
      <c r="M140" s="2" t="s">
        <v>4077</v>
      </c>
      <c r="N140" s="3" t="s">
        <v>494</v>
      </c>
      <c r="O140" s="3" t="s">
        <v>2684</v>
      </c>
      <c r="P140" s="4">
        <v>1080009.1200000001</v>
      </c>
      <c r="Q140" s="69">
        <v>42524</v>
      </c>
      <c r="R140" s="5">
        <v>42527</v>
      </c>
      <c r="S140" s="12">
        <v>42710</v>
      </c>
      <c r="T140" s="14" t="s">
        <v>68</v>
      </c>
      <c r="U140" s="20" t="s">
        <v>68</v>
      </c>
      <c r="V140" s="183" t="s">
        <v>449</v>
      </c>
      <c r="W140" s="220" t="s">
        <v>68</v>
      </c>
      <c r="X140" s="406"/>
      <c r="Y140" s="20" t="s">
        <v>491</v>
      </c>
      <c r="Z140" s="9">
        <v>42453</v>
      </c>
      <c r="AA140" s="4">
        <v>1590000</v>
      </c>
      <c r="AB140" s="4"/>
      <c r="AC140" s="34"/>
      <c r="AD140" s="36" t="s">
        <v>68</v>
      </c>
      <c r="AE140" s="119" t="s">
        <v>68</v>
      </c>
      <c r="AF140" s="119" t="s">
        <v>68</v>
      </c>
      <c r="AG140" s="7" t="s">
        <v>68</v>
      </c>
      <c r="AH140" s="235" t="s">
        <v>68</v>
      </c>
      <c r="AI140" s="35" t="s">
        <v>68</v>
      </c>
      <c r="AJ140" s="1" t="s">
        <v>68</v>
      </c>
      <c r="AK140" s="1"/>
      <c r="AL140" s="1" t="s">
        <v>68</v>
      </c>
      <c r="AM140" s="1"/>
      <c r="AN140" s="1" t="s">
        <v>68</v>
      </c>
      <c r="AO140" s="1"/>
      <c r="AP140" s="306">
        <v>0</v>
      </c>
      <c r="AQ140" s="74">
        <v>362809.12</v>
      </c>
      <c r="AR140" s="1032">
        <v>716406.19</v>
      </c>
      <c r="AS140" s="1019"/>
      <c r="AT140" s="75">
        <v>42528</v>
      </c>
      <c r="AU140" s="134">
        <v>42710</v>
      </c>
      <c r="AV140" s="243" t="s">
        <v>68</v>
      </c>
      <c r="AW140" s="54" t="s">
        <v>495</v>
      </c>
      <c r="AX140" s="75">
        <v>42712</v>
      </c>
      <c r="AY140" s="5">
        <v>42527</v>
      </c>
      <c r="AZ140" s="5">
        <v>42710</v>
      </c>
      <c r="BA140" s="12">
        <v>42712</v>
      </c>
      <c r="BB140" s="75">
        <v>42712</v>
      </c>
      <c r="BC140" s="1950"/>
      <c r="BD140" s="5">
        <v>42527</v>
      </c>
      <c r="BE140" s="5">
        <v>42710</v>
      </c>
      <c r="BF140" s="5">
        <v>42712</v>
      </c>
      <c r="BG140" s="38">
        <v>1069820.27</v>
      </c>
      <c r="BH140" s="14" t="s">
        <v>68</v>
      </c>
      <c r="BI140" s="794" t="s">
        <v>68</v>
      </c>
      <c r="BJ140" s="795" t="s">
        <v>68</v>
      </c>
      <c r="BK140" s="795" t="s">
        <v>68</v>
      </c>
      <c r="BL140" s="794"/>
      <c r="BM140" s="794"/>
      <c r="BN140" s="794"/>
      <c r="BO140" s="794"/>
      <c r="BP140" s="794"/>
      <c r="BQ140" s="794"/>
      <c r="BR140" s="794"/>
      <c r="BS140" s="794" t="s">
        <v>68</v>
      </c>
      <c r="BT140" s="14"/>
      <c r="BU140" s="14"/>
      <c r="BV140" s="14"/>
      <c r="BW140" s="14"/>
      <c r="BX140" s="14"/>
      <c r="BY140" s="1432" t="s">
        <v>1567</v>
      </c>
      <c r="BZ140" s="649" t="s">
        <v>454</v>
      </c>
      <c r="CA140" s="563"/>
      <c r="CB140" s="2"/>
      <c r="CC140" s="2"/>
      <c r="CD140" s="2"/>
      <c r="CE140" s="2"/>
      <c r="CF140" s="2"/>
      <c r="CG140" s="2"/>
      <c r="CH140" s="13"/>
    </row>
    <row r="141" spans="2:86" customFormat="1" ht="60" hidden="1" customHeight="1">
      <c r="B141" s="23"/>
      <c r="C141" s="23"/>
      <c r="D141" s="23"/>
      <c r="E141" s="335" t="s">
        <v>68</v>
      </c>
      <c r="F141" s="335"/>
      <c r="G141" s="1055">
        <v>43299</v>
      </c>
      <c r="H141" s="490">
        <v>43063</v>
      </c>
      <c r="I141" s="17">
        <v>2016</v>
      </c>
      <c r="J141" s="1676"/>
      <c r="K141" s="19" t="s">
        <v>77</v>
      </c>
      <c r="L141" s="35" t="s">
        <v>496</v>
      </c>
      <c r="M141" s="2" t="s">
        <v>4077</v>
      </c>
      <c r="N141" s="3" t="s">
        <v>497</v>
      </c>
      <c r="O141" s="3" t="s">
        <v>2684</v>
      </c>
      <c r="P141" s="4">
        <v>204355.89</v>
      </c>
      <c r="Q141" s="69">
        <v>42499</v>
      </c>
      <c r="R141" s="5">
        <v>42502</v>
      </c>
      <c r="S141" s="12">
        <v>42665</v>
      </c>
      <c r="T141" s="14" t="s">
        <v>68</v>
      </c>
      <c r="U141" s="20" t="s">
        <v>68</v>
      </c>
      <c r="V141" s="183" t="s">
        <v>449</v>
      </c>
      <c r="W141" s="777" t="s">
        <v>68</v>
      </c>
      <c r="X141" s="1618"/>
      <c r="Y141" s="138" t="s">
        <v>498</v>
      </c>
      <c r="Z141" s="80">
        <v>42586</v>
      </c>
      <c r="AA141" s="81">
        <v>204355.89</v>
      </c>
      <c r="AB141" s="4"/>
      <c r="AC141" s="34"/>
      <c r="AD141" s="36" t="s">
        <v>68</v>
      </c>
      <c r="AE141" s="119" t="s">
        <v>68</v>
      </c>
      <c r="AF141" s="119" t="s">
        <v>68</v>
      </c>
      <c r="AG141" s="7" t="s">
        <v>68</v>
      </c>
      <c r="AH141" s="235" t="s">
        <v>68</v>
      </c>
      <c r="AI141" s="35" t="s">
        <v>68</v>
      </c>
      <c r="AJ141" s="1" t="s">
        <v>68</v>
      </c>
      <c r="AK141" s="5"/>
      <c r="AL141" s="1" t="s">
        <v>68</v>
      </c>
      <c r="AM141" s="5"/>
      <c r="AN141" s="1" t="s">
        <v>68</v>
      </c>
      <c r="AO141" s="1"/>
      <c r="AP141" s="306">
        <v>0</v>
      </c>
      <c r="AQ141" s="506">
        <v>43008</v>
      </c>
      <c r="AR141" s="600">
        <v>227598.54</v>
      </c>
      <c r="AS141" s="376"/>
      <c r="AT141" s="68" t="s">
        <v>74</v>
      </c>
      <c r="AU141" s="12"/>
      <c r="AV141" s="243" t="s">
        <v>68</v>
      </c>
      <c r="AW141" s="246" t="s">
        <v>492</v>
      </c>
      <c r="AX141" s="75">
        <v>42681</v>
      </c>
      <c r="AY141" s="5">
        <v>42502</v>
      </c>
      <c r="AZ141" s="5">
        <v>42665</v>
      </c>
      <c r="BA141" s="12">
        <v>42628</v>
      </c>
      <c r="BB141" s="75">
        <v>42681</v>
      </c>
      <c r="BC141" s="1950"/>
      <c r="BD141" s="76">
        <v>42502</v>
      </c>
      <c r="BE141" s="76">
        <v>42665</v>
      </c>
      <c r="BF141" s="76">
        <v>42628</v>
      </c>
      <c r="BG141" s="136">
        <v>242715.04</v>
      </c>
      <c r="BH141" s="14" t="s">
        <v>68</v>
      </c>
      <c r="BI141" s="794" t="s">
        <v>68</v>
      </c>
      <c r="BJ141" s="795" t="s">
        <v>68</v>
      </c>
      <c r="BK141" s="795" t="s">
        <v>68</v>
      </c>
      <c r="BL141" s="794"/>
      <c r="BM141" s="794"/>
      <c r="BN141" s="794"/>
      <c r="BO141" s="794"/>
      <c r="BP141" s="794"/>
      <c r="BQ141" s="794"/>
      <c r="BR141" s="794"/>
      <c r="BS141" s="794" t="s">
        <v>68</v>
      </c>
      <c r="BT141" s="14"/>
      <c r="BU141" s="14"/>
      <c r="BV141" s="14"/>
      <c r="BW141" s="14"/>
      <c r="BX141" s="14"/>
      <c r="BY141" s="1432" t="s">
        <v>1567</v>
      </c>
      <c r="BZ141" s="356" t="s">
        <v>459</v>
      </c>
      <c r="CA141" s="563"/>
      <c r="CB141" s="2"/>
      <c r="CC141" s="2"/>
      <c r="CD141" s="2"/>
      <c r="CE141" s="2"/>
      <c r="CF141" s="2"/>
      <c r="CG141" s="2"/>
      <c r="CH141" s="13"/>
    </row>
    <row r="142" spans="2:86" customFormat="1" ht="60" hidden="1" customHeight="1">
      <c r="B142" s="23"/>
      <c r="C142" s="23"/>
      <c r="D142" s="23"/>
      <c r="E142" s="335" t="s">
        <v>68</v>
      </c>
      <c r="F142" s="335"/>
      <c r="G142" s="1055">
        <v>43299</v>
      </c>
      <c r="H142" s="490">
        <v>43063</v>
      </c>
      <c r="I142" s="17">
        <v>2016</v>
      </c>
      <c r="J142" s="1676"/>
      <c r="K142" s="19" t="s">
        <v>166</v>
      </c>
      <c r="L142" s="35" t="s">
        <v>499</v>
      </c>
      <c r="M142" s="2" t="s">
        <v>4077</v>
      </c>
      <c r="N142" s="3" t="s">
        <v>500</v>
      </c>
      <c r="O142" s="3" t="s">
        <v>4459</v>
      </c>
      <c r="P142" s="4">
        <v>426643.27</v>
      </c>
      <c r="Q142" s="6">
        <v>42524</v>
      </c>
      <c r="R142" s="5">
        <v>42527</v>
      </c>
      <c r="S142" s="12">
        <v>42581</v>
      </c>
      <c r="T142" s="14" t="s">
        <v>68</v>
      </c>
      <c r="U142" s="20" t="s">
        <v>68</v>
      </c>
      <c r="V142" s="19" t="s">
        <v>114</v>
      </c>
      <c r="W142" s="220" t="s">
        <v>68</v>
      </c>
      <c r="X142" s="406"/>
      <c r="Y142" s="59">
        <v>42521</v>
      </c>
      <c r="Z142" s="9" t="s">
        <v>501</v>
      </c>
      <c r="AA142" s="4">
        <v>426643.27</v>
      </c>
      <c r="AB142" s="4"/>
      <c r="AC142" s="34"/>
      <c r="AD142" s="36" t="s">
        <v>68</v>
      </c>
      <c r="AE142" s="119" t="s">
        <v>68</v>
      </c>
      <c r="AF142" s="119" t="s">
        <v>68</v>
      </c>
      <c r="AG142" s="7" t="s">
        <v>68</v>
      </c>
      <c r="AH142" s="235" t="s">
        <v>68</v>
      </c>
      <c r="AI142" s="35" t="s">
        <v>68</v>
      </c>
      <c r="AJ142" s="1" t="s">
        <v>68</v>
      </c>
      <c r="AK142" s="1"/>
      <c r="AL142" s="1" t="s">
        <v>68</v>
      </c>
      <c r="AM142" s="1"/>
      <c r="AN142" s="1" t="s">
        <v>68</v>
      </c>
      <c r="AO142" s="1"/>
      <c r="AP142" s="306">
        <v>0</v>
      </c>
      <c r="AQ142" s="74">
        <v>68743.5</v>
      </c>
      <c r="AR142" s="1032">
        <v>244293.05</v>
      </c>
      <c r="AS142" s="1019"/>
      <c r="AT142" s="68" t="s">
        <v>74</v>
      </c>
      <c r="AU142" s="12"/>
      <c r="AV142" s="243" t="s">
        <v>68</v>
      </c>
      <c r="AW142" s="54" t="s">
        <v>492</v>
      </c>
      <c r="AX142" s="75">
        <v>42644</v>
      </c>
      <c r="AY142" s="5">
        <v>42551</v>
      </c>
      <c r="AZ142" s="5">
        <v>42581</v>
      </c>
      <c r="BA142" s="12">
        <v>42536</v>
      </c>
      <c r="BB142" s="75">
        <v>42644</v>
      </c>
      <c r="BC142" s="1950"/>
      <c r="BD142" s="76">
        <v>42551</v>
      </c>
      <c r="BE142" s="76">
        <v>42581</v>
      </c>
      <c r="BF142" s="76">
        <v>42536</v>
      </c>
      <c r="BG142" s="136">
        <f t="shared" si="3"/>
        <v>313036.55</v>
      </c>
      <c r="BH142" s="14" t="s">
        <v>68</v>
      </c>
      <c r="BI142" s="794" t="s">
        <v>68</v>
      </c>
      <c r="BJ142" s="795" t="s">
        <v>68</v>
      </c>
      <c r="BK142" s="795" t="s">
        <v>68</v>
      </c>
      <c r="BL142" s="794"/>
      <c r="BM142" s="794"/>
      <c r="BN142" s="794"/>
      <c r="BO142" s="794"/>
      <c r="BP142" s="794"/>
      <c r="BQ142" s="794"/>
      <c r="BR142" s="794"/>
      <c r="BS142" s="794" t="s">
        <v>68</v>
      </c>
      <c r="BT142" s="14"/>
      <c r="BU142" s="14"/>
      <c r="BV142" s="14"/>
      <c r="BW142" s="14"/>
      <c r="BX142" s="14"/>
      <c r="BY142" s="1432" t="s">
        <v>1567</v>
      </c>
      <c r="BZ142" s="356" t="s">
        <v>459</v>
      </c>
      <c r="CA142" s="563"/>
      <c r="CB142" s="563"/>
      <c r="CC142" s="563"/>
      <c r="CD142" s="563"/>
      <c r="CE142" s="563"/>
      <c r="CF142" s="563"/>
      <c r="CG142" s="563"/>
      <c r="CH142" s="13"/>
    </row>
    <row r="143" spans="2:86" customFormat="1" ht="75" hidden="1" customHeight="1">
      <c r="B143" s="727" t="s">
        <v>502</v>
      </c>
      <c r="C143" s="727"/>
      <c r="D143" s="727"/>
      <c r="E143" s="335" t="s">
        <v>68</v>
      </c>
      <c r="F143" s="335"/>
      <c r="G143" s="1055">
        <v>42878</v>
      </c>
      <c r="H143" s="490">
        <v>43063</v>
      </c>
      <c r="I143" s="17">
        <v>2016</v>
      </c>
      <c r="J143" s="1676"/>
      <c r="K143" s="19" t="s">
        <v>77</v>
      </c>
      <c r="L143" s="35" t="s">
        <v>503</v>
      </c>
      <c r="M143" s="2" t="s">
        <v>4077</v>
      </c>
      <c r="N143" s="3" t="s">
        <v>504</v>
      </c>
      <c r="O143" s="3" t="s">
        <v>2574</v>
      </c>
      <c r="P143" s="4">
        <v>291113.12</v>
      </c>
      <c r="Q143" s="6">
        <v>42531</v>
      </c>
      <c r="R143" s="5">
        <v>42534</v>
      </c>
      <c r="S143" s="12">
        <v>42546</v>
      </c>
      <c r="T143" s="14" t="s">
        <v>68</v>
      </c>
      <c r="U143" s="20" t="s">
        <v>68</v>
      </c>
      <c r="V143" s="183" t="s">
        <v>449</v>
      </c>
      <c r="W143" s="777" t="s">
        <v>68</v>
      </c>
      <c r="X143" s="1618"/>
      <c r="Y143" s="20" t="s">
        <v>505</v>
      </c>
      <c r="Z143" s="9">
        <v>42521</v>
      </c>
      <c r="AA143" s="4">
        <v>291113.12</v>
      </c>
      <c r="AB143" s="4"/>
      <c r="AC143" s="34"/>
      <c r="AD143" s="36" t="s">
        <v>68</v>
      </c>
      <c r="AE143" s="119" t="s">
        <v>68</v>
      </c>
      <c r="AF143" s="119" t="s">
        <v>68</v>
      </c>
      <c r="AG143" s="7" t="s">
        <v>68</v>
      </c>
      <c r="AH143" s="235" t="s">
        <v>68</v>
      </c>
      <c r="AI143" s="35" t="s">
        <v>68</v>
      </c>
      <c r="AJ143" s="1" t="s">
        <v>68</v>
      </c>
      <c r="AK143" s="5"/>
      <c r="AL143" s="1" t="s">
        <v>68</v>
      </c>
      <c r="AM143" s="5"/>
      <c r="AN143" s="1" t="s">
        <v>68</v>
      </c>
      <c r="AO143" s="1"/>
      <c r="AP143" s="306">
        <v>0</v>
      </c>
      <c r="AQ143" s="74">
        <v>50766.8</v>
      </c>
      <c r="AR143" s="1032">
        <v>179113.36</v>
      </c>
      <c r="AS143" s="1019"/>
      <c r="AT143" s="68" t="s">
        <v>74</v>
      </c>
      <c r="AU143" s="12"/>
      <c r="AV143" s="243" t="s">
        <v>68</v>
      </c>
      <c r="AW143" s="246" t="s">
        <v>506</v>
      </c>
      <c r="AX143" s="359">
        <v>42710</v>
      </c>
      <c r="AY143" s="5">
        <v>42534</v>
      </c>
      <c r="AZ143" s="5">
        <v>42546</v>
      </c>
      <c r="BA143" s="12">
        <v>42700</v>
      </c>
      <c r="BB143" s="359">
        <v>42710</v>
      </c>
      <c r="BC143" s="1951"/>
      <c r="BD143" s="360">
        <v>42534</v>
      </c>
      <c r="BE143" s="360">
        <v>42546</v>
      </c>
      <c r="BF143" s="360">
        <v>42700</v>
      </c>
      <c r="BG143" s="361">
        <f t="shared" si="3"/>
        <v>229880.15999999997</v>
      </c>
      <c r="BH143" s="14" t="s">
        <v>68</v>
      </c>
      <c r="BI143" s="794" t="s">
        <v>68</v>
      </c>
      <c r="BJ143" s="795" t="s">
        <v>68</v>
      </c>
      <c r="BK143" s="795" t="s">
        <v>68</v>
      </c>
      <c r="BL143" s="794"/>
      <c r="BM143" s="794"/>
      <c r="BN143" s="794"/>
      <c r="BO143" s="794"/>
      <c r="BP143" s="794"/>
      <c r="BQ143" s="794"/>
      <c r="BR143" s="794"/>
      <c r="BS143" s="794" t="s">
        <v>68</v>
      </c>
      <c r="BT143" s="14"/>
      <c r="BU143" s="14"/>
      <c r="BV143" s="14"/>
      <c r="BW143" s="14"/>
      <c r="BX143" s="14"/>
      <c r="BY143" s="1432" t="s">
        <v>1567</v>
      </c>
      <c r="BZ143" s="356" t="s">
        <v>459</v>
      </c>
      <c r="CA143" s="618"/>
      <c r="CB143" s="618"/>
      <c r="CC143" s="618"/>
      <c r="CD143" s="618"/>
      <c r="CE143" s="618"/>
      <c r="CF143" s="618"/>
      <c r="CG143" s="618"/>
      <c r="CH143" s="13"/>
    </row>
    <row r="144" spans="2:86" customFormat="1" ht="75" hidden="1" customHeight="1">
      <c r="B144" s="23"/>
      <c r="C144" s="23"/>
      <c r="D144" s="23"/>
      <c r="E144" s="335" t="s">
        <v>68</v>
      </c>
      <c r="F144" s="335"/>
      <c r="G144" s="1055">
        <v>43229</v>
      </c>
      <c r="H144" s="490">
        <v>43063</v>
      </c>
      <c r="I144" s="17">
        <v>2016</v>
      </c>
      <c r="J144" s="1676"/>
      <c r="K144" s="19" t="s">
        <v>77</v>
      </c>
      <c r="L144" s="35" t="s">
        <v>507</v>
      </c>
      <c r="M144" s="2" t="s">
        <v>4077</v>
      </c>
      <c r="N144" s="3" t="s">
        <v>508</v>
      </c>
      <c r="O144" s="3" t="s">
        <v>2684</v>
      </c>
      <c r="P144" s="4">
        <v>292744.34000000003</v>
      </c>
      <c r="Q144" s="69">
        <v>42499</v>
      </c>
      <c r="R144" s="5">
        <v>42502</v>
      </c>
      <c r="S144" s="12">
        <v>42665</v>
      </c>
      <c r="T144" s="14" t="s">
        <v>68</v>
      </c>
      <c r="U144" s="20" t="s">
        <v>68</v>
      </c>
      <c r="V144" s="183" t="s">
        <v>449</v>
      </c>
      <c r="W144" s="777" t="s">
        <v>68</v>
      </c>
      <c r="X144" s="1618"/>
      <c r="Y144" s="138" t="s">
        <v>498</v>
      </c>
      <c r="Z144" s="80">
        <v>42586</v>
      </c>
      <c r="AA144" s="81">
        <v>292744.34000000003</v>
      </c>
      <c r="AB144" s="4"/>
      <c r="AC144" s="34"/>
      <c r="AD144" s="36" t="s">
        <v>68</v>
      </c>
      <c r="AE144" s="119" t="s">
        <v>68</v>
      </c>
      <c r="AF144" s="119" t="s">
        <v>68</v>
      </c>
      <c r="AG144" s="7" t="s">
        <v>68</v>
      </c>
      <c r="AH144" s="235" t="s">
        <v>68</v>
      </c>
      <c r="AI144" s="35" t="s">
        <v>68</v>
      </c>
      <c r="AJ144" s="1" t="s">
        <v>68</v>
      </c>
      <c r="AK144" s="5"/>
      <c r="AL144" s="1" t="s">
        <v>68</v>
      </c>
      <c r="AM144" s="5"/>
      <c r="AN144" s="1" t="s">
        <v>68</v>
      </c>
      <c r="AO144" s="1"/>
      <c r="AP144" s="306">
        <v>0</v>
      </c>
      <c r="AQ144" s="506">
        <v>74598.399999999994</v>
      </c>
      <c r="AR144" s="600">
        <v>111762.82</v>
      </c>
      <c r="AS144" s="376"/>
      <c r="AT144" s="68" t="s">
        <v>74</v>
      </c>
      <c r="AU144" s="12"/>
      <c r="AV144" s="243" t="s">
        <v>68</v>
      </c>
      <c r="AW144" s="246" t="s">
        <v>506</v>
      </c>
      <c r="AX144" s="75">
        <v>42663</v>
      </c>
      <c r="AY144" s="5">
        <v>42502</v>
      </c>
      <c r="AZ144" s="5">
        <v>42665</v>
      </c>
      <c r="BA144" s="12">
        <v>42660</v>
      </c>
      <c r="BB144" s="75">
        <v>42664</v>
      </c>
      <c r="BC144" s="1950"/>
      <c r="BD144" s="76">
        <v>42502</v>
      </c>
      <c r="BE144" s="76">
        <v>42665</v>
      </c>
      <c r="BF144" s="76">
        <v>42507</v>
      </c>
      <c r="BG144" s="136">
        <v>214265.43</v>
      </c>
      <c r="BH144" s="14" t="s">
        <v>68</v>
      </c>
      <c r="BI144" s="794" t="s">
        <v>68</v>
      </c>
      <c r="BJ144" s="795" t="s">
        <v>68</v>
      </c>
      <c r="BK144" s="795" t="s">
        <v>68</v>
      </c>
      <c r="BL144" s="794"/>
      <c r="BM144" s="794"/>
      <c r="BN144" s="794"/>
      <c r="BO144" s="794"/>
      <c r="BP144" s="794"/>
      <c r="BQ144" s="794"/>
      <c r="BR144" s="794"/>
      <c r="BS144" s="794" t="s">
        <v>68</v>
      </c>
      <c r="BT144" s="14"/>
      <c r="BU144" s="14"/>
      <c r="BV144" s="14"/>
      <c r="BW144" s="14"/>
      <c r="BX144" s="14"/>
      <c r="BY144" s="1432" t="s">
        <v>1567</v>
      </c>
      <c r="BZ144" s="356" t="s">
        <v>459</v>
      </c>
      <c r="CA144" s="563"/>
      <c r="CB144" s="2"/>
      <c r="CC144" s="2"/>
      <c r="CD144" s="2"/>
      <c r="CE144" s="2"/>
      <c r="CF144" s="2"/>
      <c r="CG144" s="2"/>
      <c r="CH144" s="13"/>
    </row>
    <row r="145" spans="1:86" ht="75" hidden="1" customHeight="1">
      <c r="A145"/>
      <c r="B145" s="23"/>
      <c r="C145" s="23"/>
      <c r="D145" s="23"/>
      <c r="E145" s="335" t="s">
        <v>68</v>
      </c>
      <c r="F145" s="335"/>
      <c r="G145" s="1055">
        <v>43306</v>
      </c>
      <c r="H145" s="490">
        <v>43063</v>
      </c>
      <c r="I145" s="17">
        <v>2016</v>
      </c>
      <c r="J145" s="1676"/>
      <c r="K145" s="19" t="s">
        <v>77</v>
      </c>
      <c r="L145" s="35" t="s">
        <v>509</v>
      </c>
      <c r="M145" s="2" t="s">
        <v>4077</v>
      </c>
      <c r="N145" s="3" t="s">
        <v>510</v>
      </c>
      <c r="O145" s="3" t="s">
        <v>1979</v>
      </c>
      <c r="P145" s="4">
        <v>93972.47</v>
      </c>
      <c r="Q145" s="6">
        <v>42552</v>
      </c>
      <c r="R145" s="5">
        <v>42555</v>
      </c>
      <c r="S145" s="12">
        <v>42586</v>
      </c>
      <c r="T145" s="14" t="s">
        <v>68</v>
      </c>
      <c r="U145" s="20" t="s">
        <v>68</v>
      </c>
      <c r="V145" s="183" t="s">
        <v>449</v>
      </c>
      <c r="W145" s="777" t="s">
        <v>68</v>
      </c>
      <c r="X145" s="1619"/>
      <c r="Y145" s="775" t="s">
        <v>511</v>
      </c>
      <c r="Z145" s="9">
        <v>42521</v>
      </c>
      <c r="AA145" s="4">
        <v>93972.47</v>
      </c>
      <c r="AB145" s="4"/>
      <c r="AC145" s="34"/>
      <c r="AD145" s="36" t="s">
        <v>68</v>
      </c>
      <c r="AE145" s="119" t="s">
        <v>68</v>
      </c>
      <c r="AF145" s="119" t="s">
        <v>68</v>
      </c>
      <c r="AG145" s="7" t="s">
        <v>68</v>
      </c>
      <c r="AH145" s="235" t="s">
        <v>68</v>
      </c>
      <c r="AI145" s="35" t="s">
        <v>68</v>
      </c>
      <c r="AJ145" s="1" t="s">
        <v>68</v>
      </c>
      <c r="AK145" s="1"/>
      <c r="AL145" s="1" t="s">
        <v>68</v>
      </c>
      <c r="AM145" s="1"/>
      <c r="AN145" s="1" t="s">
        <v>68</v>
      </c>
      <c r="AO145" s="1"/>
      <c r="AP145" s="306">
        <v>0</v>
      </c>
      <c r="AQ145" s="506">
        <v>23255.599999999999</v>
      </c>
      <c r="AR145" s="600">
        <v>55363.14</v>
      </c>
      <c r="AS145" s="376"/>
      <c r="AT145" s="359">
        <v>42555</v>
      </c>
      <c r="AU145" s="12">
        <v>42608</v>
      </c>
      <c r="AV145" s="243" t="s">
        <v>68</v>
      </c>
      <c r="AW145" s="246" t="s">
        <v>492</v>
      </c>
      <c r="AX145" s="75">
        <v>42614</v>
      </c>
      <c r="AY145" s="5">
        <v>42555</v>
      </c>
      <c r="AZ145" s="5">
        <v>42586</v>
      </c>
      <c r="BA145" s="12">
        <v>42608</v>
      </c>
      <c r="BB145" s="75">
        <v>42614</v>
      </c>
      <c r="BC145" s="1950"/>
      <c r="BD145" s="76">
        <v>42555</v>
      </c>
      <c r="BE145" s="76">
        <v>42586</v>
      </c>
      <c r="BF145" s="76">
        <v>42608</v>
      </c>
      <c r="BG145" s="136">
        <f t="shared" si="3"/>
        <v>78618.739999999991</v>
      </c>
      <c r="BH145" s="14" t="s">
        <v>68</v>
      </c>
      <c r="BI145" s="794" t="s">
        <v>68</v>
      </c>
      <c r="BJ145" s="795" t="s">
        <v>68</v>
      </c>
      <c r="BK145" s="795" t="s">
        <v>68</v>
      </c>
      <c r="BL145" s="794"/>
      <c r="BM145" s="794"/>
      <c r="BN145" s="794"/>
      <c r="BO145" s="794"/>
      <c r="BP145" s="794"/>
      <c r="BQ145" s="794"/>
      <c r="BR145" s="794"/>
      <c r="BS145" s="794" t="s">
        <v>68</v>
      </c>
      <c r="BT145" s="14"/>
      <c r="BU145" s="14"/>
      <c r="BV145" s="14"/>
      <c r="BW145" s="14"/>
      <c r="BX145" s="14"/>
      <c r="BY145" s="1432" t="s">
        <v>1567</v>
      </c>
      <c r="BZ145" s="649" t="s">
        <v>454</v>
      </c>
      <c r="CA145" s="563"/>
      <c r="CB145" s="2"/>
      <c r="CC145" s="2"/>
      <c r="CD145" s="2"/>
      <c r="CE145" s="2"/>
      <c r="CF145" s="2"/>
      <c r="CG145" s="2"/>
      <c r="CH145" s="13"/>
    </row>
    <row r="146" spans="1:86" ht="135" hidden="1" customHeight="1">
      <c r="A146"/>
      <c r="B146" s="737"/>
      <c r="C146" s="737"/>
      <c r="D146" s="737"/>
      <c r="E146" s="335" t="s">
        <v>68</v>
      </c>
      <c r="F146" s="335"/>
      <c r="G146" s="1055">
        <v>43356</v>
      </c>
      <c r="H146" s="490">
        <v>43063</v>
      </c>
      <c r="I146" s="17">
        <v>2016</v>
      </c>
      <c r="J146" s="1676"/>
      <c r="K146" s="19" t="s">
        <v>166</v>
      </c>
      <c r="L146" s="35" t="s">
        <v>512</v>
      </c>
      <c r="M146" s="2" t="s">
        <v>4077</v>
      </c>
      <c r="N146" s="3" t="s">
        <v>513</v>
      </c>
      <c r="O146" s="3" t="s">
        <v>1979</v>
      </c>
      <c r="P146" s="4">
        <v>550572.48</v>
      </c>
      <c r="Q146" s="6">
        <v>42531</v>
      </c>
      <c r="R146" s="5">
        <v>42534</v>
      </c>
      <c r="S146" s="12">
        <v>42582</v>
      </c>
      <c r="T146" s="14" t="s">
        <v>68</v>
      </c>
      <c r="U146" s="20" t="s">
        <v>68</v>
      </c>
      <c r="V146" s="19" t="s">
        <v>449</v>
      </c>
      <c r="W146" s="55">
        <v>42712</v>
      </c>
      <c r="X146" s="54"/>
      <c r="Y146" s="35" t="s">
        <v>514</v>
      </c>
      <c r="Z146" s="9">
        <v>42485</v>
      </c>
      <c r="AA146" s="4">
        <v>550572.48</v>
      </c>
      <c r="AB146" s="4"/>
      <c r="AC146" s="34"/>
      <c r="AD146" s="36" t="s">
        <v>68</v>
      </c>
      <c r="AE146" s="119" t="s">
        <v>68</v>
      </c>
      <c r="AF146" s="119" t="s">
        <v>68</v>
      </c>
      <c r="AG146" s="7" t="s">
        <v>68</v>
      </c>
      <c r="AH146" s="235" t="s">
        <v>68</v>
      </c>
      <c r="AI146" s="35" t="s">
        <v>68</v>
      </c>
      <c r="AJ146" s="1" t="s">
        <v>68</v>
      </c>
      <c r="AK146" s="5"/>
      <c r="AL146" s="1" t="s">
        <v>68</v>
      </c>
      <c r="AM146" s="5"/>
      <c r="AN146" s="1" t="s">
        <v>68</v>
      </c>
      <c r="AO146" s="1"/>
      <c r="AP146" s="306">
        <v>0</v>
      </c>
      <c r="AQ146" s="74">
        <v>20085.599999999999</v>
      </c>
      <c r="AR146" s="1032">
        <v>396177.97</v>
      </c>
      <c r="AS146" s="1019"/>
      <c r="AT146" s="766" t="s">
        <v>68</v>
      </c>
      <c r="AU146" s="12"/>
      <c r="AV146" s="32" t="s">
        <v>68</v>
      </c>
      <c r="AW146" s="54" t="s">
        <v>506</v>
      </c>
      <c r="AX146" s="359">
        <v>42733</v>
      </c>
      <c r="AY146" s="5">
        <v>42534</v>
      </c>
      <c r="AZ146" s="5">
        <v>42582</v>
      </c>
      <c r="BA146" s="12">
        <v>42719</v>
      </c>
      <c r="BB146" s="359">
        <v>42734</v>
      </c>
      <c r="BC146" s="1951"/>
      <c r="BD146" s="360">
        <v>42534</v>
      </c>
      <c r="BE146" s="360">
        <v>42582</v>
      </c>
      <c r="BF146" s="360">
        <v>42719</v>
      </c>
      <c r="BG146" s="361">
        <f t="shared" si="3"/>
        <v>416263.56999999995</v>
      </c>
      <c r="BH146" s="14" t="s">
        <v>68</v>
      </c>
      <c r="BI146" s="794" t="s">
        <v>68</v>
      </c>
      <c r="BJ146" s="795" t="s">
        <v>68</v>
      </c>
      <c r="BK146" s="795" t="s">
        <v>68</v>
      </c>
      <c r="BL146" s="794"/>
      <c r="BM146" s="794"/>
      <c r="BN146" s="794"/>
      <c r="BO146" s="794"/>
      <c r="BP146" s="794"/>
      <c r="BQ146" s="794"/>
      <c r="BR146" s="794"/>
      <c r="BS146" s="794" t="s">
        <v>68</v>
      </c>
      <c r="BT146" s="14"/>
      <c r="BU146" s="14"/>
      <c r="BV146" s="14"/>
      <c r="BW146" s="14"/>
      <c r="BX146" s="14"/>
      <c r="BY146" s="1432" t="s">
        <v>1567</v>
      </c>
      <c r="BZ146" s="356" t="s">
        <v>459</v>
      </c>
      <c r="CA146" s="563"/>
      <c r="CB146" s="2"/>
      <c r="CC146" s="2"/>
      <c r="CD146" s="2"/>
      <c r="CE146" s="2"/>
      <c r="CF146" s="2"/>
      <c r="CG146" s="2"/>
      <c r="CH146" s="13"/>
    </row>
    <row r="147" spans="1:86" ht="120" hidden="1" customHeight="1">
      <c r="A147"/>
      <c r="B147" s="335"/>
      <c r="C147" s="335"/>
      <c r="D147" s="335"/>
      <c r="E147" s="335" t="s">
        <v>68</v>
      </c>
      <c r="F147" s="335"/>
      <c r="G147" s="1055">
        <v>43237</v>
      </c>
      <c r="H147" s="490">
        <v>43063</v>
      </c>
      <c r="I147" s="17">
        <v>2016</v>
      </c>
      <c r="J147" s="1676"/>
      <c r="K147" s="19" t="s">
        <v>64</v>
      </c>
      <c r="L147" s="35" t="s">
        <v>515</v>
      </c>
      <c r="M147" s="2" t="s">
        <v>4077</v>
      </c>
      <c r="N147" s="3" t="s">
        <v>516</v>
      </c>
      <c r="O147" s="3" t="s">
        <v>4877</v>
      </c>
      <c r="P147" s="4">
        <v>165675.38</v>
      </c>
      <c r="Q147" s="69">
        <v>42591</v>
      </c>
      <c r="R147" s="5">
        <v>42618</v>
      </c>
      <c r="S147" s="12">
        <v>42643</v>
      </c>
      <c r="T147" s="14" t="s">
        <v>68</v>
      </c>
      <c r="U147" s="20" t="s">
        <v>68</v>
      </c>
      <c r="V147" s="291" t="s">
        <v>114</v>
      </c>
      <c r="W147" s="220" t="s">
        <v>68</v>
      </c>
      <c r="X147" s="406"/>
      <c r="Y147" s="138" t="s">
        <v>517</v>
      </c>
      <c r="Z147" s="137">
        <v>42453</v>
      </c>
      <c r="AA147" s="85">
        <v>3333333.33</v>
      </c>
      <c r="AB147" s="4"/>
      <c r="AC147" s="34"/>
      <c r="AD147" s="36" t="s">
        <v>68</v>
      </c>
      <c r="AE147" s="119" t="s">
        <v>68</v>
      </c>
      <c r="AF147" s="119" t="s">
        <v>68</v>
      </c>
      <c r="AG147" s="7" t="s">
        <v>68</v>
      </c>
      <c r="AH147" s="235" t="s">
        <v>68</v>
      </c>
      <c r="AI147" s="35" t="s">
        <v>68</v>
      </c>
      <c r="AJ147" s="1" t="s">
        <v>68</v>
      </c>
      <c r="AK147" s="1"/>
      <c r="AL147" s="1" t="s">
        <v>68</v>
      </c>
      <c r="AM147" s="1"/>
      <c r="AN147" s="1" t="s">
        <v>68</v>
      </c>
      <c r="AO147" s="1"/>
      <c r="AP147" s="306">
        <v>0</v>
      </c>
      <c r="AQ147" s="506">
        <v>8065.4</v>
      </c>
      <c r="AR147" s="600">
        <v>142165.41</v>
      </c>
      <c r="AS147" s="376"/>
      <c r="AT147" s="75">
        <v>42592</v>
      </c>
      <c r="AU147" s="12">
        <v>42738</v>
      </c>
      <c r="AV147" s="243" t="s">
        <v>68</v>
      </c>
      <c r="AW147" s="246" t="s">
        <v>518</v>
      </c>
      <c r="AX147" s="173" t="s">
        <v>68</v>
      </c>
      <c r="AY147" s="1"/>
      <c r="AZ147" s="1"/>
      <c r="BA147" s="18"/>
      <c r="BB147" s="75" t="s">
        <v>519</v>
      </c>
      <c r="BC147" s="1950"/>
      <c r="BD147" s="5">
        <v>42592</v>
      </c>
      <c r="BE147" s="5">
        <v>42735</v>
      </c>
      <c r="BF147" s="5"/>
      <c r="BG147" s="38">
        <v>3333333.33</v>
      </c>
      <c r="BH147" s="14" t="s">
        <v>68</v>
      </c>
      <c r="BI147" s="794" t="s">
        <v>68</v>
      </c>
      <c r="BJ147" s="795" t="s">
        <v>68</v>
      </c>
      <c r="BK147" s="795" t="s">
        <v>68</v>
      </c>
      <c r="BL147" s="794"/>
      <c r="BM147" s="794"/>
      <c r="BN147" s="794"/>
      <c r="BO147" s="794"/>
      <c r="BP147" s="794"/>
      <c r="BQ147" s="794"/>
      <c r="BR147" s="794"/>
      <c r="BS147" s="794" t="s">
        <v>68</v>
      </c>
      <c r="BT147" s="14"/>
      <c r="BU147" s="14"/>
      <c r="BV147" s="14"/>
      <c r="BW147" s="14"/>
      <c r="BX147" s="14"/>
      <c r="BY147" s="1432" t="s">
        <v>1567</v>
      </c>
      <c r="BZ147" s="356" t="s">
        <v>459</v>
      </c>
      <c r="CA147" s="563"/>
      <c r="CB147" s="563"/>
      <c r="CC147" s="563"/>
      <c r="CD147" s="563"/>
      <c r="CE147" s="563"/>
      <c r="CF147" s="563"/>
      <c r="CG147" s="563"/>
      <c r="CH147" s="13"/>
    </row>
    <row r="148" spans="1:86" ht="123" hidden="1" customHeight="1">
      <c r="A148"/>
      <c r="B148" s="23"/>
      <c r="C148" s="23"/>
      <c r="D148" s="23"/>
      <c r="E148" s="335" t="s">
        <v>68</v>
      </c>
      <c r="F148" s="335"/>
      <c r="G148" s="1055">
        <v>43237</v>
      </c>
      <c r="H148" s="490">
        <v>43063</v>
      </c>
      <c r="I148" s="17">
        <v>2016</v>
      </c>
      <c r="J148" s="1676"/>
      <c r="K148" s="19" t="s">
        <v>64</v>
      </c>
      <c r="L148" s="35" t="s">
        <v>520</v>
      </c>
      <c r="M148" s="2" t="s">
        <v>4077</v>
      </c>
      <c r="N148" s="3" t="s">
        <v>521</v>
      </c>
      <c r="O148" s="3" t="s">
        <v>4877</v>
      </c>
      <c r="P148" s="4">
        <v>127975.51</v>
      </c>
      <c r="Q148" s="69">
        <v>42591</v>
      </c>
      <c r="R148" s="5">
        <v>42632</v>
      </c>
      <c r="S148" s="12">
        <v>42651</v>
      </c>
      <c r="T148" s="14" t="s">
        <v>68</v>
      </c>
      <c r="U148" s="20" t="s">
        <v>68</v>
      </c>
      <c r="V148" s="291" t="s">
        <v>114</v>
      </c>
      <c r="W148" s="220" t="s">
        <v>68</v>
      </c>
      <c r="X148" s="406"/>
      <c r="Y148" s="138" t="s">
        <v>517</v>
      </c>
      <c r="Z148" s="137">
        <v>42453</v>
      </c>
      <c r="AA148" s="85">
        <v>3333333.33</v>
      </c>
      <c r="AB148" s="4"/>
      <c r="AC148" s="34"/>
      <c r="AD148" s="36" t="s">
        <v>68</v>
      </c>
      <c r="AE148" s="119" t="s">
        <v>68</v>
      </c>
      <c r="AF148" s="119" t="s">
        <v>68</v>
      </c>
      <c r="AG148" s="7" t="s">
        <v>68</v>
      </c>
      <c r="AH148" s="235" t="s">
        <v>68</v>
      </c>
      <c r="AI148" s="35" t="s">
        <v>68</v>
      </c>
      <c r="AJ148" s="1" t="s">
        <v>68</v>
      </c>
      <c r="AK148" s="1"/>
      <c r="AL148" s="1" t="s">
        <v>68</v>
      </c>
      <c r="AM148" s="1"/>
      <c r="AN148" s="1" t="s">
        <v>68</v>
      </c>
      <c r="AO148" s="1"/>
      <c r="AP148" s="306">
        <v>0</v>
      </c>
      <c r="AQ148" s="506">
        <v>38855.949999999997</v>
      </c>
      <c r="AR148" s="600">
        <v>141928.92000000001</v>
      </c>
      <c r="AS148" s="376"/>
      <c r="AT148" s="75">
        <v>42592</v>
      </c>
      <c r="AU148" s="12">
        <v>42738</v>
      </c>
      <c r="AV148" s="243" t="s">
        <v>68</v>
      </c>
      <c r="AW148" s="246" t="s">
        <v>518</v>
      </c>
      <c r="AX148" s="173" t="s">
        <v>68</v>
      </c>
      <c r="AY148" s="1"/>
      <c r="AZ148" s="1"/>
      <c r="BA148" s="18"/>
      <c r="BB148" s="75" t="s">
        <v>519</v>
      </c>
      <c r="BC148" s="1950"/>
      <c r="BD148" s="5">
        <v>42592</v>
      </c>
      <c r="BE148" s="5">
        <v>42735</v>
      </c>
      <c r="BF148" s="5"/>
      <c r="BG148" s="38">
        <v>3333333.33</v>
      </c>
      <c r="BH148" s="14" t="s">
        <v>68</v>
      </c>
      <c r="BI148" s="794" t="s">
        <v>68</v>
      </c>
      <c r="BJ148" s="795" t="s">
        <v>68</v>
      </c>
      <c r="BK148" s="795" t="s">
        <v>68</v>
      </c>
      <c r="BL148" s="794"/>
      <c r="BM148" s="794"/>
      <c r="BN148" s="794"/>
      <c r="BO148" s="794"/>
      <c r="BP148" s="794"/>
      <c r="BQ148" s="794"/>
      <c r="BR148" s="794"/>
      <c r="BS148" s="794" t="s">
        <v>68</v>
      </c>
      <c r="BT148" s="14"/>
      <c r="BU148" s="14"/>
      <c r="BV148" s="14"/>
      <c r="BW148" s="14"/>
      <c r="BX148" s="14"/>
      <c r="BY148" s="1432" t="s">
        <v>1567</v>
      </c>
      <c r="BZ148" s="356" t="s">
        <v>459</v>
      </c>
      <c r="CA148" s="563"/>
      <c r="CB148" s="563"/>
      <c r="CC148" s="563"/>
      <c r="CD148" s="563"/>
      <c r="CE148" s="563"/>
      <c r="CF148" s="563"/>
      <c r="CG148" s="563"/>
      <c r="CH148" s="13"/>
    </row>
    <row r="149" spans="1:86" ht="75" hidden="1" customHeight="1">
      <c r="A149"/>
      <c r="B149" s="23"/>
      <c r="C149" s="23"/>
      <c r="D149" s="23"/>
      <c r="E149" s="335" t="s">
        <v>68</v>
      </c>
      <c r="F149" s="335"/>
      <c r="G149" s="1055">
        <v>43237</v>
      </c>
      <c r="H149" s="490">
        <v>43063</v>
      </c>
      <c r="I149" s="17">
        <v>2016</v>
      </c>
      <c r="J149" s="1676"/>
      <c r="K149" s="19" t="s">
        <v>64</v>
      </c>
      <c r="L149" s="35" t="s">
        <v>522</v>
      </c>
      <c r="M149" s="2" t="s">
        <v>4077</v>
      </c>
      <c r="N149" s="3" t="s">
        <v>523</v>
      </c>
      <c r="O149" s="3" t="s">
        <v>4877</v>
      </c>
      <c r="P149" s="4">
        <v>2597533.2999999998</v>
      </c>
      <c r="Q149" s="69">
        <v>42591</v>
      </c>
      <c r="R149" s="5">
        <v>42592</v>
      </c>
      <c r="S149" s="12">
        <v>42719</v>
      </c>
      <c r="T149" s="14" t="s">
        <v>68</v>
      </c>
      <c r="U149" s="20" t="s">
        <v>68</v>
      </c>
      <c r="V149" s="291" t="s">
        <v>114</v>
      </c>
      <c r="W149" s="220" t="s">
        <v>68</v>
      </c>
      <c r="X149" s="406"/>
      <c r="Y149" s="138" t="s">
        <v>517</v>
      </c>
      <c r="Z149" s="137">
        <v>42453</v>
      </c>
      <c r="AA149" s="85">
        <v>3333333.33</v>
      </c>
      <c r="AB149" s="4"/>
      <c r="AC149" s="34"/>
      <c r="AD149" s="36" t="s">
        <v>68</v>
      </c>
      <c r="AE149" s="119" t="s">
        <v>68</v>
      </c>
      <c r="AF149" s="119" t="s">
        <v>68</v>
      </c>
      <c r="AG149" s="7" t="s">
        <v>68</v>
      </c>
      <c r="AH149" s="235" t="s">
        <v>68</v>
      </c>
      <c r="AI149" s="35" t="s">
        <v>68</v>
      </c>
      <c r="AJ149" s="1" t="s">
        <v>68</v>
      </c>
      <c r="AK149" s="1"/>
      <c r="AL149" s="1" t="s">
        <v>68</v>
      </c>
      <c r="AM149" s="1"/>
      <c r="AN149" s="1" t="s">
        <v>68</v>
      </c>
      <c r="AO149" s="1"/>
      <c r="AP149" s="306">
        <v>0</v>
      </c>
      <c r="AQ149" s="506">
        <v>554695.64</v>
      </c>
      <c r="AR149" s="600">
        <v>1460812.47</v>
      </c>
      <c r="AS149" s="376"/>
      <c r="AT149" s="75">
        <v>42592</v>
      </c>
      <c r="AU149" s="12">
        <v>42738</v>
      </c>
      <c r="AV149" s="243" t="s">
        <v>68</v>
      </c>
      <c r="AW149" s="246" t="s">
        <v>518</v>
      </c>
      <c r="AX149" s="173" t="s">
        <v>68</v>
      </c>
      <c r="AY149" s="1"/>
      <c r="AZ149" s="1"/>
      <c r="BA149" s="18"/>
      <c r="BB149" s="75" t="s">
        <v>519</v>
      </c>
      <c r="BC149" s="1950"/>
      <c r="BD149" s="5">
        <v>42592</v>
      </c>
      <c r="BE149" s="5">
        <v>42735</v>
      </c>
      <c r="BF149" s="5"/>
      <c r="BG149" s="38">
        <v>3333333.33</v>
      </c>
      <c r="BH149" s="14" t="s">
        <v>68</v>
      </c>
      <c r="BI149" s="794" t="s">
        <v>68</v>
      </c>
      <c r="BJ149" s="795" t="s">
        <v>68</v>
      </c>
      <c r="BK149" s="795" t="s">
        <v>68</v>
      </c>
      <c r="BL149" s="794"/>
      <c r="BM149" s="794"/>
      <c r="BN149" s="794"/>
      <c r="BO149" s="794"/>
      <c r="BP149" s="794"/>
      <c r="BQ149" s="794"/>
      <c r="BR149" s="794"/>
      <c r="BS149" s="794" t="s">
        <v>68</v>
      </c>
      <c r="BT149" s="14"/>
      <c r="BU149" s="14"/>
      <c r="BV149" s="14"/>
      <c r="BW149" s="14"/>
      <c r="BX149" s="14"/>
      <c r="BY149" s="1432" t="s">
        <v>1567</v>
      </c>
      <c r="BZ149" s="356" t="s">
        <v>459</v>
      </c>
      <c r="CA149" s="563"/>
      <c r="CB149" s="563"/>
      <c r="CC149" s="563"/>
      <c r="CD149" s="563"/>
      <c r="CE149" s="563"/>
      <c r="CF149" s="563"/>
      <c r="CG149" s="563"/>
      <c r="CH149" s="13"/>
    </row>
    <row r="150" spans="1:86" ht="93" hidden="1" customHeight="1">
      <c r="A150" t="s">
        <v>524</v>
      </c>
      <c r="B150" s="23"/>
      <c r="C150" s="23"/>
      <c r="D150" s="23"/>
      <c r="E150" s="335" t="s">
        <v>68</v>
      </c>
      <c r="F150" s="335"/>
      <c r="G150" s="1055">
        <v>43335</v>
      </c>
      <c r="H150" s="490">
        <v>43063</v>
      </c>
      <c r="I150" s="17">
        <v>2016</v>
      </c>
      <c r="J150" s="1676"/>
      <c r="K150" s="19" t="s">
        <v>166</v>
      </c>
      <c r="L150" s="35" t="s">
        <v>525</v>
      </c>
      <c r="M150" s="2" t="s">
        <v>4077</v>
      </c>
      <c r="N150" s="3" t="s">
        <v>526</v>
      </c>
      <c r="O150" s="3" t="s">
        <v>1979</v>
      </c>
      <c r="P150" s="4">
        <v>12001.68</v>
      </c>
      <c r="Q150" s="6">
        <v>42548</v>
      </c>
      <c r="R150" s="5">
        <v>42549</v>
      </c>
      <c r="S150" s="12">
        <v>42622</v>
      </c>
      <c r="T150" s="14" t="s">
        <v>68</v>
      </c>
      <c r="U150" s="20" t="s">
        <v>68</v>
      </c>
      <c r="V150" s="183" t="s">
        <v>449</v>
      </c>
      <c r="W150" s="220" t="s">
        <v>68</v>
      </c>
      <c r="X150" s="406"/>
      <c r="Y150" s="138" t="s">
        <v>527</v>
      </c>
      <c r="Z150" s="80">
        <v>42608</v>
      </c>
      <c r="AA150" s="81" t="s">
        <v>528</v>
      </c>
      <c r="AB150" s="4"/>
      <c r="AC150" s="34"/>
      <c r="AD150" s="36" t="s">
        <v>68</v>
      </c>
      <c r="AE150" s="119" t="s">
        <v>68</v>
      </c>
      <c r="AF150" s="119" t="s">
        <v>68</v>
      </c>
      <c r="AG150" s="7" t="s">
        <v>68</v>
      </c>
      <c r="AH150" s="235" t="s">
        <v>68</v>
      </c>
      <c r="AI150" s="35" t="s">
        <v>68</v>
      </c>
      <c r="AJ150" s="1" t="s">
        <v>68</v>
      </c>
      <c r="AK150" s="1"/>
      <c r="AL150" s="1" t="s">
        <v>68</v>
      </c>
      <c r="AM150" s="1"/>
      <c r="AN150" s="1" t="s">
        <v>68</v>
      </c>
      <c r="AO150" s="1"/>
      <c r="AP150" s="306">
        <v>0</v>
      </c>
      <c r="AQ150" s="74">
        <v>6050</v>
      </c>
      <c r="AR150" s="1032">
        <v>12313.99</v>
      </c>
      <c r="AS150" s="1019"/>
      <c r="AT150" s="386" t="s">
        <v>68</v>
      </c>
      <c r="AU150" s="12"/>
      <c r="AV150" s="243" t="s">
        <v>68</v>
      </c>
      <c r="AW150" s="54" t="s">
        <v>492</v>
      </c>
      <c r="AX150" s="359">
        <v>42703</v>
      </c>
      <c r="AY150" s="5">
        <v>42549</v>
      </c>
      <c r="AZ150" s="5">
        <v>42622</v>
      </c>
      <c r="BA150" s="5">
        <v>42702</v>
      </c>
      <c r="BB150" s="359">
        <v>42704</v>
      </c>
      <c r="BC150" s="1951"/>
      <c r="BD150" s="360">
        <v>42549</v>
      </c>
      <c r="BE150" s="360">
        <v>42622</v>
      </c>
      <c r="BF150" s="360">
        <v>42702</v>
      </c>
      <c r="BG150" s="361">
        <f t="shared" si="3"/>
        <v>18363.989999999998</v>
      </c>
      <c r="BH150" s="14" t="s">
        <v>68</v>
      </c>
      <c r="BI150" s="794" t="s">
        <v>68</v>
      </c>
      <c r="BJ150" s="795" t="s">
        <v>68</v>
      </c>
      <c r="BK150" s="795" t="s">
        <v>68</v>
      </c>
      <c r="BL150" s="794"/>
      <c r="BM150" s="794"/>
      <c r="BN150" s="794"/>
      <c r="BO150" s="794"/>
      <c r="BP150" s="794"/>
      <c r="BQ150" s="794"/>
      <c r="BR150" s="794"/>
      <c r="BS150" s="794" t="s">
        <v>68</v>
      </c>
      <c r="BT150" s="14"/>
      <c r="BU150" s="14"/>
      <c r="BV150" s="14"/>
      <c r="BW150" s="14"/>
      <c r="BX150" s="14"/>
      <c r="BY150" s="1432" t="s">
        <v>1567</v>
      </c>
      <c r="BZ150" s="649" t="s">
        <v>454</v>
      </c>
      <c r="CA150" s="563"/>
      <c r="CB150" s="2"/>
      <c r="CC150" s="2"/>
      <c r="CD150" s="2"/>
      <c r="CE150" s="2"/>
      <c r="CF150" s="2"/>
      <c r="CG150" s="2"/>
      <c r="CH150" s="13"/>
    </row>
    <row r="151" spans="1:86" ht="93.75" hidden="1" customHeight="1">
      <c r="A151"/>
      <c r="B151" s="23"/>
      <c r="C151" s="23"/>
      <c r="D151" s="23"/>
      <c r="E151" s="335" t="s">
        <v>68</v>
      </c>
      <c r="F151" s="335"/>
      <c r="G151" s="1055">
        <v>43335</v>
      </c>
      <c r="H151" s="490">
        <v>43063</v>
      </c>
      <c r="I151" s="17">
        <v>2016</v>
      </c>
      <c r="J151" s="1676"/>
      <c r="K151" s="19" t="s">
        <v>166</v>
      </c>
      <c r="L151" s="35" t="s">
        <v>529</v>
      </c>
      <c r="M151" s="2" t="s">
        <v>4077</v>
      </c>
      <c r="N151" s="3" t="s">
        <v>530</v>
      </c>
      <c r="O151" s="3" t="s">
        <v>1979</v>
      </c>
      <c r="P151" s="4">
        <v>27133.54</v>
      </c>
      <c r="Q151" s="69">
        <v>42548</v>
      </c>
      <c r="R151" s="5">
        <v>42549</v>
      </c>
      <c r="S151" s="12">
        <v>42622</v>
      </c>
      <c r="T151" s="14" t="s">
        <v>68</v>
      </c>
      <c r="U151" s="20" t="s">
        <v>68</v>
      </c>
      <c r="V151" s="183" t="s">
        <v>449</v>
      </c>
      <c r="W151" s="220" t="s">
        <v>68</v>
      </c>
      <c r="X151" s="406"/>
      <c r="Y151" s="138" t="s">
        <v>527</v>
      </c>
      <c r="Z151" s="80">
        <v>42608</v>
      </c>
      <c r="AA151" s="81">
        <v>27133.64</v>
      </c>
      <c r="AB151" s="4"/>
      <c r="AC151" s="34"/>
      <c r="AD151" s="36" t="s">
        <v>68</v>
      </c>
      <c r="AE151" s="119" t="s">
        <v>68</v>
      </c>
      <c r="AF151" s="119" t="s">
        <v>68</v>
      </c>
      <c r="AG151" s="7" t="s">
        <v>68</v>
      </c>
      <c r="AH151" s="235" t="s">
        <v>68</v>
      </c>
      <c r="AI151" s="35" t="s">
        <v>68</v>
      </c>
      <c r="AJ151" s="1" t="s">
        <v>68</v>
      </c>
      <c r="AK151" s="1"/>
      <c r="AL151" s="1" t="s">
        <v>68</v>
      </c>
      <c r="AM151" s="1"/>
      <c r="AN151" s="1" t="s">
        <v>68</v>
      </c>
      <c r="AO151" s="1"/>
      <c r="AP151" s="306">
        <v>0</v>
      </c>
      <c r="AQ151" s="74">
        <v>4620</v>
      </c>
      <c r="AR151" s="1032">
        <v>14270.98</v>
      </c>
      <c r="AS151" s="1019"/>
      <c r="AT151" s="386" t="s">
        <v>68</v>
      </c>
      <c r="AU151" s="12"/>
      <c r="AV151" s="243" t="s">
        <v>68</v>
      </c>
      <c r="AW151" s="54" t="s">
        <v>492</v>
      </c>
      <c r="AX151" s="75">
        <v>42703</v>
      </c>
      <c r="AY151" s="5">
        <v>42549</v>
      </c>
      <c r="AZ151" s="5">
        <v>42622</v>
      </c>
      <c r="BA151" s="5">
        <v>42690</v>
      </c>
      <c r="BB151" s="75">
        <v>42704</v>
      </c>
      <c r="BC151" s="1950"/>
      <c r="BD151" s="76">
        <v>42549</v>
      </c>
      <c r="BE151" s="76">
        <v>42622</v>
      </c>
      <c r="BF151" s="76">
        <v>42690</v>
      </c>
      <c r="BG151" s="136">
        <f t="shared" si="3"/>
        <v>18890.98</v>
      </c>
      <c r="BH151" s="14" t="s">
        <v>68</v>
      </c>
      <c r="BI151" s="794" t="s">
        <v>68</v>
      </c>
      <c r="BJ151" s="795" t="s">
        <v>68</v>
      </c>
      <c r="BK151" s="795" t="s">
        <v>68</v>
      </c>
      <c r="BL151" s="794"/>
      <c r="BM151" s="794"/>
      <c r="BN151" s="794"/>
      <c r="BO151" s="794"/>
      <c r="BP151" s="794"/>
      <c r="BQ151" s="794"/>
      <c r="BR151" s="794"/>
      <c r="BS151" s="794" t="s">
        <v>68</v>
      </c>
      <c r="BT151" s="14"/>
      <c r="BU151" s="14"/>
      <c r="BV151" s="14"/>
      <c r="BW151" s="14"/>
      <c r="BX151" s="14"/>
      <c r="BY151" s="1432" t="s">
        <v>1567</v>
      </c>
      <c r="BZ151" s="649" t="s">
        <v>454</v>
      </c>
      <c r="CA151" s="563"/>
      <c r="CB151" s="2"/>
      <c r="CC151" s="2"/>
      <c r="CD151" s="2"/>
      <c r="CE151" s="2"/>
      <c r="CF151" s="2"/>
      <c r="CG151" s="2"/>
      <c r="CH151" s="13"/>
    </row>
    <row r="152" spans="1:86" ht="87.75" hidden="1" customHeight="1">
      <c r="A152"/>
      <c r="B152" s="23"/>
      <c r="C152" s="23"/>
      <c r="D152" s="23"/>
      <c r="E152" s="335" t="s">
        <v>68</v>
      </c>
      <c r="F152" s="335"/>
      <c r="G152" s="1055">
        <v>43237</v>
      </c>
      <c r="H152" s="490">
        <v>43063</v>
      </c>
      <c r="I152" s="17">
        <v>2016</v>
      </c>
      <c r="J152" s="1676"/>
      <c r="K152" s="19" t="s">
        <v>163</v>
      </c>
      <c r="L152" s="35" t="s">
        <v>531</v>
      </c>
      <c r="M152" s="2" t="s">
        <v>4077</v>
      </c>
      <c r="N152" s="3" t="s">
        <v>532</v>
      </c>
      <c r="O152" s="3" t="s">
        <v>4878</v>
      </c>
      <c r="P152" s="4">
        <v>136120</v>
      </c>
      <c r="Q152" s="69">
        <v>42627</v>
      </c>
      <c r="R152" s="5">
        <v>42627</v>
      </c>
      <c r="S152" s="12">
        <v>42643</v>
      </c>
      <c r="T152" s="14" t="s">
        <v>68</v>
      </c>
      <c r="U152" s="20" t="s">
        <v>68</v>
      </c>
      <c r="V152" s="19" t="s">
        <v>114</v>
      </c>
      <c r="W152" s="383">
        <v>42443</v>
      </c>
      <c r="X152" s="378"/>
      <c r="Y152" s="138" t="s">
        <v>533</v>
      </c>
      <c r="Z152" s="80">
        <v>42453</v>
      </c>
      <c r="AA152" s="85">
        <v>136120.53</v>
      </c>
      <c r="AB152" s="4"/>
      <c r="AC152" s="34"/>
      <c r="AD152" s="36" t="s">
        <v>68</v>
      </c>
      <c r="AE152" s="119" t="s">
        <v>68</v>
      </c>
      <c r="AF152" s="119" t="s">
        <v>68</v>
      </c>
      <c r="AG152" s="7" t="s">
        <v>68</v>
      </c>
      <c r="AH152" s="235" t="s">
        <v>68</v>
      </c>
      <c r="AI152" s="35" t="s">
        <v>68</v>
      </c>
      <c r="AJ152" s="1" t="s">
        <v>68</v>
      </c>
      <c r="AK152" s="5"/>
      <c r="AL152" s="1" t="s">
        <v>68</v>
      </c>
      <c r="AM152" s="5"/>
      <c r="AN152" s="1" t="s">
        <v>68</v>
      </c>
      <c r="AO152" s="1"/>
      <c r="AP152" s="306">
        <v>0</v>
      </c>
      <c r="AQ152" s="384">
        <v>46152.6</v>
      </c>
      <c r="AR152" s="1037">
        <v>89999.5</v>
      </c>
      <c r="AS152" s="1024"/>
      <c r="AT152" s="75">
        <v>42627</v>
      </c>
      <c r="AU152" s="12">
        <v>42643</v>
      </c>
      <c r="AV152" s="243" t="s">
        <v>68</v>
      </c>
      <c r="AW152" s="246" t="s">
        <v>506</v>
      </c>
      <c r="AX152" s="173" t="s">
        <v>68</v>
      </c>
      <c r="AY152" s="1"/>
      <c r="AZ152" s="1"/>
      <c r="BA152" s="18"/>
      <c r="BB152" s="75">
        <v>42683</v>
      </c>
      <c r="BC152" s="1950"/>
      <c r="BD152" s="5">
        <v>42632</v>
      </c>
      <c r="BE152" s="5">
        <v>42677</v>
      </c>
      <c r="BF152" s="5"/>
      <c r="BG152" s="66">
        <v>135120</v>
      </c>
      <c r="BH152" s="14" t="s">
        <v>68</v>
      </c>
      <c r="BI152" s="794" t="s">
        <v>68</v>
      </c>
      <c r="BJ152" s="795" t="s">
        <v>68</v>
      </c>
      <c r="BK152" s="795" t="s">
        <v>68</v>
      </c>
      <c r="BL152" s="794"/>
      <c r="BM152" s="794"/>
      <c r="BN152" s="794"/>
      <c r="BO152" s="794"/>
      <c r="BP152" s="794"/>
      <c r="BQ152" s="794"/>
      <c r="BR152" s="794"/>
      <c r="BS152" s="794" t="s">
        <v>68</v>
      </c>
      <c r="BT152" s="14"/>
      <c r="BU152" s="14"/>
      <c r="BV152" s="14"/>
      <c r="BW152" s="14"/>
      <c r="BX152" s="14"/>
      <c r="BY152" s="1432" t="s">
        <v>1567</v>
      </c>
      <c r="BZ152" s="649" t="s">
        <v>454</v>
      </c>
      <c r="CA152" s="563"/>
      <c r="CB152" s="563"/>
      <c r="CC152" s="563"/>
      <c r="CD152" s="563"/>
      <c r="CE152" s="563"/>
      <c r="CF152" s="563"/>
      <c r="CG152" s="563"/>
      <c r="CH152" s="13"/>
    </row>
    <row r="153" spans="1:86" ht="90" hidden="1" customHeight="1">
      <c r="A153"/>
      <c r="B153" s="23"/>
      <c r="C153" s="23"/>
      <c r="D153" s="23"/>
      <c r="E153" s="335" t="s">
        <v>68</v>
      </c>
      <c r="F153" s="335"/>
      <c r="G153" s="1055">
        <v>43237</v>
      </c>
      <c r="H153" s="490">
        <v>43063</v>
      </c>
      <c r="I153" s="17">
        <v>2016</v>
      </c>
      <c r="J153" s="1676"/>
      <c r="K153" s="19" t="s">
        <v>163</v>
      </c>
      <c r="L153" s="35" t="s">
        <v>534</v>
      </c>
      <c r="M153" s="2" t="s">
        <v>4077</v>
      </c>
      <c r="N153" s="3" t="s">
        <v>535</v>
      </c>
      <c r="O153" s="3" t="s">
        <v>4878</v>
      </c>
      <c r="P153" s="4">
        <v>100336</v>
      </c>
      <c r="Q153" s="69">
        <v>42639</v>
      </c>
      <c r="R153" s="5">
        <v>42639</v>
      </c>
      <c r="S153" s="12">
        <v>42651</v>
      </c>
      <c r="T153" s="14" t="s">
        <v>68</v>
      </c>
      <c r="U153" s="20" t="s">
        <v>68</v>
      </c>
      <c r="V153" s="19" t="s">
        <v>114</v>
      </c>
      <c r="W153" s="383">
        <v>42443</v>
      </c>
      <c r="X153" s="378"/>
      <c r="Y153" s="138" t="s">
        <v>533</v>
      </c>
      <c r="Z153" s="80">
        <v>42453</v>
      </c>
      <c r="AA153" s="85">
        <v>100338.34</v>
      </c>
      <c r="AB153" s="4"/>
      <c r="AC153" s="34"/>
      <c r="AD153" s="36" t="s">
        <v>68</v>
      </c>
      <c r="AE153" s="119" t="s">
        <v>68</v>
      </c>
      <c r="AF153" s="119" t="s">
        <v>68</v>
      </c>
      <c r="AG153" s="7" t="s">
        <v>68</v>
      </c>
      <c r="AH153" s="235" t="s">
        <v>68</v>
      </c>
      <c r="AI153" s="35" t="s">
        <v>68</v>
      </c>
      <c r="AJ153" s="1" t="s">
        <v>68</v>
      </c>
      <c r="AK153" s="5"/>
      <c r="AL153" s="1" t="s">
        <v>68</v>
      </c>
      <c r="AM153" s="5"/>
      <c r="AN153" s="1" t="s">
        <v>68</v>
      </c>
      <c r="AO153" s="1"/>
      <c r="AP153" s="306">
        <v>0</v>
      </c>
      <c r="AQ153" s="384">
        <v>45878.5</v>
      </c>
      <c r="AR153" s="1037">
        <v>40096.480000000003</v>
      </c>
      <c r="AS153" s="1024"/>
      <c r="AT153" s="75">
        <v>42639</v>
      </c>
      <c r="AU153" s="12">
        <v>42654</v>
      </c>
      <c r="AV153" s="32" t="s">
        <v>68</v>
      </c>
      <c r="AW153" s="246" t="s">
        <v>492</v>
      </c>
      <c r="AX153" s="173" t="s">
        <v>68</v>
      </c>
      <c r="AY153" s="1"/>
      <c r="AZ153" s="1"/>
      <c r="BA153" s="18"/>
      <c r="BB153" s="75">
        <v>42683</v>
      </c>
      <c r="BC153" s="1950"/>
      <c r="BD153" s="5">
        <v>42646</v>
      </c>
      <c r="BE153" s="5">
        <v>42653</v>
      </c>
      <c r="BF153" s="5">
        <v>42653</v>
      </c>
      <c r="BG153" s="38">
        <v>236752</v>
      </c>
      <c r="BH153" s="14" t="s">
        <v>68</v>
      </c>
      <c r="BI153" s="794" t="s">
        <v>68</v>
      </c>
      <c r="BJ153" s="795" t="s">
        <v>68</v>
      </c>
      <c r="BK153" s="795" t="s">
        <v>68</v>
      </c>
      <c r="BL153" s="794"/>
      <c r="BM153" s="794"/>
      <c r="BN153" s="794"/>
      <c r="BO153" s="794"/>
      <c r="BP153" s="794"/>
      <c r="BQ153" s="794"/>
      <c r="BR153" s="794"/>
      <c r="BS153" s="794" t="s">
        <v>68</v>
      </c>
      <c r="BT153" s="14"/>
      <c r="BU153" s="14"/>
      <c r="BV153" s="14"/>
      <c r="BW153" s="14"/>
      <c r="BX153" s="14"/>
      <c r="BY153" s="1432" t="s">
        <v>1567</v>
      </c>
      <c r="BZ153" s="649" t="s">
        <v>454</v>
      </c>
      <c r="CA153" s="563"/>
      <c r="CB153" s="563"/>
      <c r="CC153" s="563"/>
      <c r="CD153" s="563"/>
      <c r="CE153" s="563"/>
      <c r="CF153" s="563"/>
      <c r="CG153" s="563"/>
      <c r="CH153" s="13"/>
    </row>
    <row r="154" spans="1:86" ht="90" hidden="1" customHeight="1">
      <c r="A154"/>
      <c r="B154" s="23"/>
      <c r="C154" s="23"/>
      <c r="D154" s="23"/>
      <c r="E154" s="335" t="s">
        <v>68</v>
      </c>
      <c r="F154" s="335"/>
      <c r="G154" s="1055">
        <v>43237</v>
      </c>
      <c r="H154" s="490">
        <v>43063</v>
      </c>
      <c r="I154" s="17">
        <v>2016</v>
      </c>
      <c r="J154" s="1676"/>
      <c r="K154" s="19" t="s">
        <v>163</v>
      </c>
      <c r="L154" s="35" t="s">
        <v>536</v>
      </c>
      <c r="M154" s="2" t="s">
        <v>4077</v>
      </c>
      <c r="N154" s="3" t="s">
        <v>537</v>
      </c>
      <c r="O154" s="3" t="s">
        <v>4878</v>
      </c>
      <c r="P154" s="4">
        <v>236752</v>
      </c>
      <c r="Q154" s="69">
        <v>42641</v>
      </c>
      <c r="R154" s="5">
        <v>42639</v>
      </c>
      <c r="S154" s="12">
        <v>42663</v>
      </c>
      <c r="T154" s="14" t="s">
        <v>68</v>
      </c>
      <c r="U154" s="20" t="s">
        <v>68</v>
      </c>
      <c r="V154" s="291" t="s">
        <v>114</v>
      </c>
      <c r="W154" s="383">
        <v>42443</v>
      </c>
      <c r="X154" s="378"/>
      <c r="Y154" s="138" t="s">
        <v>533</v>
      </c>
      <c r="Z154" s="83">
        <v>42453</v>
      </c>
      <c r="AA154" s="85">
        <v>236752</v>
      </c>
      <c r="AB154" s="4"/>
      <c r="AC154" s="34"/>
      <c r="AD154" s="36" t="s">
        <v>68</v>
      </c>
      <c r="AE154" s="119" t="s">
        <v>68</v>
      </c>
      <c r="AF154" s="119" t="s">
        <v>68</v>
      </c>
      <c r="AG154" s="7" t="s">
        <v>68</v>
      </c>
      <c r="AH154" s="235" t="s">
        <v>68</v>
      </c>
      <c r="AI154" s="35" t="s">
        <v>68</v>
      </c>
      <c r="AJ154" s="1" t="s">
        <v>68</v>
      </c>
      <c r="AK154" s="5"/>
      <c r="AL154" s="1" t="s">
        <v>68</v>
      </c>
      <c r="AM154" s="5"/>
      <c r="AN154" s="1" t="s">
        <v>68</v>
      </c>
      <c r="AO154" s="1"/>
      <c r="AP154" s="306">
        <v>0</v>
      </c>
      <c r="AQ154" s="384">
        <v>82709.78</v>
      </c>
      <c r="AR154" s="1037">
        <v>154164</v>
      </c>
      <c r="AS154" s="1024"/>
      <c r="AT154" s="75">
        <v>42642</v>
      </c>
      <c r="AU154" s="12">
        <v>42660</v>
      </c>
      <c r="AV154" s="243" t="s">
        <v>68</v>
      </c>
      <c r="AW154" s="246" t="s">
        <v>492</v>
      </c>
      <c r="AX154" s="75" t="s">
        <v>68</v>
      </c>
      <c r="AY154" s="1"/>
      <c r="AZ154" s="1"/>
      <c r="BA154" s="18"/>
      <c r="BB154" s="75">
        <v>42664</v>
      </c>
      <c r="BC154" s="1950"/>
      <c r="BD154" s="5">
        <v>42632</v>
      </c>
      <c r="BE154" s="5">
        <v>42653</v>
      </c>
      <c r="BF154" s="5"/>
      <c r="BG154" s="66">
        <v>236752</v>
      </c>
      <c r="BH154" s="14" t="s">
        <v>68</v>
      </c>
      <c r="BI154" s="794" t="s">
        <v>68</v>
      </c>
      <c r="BJ154" s="795" t="s">
        <v>68</v>
      </c>
      <c r="BK154" s="795" t="s">
        <v>68</v>
      </c>
      <c r="BL154" s="794"/>
      <c r="BM154" s="794"/>
      <c r="BN154" s="794"/>
      <c r="BO154" s="794"/>
      <c r="BP154" s="794"/>
      <c r="BQ154" s="794"/>
      <c r="BR154" s="794"/>
      <c r="BS154" s="794" t="s">
        <v>68</v>
      </c>
      <c r="BT154" s="14"/>
      <c r="BU154" s="14"/>
      <c r="BV154" s="14"/>
      <c r="BW154" s="14"/>
      <c r="BX154" s="14"/>
      <c r="BY154" s="1432" t="s">
        <v>1567</v>
      </c>
      <c r="BZ154" s="649" t="s">
        <v>454</v>
      </c>
      <c r="CA154" s="563"/>
      <c r="CB154" s="563"/>
      <c r="CC154" s="563"/>
      <c r="CD154" s="563"/>
      <c r="CE154" s="563"/>
      <c r="CF154" s="563"/>
      <c r="CG154" s="563"/>
      <c r="CH154" s="13"/>
    </row>
    <row r="155" spans="1:86" ht="90" hidden="1" customHeight="1">
      <c r="A155"/>
      <c r="B155" s="23"/>
      <c r="C155" s="23"/>
      <c r="D155" s="23"/>
      <c r="E155" s="335" t="s">
        <v>68</v>
      </c>
      <c r="F155" s="335"/>
      <c r="G155" s="1055">
        <v>43237</v>
      </c>
      <c r="H155" s="490">
        <v>43063</v>
      </c>
      <c r="I155" s="17">
        <v>2016</v>
      </c>
      <c r="J155" s="1676"/>
      <c r="K155" s="19" t="s">
        <v>163</v>
      </c>
      <c r="L155" s="35" t="s">
        <v>538</v>
      </c>
      <c r="M155" s="2" t="s">
        <v>4077</v>
      </c>
      <c r="N155" s="3" t="s">
        <v>539</v>
      </c>
      <c r="O155" s="3" t="s">
        <v>4878</v>
      </c>
      <c r="P155" s="4">
        <v>214516</v>
      </c>
      <c r="Q155" s="69">
        <v>42639</v>
      </c>
      <c r="R155" s="5">
        <v>42641</v>
      </c>
      <c r="S155" s="12">
        <v>42663</v>
      </c>
      <c r="T155" s="14" t="s">
        <v>68</v>
      </c>
      <c r="U155" s="20" t="s">
        <v>68</v>
      </c>
      <c r="V155" s="183" t="s">
        <v>114</v>
      </c>
      <c r="W155" s="383">
        <v>42443</v>
      </c>
      <c r="X155" s="378"/>
      <c r="Y155" s="138" t="s">
        <v>533</v>
      </c>
      <c r="Z155" s="83">
        <v>42453</v>
      </c>
      <c r="AA155" s="84">
        <v>214519.54</v>
      </c>
      <c r="AB155" s="4"/>
      <c r="AC155" s="34"/>
      <c r="AD155" s="36" t="s">
        <v>68</v>
      </c>
      <c r="AE155" s="119" t="s">
        <v>68</v>
      </c>
      <c r="AF155" s="119" t="s">
        <v>68</v>
      </c>
      <c r="AG155" s="7" t="s">
        <v>68</v>
      </c>
      <c r="AH155" s="235" t="s">
        <v>68</v>
      </c>
      <c r="AI155" s="35" t="s">
        <v>68</v>
      </c>
      <c r="AJ155" s="1" t="s">
        <v>68</v>
      </c>
      <c r="AK155" s="5"/>
      <c r="AL155" s="1" t="s">
        <v>68</v>
      </c>
      <c r="AM155" s="5"/>
      <c r="AN155" s="1" t="s">
        <v>68</v>
      </c>
      <c r="AO155" s="1"/>
      <c r="AP155" s="306">
        <v>0</v>
      </c>
      <c r="AQ155" s="506">
        <v>61667.4</v>
      </c>
      <c r="AR155" s="600">
        <v>121998.98</v>
      </c>
      <c r="AS155" s="376"/>
      <c r="AT155" s="75">
        <v>42636</v>
      </c>
      <c r="AU155" s="12">
        <v>42657</v>
      </c>
      <c r="AV155" s="243" t="s">
        <v>68</v>
      </c>
      <c r="AW155" s="248" t="s">
        <v>492</v>
      </c>
      <c r="AX155" s="359" t="s">
        <v>68</v>
      </c>
      <c r="AY155" s="1"/>
      <c r="AZ155" s="1"/>
      <c r="BA155" s="18"/>
      <c r="BB155" s="359">
        <v>42683</v>
      </c>
      <c r="BC155" s="1951"/>
      <c r="BD155" s="5">
        <v>42636</v>
      </c>
      <c r="BE155" s="5"/>
      <c r="BF155" s="5">
        <v>42658</v>
      </c>
      <c r="BG155" s="38">
        <v>214516</v>
      </c>
      <c r="BH155" s="14" t="s">
        <v>68</v>
      </c>
      <c r="BI155" s="794" t="s">
        <v>68</v>
      </c>
      <c r="BJ155" s="795" t="s">
        <v>68</v>
      </c>
      <c r="BK155" s="795" t="s">
        <v>68</v>
      </c>
      <c r="BL155" s="794"/>
      <c r="BM155" s="794"/>
      <c r="BN155" s="794"/>
      <c r="BO155" s="794"/>
      <c r="BP155" s="794"/>
      <c r="BQ155" s="794"/>
      <c r="BR155" s="794"/>
      <c r="BS155" s="794" t="s">
        <v>68</v>
      </c>
      <c r="BT155" s="14"/>
      <c r="BU155" s="14"/>
      <c r="BV155" s="14"/>
      <c r="BW155" s="14"/>
      <c r="BX155" s="14"/>
      <c r="BY155" s="1432" t="s">
        <v>1567</v>
      </c>
      <c r="BZ155" s="649" t="s">
        <v>454</v>
      </c>
      <c r="CA155" s="563"/>
      <c r="CB155" s="563"/>
      <c r="CC155" s="563"/>
      <c r="CD155" s="563"/>
      <c r="CE155" s="563"/>
      <c r="CF155" s="563"/>
      <c r="CG155" s="563"/>
      <c r="CH155" s="13"/>
    </row>
    <row r="156" spans="1:86" ht="93" hidden="1" customHeight="1">
      <c r="A156"/>
      <c r="B156" s="23"/>
      <c r="C156" s="23"/>
      <c r="D156" s="23"/>
      <c r="E156" s="335" t="s">
        <v>68</v>
      </c>
      <c r="F156" s="335"/>
      <c r="G156" s="1055">
        <v>43237</v>
      </c>
      <c r="H156" s="490">
        <v>43063</v>
      </c>
      <c r="I156" s="17">
        <v>2016</v>
      </c>
      <c r="J156" s="1676"/>
      <c r="K156" s="19" t="s">
        <v>163</v>
      </c>
      <c r="L156" s="35" t="s">
        <v>540</v>
      </c>
      <c r="M156" s="2" t="s">
        <v>4077</v>
      </c>
      <c r="N156" s="3" t="s">
        <v>541</v>
      </c>
      <c r="O156" s="3" t="s">
        <v>4878</v>
      </c>
      <c r="P156" s="4">
        <v>245400</v>
      </c>
      <c r="Q156" s="69">
        <v>42646</v>
      </c>
      <c r="R156" s="5">
        <v>42648</v>
      </c>
      <c r="S156" s="12">
        <v>42669</v>
      </c>
      <c r="T156" s="14" t="s">
        <v>68</v>
      </c>
      <c r="U156" s="20" t="s">
        <v>68</v>
      </c>
      <c r="V156" s="19" t="s">
        <v>114</v>
      </c>
      <c r="W156" s="383">
        <v>42443</v>
      </c>
      <c r="X156" s="378"/>
      <c r="Y156" s="138" t="s">
        <v>533</v>
      </c>
      <c r="Z156" s="80">
        <v>42455</v>
      </c>
      <c r="AA156" s="81">
        <v>245402.56</v>
      </c>
      <c r="AB156" s="4"/>
      <c r="AC156" s="34"/>
      <c r="AD156" s="36" t="s">
        <v>68</v>
      </c>
      <c r="AE156" s="119" t="s">
        <v>68</v>
      </c>
      <c r="AF156" s="119" t="s">
        <v>68</v>
      </c>
      <c r="AG156" s="7" t="s">
        <v>68</v>
      </c>
      <c r="AH156" s="235" t="s">
        <v>68</v>
      </c>
      <c r="AI156" s="35" t="s">
        <v>68</v>
      </c>
      <c r="AJ156" s="1" t="s">
        <v>68</v>
      </c>
      <c r="AK156" s="5"/>
      <c r="AL156" s="1" t="s">
        <v>68</v>
      </c>
      <c r="AM156" s="5"/>
      <c r="AN156" s="1" t="s">
        <v>68</v>
      </c>
      <c r="AO156" s="1"/>
      <c r="AP156" s="306">
        <v>0</v>
      </c>
      <c r="AQ156" s="506">
        <v>47765</v>
      </c>
      <c r="AR156" s="600">
        <v>61173.53</v>
      </c>
      <c r="AS156" s="376"/>
      <c r="AT156" s="75">
        <v>42653</v>
      </c>
      <c r="AU156" s="12">
        <v>42664</v>
      </c>
      <c r="AV156" s="243" t="s">
        <v>68</v>
      </c>
      <c r="AW156" s="246" t="s">
        <v>492</v>
      </c>
      <c r="AX156" s="359" t="s">
        <v>68</v>
      </c>
      <c r="AY156" s="1"/>
      <c r="AZ156" s="1"/>
      <c r="BA156" s="18"/>
      <c r="BB156" s="359">
        <v>42683</v>
      </c>
      <c r="BC156" s="1951"/>
      <c r="BD156" s="5">
        <v>42648</v>
      </c>
      <c r="BE156" s="5"/>
      <c r="BF156" s="5">
        <v>42665</v>
      </c>
      <c r="BG156" s="38">
        <v>245400</v>
      </c>
      <c r="BH156" s="14" t="s">
        <v>68</v>
      </c>
      <c r="BI156" s="794" t="s">
        <v>68</v>
      </c>
      <c r="BJ156" s="795" t="s">
        <v>68</v>
      </c>
      <c r="BK156" s="795" t="s">
        <v>68</v>
      </c>
      <c r="BL156" s="794"/>
      <c r="BM156" s="794"/>
      <c r="BN156" s="794"/>
      <c r="BO156" s="794"/>
      <c r="BP156" s="794"/>
      <c r="BQ156" s="794"/>
      <c r="BR156" s="794"/>
      <c r="BS156" s="794" t="s">
        <v>68</v>
      </c>
      <c r="BT156" s="14"/>
      <c r="BU156" s="14"/>
      <c r="BV156" s="14"/>
      <c r="BW156" s="14"/>
      <c r="BX156" s="14"/>
      <c r="BY156" s="1432" t="s">
        <v>1567</v>
      </c>
      <c r="BZ156" s="649" t="s">
        <v>454</v>
      </c>
      <c r="CA156" s="563"/>
      <c r="CB156" s="563"/>
      <c r="CC156" s="563"/>
      <c r="CD156" s="563"/>
      <c r="CE156" s="563"/>
      <c r="CF156" s="563"/>
      <c r="CG156" s="563"/>
      <c r="CH156" s="13"/>
    </row>
    <row r="157" spans="1:86" ht="93" hidden="1" customHeight="1">
      <c r="A157"/>
      <c r="B157" s="23"/>
      <c r="C157" s="23"/>
      <c r="D157" s="23"/>
      <c r="E157" s="335" t="s">
        <v>68</v>
      </c>
      <c r="F157" s="335"/>
      <c r="G157" s="1055">
        <v>43237</v>
      </c>
      <c r="H157" s="490">
        <v>43063</v>
      </c>
      <c r="I157" s="17">
        <v>2016</v>
      </c>
      <c r="J157" s="1676"/>
      <c r="K157" s="19" t="s">
        <v>163</v>
      </c>
      <c r="L157" s="35" t="s">
        <v>542</v>
      </c>
      <c r="M157" s="2" t="s">
        <v>4077</v>
      </c>
      <c r="N157" s="3" t="s">
        <v>543</v>
      </c>
      <c r="O157" s="3" t="s">
        <v>4878</v>
      </c>
      <c r="P157" s="4">
        <v>259860</v>
      </c>
      <c r="Q157" s="69">
        <v>42657</v>
      </c>
      <c r="R157" s="5">
        <v>42660</v>
      </c>
      <c r="S157" s="12">
        <v>42684</v>
      </c>
      <c r="T157" s="14" t="s">
        <v>68</v>
      </c>
      <c r="U157" s="20" t="s">
        <v>68</v>
      </c>
      <c r="V157" s="291" t="s">
        <v>114</v>
      </c>
      <c r="W157" s="383">
        <v>42443</v>
      </c>
      <c r="X157" s="378"/>
      <c r="Y157" s="138" t="s">
        <v>533</v>
      </c>
      <c r="Z157" s="80">
        <v>42455</v>
      </c>
      <c r="AA157" s="81">
        <v>259863</v>
      </c>
      <c r="AB157" s="4"/>
      <c r="AC157" s="34"/>
      <c r="AD157" s="36" t="s">
        <v>68</v>
      </c>
      <c r="AE157" s="119" t="s">
        <v>68</v>
      </c>
      <c r="AF157" s="119" t="s">
        <v>68</v>
      </c>
      <c r="AG157" s="7" t="s">
        <v>68</v>
      </c>
      <c r="AH157" s="235" t="s">
        <v>68</v>
      </c>
      <c r="AI157" s="35" t="s">
        <v>68</v>
      </c>
      <c r="AJ157" s="1" t="s">
        <v>68</v>
      </c>
      <c r="AK157" s="5"/>
      <c r="AL157" s="1" t="s">
        <v>524</v>
      </c>
      <c r="AM157" s="5"/>
      <c r="AN157" s="1" t="s">
        <v>68</v>
      </c>
      <c r="AO157" s="1"/>
      <c r="AP157" s="306">
        <v>0</v>
      </c>
      <c r="AQ157" s="506">
        <v>77395.13</v>
      </c>
      <c r="AR157" s="600">
        <v>121998.98</v>
      </c>
      <c r="AS157" s="376"/>
      <c r="AT157" s="75">
        <v>42661</v>
      </c>
      <c r="AU157" s="12">
        <v>42677</v>
      </c>
      <c r="AV157" s="243" t="s">
        <v>68</v>
      </c>
      <c r="AW157" s="248" t="s">
        <v>506</v>
      </c>
      <c r="AX157" s="359" t="s">
        <v>68</v>
      </c>
      <c r="AY157" s="1"/>
      <c r="AZ157" s="1"/>
      <c r="BA157" s="18"/>
      <c r="BB157" s="359">
        <v>42683</v>
      </c>
      <c r="BC157" s="1951"/>
      <c r="BD157" s="5">
        <v>42663</v>
      </c>
      <c r="BE157" s="5"/>
      <c r="BF157" s="5">
        <v>42679</v>
      </c>
      <c r="BG157" s="38">
        <v>64965</v>
      </c>
      <c r="BH157" s="14" t="s">
        <v>68</v>
      </c>
      <c r="BI157" s="794" t="s">
        <v>68</v>
      </c>
      <c r="BJ157" s="795" t="s">
        <v>68</v>
      </c>
      <c r="BK157" s="795" t="s">
        <v>68</v>
      </c>
      <c r="BL157" s="794"/>
      <c r="BM157" s="794"/>
      <c r="BN157" s="794"/>
      <c r="BO157" s="794"/>
      <c r="BP157" s="794"/>
      <c r="BQ157" s="794"/>
      <c r="BR157" s="794"/>
      <c r="BS157" s="794" t="s">
        <v>68</v>
      </c>
      <c r="BT157" s="14"/>
      <c r="BU157" s="14"/>
      <c r="BV157" s="14"/>
      <c r="BW157" s="14"/>
      <c r="BX157" s="14"/>
      <c r="BY157" s="1432" t="s">
        <v>1567</v>
      </c>
      <c r="BZ157" s="649" t="s">
        <v>454</v>
      </c>
      <c r="CA157" s="563"/>
      <c r="CB157" s="563"/>
      <c r="CC157" s="563"/>
      <c r="CD157" s="563"/>
      <c r="CE157" s="563"/>
      <c r="CF157" s="563"/>
      <c r="CG157" s="563"/>
      <c r="CH157" s="13"/>
    </row>
    <row r="158" spans="1:86" ht="56.25" hidden="1" customHeight="1">
      <c r="A158"/>
      <c r="B158" s="23"/>
      <c r="C158" s="23"/>
      <c r="D158" s="23"/>
      <c r="E158" s="335" t="s">
        <v>68</v>
      </c>
      <c r="F158" s="335"/>
      <c r="G158" s="1055">
        <v>43237</v>
      </c>
      <c r="H158" s="490">
        <v>43063</v>
      </c>
      <c r="I158" s="17">
        <v>2016</v>
      </c>
      <c r="J158" s="1676"/>
      <c r="K158" s="19" t="s">
        <v>163</v>
      </c>
      <c r="L158" s="35" t="s">
        <v>544</v>
      </c>
      <c r="M158" s="2" t="s">
        <v>4077</v>
      </c>
      <c r="N158" s="86" t="s">
        <v>545</v>
      </c>
      <c r="O158" s="86" t="s">
        <v>1979</v>
      </c>
      <c r="P158" s="4">
        <v>233400</v>
      </c>
      <c r="Q158" s="69">
        <v>42627</v>
      </c>
      <c r="R158" s="5">
        <v>42690</v>
      </c>
      <c r="S158" s="12">
        <v>42700</v>
      </c>
      <c r="T158" s="14" t="s">
        <v>68</v>
      </c>
      <c r="U158" s="20" t="s">
        <v>68</v>
      </c>
      <c r="V158" s="183" t="s">
        <v>114</v>
      </c>
      <c r="W158" s="383">
        <v>42416</v>
      </c>
      <c r="X158" s="378"/>
      <c r="Y158" s="131" t="s">
        <v>533</v>
      </c>
      <c r="Z158" s="137">
        <v>42453</v>
      </c>
      <c r="AA158" s="85">
        <v>236752</v>
      </c>
      <c r="AB158" s="4"/>
      <c r="AC158" s="34"/>
      <c r="AD158" s="36" t="s">
        <v>68</v>
      </c>
      <c r="AE158" s="119" t="s">
        <v>68</v>
      </c>
      <c r="AF158" s="119" t="s">
        <v>68</v>
      </c>
      <c r="AG158" s="7" t="s">
        <v>68</v>
      </c>
      <c r="AH158" s="235" t="s">
        <v>68</v>
      </c>
      <c r="AI158" s="35" t="s">
        <v>68</v>
      </c>
      <c r="AJ158" s="1" t="s">
        <v>68</v>
      </c>
      <c r="AK158" s="5"/>
      <c r="AL158" s="1" t="s">
        <v>68</v>
      </c>
      <c r="AM158" s="5"/>
      <c r="AN158" s="1" t="s">
        <v>68</v>
      </c>
      <c r="AO158" s="1"/>
      <c r="AP158" s="306">
        <v>0</v>
      </c>
      <c r="AQ158" s="506">
        <v>47840.12</v>
      </c>
      <c r="AR158" s="600">
        <v>135960.35999999999</v>
      </c>
      <c r="AS158" s="376"/>
      <c r="AT158" s="75">
        <v>42705</v>
      </c>
      <c r="AU158" s="225">
        <v>42713</v>
      </c>
      <c r="AV158" s="243" t="s">
        <v>68</v>
      </c>
      <c r="AW158" s="246" t="s">
        <v>492</v>
      </c>
      <c r="AX158" s="75" t="s">
        <v>68</v>
      </c>
      <c r="AY158" s="1"/>
      <c r="AZ158" s="1"/>
      <c r="BA158" s="18"/>
      <c r="BB158" s="75">
        <v>42717</v>
      </c>
      <c r="BC158" s="1950"/>
      <c r="BD158" s="5">
        <v>42705</v>
      </c>
      <c r="BE158" s="5">
        <v>42714</v>
      </c>
      <c r="BF158" s="5"/>
      <c r="BG158" s="38">
        <v>233400</v>
      </c>
      <c r="BH158" s="14" t="s">
        <v>68</v>
      </c>
      <c r="BI158" s="794" t="s">
        <v>68</v>
      </c>
      <c r="BJ158" s="795" t="s">
        <v>68</v>
      </c>
      <c r="BK158" s="795" t="s">
        <v>68</v>
      </c>
      <c r="BL158" s="794"/>
      <c r="BM158" s="794"/>
      <c r="BN158" s="794"/>
      <c r="BO158" s="794"/>
      <c r="BP158" s="794"/>
      <c r="BQ158" s="794"/>
      <c r="BR158" s="794"/>
      <c r="BS158" s="794" t="s">
        <v>68</v>
      </c>
      <c r="BT158" s="14"/>
      <c r="BU158" s="14"/>
      <c r="BV158" s="14"/>
      <c r="BW158" s="14"/>
      <c r="BX158" s="14"/>
      <c r="BY158" s="1432" t="s">
        <v>1567</v>
      </c>
      <c r="BZ158" s="649" t="s">
        <v>454</v>
      </c>
      <c r="CA158" s="563"/>
      <c r="CB158" s="563"/>
      <c r="CC158" s="563"/>
      <c r="CD158" s="563"/>
      <c r="CE158" s="563"/>
      <c r="CF158" s="563"/>
      <c r="CG158" s="563"/>
      <c r="CH158" s="13"/>
    </row>
    <row r="159" spans="1:86" ht="62.25" hidden="1" customHeight="1">
      <c r="A159"/>
      <c r="B159" s="23"/>
      <c r="C159" s="23"/>
      <c r="D159" s="23"/>
      <c r="E159" s="335" t="s">
        <v>68</v>
      </c>
      <c r="F159" s="335"/>
      <c r="G159" s="1055">
        <v>43237</v>
      </c>
      <c r="H159" s="490">
        <v>43063</v>
      </c>
      <c r="I159" s="17">
        <v>2016</v>
      </c>
      <c r="J159" s="1676"/>
      <c r="K159" s="19" t="s">
        <v>163</v>
      </c>
      <c r="L159" s="35" t="s">
        <v>546</v>
      </c>
      <c r="M159" s="2" t="s">
        <v>4077</v>
      </c>
      <c r="N159" s="86" t="s">
        <v>547</v>
      </c>
      <c r="O159" s="86" t="s">
        <v>1979</v>
      </c>
      <c r="P159" s="4">
        <v>456248</v>
      </c>
      <c r="Q159" s="69">
        <v>42641</v>
      </c>
      <c r="R159" s="5">
        <v>42702</v>
      </c>
      <c r="S159" s="12">
        <v>42721</v>
      </c>
      <c r="T159" s="14" t="s">
        <v>68</v>
      </c>
      <c r="U159" s="20" t="s">
        <v>68</v>
      </c>
      <c r="V159" s="183" t="s">
        <v>114</v>
      </c>
      <c r="W159" s="383">
        <v>42416</v>
      </c>
      <c r="X159" s="378"/>
      <c r="Y159" s="138" t="s">
        <v>533</v>
      </c>
      <c r="Z159" s="80">
        <v>42453</v>
      </c>
      <c r="AA159" s="81">
        <v>456249</v>
      </c>
      <c r="AB159" s="4"/>
      <c r="AC159" s="34"/>
      <c r="AD159" s="36" t="s">
        <v>68</v>
      </c>
      <c r="AE159" s="119" t="s">
        <v>68</v>
      </c>
      <c r="AF159" s="119" t="s">
        <v>68</v>
      </c>
      <c r="AG159" s="7" t="s">
        <v>68</v>
      </c>
      <c r="AH159" s="235" t="s">
        <v>68</v>
      </c>
      <c r="AI159" s="35" t="s">
        <v>68</v>
      </c>
      <c r="AJ159" s="1" t="s">
        <v>68</v>
      </c>
      <c r="AK159" s="5"/>
      <c r="AL159" s="1" t="s">
        <v>68</v>
      </c>
      <c r="AM159" s="5"/>
      <c r="AN159" s="1" t="s">
        <v>68</v>
      </c>
      <c r="AO159" s="1"/>
      <c r="AP159" s="306">
        <v>0</v>
      </c>
      <c r="AQ159" s="506">
        <v>64539.83</v>
      </c>
      <c r="AR159" s="600">
        <v>372626.8</v>
      </c>
      <c r="AS159" s="376"/>
      <c r="AT159" s="75">
        <v>42698</v>
      </c>
      <c r="AU159" s="12">
        <v>42709</v>
      </c>
      <c r="AV159" s="243" t="s">
        <v>68</v>
      </c>
      <c r="AW159" s="246" t="s">
        <v>506</v>
      </c>
      <c r="AX159" s="75" t="s">
        <v>68</v>
      </c>
      <c r="AY159" s="1"/>
      <c r="AZ159" s="1"/>
      <c r="BA159" s="18"/>
      <c r="BB159" s="75">
        <v>42717</v>
      </c>
      <c r="BC159" s="1950"/>
      <c r="BD159" s="5">
        <v>42626</v>
      </c>
      <c r="BE159" s="5">
        <v>42714</v>
      </c>
      <c r="BF159" s="5"/>
      <c r="BG159" s="38">
        <v>456248</v>
      </c>
      <c r="BH159" s="14" t="s">
        <v>68</v>
      </c>
      <c r="BI159" s="794" t="s">
        <v>68</v>
      </c>
      <c r="BJ159" s="795" t="s">
        <v>68</v>
      </c>
      <c r="BK159" s="795" t="s">
        <v>68</v>
      </c>
      <c r="BL159" s="794"/>
      <c r="BM159" s="794"/>
      <c r="BN159" s="794"/>
      <c r="BO159" s="794"/>
      <c r="BP159" s="794"/>
      <c r="BQ159" s="794"/>
      <c r="BR159" s="794"/>
      <c r="BS159" s="794" t="s">
        <v>68</v>
      </c>
      <c r="BT159" s="14"/>
      <c r="BU159" s="14"/>
      <c r="BV159" s="14"/>
      <c r="BW159" s="14"/>
      <c r="BX159" s="14"/>
      <c r="BY159" s="1432" t="s">
        <v>1567</v>
      </c>
      <c r="BZ159" s="649" t="s">
        <v>454</v>
      </c>
      <c r="CA159" s="563"/>
      <c r="CB159" s="563"/>
      <c r="CC159" s="563"/>
      <c r="CD159" s="563"/>
      <c r="CE159" s="563"/>
      <c r="CF159" s="563"/>
      <c r="CG159" s="563"/>
      <c r="CH159" s="13"/>
    </row>
    <row r="160" spans="1:86" ht="87" hidden="1" customHeight="1">
      <c r="A160" t="s">
        <v>524</v>
      </c>
      <c r="B160" s="23"/>
      <c r="C160" s="23"/>
      <c r="D160" s="23"/>
      <c r="E160" s="335" t="s">
        <v>68</v>
      </c>
      <c r="F160" s="335"/>
      <c r="G160" s="1055">
        <v>43237</v>
      </c>
      <c r="H160" s="490">
        <v>43063</v>
      </c>
      <c r="I160" s="17">
        <v>2016</v>
      </c>
      <c r="J160" s="1676"/>
      <c r="K160" s="19" t="s">
        <v>163</v>
      </c>
      <c r="L160" s="35" t="s">
        <v>548</v>
      </c>
      <c r="M160" s="2" t="s">
        <v>4077</v>
      </c>
      <c r="N160" s="86" t="s">
        <v>549</v>
      </c>
      <c r="O160" s="86" t="s">
        <v>2574</v>
      </c>
      <c r="P160" s="4">
        <v>525186</v>
      </c>
      <c r="Q160" s="69">
        <v>42630</v>
      </c>
      <c r="R160" s="5">
        <v>42662</v>
      </c>
      <c r="S160" s="12">
        <v>42672</v>
      </c>
      <c r="T160" s="14" t="s">
        <v>68</v>
      </c>
      <c r="U160" s="20" t="s">
        <v>68</v>
      </c>
      <c r="V160" s="291" t="s">
        <v>114</v>
      </c>
      <c r="W160" s="383">
        <v>42426</v>
      </c>
      <c r="X160" s="378"/>
      <c r="Y160" s="138" t="s">
        <v>550</v>
      </c>
      <c r="Z160" s="80">
        <v>42453</v>
      </c>
      <c r="AA160" s="81">
        <v>525186</v>
      </c>
      <c r="AB160" s="4"/>
      <c r="AC160" s="34"/>
      <c r="AD160" s="36" t="s">
        <v>68</v>
      </c>
      <c r="AE160" s="119" t="s">
        <v>68</v>
      </c>
      <c r="AF160" s="119" t="s">
        <v>68</v>
      </c>
      <c r="AG160" s="7" t="s">
        <v>68</v>
      </c>
      <c r="AH160" s="235" t="s">
        <v>68</v>
      </c>
      <c r="AI160" s="35" t="s">
        <v>68</v>
      </c>
      <c r="AJ160" s="1" t="s">
        <v>68</v>
      </c>
      <c r="AK160" s="5"/>
      <c r="AL160" s="1" t="s">
        <v>68</v>
      </c>
      <c r="AM160" s="5"/>
      <c r="AN160" s="1" t="s">
        <v>68</v>
      </c>
      <c r="AO160" s="1"/>
      <c r="AP160" s="306">
        <v>0</v>
      </c>
      <c r="AQ160" s="506">
        <v>207267.3</v>
      </c>
      <c r="AR160" s="600">
        <v>318997.28999999998</v>
      </c>
      <c r="AS160" s="376"/>
      <c r="AT160" s="75">
        <v>42662</v>
      </c>
      <c r="AU160" s="12">
        <v>42678</v>
      </c>
      <c r="AV160" s="32" t="s">
        <v>68</v>
      </c>
      <c r="AW160" s="54" t="s">
        <v>551</v>
      </c>
      <c r="AX160" s="75" t="s">
        <v>68</v>
      </c>
      <c r="AY160" s="1"/>
      <c r="AZ160" s="1"/>
      <c r="BA160" s="18"/>
      <c r="BB160" s="75">
        <v>42683</v>
      </c>
      <c r="BC160" s="1950"/>
      <c r="BD160" s="5">
        <v>42662</v>
      </c>
      <c r="BE160" s="5">
        <v>42679</v>
      </c>
      <c r="BF160" s="5"/>
      <c r="BG160" s="38">
        <v>233400</v>
      </c>
      <c r="BH160" s="14" t="s">
        <v>68</v>
      </c>
      <c r="BI160" s="794" t="s">
        <v>68</v>
      </c>
      <c r="BJ160" s="795" t="s">
        <v>68</v>
      </c>
      <c r="BK160" s="795" t="s">
        <v>68</v>
      </c>
      <c r="BL160" s="794"/>
      <c r="BM160" s="794"/>
      <c r="BN160" s="794"/>
      <c r="BO160" s="794"/>
      <c r="BP160" s="794"/>
      <c r="BQ160" s="794"/>
      <c r="BR160" s="794"/>
      <c r="BS160" s="794" t="s">
        <v>68</v>
      </c>
      <c r="BT160" s="14"/>
      <c r="BU160" s="14"/>
      <c r="BV160" s="14"/>
      <c r="BW160" s="14"/>
      <c r="BX160" s="14"/>
      <c r="BY160" s="1432" t="s">
        <v>1567</v>
      </c>
      <c r="BZ160" s="649" t="s">
        <v>454</v>
      </c>
      <c r="CA160" s="563"/>
      <c r="CB160" s="563"/>
      <c r="CC160" s="563"/>
      <c r="CD160" s="563"/>
      <c r="CE160" s="563"/>
      <c r="CF160" s="563"/>
      <c r="CG160" s="563"/>
      <c r="CH160" s="13"/>
    </row>
    <row r="161" spans="2:86" customFormat="1" ht="61.5" hidden="1" customHeight="1">
      <c r="B161" s="23"/>
      <c r="C161" s="23"/>
      <c r="D161" s="23"/>
      <c r="E161" s="335" t="s">
        <v>68</v>
      </c>
      <c r="F161" s="335"/>
      <c r="G161" s="1055">
        <v>43237</v>
      </c>
      <c r="H161" s="490">
        <v>43063</v>
      </c>
      <c r="I161" s="17">
        <v>2016</v>
      </c>
      <c r="J161" s="1676"/>
      <c r="K161" s="19" t="s">
        <v>163</v>
      </c>
      <c r="L161" s="35" t="s">
        <v>552</v>
      </c>
      <c r="M161" s="2" t="s">
        <v>4077</v>
      </c>
      <c r="N161" s="86" t="s">
        <v>553</v>
      </c>
      <c r="O161" s="86" t="s">
        <v>3664</v>
      </c>
      <c r="P161" s="4">
        <v>678342</v>
      </c>
      <c r="Q161" s="69">
        <v>42678</v>
      </c>
      <c r="R161" s="5">
        <v>42682</v>
      </c>
      <c r="S161" s="12">
        <v>42704</v>
      </c>
      <c r="T161" s="14" t="s">
        <v>68</v>
      </c>
      <c r="U161" s="20" t="s">
        <v>68</v>
      </c>
      <c r="V161" s="19" t="s">
        <v>114</v>
      </c>
      <c r="W161" s="383">
        <v>42415</v>
      </c>
      <c r="X161" s="378"/>
      <c r="Y161" s="138" t="s">
        <v>533</v>
      </c>
      <c r="Z161" s="80">
        <v>42453</v>
      </c>
      <c r="AA161" s="81">
        <v>678343</v>
      </c>
      <c r="AB161" s="4"/>
      <c r="AC161" s="34"/>
      <c r="AD161" s="36" t="s">
        <v>68</v>
      </c>
      <c r="AE161" s="119" t="s">
        <v>68</v>
      </c>
      <c r="AF161" s="119" t="s">
        <v>68</v>
      </c>
      <c r="AG161" s="7" t="s">
        <v>68</v>
      </c>
      <c r="AH161" s="235" t="s">
        <v>68</v>
      </c>
      <c r="AI161" s="35" t="s">
        <v>68</v>
      </c>
      <c r="AJ161" s="1" t="s">
        <v>68</v>
      </c>
      <c r="AK161" s="5"/>
      <c r="AL161" s="1" t="s">
        <v>68</v>
      </c>
      <c r="AM161" s="5"/>
      <c r="AN161" s="1" t="s">
        <v>68</v>
      </c>
      <c r="AO161" s="1"/>
      <c r="AP161" s="306">
        <v>0</v>
      </c>
      <c r="AQ161" s="37">
        <v>205935.63</v>
      </c>
      <c r="AR161" s="1031">
        <v>474264.15</v>
      </c>
      <c r="AS161" s="1018"/>
      <c r="AT161" s="75">
        <v>42682</v>
      </c>
      <c r="AU161" s="12">
        <v>42702</v>
      </c>
      <c r="AV161" s="243" t="s">
        <v>68</v>
      </c>
      <c r="AW161" s="246" t="s">
        <v>492</v>
      </c>
      <c r="AX161" s="75" t="s">
        <v>68</v>
      </c>
      <c r="AY161" s="1"/>
      <c r="AZ161" s="1"/>
      <c r="BA161" s="18"/>
      <c r="BB161" s="75">
        <v>42745</v>
      </c>
      <c r="BC161" s="1950"/>
      <c r="BD161" s="5">
        <v>42632</v>
      </c>
      <c r="BE161" s="5">
        <v>42704</v>
      </c>
      <c r="BF161" s="5"/>
      <c r="BG161" s="38">
        <v>678342</v>
      </c>
      <c r="BH161" s="14" t="s">
        <v>68</v>
      </c>
      <c r="BI161" s="794" t="s">
        <v>68</v>
      </c>
      <c r="BJ161" s="795" t="s">
        <v>68</v>
      </c>
      <c r="BK161" s="795" t="s">
        <v>68</v>
      </c>
      <c r="BL161" s="794"/>
      <c r="BM161" s="794"/>
      <c r="BN161" s="794"/>
      <c r="BO161" s="794"/>
      <c r="BP161" s="794"/>
      <c r="BQ161" s="794"/>
      <c r="BR161" s="794"/>
      <c r="BS161" s="794" t="s">
        <v>68</v>
      </c>
      <c r="BT161" s="14"/>
      <c r="BU161" s="14"/>
      <c r="BV161" s="14"/>
      <c r="BW161" s="14"/>
      <c r="BX161" s="14"/>
      <c r="BY161" s="1432" t="s">
        <v>1567</v>
      </c>
      <c r="BZ161" s="356" t="s">
        <v>459</v>
      </c>
      <c r="CA161" s="563"/>
      <c r="CB161" s="563"/>
      <c r="CC161" s="563"/>
      <c r="CD161" s="563"/>
      <c r="CE161" s="563"/>
      <c r="CF161" s="563"/>
      <c r="CG161" s="563"/>
      <c r="CH161" s="13"/>
    </row>
    <row r="162" spans="2:86" customFormat="1" ht="110.25" hidden="1" customHeight="1">
      <c r="B162" s="23"/>
      <c r="C162" s="23"/>
      <c r="D162" s="23"/>
      <c r="E162" s="335" t="s">
        <v>68</v>
      </c>
      <c r="F162" s="335"/>
      <c r="G162" s="1055">
        <v>42999</v>
      </c>
      <c r="H162" s="490">
        <v>43063</v>
      </c>
      <c r="I162" s="17">
        <v>2016</v>
      </c>
      <c r="J162" s="1676"/>
      <c r="K162" s="19" t="s">
        <v>554</v>
      </c>
      <c r="L162" s="35" t="s">
        <v>555</v>
      </c>
      <c r="M162" s="2" t="s">
        <v>4077</v>
      </c>
      <c r="N162" s="3" t="s">
        <v>556</v>
      </c>
      <c r="O162" s="3" t="s">
        <v>1979</v>
      </c>
      <c r="P162" s="4">
        <v>275569.48</v>
      </c>
      <c r="Q162" s="69">
        <v>43053</v>
      </c>
      <c r="R162" s="5">
        <v>42689</v>
      </c>
      <c r="S162" s="12">
        <v>42734</v>
      </c>
      <c r="T162" s="14" t="s">
        <v>68</v>
      </c>
      <c r="U162" s="20" t="s">
        <v>68</v>
      </c>
      <c r="V162" s="183" t="s">
        <v>449</v>
      </c>
      <c r="W162" s="220" t="s">
        <v>68</v>
      </c>
      <c r="X162" s="406"/>
      <c r="Y162" s="370" t="s">
        <v>557</v>
      </c>
      <c r="Z162" s="83">
        <v>42611</v>
      </c>
      <c r="AA162" s="84">
        <v>6000000</v>
      </c>
      <c r="AB162" s="4"/>
      <c r="AC162" s="34"/>
      <c r="AD162" s="36" t="s">
        <v>68</v>
      </c>
      <c r="AE162" s="119" t="s">
        <v>68</v>
      </c>
      <c r="AF162" s="119" t="s">
        <v>68</v>
      </c>
      <c r="AG162" s="7" t="s">
        <v>68</v>
      </c>
      <c r="AH162" s="235" t="s">
        <v>68</v>
      </c>
      <c r="AI162" s="35" t="s">
        <v>68</v>
      </c>
      <c r="AJ162" s="1" t="s">
        <v>68</v>
      </c>
      <c r="AK162" s="1"/>
      <c r="AL162" s="1" t="s">
        <v>68</v>
      </c>
      <c r="AM162" s="1"/>
      <c r="AN162" s="1" t="s">
        <v>68</v>
      </c>
      <c r="AO162" s="1"/>
      <c r="AP162" s="306">
        <v>0</v>
      </c>
      <c r="AQ162" s="37">
        <v>195040.17</v>
      </c>
      <c r="AR162" s="1031">
        <v>78131.38</v>
      </c>
      <c r="AS162" s="1018"/>
      <c r="AT162" s="75">
        <v>42716</v>
      </c>
      <c r="AU162" s="12">
        <v>42734</v>
      </c>
      <c r="AV162" s="243" t="s">
        <v>68</v>
      </c>
      <c r="AW162" s="246" t="s">
        <v>492</v>
      </c>
      <c r="AX162" s="75">
        <v>42737</v>
      </c>
      <c r="AY162" s="5">
        <v>42719</v>
      </c>
      <c r="AZ162" s="5">
        <v>42734</v>
      </c>
      <c r="BA162" s="12">
        <v>42734</v>
      </c>
      <c r="BB162" s="75">
        <v>42737</v>
      </c>
      <c r="BC162" s="1950"/>
      <c r="BD162" s="76">
        <v>42719</v>
      </c>
      <c r="BE162" s="76">
        <v>42734</v>
      </c>
      <c r="BF162" s="76">
        <v>42734</v>
      </c>
      <c r="BG162" s="136">
        <f t="shared" ref="BG162:BG167" si="4">AQ162+AR162</f>
        <v>273171.55000000005</v>
      </c>
      <c r="BH162" s="14" t="s">
        <v>68</v>
      </c>
      <c r="BI162" s="794" t="s">
        <v>68</v>
      </c>
      <c r="BJ162" s="795" t="s">
        <v>68</v>
      </c>
      <c r="BK162" s="795" t="s">
        <v>68</v>
      </c>
      <c r="BL162" s="794"/>
      <c r="BM162" s="794"/>
      <c r="BN162" s="794"/>
      <c r="BO162" s="794"/>
      <c r="BP162" s="794"/>
      <c r="BQ162" s="794"/>
      <c r="BR162" s="794"/>
      <c r="BS162" s="794" t="s">
        <v>68</v>
      </c>
      <c r="BT162" s="14"/>
      <c r="BU162" s="14"/>
      <c r="BV162" s="14"/>
      <c r="BW162" s="14"/>
      <c r="BX162" s="14"/>
      <c r="BY162" s="1432" t="s">
        <v>1567</v>
      </c>
      <c r="BZ162" s="649" t="s">
        <v>454</v>
      </c>
      <c r="CA162" s="616"/>
      <c r="CB162" s="616"/>
      <c r="CC162" s="616"/>
      <c r="CD162" s="616"/>
      <c r="CE162" s="616"/>
      <c r="CF162" s="616"/>
      <c r="CG162" s="616"/>
      <c r="CH162" s="13"/>
    </row>
    <row r="163" spans="2:86" customFormat="1" ht="67.5" hidden="1" customHeight="1">
      <c r="B163" s="23"/>
      <c r="C163" s="23"/>
      <c r="D163" s="23"/>
      <c r="E163" s="335" t="s">
        <v>68</v>
      </c>
      <c r="F163" s="335"/>
      <c r="G163" s="1055">
        <v>43306</v>
      </c>
      <c r="H163" s="490">
        <v>43063</v>
      </c>
      <c r="I163" s="17">
        <v>2016</v>
      </c>
      <c r="J163" s="1676"/>
      <c r="K163" s="19" t="s">
        <v>77</v>
      </c>
      <c r="L163" s="35" t="s">
        <v>558</v>
      </c>
      <c r="M163" s="2" t="s">
        <v>4077</v>
      </c>
      <c r="N163" s="3" t="s">
        <v>559</v>
      </c>
      <c r="O163" s="3" t="s">
        <v>2649</v>
      </c>
      <c r="P163" s="4">
        <v>504950.57</v>
      </c>
      <c r="Q163" s="69">
        <v>42704</v>
      </c>
      <c r="R163" s="5">
        <v>42705</v>
      </c>
      <c r="S163" s="12">
        <v>42735</v>
      </c>
      <c r="T163" s="14" t="s">
        <v>68</v>
      </c>
      <c r="U163" s="20" t="s">
        <v>68</v>
      </c>
      <c r="V163" s="183" t="s">
        <v>449</v>
      </c>
      <c r="W163" s="777" t="s">
        <v>68</v>
      </c>
      <c r="X163" s="1618"/>
      <c r="Y163" s="138" t="s">
        <v>560</v>
      </c>
      <c r="Z163" s="80">
        <v>42732</v>
      </c>
      <c r="AA163" s="81">
        <v>504950.57</v>
      </c>
      <c r="AB163" s="4"/>
      <c r="AC163" s="34"/>
      <c r="AD163" s="36" t="s">
        <v>68</v>
      </c>
      <c r="AE163" s="119" t="s">
        <v>68</v>
      </c>
      <c r="AF163" s="119" t="s">
        <v>68</v>
      </c>
      <c r="AG163" s="7" t="s">
        <v>68</v>
      </c>
      <c r="AH163" s="235" t="s">
        <v>68</v>
      </c>
      <c r="AI163" s="35" t="s">
        <v>68</v>
      </c>
      <c r="AJ163" s="1" t="s">
        <v>68</v>
      </c>
      <c r="AK163" s="5"/>
      <c r="AL163" s="1" t="s">
        <v>68</v>
      </c>
      <c r="AM163" s="5"/>
      <c r="AN163" s="1" t="s">
        <v>68</v>
      </c>
      <c r="AO163" s="1"/>
      <c r="AP163" s="306">
        <v>0</v>
      </c>
      <c r="AQ163" s="506">
        <v>201320.4</v>
      </c>
      <c r="AR163" s="600">
        <v>294798.74</v>
      </c>
      <c r="AS163" s="376"/>
      <c r="AT163" s="75">
        <v>42705</v>
      </c>
      <c r="AU163" s="12">
        <v>42727</v>
      </c>
      <c r="AV163" s="243" t="s">
        <v>68</v>
      </c>
      <c r="AW163" s="246" t="s">
        <v>492</v>
      </c>
      <c r="AX163" s="75">
        <v>42733</v>
      </c>
      <c r="AY163" s="5">
        <v>42705</v>
      </c>
      <c r="AZ163" s="5">
        <v>42734</v>
      </c>
      <c r="BA163" s="12">
        <v>42727</v>
      </c>
      <c r="BB163" s="75">
        <v>42733</v>
      </c>
      <c r="BC163" s="1950"/>
      <c r="BD163" s="5">
        <v>42705</v>
      </c>
      <c r="BE163" s="5">
        <v>42735</v>
      </c>
      <c r="BF163" s="5">
        <v>42727</v>
      </c>
      <c r="BG163" s="38">
        <f t="shared" si="4"/>
        <v>496119.14</v>
      </c>
      <c r="BH163" s="14" t="s">
        <v>68</v>
      </c>
      <c r="BI163" s="794" t="s">
        <v>68</v>
      </c>
      <c r="BJ163" s="795" t="s">
        <v>68</v>
      </c>
      <c r="BK163" s="795" t="s">
        <v>68</v>
      </c>
      <c r="BL163" s="794"/>
      <c r="BM163" s="794"/>
      <c r="BN163" s="794"/>
      <c r="BO163" s="794"/>
      <c r="BP163" s="794"/>
      <c r="BQ163" s="794"/>
      <c r="BR163" s="794"/>
      <c r="BS163" s="794" t="s">
        <v>68</v>
      </c>
      <c r="BT163" s="14"/>
      <c r="BU163" s="14"/>
      <c r="BV163" s="14"/>
      <c r="BW163" s="14"/>
      <c r="BX163" s="14"/>
      <c r="BY163" s="1432" t="s">
        <v>1567</v>
      </c>
      <c r="BZ163" s="649" t="s">
        <v>454</v>
      </c>
      <c r="CA163" s="563"/>
      <c r="CB163" s="2"/>
      <c r="CC163" s="2"/>
      <c r="CD163" s="2"/>
      <c r="CE163" s="2"/>
      <c r="CF163" s="2"/>
      <c r="CG163" s="2"/>
      <c r="CH163" s="13"/>
    </row>
    <row r="164" spans="2:86" customFormat="1" ht="110.25" hidden="1" customHeight="1">
      <c r="B164" s="23"/>
      <c r="C164" s="23"/>
      <c r="D164" s="23"/>
      <c r="E164" s="335" t="s">
        <v>68</v>
      </c>
      <c r="F164" s="335"/>
      <c r="G164" s="1055">
        <v>43335</v>
      </c>
      <c r="H164" s="490">
        <v>43063</v>
      </c>
      <c r="I164" s="17">
        <v>2016</v>
      </c>
      <c r="J164" s="1676"/>
      <c r="K164" s="19" t="s">
        <v>166</v>
      </c>
      <c r="L164" s="35" t="s">
        <v>561</v>
      </c>
      <c r="M164" s="2" t="s">
        <v>4077</v>
      </c>
      <c r="N164" s="3" t="s">
        <v>562</v>
      </c>
      <c r="O164" s="3" t="s">
        <v>2551</v>
      </c>
      <c r="P164" s="4">
        <v>160904.73000000001</v>
      </c>
      <c r="Q164" s="69">
        <v>42702</v>
      </c>
      <c r="R164" s="5">
        <v>42702</v>
      </c>
      <c r="S164" s="12">
        <v>42711</v>
      </c>
      <c r="T164" s="14" t="s">
        <v>68</v>
      </c>
      <c r="U164" s="20" t="s">
        <v>68</v>
      </c>
      <c r="V164" s="183" t="s">
        <v>563</v>
      </c>
      <c r="W164" s="220" t="s">
        <v>68</v>
      </c>
      <c r="X164" s="406"/>
      <c r="Y164" s="138" t="s">
        <v>564</v>
      </c>
      <c r="Z164" s="80">
        <v>42704</v>
      </c>
      <c r="AA164" s="81">
        <v>160904.73000000001</v>
      </c>
      <c r="AB164" s="4"/>
      <c r="AC164" s="34"/>
      <c r="AD164" s="36" t="s">
        <v>68</v>
      </c>
      <c r="AE164" s="119" t="s">
        <v>68</v>
      </c>
      <c r="AF164" s="119" t="s">
        <v>68</v>
      </c>
      <c r="AG164" s="7" t="s">
        <v>68</v>
      </c>
      <c r="AH164" s="235" t="s">
        <v>68</v>
      </c>
      <c r="AI164" s="35" t="s">
        <v>68</v>
      </c>
      <c r="AJ164" s="1" t="s">
        <v>68</v>
      </c>
      <c r="AK164" s="1"/>
      <c r="AL164" s="1" t="s">
        <v>68</v>
      </c>
      <c r="AM164" s="1"/>
      <c r="AN164" s="1" t="s">
        <v>68</v>
      </c>
      <c r="AO164" s="1"/>
      <c r="AP164" s="306">
        <v>0</v>
      </c>
      <c r="AQ164" s="37">
        <v>29249.38</v>
      </c>
      <c r="AR164" s="1031">
        <v>25984</v>
      </c>
      <c r="AS164" s="1018"/>
      <c r="AT164" s="386" t="s">
        <v>68</v>
      </c>
      <c r="AU164" s="12"/>
      <c r="AV164" s="243" t="s">
        <v>68</v>
      </c>
      <c r="AW164" s="246"/>
      <c r="AX164" s="75">
        <v>42740</v>
      </c>
      <c r="AY164" s="76">
        <v>42702</v>
      </c>
      <c r="AZ164" s="76">
        <v>42711</v>
      </c>
      <c r="BA164" s="76">
        <v>41271</v>
      </c>
      <c r="BB164" s="75">
        <v>42741</v>
      </c>
      <c r="BC164" s="1950"/>
      <c r="BD164" s="76">
        <v>42702</v>
      </c>
      <c r="BE164" s="76">
        <v>42711</v>
      </c>
      <c r="BF164" s="76">
        <v>41271</v>
      </c>
      <c r="BG164" s="136">
        <f t="shared" si="4"/>
        <v>55233.380000000005</v>
      </c>
      <c r="BH164" s="14" t="s">
        <v>68</v>
      </c>
      <c r="BI164" s="794" t="s">
        <v>68</v>
      </c>
      <c r="BJ164" s="795" t="s">
        <v>68</v>
      </c>
      <c r="BK164" s="795" t="s">
        <v>68</v>
      </c>
      <c r="BL164" s="794"/>
      <c r="BM164" s="794"/>
      <c r="BN164" s="794"/>
      <c r="BO164" s="794"/>
      <c r="BP164" s="794"/>
      <c r="BQ164" s="794"/>
      <c r="BR164" s="794"/>
      <c r="BS164" s="794" t="s">
        <v>68</v>
      </c>
      <c r="BT164" s="14"/>
      <c r="BU164" s="14"/>
      <c r="BV164" s="14"/>
      <c r="BW164" s="14"/>
      <c r="BX164" s="14"/>
      <c r="BY164" s="1432" t="s">
        <v>1567</v>
      </c>
      <c r="BZ164" s="649" t="s">
        <v>454</v>
      </c>
      <c r="CA164" s="563"/>
      <c r="CB164" s="563"/>
      <c r="CC164" s="563"/>
      <c r="CD164" s="563"/>
      <c r="CE164" s="563"/>
      <c r="CF164" s="563"/>
      <c r="CG164" s="563"/>
      <c r="CH164" s="13"/>
    </row>
    <row r="165" spans="2:86" customFormat="1" ht="110.25" hidden="1" customHeight="1">
      <c r="B165" s="23"/>
      <c r="C165" s="23"/>
      <c r="D165" s="23"/>
      <c r="E165" s="335" t="s">
        <v>68</v>
      </c>
      <c r="F165" s="335"/>
      <c r="G165" s="1055">
        <v>43342</v>
      </c>
      <c r="H165" s="490">
        <v>43063</v>
      </c>
      <c r="I165" s="17">
        <v>2016</v>
      </c>
      <c r="J165" s="1676"/>
      <c r="K165" s="19" t="s">
        <v>77</v>
      </c>
      <c r="L165" s="35" t="s">
        <v>565</v>
      </c>
      <c r="M165" s="2" t="s">
        <v>4077</v>
      </c>
      <c r="N165" s="3" t="s">
        <v>566</v>
      </c>
      <c r="O165" s="3" t="s">
        <v>2574</v>
      </c>
      <c r="P165" s="4">
        <v>587787.4</v>
      </c>
      <c r="Q165" s="69">
        <v>42688</v>
      </c>
      <c r="R165" s="5">
        <v>42689</v>
      </c>
      <c r="S165" s="12">
        <v>42705</v>
      </c>
      <c r="T165" s="14" t="s">
        <v>68</v>
      </c>
      <c r="U165" s="20" t="s">
        <v>68</v>
      </c>
      <c r="V165" s="183" t="s">
        <v>449</v>
      </c>
      <c r="W165" s="770" t="s">
        <v>68</v>
      </c>
      <c r="X165" s="1620"/>
      <c r="Y165" s="138" t="s">
        <v>567</v>
      </c>
      <c r="Z165" s="80">
        <v>42732</v>
      </c>
      <c r="AA165" s="81">
        <v>587787.4</v>
      </c>
      <c r="AB165" s="4"/>
      <c r="AC165" s="34"/>
      <c r="AD165" s="36" t="s">
        <v>68</v>
      </c>
      <c r="AE165" s="119" t="s">
        <v>68</v>
      </c>
      <c r="AF165" s="119" t="s">
        <v>68</v>
      </c>
      <c r="AG165" s="7" t="s">
        <v>68</v>
      </c>
      <c r="AH165" s="235" t="s">
        <v>68</v>
      </c>
      <c r="AI165" s="35" t="s">
        <v>68</v>
      </c>
      <c r="AJ165" s="1" t="s">
        <v>68</v>
      </c>
      <c r="AK165" s="1"/>
      <c r="AL165" s="1" t="s">
        <v>68</v>
      </c>
      <c r="AM165" s="1"/>
      <c r="AN165" s="1" t="s">
        <v>68</v>
      </c>
      <c r="AO165" s="1"/>
      <c r="AP165" s="306">
        <v>0</v>
      </c>
      <c r="AQ165" s="506">
        <v>151053.31</v>
      </c>
      <c r="AR165" s="600">
        <v>435178.81</v>
      </c>
      <c r="AS165" s="376"/>
      <c r="AT165" s="75">
        <v>42689</v>
      </c>
      <c r="AU165" s="12">
        <v>42765</v>
      </c>
      <c r="AV165" s="243" t="s">
        <v>68</v>
      </c>
      <c r="AW165" s="246" t="s">
        <v>492</v>
      </c>
      <c r="AX165" s="75">
        <v>42768</v>
      </c>
      <c r="AY165" s="5">
        <v>42689</v>
      </c>
      <c r="AZ165" s="5">
        <v>42705</v>
      </c>
      <c r="BA165" s="12">
        <v>42765</v>
      </c>
      <c r="BB165" s="75">
        <v>42769</v>
      </c>
      <c r="BC165" s="1950"/>
      <c r="BD165" s="76">
        <v>42689</v>
      </c>
      <c r="BE165" s="76">
        <v>42705</v>
      </c>
      <c r="BF165" s="76">
        <v>42765</v>
      </c>
      <c r="BG165" s="136">
        <f t="shared" si="4"/>
        <v>586232.12</v>
      </c>
      <c r="BH165" s="14" t="s">
        <v>68</v>
      </c>
      <c r="BI165" s="794" t="s">
        <v>68</v>
      </c>
      <c r="BJ165" s="795" t="s">
        <v>68</v>
      </c>
      <c r="BK165" s="795" t="s">
        <v>68</v>
      </c>
      <c r="BL165" s="794"/>
      <c r="BM165" s="794"/>
      <c r="BN165" s="794"/>
      <c r="BO165" s="794"/>
      <c r="BP165" s="794"/>
      <c r="BQ165" s="794"/>
      <c r="BR165" s="794"/>
      <c r="BS165" s="794" t="s">
        <v>68</v>
      </c>
      <c r="BT165" s="14"/>
      <c r="BU165" s="14"/>
      <c r="BV165" s="14"/>
      <c r="BW165" s="14"/>
      <c r="BX165" s="14"/>
      <c r="BY165" s="1432" t="s">
        <v>1567</v>
      </c>
      <c r="BZ165" s="649" t="s">
        <v>454</v>
      </c>
      <c r="CA165" s="563"/>
      <c r="CB165" s="2"/>
      <c r="CC165" s="2"/>
      <c r="CD165" s="2"/>
      <c r="CE165" s="2"/>
      <c r="CF165" s="2"/>
      <c r="CG165" s="2"/>
      <c r="CH165" s="13"/>
    </row>
    <row r="166" spans="2:86" customFormat="1" ht="123" hidden="1" customHeight="1">
      <c r="B166" s="23"/>
      <c r="C166" s="23"/>
      <c r="D166" s="23"/>
      <c r="E166" s="335" t="s">
        <v>68</v>
      </c>
      <c r="F166" s="335"/>
      <c r="G166" s="1055">
        <v>43354</v>
      </c>
      <c r="H166" s="490">
        <v>43063</v>
      </c>
      <c r="I166" s="17">
        <v>2016</v>
      </c>
      <c r="J166" s="1676"/>
      <c r="K166" s="19" t="s">
        <v>77</v>
      </c>
      <c r="L166" s="35" t="s">
        <v>568</v>
      </c>
      <c r="M166" s="2" t="s">
        <v>4077</v>
      </c>
      <c r="N166" s="3" t="s">
        <v>569</v>
      </c>
      <c r="O166" s="3" t="s">
        <v>2574</v>
      </c>
      <c r="P166" s="4">
        <v>557061.88</v>
      </c>
      <c r="Q166" s="69">
        <v>42692</v>
      </c>
      <c r="R166" s="5">
        <v>42695</v>
      </c>
      <c r="S166" s="12">
        <v>42719</v>
      </c>
      <c r="T166" s="14" t="s">
        <v>68</v>
      </c>
      <c r="U166" s="20" t="s">
        <v>68</v>
      </c>
      <c r="V166" s="183" t="s">
        <v>449</v>
      </c>
      <c r="W166" s="777" t="s">
        <v>68</v>
      </c>
      <c r="X166" s="1618"/>
      <c r="Y166" s="138" t="s">
        <v>567</v>
      </c>
      <c r="Z166" s="80">
        <v>42732</v>
      </c>
      <c r="AA166" s="81">
        <v>557061.88</v>
      </c>
      <c r="AB166" s="4"/>
      <c r="AC166" s="34"/>
      <c r="AD166" s="36" t="s">
        <v>68</v>
      </c>
      <c r="AE166" s="119" t="s">
        <v>68</v>
      </c>
      <c r="AF166" s="119" t="s">
        <v>68</v>
      </c>
      <c r="AG166" s="7" t="s">
        <v>68</v>
      </c>
      <c r="AH166" s="235" t="s">
        <v>68</v>
      </c>
      <c r="AI166" s="35" t="s">
        <v>68</v>
      </c>
      <c r="AJ166" s="1" t="s">
        <v>68</v>
      </c>
      <c r="AK166" s="1"/>
      <c r="AL166" s="1" t="s">
        <v>68</v>
      </c>
      <c r="AM166" s="1"/>
      <c r="AN166" s="1" t="s">
        <v>68</v>
      </c>
      <c r="AO166" s="1"/>
      <c r="AP166" s="306">
        <v>0</v>
      </c>
      <c r="AQ166" s="506">
        <v>151195.79</v>
      </c>
      <c r="AR166" s="600">
        <v>403963.79</v>
      </c>
      <c r="AS166" s="376"/>
      <c r="AT166" s="75">
        <v>42695</v>
      </c>
      <c r="AU166" s="12">
        <v>42709</v>
      </c>
      <c r="AV166" s="243" t="s">
        <v>68</v>
      </c>
      <c r="AW166" s="246" t="s">
        <v>495</v>
      </c>
      <c r="AX166" s="75">
        <v>42768</v>
      </c>
      <c r="AY166" s="5">
        <v>42695</v>
      </c>
      <c r="AZ166" s="5">
        <v>42719</v>
      </c>
      <c r="BA166" s="12">
        <v>42709</v>
      </c>
      <c r="BB166" s="75">
        <v>42769</v>
      </c>
      <c r="BC166" s="1950"/>
      <c r="BD166" s="5">
        <v>42695</v>
      </c>
      <c r="BE166" s="5">
        <v>42719</v>
      </c>
      <c r="BF166" s="5">
        <v>42709</v>
      </c>
      <c r="BG166" s="38">
        <f t="shared" si="4"/>
        <v>555159.57999999996</v>
      </c>
      <c r="BH166" s="14" t="s">
        <v>68</v>
      </c>
      <c r="BI166" s="794" t="s">
        <v>68</v>
      </c>
      <c r="BJ166" s="795" t="s">
        <v>68</v>
      </c>
      <c r="BK166" s="795" t="s">
        <v>68</v>
      </c>
      <c r="BL166" s="794"/>
      <c r="BM166" s="794"/>
      <c r="BN166" s="794"/>
      <c r="BO166" s="794"/>
      <c r="BP166" s="794"/>
      <c r="BQ166" s="794"/>
      <c r="BR166" s="794"/>
      <c r="BS166" s="794" t="s">
        <v>68</v>
      </c>
      <c r="BT166" s="14"/>
      <c r="BU166" s="14"/>
      <c r="BV166" s="14"/>
      <c r="BW166" s="14"/>
      <c r="BX166" s="14"/>
      <c r="BY166" s="1432" t="s">
        <v>1567</v>
      </c>
      <c r="BZ166" s="649" t="s">
        <v>454</v>
      </c>
      <c r="CA166" s="563"/>
      <c r="CB166" s="2"/>
      <c r="CC166" s="2"/>
      <c r="CD166" s="2"/>
      <c r="CE166" s="2"/>
      <c r="CF166" s="2"/>
      <c r="CG166" s="2"/>
      <c r="CH166" s="13"/>
    </row>
    <row r="167" spans="2:86" customFormat="1" ht="110.25" hidden="1" customHeight="1">
      <c r="B167" s="23"/>
      <c r="C167" s="23"/>
      <c r="D167" s="23"/>
      <c r="E167" s="335" t="s">
        <v>68</v>
      </c>
      <c r="F167" s="335"/>
      <c r="G167" s="1055">
        <v>43354</v>
      </c>
      <c r="H167" s="490">
        <v>43063</v>
      </c>
      <c r="I167" s="17">
        <v>2016</v>
      </c>
      <c r="J167" s="1676"/>
      <c r="K167" s="19" t="s">
        <v>77</v>
      </c>
      <c r="L167" s="35" t="s">
        <v>570</v>
      </c>
      <c r="M167" s="2" t="s">
        <v>4077</v>
      </c>
      <c r="N167" s="3" t="s">
        <v>571</v>
      </c>
      <c r="O167" s="3" t="s">
        <v>2574</v>
      </c>
      <c r="P167" s="4">
        <v>238036.86</v>
      </c>
      <c r="Q167" s="69">
        <v>42688</v>
      </c>
      <c r="R167" s="5">
        <v>42689</v>
      </c>
      <c r="S167" s="12">
        <v>42735</v>
      </c>
      <c r="T167" s="14" t="s">
        <v>68</v>
      </c>
      <c r="U167" s="20" t="s">
        <v>68</v>
      </c>
      <c r="V167" s="183" t="s">
        <v>449</v>
      </c>
      <c r="W167" s="777" t="s">
        <v>68</v>
      </c>
      <c r="X167" s="1618"/>
      <c r="Y167" s="138" t="s">
        <v>567</v>
      </c>
      <c r="Z167" s="80">
        <v>42732</v>
      </c>
      <c r="AA167" s="81">
        <v>238036.86</v>
      </c>
      <c r="AB167" s="4"/>
      <c r="AC167" s="34"/>
      <c r="AD167" s="36" t="s">
        <v>68</v>
      </c>
      <c r="AE167" s="119" t="s">
        <v>68</v>
      </c>
      <c r="AF167" s="119" t="s">
        <v>68</v>
      </c>
      <c r="AG167" s="7" t="s">
        <v>68</v>
      </c>
      <c r="AH167" s="235" t="s">
        <v>68</v>
      </c>
      <c r="AI167" s="35" t="s">
        <v>68</v>
      </c>
      <c r="AJ167" s="1" t="s">
        <v>68</v>
      </c>
      <c r="AK167" s="1"/>
      <c r="AL167" s="1" t="s">
        <v>68</v>
      </c>
      <c r="AM167" s="1"/>
      <c r="AN167" s="1" t="s">
        <v>68</v>
      </c>
      <c r="AO167" s="1"/>
      <c r="AP167" s="306">
        <v>0</v>
      </c>
      <c r="AQ167" s="506">
        <v>42516.09</v>
      </c>
      <c r="AR167" s="600">
        <v>195142.23</v>
      </c>
      <c r="AS167" s="376"/>
      <c r="AT167" s="75">
        <v>42695</v>
      </c>
      <c r="AU167" s="12">
        <v>42734</v>
      </c>
      <c r="AV167" s="243" t="s">
        <v>68</v>
      </c>
      <c r="AW167" s="246" t="s">
        <v>506</v>
      </c>
      <c r="AX167" s="75">
        <v>42768</v>
      </c>
      <c r="AY167" s="5">
        <v>42689</v>
      </c>
      <c r="AZ167" s="5">
        <v>42735</v>
      </c>
      <c r="BA167" s="12">
        <v>42734</v>
      </c>
      <c r="BB167" s="75">
        <v>42769</v>
      </c>
      <c r="BC167" s="1950"/>
      <c r="BD167" s="76">
        <v>42689</v>
      </c>
      <c r="BE167" s="76">
        <v>42735</v>
      </c>
      <c r="BF167" s="76">
        <v>42734</v>
      </c>
      <c r="BG167" s="136">
        <f t="shared" si="4"/>
        <v>237658.32</v>
      </c>
      <c r="BH167" s="14" t="s">
        <v>68</v>
      </c>
      <c r="BI167" s="794" t="s">
        <v>68</v>
      </c>
      <c r="BJ167" s="795" t="s">
        <v>68</v>
      </c>
      <c r="BK167" s="795" t="s">
        <v>68</v>
      </c>
      <c r="BL167" s="794"/>
      <c r="BM167" s="794"/>
      <c r="BN167" s="794"/>
      <c r="BO167" s="794"/>
      <c r="BP167" s="794"/>
      <c r="BQ167" s="794"/>
      <c r="BR167" s="794"/>
      <c r="BS167" s="794" t="s">
        <v>68</v>
      </c>
      <c r="BT167" s="14"/>
      <c r="BU167" s="14"/>
      <c r="BV167" s="14"/>
      <c r="BW167" s="14"/>
      <c r="BX167" s="14"/>
      <c r="BY167" s="1432" t="s">
        <v>1567</v>
      </c>
      <c r="BZ167" s="649" t="s">
        <v>454</v>
      </c>
      <c r="CA167" s="563"/>
      <c r="CB167" s="2"/>
      <c r="CC167" s="2"/>
      <c r="CD167" s="2"/>
      <c r="CE167" s="2"/>
      <c r="CF167" s="2"/>
      <c r="CG167" s="2"/>
      <c r="CH167" s="13"/>
    </row>
    <row r="168" spans="2:86" customFormat="1" ht="110.25" hidden="1" customHeight="1">
      <c r="B168" s="23"/>
      <c r="C168" s="23"/>
      <c r="D168" s="23"/>
      <c r="E168" s="335" t="s">
        <v>68</v>
      </c>
      <c r="F168" s="335"/>
      <c r="G168" s="1055">
        <v>43238</v>
      </c>
      <c r="H168" s="490">
        <v>43063</v>
      </c>
      <c r="I168" s="17">
        <v>2016</v>
      </c>
      <c r="J168" s="1676"/>
      <c r="K168" s="19" t="s">
        <v>163</v>
      </c>
      <c r="L168" s="35" t="s">
        <v>572</v>
      </c>
      <c r="M168" s="2" t="s">
        <v>4077</v>
      </c>
      <c r="N168" s="3" t="s">
        <v>573</v>
      </c>
      <c r="O168" s="3" t="s">
        <v>3664</v>
      </c>
      <c r="P168" s="4">
        <v>2426000</v>
      </c>
      <c r="Q168" s="69">
        <v>42674</v>
      </c>
      <c r="R168" s="5">
        <v>42675</v>
      </c>
      <c r="S168" s="12">
        <v>42735</v>
      </c>
      <c r="T168" s="14" t="s">
        <v>68</v>
      </c>
      <c r="U168" s="20" t="s">
        <v>68</v>
      </c>
      <c r="V168" s="19" t="s">
        <v>114</v>
      </c>
      <c r="W168" s="730">
        <v>42426</v>
      </c>
      <c r="X168" s="1621"/>
      <c r="Y168" s="138" t="s">
        <v>533</v>
      </c>
      <c r="Z168" s="80">
        <v>42453</v>
      </c>
      <c r="AA168" s="81">
        <v>2426000</v>
      </c>
      <c r="AB168" s="4"/>
      <c r="AC168" s="34"/>
      <c r="AD168" s="36" t="s">
        <v>68</v>
      </c>
      <c r="AE168" s="119" t="s">
        <v>68</v>
      </c>
      <c r="AF168" s="119" t="s">
        <v>68</v>
      </c>
      <c r="AG168" s="7" t="s">
        <v>68</v>
      </c>
      <c r="AH168" s="235" t="s">
        <v>68</v>
      </c>
      <c r="AI168" s="35" t="s">
        <v>68</v>
      </c>
      <c r="AJ168" s="1" t="s">
        <v>68</v>
      </c>
      <c r="AK168" s="5"/>
      <c r="AL168" s="1" t="s">
        <v>68</v>
      </c>
      <c r="AM168" s="5"/>
      <c r="AN168" s="1" t="s">
        <v>68</v>
      </c>
      <c r="AO168" s="1"/>
      <c r="AP168" s="306">
        <v>0</v>
      </c>
      <c r="AQ168" s="37">
        <v>681684.74</v>
      </c>
      <c r="AR168" s="1031">
        <v>1780674.24</v>
      </c>
      <c r="AS168" s="1018"/>
      <c r="AT168" s="359">
        <v>42675</v>
      </c>
      <c r="AU168" s="12">
        <v>42734</v>
      </c>
      <c r="AV168" s="32" t="s">
        <v>68</v>
      </c>
      <c r="AW168" s="54" t="s">
        <v>495</v>
      </c>
      <c r="AX168" s="386" t="s">
        <v>68</v>
      </c>
      <c r="AY168" s="1"/>
      <c r="AZ168" s="1"/>
      <c r="BA168" s="18"/>
      <c r="BB168" s="75">
        <v>42745</v>
      </c>
      <c r="BC168" s="1950"/>
      <c r="BD168" s="5">
        <v>42632</v>
      </c>
      <c r="BE168" s="5">
        <v>42735</v>
      </c>
      <c r="BF168" s="5"/>
      <c r="BG168" s="38">
        <v>2425000</v>
      </c>
      <c r="BH168" s="14" t="s">
        <v>68</v>
      </c>
      <c r="BI168" s="794" t="s">
        <v>68</v>
      </c>
      <c r="BJ168" s="795" t="s">
        <v>68</v>
      </c>
      <c r="BK168" s="795" t="s">
        <v>68</v>
      </c>
      <c r="BL168" s="794"/>
      <c r="BM168" s="794"/>
      <c r="BN168" s="794"/>
      <c r="BO168" s="794"/>
      <c r="BP168" s="794"/>
      <c r="BQ168" s="794"/>
      <c r="BR168" s="794"/>
      <c r="BS168" s="794" t="s">
        <v>68</v>
      </c>
      <c r="BT168" s="14"/>
      <c r="BU168" s="14"/>
      <c r="BV168" s="14"/>
      <c r="BW168" s="14"/>
      <c r="BX168" s="14"/>
      <c r="BY168" s="1432" t="s">
        <v>1567</v>
      </c>
      <c r="BZ168" s="649" t="s">
        <v>454</v>
      </c>
      <c r="CA168" s="563"/>
      <c r="CB168" s="563"/>
      <c r="CC168" s="563"/>
      <c r="CD168" s="563"/>
      <c r="CE168" s="563"/>
      <c r="CF168" s="563"/>
      <c r="CG168" s="563"/>
      <c r="CH168" s="13"/>
    </row>
    <row r="169" spans="2:86" customFormat="1" ht="208.5" hidden="1" customHeight="1">
      <c r="B169" s="23"/>
      <c r="C169" s="23"/>
      <c r="D169" s="23"/>
      <c r="E169" s="335" t="s">
        <v>68</v>
      </c>
      <c r="F169" s="335"/>
      <c r="G169" s="1055">
        <v>43238</v>
      </c>
      <c r="H169" s="364">
        <v>42887</v>
      </c>
      <c r="I169" s="17">
        <v>2016</v>
      </c>
      <c r="J169" s="1676"/>
      <c r="K169" s="19" t="s">
        <v>574</v>
      </c>
      <c r="L169" s="35" t="s">
        <v>575</v>
      </c>
      <c r="M169" s="2" t="s">
        <v>79</v>
      </c>
      <c r="N169" s="3" t="s">
        <v>576</v>
      </c>
      <c r="O169" s="3" t="s">
        <v>4560</v>
      </c>
      <c r="P169" s="4">
        <v>892870.48</v>
      </c>
      <c r="Q169" s="6">
        <v>42461</v>
      </c>
      <c r="R169" s="5">
        <v>42461</v>
      </c>
      <c r="S169" s="12">
        <v>42583</v>
      </c>
      <c r="T169" s="12">
        <v>42426</v>
      </c>
      <c r="U169" s="35" t="s">
        <v>577</v>
      </c>
      <c r="V169" s="19" t="s">
        <v>114</v>
      </c>
      <c r="W169" s="770" t="s">
        <v>68</v>
      </c>
      <c r="X169" s="1620"/>
      <c r="Y169" s="138" t="s">
        <v>578</v>
      </c>
      <c r="Z169" s="9">
        <v>42429</v>
      </c>
      <c r="AA169" s="4" t="s">
        <v>579</v>
      </c>
      <c r="AB169" s="4"/>
      <c r="AC169" s="34"/>
      <c r="AD169" s="36" t="s">
        <v>68</v>
      </c>
      <c r="AE169" s="119" t="s">
        <v>68</v>
      </c>
      <c r="AF169" s="119" t="s">
        <v>68</v>
      </c>
      <c r="AG169" s="7" t="s">
        <v>68</v>
      </c>
      <c r="AH169" s="235" t="s">
        <v>68</v>
      </c>
      <c r="AI169" s="35" t="s">
        <v>107</v>
      </c>
      <c r="AJ169" s="1" t="s">
        <v>68</v>
      </c>
      <c r="AK169" s="5"/>
      <c r="AL169" s="1" t="s">
        <v>68</v>
      </c>
      <c r="AM169" s="5"/>
      <c r="AN169" s="1" t="s">
        <v>580</v>
      </c>
      <c r="AO169" s="5">
        <v>42688</v>
      </c>
      <c r="AP169" s="306">
        <f>89287.05</f>
        <v>89287.05</v>
      </c>
      <c r="AQ169" s="74">
        <v>0</v>
      </c>
      <c r="AR169" s="1032">
        <v>1035729.76</v>
      </c>
      <c r="AS169" s="1019"/>
      <c r="AT169" s="32">
        <v>42464</v>
      </c>
      <c r="AU169" s="12">
        <v>42583</v>
      </c>
      <c r="AV169" s="243" t="s">
        <v>68</v>
      </c>
      <c r="AW169" s="244" t="s">
        <v>68</v>
      </c>
      <c r="AX169" s="75" t="s">
        <v>68</v>
      </c>
      <c r="AY169" s="1"/>
      <c r="AZ169" s="1"/>
      <c r="BA169" s="18"/>
      <c r="BB169" s="75">
        <v>42684</v>
      </c>
      <c r="BC169" s="1950"/>
      <c r="BD169" s="5"/>
      <c r="BE169" s="5"/>
      <c r="BF169" s="5"/>
      <c r="BG169" s="38">
        <f>AQ169+AR169</f>
        <v>1035729.76</v>
      </c>
      <c r="BH169" s="14"/>
      <c r="BI169" s="794" t="s">
        <v>68</v>
      </c>
      <c r="BJ169" s="795" t="s">
        <v>68</v>
      </c>
      <c r="BK169" s="795" t="s">
        <v>68</v>
      </c>
      <c r="BL169" s="794"/>
      <c r="BM169" s="794"/>
      <c r="BN169" s="794"/>
      <c r="BO169" s="794"/>
      <c r="BP169" s="794"/>
      <c r="BQ169" s="794"/>
      <c r="BR169" s="794"/>
      <c r="BS169" s="794" t="s">
        <v>68</v>
      </c>
      <c r="BT169" s="14"/>
      <c r="BU169" s="14"/>
      <c r="BV169" s="14"/>
      <c r="BW169" s="14"/>
      <c r="BX169" s="14"/>
      <c r="BY169" s="1432" t="s">
        <v>1567</v>
      </c>
      <c r="BZ169" s="649" t="s">
        <v>454</v>
      </c>
      <c r="CA169" s="563"/>
      <c r="CB169" s="563"/>
      <c r="CC169" s="563"/>
      <c r="CD169" s="563"/>
      <c r="CE169" s="563"/>
      <c r="CF169" s="563"/>
      <c r="CG169" s="563"/>
      <c r="CH169" s="13"/>
    </row>
    <row r="170" spans="2:86" customFormat="1" ht="75.75" hidden="1" customHeight="1">
      <c r="B170" s="23"/>
      <c r="C170" s="23"/>
      <c r="D170" s="23"/>
      <c r="E170" s="335" t="s">
        <v>68</v>
      </c>
      <c r="F170" s="335"/>
      <c r="G170" s="1055">
        <v>43238</v>
      </c>
      <c r="H170" s="364">
        <v>42887</v>
      </c>
      <c r="I170" s="17">
        <v>2016</v>
      </c>
      <c r="J170" s="1676"/>
      <c r="K170" s="19" t="s">
        <v>77</v>
      </c>
      <c r="L170" s="35" t="s">
        <v>581</v>
      </c>
      <c r="M170" s="2" t="s">
        <v>79</v>
      </c>
      <c r="N170" s="3" t="s">
        <v>582</v>
      </c>
      <c r="O170" s="3" t="s">
        <v>2613</v>
      </c>
      <c r="P170" s="4">
        <v>1451401.32</v>
      </c>
      <c r="Q170" s="6">
        <v>42458</v>
      </c>
      <c r="R170" s="5">
        <v>42459</v>
      </c>
      <c r="S170" s="12">
        <v>42498</v>
      </c>
      <c r="T170" s="578">
        <v>42457</v>
      </c>
      <c r="U170" s="35" t="s">
        <v>225</v>
      </c>
      <c r="V170" s="183" t="s">
        <v>449</v>
      </c>
      <c r="W170" s="777" t="s">
        <v>68</v>
      </c>
      <c r="X170" s="1618"/>
      <c r="Y170" s="138" t="s">
        <v>583</v>
      </c>
      <c r="Z170" s="9">
        <v>42453</v>
      </c>
      <c r="AA170" s="4">
        <v>1600000</v>
      </c>
      <c r="AB170" s="4"/>
      <c r="AC170" s="34"/>
      <c r="AD170" s="36" t="s">
        <v>68</v>
      </c>
      <c r="AE170" s="119" t="s">
        <v>68</v>
      </c>
      <c r="AF170" s="119" t="s">
        <v>68</v>
      </c>
      <c r="AG170" s="7" t="s">
        <v>68</v>
      </c>
      <c r="AH170" s="235" t="s">
        <v>68</v>
      </c>
      <c r="AI170" s="35" t="s">
        <v>584</v>
      </c>
      <c r="AJ170" s="1" t="s">
        <v>68</v>
      </c>
      <c r="AK170" s="5"/>
      <c r="AL170" s="1" t="s">
        <v>585</v>
      </c>
      <c r="AM170" s="5">
        <v>42531</v>
      </c>
      <c r="AN170" s="1" t="s">
        <v>83</v>
      </c>
      <c r="AO170" s="5"/>
      <c r="AP170" s="306">
        <v>145140.13</v>
      </c>
      <c r="AQ170" s="37">
        <v>0</v>
      </c>
      <c r="AR170" s="1031">
        <v>1451401.31</v>
      </c>
      <c r="AS170" s="1018"/>
      <c r="AT170" s="32">
        <v>42459</v>
      </c>
      <c r="AU170" s="12">
        <v>42497</v>
      </c>
      <c r="AV170" s="32" t="s">
        <v>68</v>
      </c>
      <c r="AW170" s="54" t="s">
        <v>68</v>
      </c>
      <c r="AX170" s="59">
        <v>42499</v>
      </c>
      <c r="AY170" s="62">
        <v>42459</v>
      </c>
      <c r="AZ170" s="62">
        <v>42498</v>
      </c>
      <c r="BA170" s="63">
        <v>42498</v>
      </c>
      <c r="BB170" s="78">
        <v>42501</v>
      </c>
      <c r="BC170" s="344"/>
      <c r="BD170" s="5">
        <v>42459</v>
      </c>
      <c r="BE170" s="5">
        <v>42498</v>
      </c>
      <c r="BF170" s="5">
        <v>42498</v>
      </c>
      <c r="BG170" s="38">
        <f>AQ170+AR170</f>
        <v>1451401.31</v>
      </c>
      <c r="BH170" s="64">
        <v>42501</v>
      </c>
      <c r="BI170" s="794" t="s">
        <v>68</v>
      </c>
      <c r="BJ170" s="795" t="s">
        <v>68</v>
      </c>
      <c r="BK170" s="795" t="s">
        <v>68</v>
      </c>
      <c r="BL170" s="794"/>
      <c r="BM170" s="794"/>
      <c r="BN170" s="794"/>
      <c r="BO170" s="794"/>
      <c r="BP170" s="794"/>
      <c r="BQ170" s="794"/>
      <c r="BR170" s="794"/>
      <c r="BS170" s="794" t="s">
        <v>68</v>
      </c>
      <c r="BT170" s="64"/>
      <c r="BU170" s="64"/>
      <c r="BV170" s="64"/>
      <c r="BW170" s="64"/>
      <c r="BX170" s="64"/>
      <c r="BY170" s="1432" t="s">
        <v>1567</v>
      </c>
      <c r="BZ170" s="649" t="s">
        <v>454</v>
      </c>
      <c r="CA170" s="563"/>
      <c r="CB170" s="563"/>
      <c r="CC170" s="563"/>
      <c r="CD170" s="563"/>
      <c r="CE170" s="563"/>
      <c r="CF170" s="563"/>
      <c r="CG170" s="563"/>
      <c r="CH170" s="13"/>
    </row>
    <row r="171" spans="2:86" customFormat="1" ht="90.75" hidden="1" customHeight="1">
      <c r="B171" s="23"/>
      <c r="C171" s="23"/>
      <c r="D171" s="23"/>
      <c r="E171" s="335" t="s">
        <v>68</v>
      </c>
      <c r="F171" s="335"/>
      <c r="G171" s="1055">
        <v>43053</v>
      </c>
      <c r="H171" s="364">
        <v>43013</v>
      </c>
      <c r="I171" s="17">
        <v>2016</v>
      </c>
      <c r="J171" s="1676"/>
      <c r="K171" s="19" t="s">
        <v>64</v>
      </c>
      <c r="L171" s="35" t="s">
        <v>586</v>
      </c>
      <c r="M171" s="2" t="s">
        <v>79</v>
      </c>
      <c r="N171" s="3" t="s">
        <v>587</v>
      </c>
      <c r="O171" s="3" t="s">
        <v>4877</v>
      </c>
      <c r="P171" s="4">
        <v>441388.12</v>
      </c>
      <c r="Q171" s="6">
        <v>42587</v>
      </c>
      <c r="R171" s="5">
        <v>42597</v>
      </c>
      <c r="S171" s="12">
        <v>42628</v>
      </c>
      <c r="T171" s="12">
        <v>42587</v>
      </c>
      <c r="U171" s="35" t="s">
        <v>588</v>
      </c>
      <c r="V171" s="19" t="s">
        <v>114</v>
      </c>
      <c r="W171" s="220" t="s">
        <v>68</v>
      </c>
      <c r="X171" s="406"/>
      <c r="Y171" s="138" t="s">
        <v>517</v>
      </c>
      <c r="Z171" s="137">
        <v>42453</v>
      </c>
      <c r="AA171" s="85">
        <v>3333333.33</v>
      </c>
      <c r="AB171" s="4"/>
      <c r="AC171" s="34"/>
      <c r="AD171" s="36" t="s">
        <v>68</v>
      </c>
      <c r="AE171" s="119" t="s">
        <v>68</v>
      </c>
      <c r="AF171" s="119" t="s">
        <v>68</v>
      </c>
      <c r="AG171" s="7" t="s">
        <v>68</v>
      </c>
      <c r="AH171" s="235" t="s">
        <v>68</v>
      </c>
      <c r="AI171" s="491" t="s">
        <v>589</v>
      </c>
      <c r="AJ171" s="1" t="s">
        <v>68</v>
      </c>
      <c r="AK171" s="5"/>
      <c r="AL171" s="1">
        <v>1789117</v>
      </c>
      <c r="AM171" s="5"/>
      <c r="AN171" s="379">
        <v>1792430</v>
      </c>
      <c r="AO171" s="5">
        <v>42824</v>
      </c>
      <c r="AP171" s="306">
        <f>44138.81+44138.81</f>
        <v>88277.62</v>
      </c>
      <c r="AQ171" s="37">
        <v>0</v>
      </c>
      <c r="AR171" s="1032">
        <v>457628.12</v>
      </c>
      <c r="AS171" s="1019"/>
      <c r="AT171" s="75">
        <v>42597</v>
      </c>
      <c r="AU171" s="12">
        <v>42628</v>
      </c>
      <c r="AV171" s="243" t="s">
        <v>68</v>
      </c>
      <c r="AW171" s="244" t="s">
        <v>68</v>
      </c>
      <c r="AX171" s="32">
        <v>42628</v>
      </c>
      <c r="AY171" s="5">
        <v>42597</v>
      </c>
      <c r="AZ171" s="5">
        <v>42628</v>
      </c>
      <c r="BA171" s="12">
        <v>42628</v>
      </c>
      <c r="BB171" s="32">
        <v>42633</v>
      </c>
      <c r="BC171" s="341"/>
      <c r="BD171" s="5">
        <v>42597</v>
      </c>
      <c r="BE171" s="5">
        <v>42628</v>
      </c>
      <c r="BF171" s="5">
        <v>42628</v>
      </c>
      <c r="BG171" s="38">
        <v>441388</v>
      </c>
      <c r="BH171" s="14"/>
      <c r="BI171" s="794" t="s">
        <v>68</v>
      </c>
      <c r="BJ171" s="795" t="s">
        <v>68</v>
      </c>
      <c r="BK171" s="795" t="s">
        <v>68</v>
      </c>
      <c r="BL171" s="794"/>
      <c r="BM171" s="794"/>
      <c r="BN171" s="794"/>
      <c r="BO171" s="794"/>
      <c r="BP171" s="794"/>
      <c r="BQ171" s="794"/>
      <c r="BR171" s="794"/>
      <c r="BS171" s="794" t="s">
        <v>68</v>
      </c>
      <c r="BT171" s="14"/>
      <c r="BU171" s="14"/>
      <c r="BV171" s="14"/>
      <c r="BW171" s="14"/>
      <c r="BX171" s="14"/>
      <c r="BY171" s="1432" t="s">
        <v>1567</v>
      </c>
      <c r="BZ171" s="649" t="s">
        <v>454</v>
      </c>
      <c r="CA171" s="563"/>
      <c r="CB171" s="563"/>
      <c r="CC171" s="563"/>
      <c r="CD171" s="563"/>
      <c r="CE171" s="563"/>
      <c r="CF171" s="563"/>
      <c r="CG171" s="563"/>
      <c r="CH171" s="13"/>
    </row>
    <row r="172" spans="2:86" customFormat="1" ht="112.5" hidden="1" customHeight="1">
      <c r="B172" s="23"/>
      <c r="C172" s="23"/>
      <c r="D172" s="23"/>
      <c r="E172" s="335" t="s">
        <v>68</v>
      </c>
      <c r="F172" s="335"/>
      <c r="G172" s="1055">
        <v>43238</v>
      </c>
      <c r="H172" s="364">
        <v>43013</v>
      </c>
      <c r="I172" s="17">
        <v>2016</v>
      </c>
      <c r="J172" s="1676"/>
      <c r="K172" s="19" t="s">
        <v>77</v>
      </c>
      <c r="L172" s="35" t="s">
        <v>590</v>
      </c>
      <c r="M172" s="2" t="s">
        <v>79</v>
      </c>
      <c r="N172" s="86" t="s">
        <v>591</v>
      </c>
      <c r="O172" s="86" t="s">
        <v>3664</v>
      </c>
      <c r="P172" s="517">
        <v>346655.86</v>
      </c>
      <c r="Q172" s="518">
        <v>42599</v>
      </c>
      <c r="R172" s="519">
        <v>42600</v>
      </c>
      <c r="S172" s="520">
        <v>42704</v>
      </c>
      <c r="T172" s="70">
        <v>42597</v>
      </c>
      <c r="U172" s="35" t="s">
        <v>592</v>
      </c>
      <c r="V172" s="19" t="s">
        <v>3087</v>
      </c>
      <c r="W172" s="777" t="s">
        <v>68</v>
      </c>
      <c r="X172" s="1618"/>
      <c r="Y172" s="138" t="s">
        <v>593</v>
      </c>
      <c r="Z172" s="80">
        <v>42591</v>
      </c>
      <c r="AA172" s="81">
        <v>346655.86</v>
      </c>
      <c r="AB172" s="4"/>
      <c r="AC172" s="34"/>
      <c r="AD172" s="36" t="s">
        <v>68</v>
      </c>
      <c r="AE172" s="119" t="s">
        <v>68</v>
      </c>
      <c r="AF172" s="119" t="s">
        <v>68</v>
      </c>
      <c r="AG172" s="7" t="s">
        <v>68</v>
      </c>
      <c r="AH172" s="235" t="s">
        <v>68</v>
      </c>
      <c r="AI172" s="380" t="s">
        <v>232</v>
      </c>
      <c r="AJ172" s="1" t="s">
        <v>68</v>
      </c>
      <c r="AK172" s="5"/>
      <c r="AL172" s="1">
        <v>2056870</v>
      </c>
      <c r="AM172" s="5">
        <v>42599</v>
      </c>
      <c r="AN172" s="1">
        <v>2056880</v>
      </c>
      <c r="AO172" s="5">
        <v>42719</v>
      </c>
      <c r="AP172" s="306">
        <f>34655.59+34665.59</f>
        <v>69321.179999999993</v>
      </c>
      <c r="AQ172" s="37">
        <v>0</v>
      </c>
      <c r="AR172" s="1038">
        <v>345714.41</v>
      </c>
      <c r="AS172" s="1025"/>
      <c r="AT172" s="68" t="s">
        <v>74</v>
      </c>
      <c r="AU172" s="12"/>
      <c r="AV172" s="32" t="s">
        <v>68</v>
      </c>
      <c r="AW172" s="54" t="s">
        <v>68</v>
      </c>
      <c r="AX172" s="381">
        <v>42719</v>
      </c>
      <c r="AY172" s="5">
        <v>42600</v>
      </c>
      <c r="AZ172" s="5">
        <v>42704</v>
      </c>
      <c r="BA172" s="12">
        <v>42719</v>
      </c>
      <c r="BB172" s="375">
        <v>42719</v>
      </c>
      <c r="BC172" s="1952"/>
      <c r="BD172" s="5">
        <v>42600</v>
      </c>
      <c r="BE172" s="5">
        <v>42704</v>
      </c>
      <c r="BF172" s="5">
        <v>42704</v>
      </c>
      <c r="BG172" s="38">
        <f t="shared" ref="BG172:BG184" si="5">AQ172+AR172</f>
        <v>345714.41</v>
      </c>
      <c r="BH172" s="64">
        <v>42720</v>
      </c>
      <c r="BI172" s="794" t="s">
        <v>68</v>
      </c>
      <c r="BJ172" s="795" t="s">
        <v>68</v>
      </c>
      <c r="BK172" s="795" t="s">
        <v>68</v>
      </c>
      <c r="BL172" s="794"/>
      <c r="BM172" s="794"/>
      <c r="BN172" s="794"/>
      <c r="BO172" s="794"/>
      <c r="BP172" s="794"/>
      <c r="BQ172" s="794"/>
      <c r="BR172" s="794"/>
      <c r="BS172" s="794" t="s">
        <v>68</v>
      </c>
      <c r="BT172" s="14"/>
      <c r="BU172" s="14"/>
      <c r="BV172" s="14"/>
      <c r="BW172" s="14"/>
      <c r="BX172" s="14"/>
      <c r="BY172" s="1432" t="s">
        <v>1567</v>
      </c>
      <c r="BZ172" s="356" t="s">
        <v>459</v>
      </c>
      <c r="CA172" s="563"/>
      <c r="CB172" s="563"/>
      <c r="CC172" s="563"/>
      <c r="CD172" s="563"/>
      <c r="CE172" s="563"/>
      <c r="CF172" s="563"/>
      <c r="CG172" s="563"/>
      <c r="CH172" s="13"/>
    </row>
    <row r="173" spans="2:86" customFormat="1" ht="112.5" hidden="1" customHeight="1">
      <c r="B173" s="23"/>
      <c r="C173" s="23"/>
      <c r="D173" s="23"/>
      <c r="E173" s="335" t="s">
        <v>68</v>
      </c>
      <c r="F173" s="335"/>
      <c r="G173" s="1055">
        <v>43238</v>
      </c>
      <c r="H173" s="364">
        <v>43013</v>
      </c>
      <c r="I173" s="17">
        <v>2016</v>
      </c>
      <c r="J173" s="1676"/>
      <c r="K173" s="19" t="s">
        <v>77</v>
      </c>
      <c r="L173" s="35" t="s">
        <v>594</v>
      </c>
      <c r="M173" s="2" t="s">
        <v>79</v>
      </c>
      <c r="N173" s="3" t="s">
        <v>595</v>
      </c>
      <c r="O173" s="3" t="s">
        <v>3664</v>
      </c>
      <c r="P173" s="4">
        <v>410268.05</v>
      </c>
      <c r="Q173" s="6">
        <v>42593</v>
      </c>
      <c r="R173" s="5">
        <v>42597</v>
      </c>
      <c r="S173" s="12">
        <v>42704</v>
      </c>
      <c r="T173" s="70">
        <v>42592</v>
      </c>
      <c r="U173" s="35" t="s">
        <v>592</v>
      </c>
      <c r="V173" s="19" t="s">
        <v>3087</v>
      </c>
      <c r="W173" s="777" t="s">
        <v>68</v>
      </c>
      <c r="X173" s="1618"/>
      <c r="Y173" s="138" t="s">
        <v>593</v>
      </c>
      <c r="Z173" s="80">
        <v>42591</v>
      </c>
      <c r="AA173" s="85">
        <v>410268.05</v>
      </c>
      <c r="AB173" s="4"/>
      <c r="AC173" s="34"/>
      <c r="AD173" s="36" t="s">
        <v>68</v>
      </c>
      <c r="AE173" s="119" t="s">
        <v>68</v>
      </c>
      <c r="AF173" s="119" t="s">
        <v>68</v>
      </c>
      <c r="AG173" s="7" t="s">
        <v>68</v>
      </c>
      <c r="AH173" s="235" t="s">
        <v>68</v>
      </c>
      <c r="AI173" s="380" t="s">
        <v>232</v>
      </c>
      <c r="AJ173" s="1" t="s">
        <v>68</v>
      </c>
      <c r="AK173" s="5"/>
      <c r="AL173" s="1">
        <v>2056846</v>
      </c>
      <c r="AM173" s="5">
        <v>42593</v>
      </c>
      <c r="AN173" s="1">
        <v>2056849</v>
      </c>
      <c r="AO173" s="5">
        <v>43084</v>
      </c>
      <c r="AP173" s="306">
        <f>41026.8+41026.8</f>
        <v>82053.600000000006</v>
      </c>
      <c r="AQ173" s="37">
        <v>0</v>
      </c>
      <c r="AR173" s="1038">
        <v>408611.97</v>
      </c>
      <c r="AS173" s="1025"/>
      <c r="AT173" s="68" t="s">
        <v>74</v>
      </c>
      <c r="AU173" s="12"/>
      <c r="AV173" s="32" t="s">
        <v>68</v>
      </c>
      <c r="AW173" s="54" t="s">
        <v>68</v>
      </c>
      <c r="AX173" s="381">
        <v>42719</v>
      </c>
      <c r="AY173" s="5">
        <v>42597</v>
      </c>
      <c r="AZ173" s="5">
        <v>42704</v>
      </c>
      <c r="BA173" s="12">
        <v>42719</v>
      </c>
      <c r="BB173" s="381">
        <v>42719</v>
      </c>
      <c r="BC173" s="1953"/>
      <c r="BD173" s="360">
        <v>42597</v>
      </c>
      <c r="BE173" s="360">
        <v>42704</v>
      </c>
      <c r="BF173" s="360">
        <v>42704</v>
      </c>
      <c r="BG173" s="361">
        <f t="shared" si="5"/>
        <v>408611.97</v>
      </c>
      <c r="BH173" s="64">
        <v>42720</v>
      </c>
      <c r="BI173" s="794" t="s">
        <v>68</v>
      </c>
      <c r="BJ173" s="795" t="s">
        <v>68</v>
      </c>
      <c r="BK173" s="795" t="s">
        <v>68</v>
      </c>
      <c r="BL173" s="794"/>
      <c r="BM173" s="794"/>
      <c r="BN173" s="794"/>
      <c r="BO173" s="794"/>
      <c r="BP173" s="794"/>
      <c r="BQ173" s="794"/>
      <c r="BR173" s="794"/>
      <c r="BS173" s="794" t="s">
        <v>68</v>
      </c>
      <c r="BT173" s="14"/>
      <c r="BU173" s="14"/>
      <c r="BV173" s="14"/>
      <c r="BW173" s="14"/>
      <c r="BX173" s="14"/>
      <c r="BY173" s="1432" t="s">
        <v>1567</v>
      </c>
      <c r="BZ173" s="356" t="s">
        <v>459</v>
      </c>
      <c r="CA173" s="563"/>
      <c r="CB173" s="563"/>
      <c r="CC173" s="563"/>
      <c r="CD173" s="563"/>
      <c r="CE173" s="563"/>
      <c r="CF173" s="563"/>
      <c r="CG173" s="563"/>
      <c r="CH173" s="13"/>
    </row>
    <row r="174" spans="2:86" customFormat="1" ht="114.75" hidden="1" customHeight="1">
      <c r="B174" s="23"/>
      <c r="C174" s="23"/>
      <c r="D174" s="23"/>
      <c r="E174" s="335" t="s">
        <v>68</v>
      </c>
      <c r="F174" s="335"/>
      <c r="G174" s="1055">
        <v>42877</v>
      </c>
      <c r="H174" s="364">
        <v>43013</v>
      </c>
      <c r="I174" s="588">
        <v>-2015</v>
      </c>
      <c r="J174" s="1680"/>
      <c r="K174" s="19" t="s">
        <v>77</v>
      </c>
      <c r="L174" s="20" t="s">
        <v>596</v>
      </c>
      <c r="M174" s="2" t="s">
        <v>79</v>
      </c>
      <c r="N174" s="3" t="s">
        <v>597</v>
      </c>
      <c r="O174" s="3" t="s">
        <v>1979</v>
      </c>
      <c r="P174" s="4">
        <v>369433.07</v>
      </c>
      <c r="Q174" s="6">
        <v>42597</v>
      </c>
      <c r="R174" s="5">
        <v>42600</v>
      </c>
      <c r="S174" s="12">
        <v>42704</v>
      </c>
      <c r="T174" s="70">
        <v>42597</v>
      </c>
      <c r="U174" s="191" t="s">
        <v>476</v>
      </c>
      <c r="V174" s="19" t="s">
        <v>3087</v>
      </c>
      <c r="W174" s="777" t="s">
        <v>68</v>
      </c>
      <c r="X174" s="1618"/>
      <c r="Y174" s="138" t="s">
        <v>598</v>
      </c>
      <c r="Z174" s="137">
        <v>42307</v>
      </c>
      <c r="AA174" s="85">
        <v>513598.8</v>
      </c>
      <c r="AB174" s="4"/>
      <c r="AC174" s="34"/>
      <c r="AD174" s="36" t="s">
        <v>68</v>
      </c>
      <c r="AE174" s="119" t="s">
        <v>68</v>
      </c>
      <c r="AF174" s="119" t="s">
        <v>68</v>
      </c>
      <c r="AG174" s="7" t="s">
        <v>68</v>
      </c>
      <c r="AH174" s="235" t="s">
        <v>68</v>
      </c>
      <c r="AI174" s="699" t="s">
        <v>266</v>
      </c>
      <c r="AJ174" s="1" t="s">
        <v>68</v>
      </c>
      <c r="AK174" s="5"/>
      <c r="AL174" s="239"/>
      <c r="AM174" s="521"/>
      <c r="AN174" s="1" t="s">
        <v>599</v>
      </c>
      <c r="AO174" s="5">
        <v>42705</v>
      </c>
      <c r="AP174" s="306">
        <f>36601.06</f>
        <v>36601.06</v>
      </c>
      <c r="AQ174" s="37">
        <v>0</v>
      </c>
      <c r="AR174" s="1032">
        <v>367595.09</v>
      </c>
      <c r="AS174" s="1019"/>
      <c r="AT174" s="68" t="s">
        <v>74</v>
      </c>
      <c r="AU174" s="12"/>
      <c r="AV174" s="32" t="s">
        <v>68</v>
      </c>
      <c r="AW174" s="54" t="s">
        <v>68</v>
      </c>
      <c r="AX174" s="70">
        <v>42672</v>
      </c>
      <c r="AY174" s="5">
        <v>42600</v>
      </c>
      <c r="AZ174" s="5">
        <v>42704</v>
      </c>
      <c r="BA174" s="18"/>
      <c r="BB174" s="70">
        <v>42672</v>
      </c>
      <c r="BC174" s="378"/>
      <c r="BD174" s="5">
        <v>42600</v>
      </c>
      <c r="BE174" s="5">
        <v>42704</v>
      </c>
      <c r="BF174" s="5">
        <v>42672</v>
      </c>
      <c r="BG174" s="38">
        <f t="shared" si="5"/>
        <v>367595.09</v>
      </c>
      <c r="BH174" s="14"/>
      <c r="BI174" s="794" t="s">
        <v>68</v>
      </c>
      <c r="BJ174" s="795" t="s">
        <v>68</v>
      </c>
      <c r="BK174" s="795" t="s">
        <v>68</v>
      </c>
      <c r="BL174" s="794"/>
      <c r="BM174" s="794"/>
      <c r="BN174" s="794"/>
      <c r="BO174" s="794"/>
      <c r="BP174" s="794"/>
      <c r="BQ174" s="794"/>
      <c r="BR174" s="794"/>
      <c r="BS174" s="794" t="s">
        <v>68</v>
      </c>
      <c r="BT174" s="14"/>
      <c r="BU174" s="14"/>
      <c r="BV174" s="14"/>
      <c r="BW174" s="14"/>
      <c r="BX174" s="14"/>
      <c r="BY174" s="1432" t="s">
        <v>1567</v>
      </c>
      <c r="BZ174" s="356" t="s">
        <v>459</v>
      </c>
      <c r="CA174" s="563"/>
      <c r="CB174" s="563"/>
      <c r="CC174" s="563"/>
      <c r="CD174" s="563"/>
      <c r="CE174" s="563"/>
      <c r="CF174" s="563"/>
      <c r="CG174" s="563"/>
      <c r="CH174" s="13"/>
    </row>
    <row r="175" spans="2:86" customFormat="1" ht="105.75" hidden="1" customHeight="1">
      <c r="B175" s="23"/>
      <c r="C175" s="23"/>
      <c r="D175" s="23"/>
      <c r="E175" s="335" t="s">
        <v>68</v>
      </c>
      <c r="F175" s="335"/>
      <c r="G175" s="1055">
        <v>43126</v>
      </c>
      <c r="H175" s="364">
        <v>43013</v>
      </c>
      <c r="I175" s="588">
        <v>-2015</v>
      </c>
      <c r="J175" s="1680"/>
      <c r="K175" s="19" t="s">
        <v>77</v>
      </c>
      <c r="L175" s="20" t="s">
        <v>600</v>
      </c>
      <c r="M175" s="2" t="s">
        <v>79</v>
      </c>
      <c r="N175" s="3" t="s">
        <v>601</v>
      </c>
      <c r="O175" s="3" t="s">
        <v>1979</v>
      </c>
      <c r="P175" s="4">
        <v>369433.09</v>
      </c>
      <c r="Q175" s="6">
        <v>42592</v>
      </c>
      <c r="R175" s="5">
        <v>42593</v>
      </c>
      <c r="S175" s="12">
        <v>42704</v>
      </c>
      <c r="T175" s="70">
        <v>42592</v>
      </c>
      <c r="U175" s="191" t="s">
        <v>476</v>
      </c>
      <c r="V175" s="19" t="s">
        <v>3087</v>
      </c>
      <c r="W175" s="777" t="s">
        <v>68</v>
      </c>
      <c r="X175" s="1618"/>
      <c r="Y175" s="138" t="s">
        <v>598</v>
      </c>
      <c r="Z175" s="137">
        <v>42307</v>
      </c>
      <c r="AA175" s="85">
        <v>513598.8</v>
      </c>
      <c r="AB175" s="4"/>
      <c r="AC175" s="34"/>
      <c r="AD175" s="36" t="s">
        <v>68</v>
      </c>
      <c r="AE175" s="119" t="s">
        <v>68</v>
      </c>
      <c r="AF175" s="119" t="s">
        <v>68</v>
      </c>
      <c r="AG175" s="7" t="s">
        <v>68</v>
      </c>
      <c r="AH175" s="235" t="s">
        <v>68</v>
      </c>
      <c r="AI175" s="699" t="s">
        <v>266</v>
      </c>
      <c r="AJ175" s="1" t="s">
        <v>68</v>
      </c>
      <c r="AK175" s="5"/>
      <c r="AL175" s="239"/>
      <c r="AM175" s="521"/>
      <c r="AN175" s="1" t="s">
        <v>602</v>
      </c>
      <c r="AO175" s="5">
        <v>42705</v>
      </c>
      <c r="AP175" s="306">
        <f>36952.17</f>
        <v>36952.17</v>
      </c>
      <c r="AQ175" s="37">
        <v>0</v>
      </c>
      <c r="AR175" s="1032">
        <v>367595.1</v>
      </c>
      <c r="AS175" s="1019"/>
      <c r="AT175" s="68" t="s">
        <v>74</v>
      </c>
      <c r="AU175" s="12"/>
      <c r="AV175" s="32" t="s">
        <v>68</v>
      </c>
      <c r="AW175" s="54" t="s">
        <v>68</v>
      </c>
      <c r="AX175" s="382">
        <v>42664</v>
      </c>
      <c r="AY175" s="5">
        <v>42593</v>
      </c>
      <c r="AZ175" s="5">
        <v>42704</v>
      </c>
      <c r="BA175" s="18"/>
      <c r="BB175" s="382">
        <v>42664</v>
      </c>
      <c r="BC175" s="1479"/>
      <c r="BD175" s="360">
        <v>42593</v>
      </c>
      <c r="BE175" s="360">
        <v>42704</v>
      </c>
      <c r="BF175" s="360">
        <v>42664</v>
      </c>
      <c r="BG175" s="361">
        <f t="shared" si="5"/>
        <v>367595.1</v>
      </c>
      <c r="BH175" s="14"/>
      <c r="BI175" s="794" t="s">
        <v>68</v>
      </c>
      <c r="BJ175" s="795" t="s">
        <v>68</v>
      </c>
      <c r="BK175" s="795" t="s">
        <v>68</v>
      </c>
      <c r="BL175" s="794"/>
      <c r="BM175" s="794"/>
      <c r="BN175" s="794"/>
      <c r="BO175" s="794"/>
      <c r="BP175" s="794"/>
      <c r="BQ175" s="794"/>
      <c r="BR175" s="794"/>
      <c r="BS175" s="794" t="s">
        <v>68</v>
      </c>
      <c r="BT175" s="14"/>
      <c r="BU175" s="14"/>
      <c r="BV175" s="14"/>
      <c r="BW175" s="14"/>
      <c r="BX175" s="14"/>
      <c r="BY175" s="1432" t="s">
        <v>1567</v>
      </c>
      <c r="BZ175" s="356" t="s">
        <v>459</v>
      </c>
      <c r="CA175" s="563"/>
      <c r="CB175" s="563"/>
      <c r="CC175" s="563"/>
      <c r="CD175" s="563"/>
      <c r="CE175" s="563"/>
      <c r="CF175" s="563"/>
      <c r="CG175" s="563"/>
      <c r="CH175" s="13"/>
    </row>
    <row r="176" spans="2:86" customFormat="1" ht="93.75" hidden="1" customHeight="1">
      <c r="B176" s="23"/>
      <c r="C176" s="23"/>
      <c r="D176" s="23"/>
      <c r="E176" s="335" t="s">
        <v>68</v>
      </c>
      <c r="F176" s="335"/>
      <c r="G176" s="1055">
        <v>43126</v>
      </c>
      <c r="H176" s="364">
        <v>42887</v>
      </c>
      <c r="I176" s="17">
        <v>2016</v>
      </c>
      <c r="J176" s="1676"/>
      <c r="K176" s="19" t="s">
        <v>77</v>
      </c>
      <c r="L176" s="35" t="s">
        <v>603</v>
      </c>
      <c r="M176" s="2" t="s">
        <v>79</v>
      </c>
      <c r="N176" s="86" t="s">
        <v>604</v>
      </c>
      <c r="O176" s="86" t="s">
        <v>1979</v>
      </c>
      <c r="P176" s="4">
        <v>205079.87</v>
      </c>
      <c r="Q176" s="6">
        <v>42618</v>
      </c>
      <c r="R176" s="5">
        <v>42625</v>
      </c>
      <c r="S176" s="12">
        <v>42704</v>
      </c>
      <c r="T176" s="70">
        <v>42618</v>
      </c>
      <c r="U176" s="191" t="s">
        <v>476</v>
      </c>
      <c r="V176" s="19" t="s">
        <v>3087</v>
      </c>
      <c r="W176" s="777" t="s">
        <v>68</v>
      </c>
      <c r="X176" s="1618"/>
      <c r="Y176" s="138" t="s">
        <v>593</v>
      </c>
      <c r="Z176" s="137">
        <v>42591</v>
      </c>
      <c r="AA176" s="85">
        <v>205079.87</v>
      </c>
      <c r="AB176" s="4"/>
      <c r="AC176" s="34"/>
      <c r="AD176" s="36" t="s">
        <v>68</v>
      </c>
      <c r="AE176" s="119" t="s">
        <v>68</v>
      </c>
      <c r="AF176" s="119" t="s">
        <v>68</v>
      </c>
      <c r="AG176" s="7" t="s">
        <v>68</v>
      </c>
      <c r="AH176" s="235" t="s">
        <v>68</v>
      </c>
      <c r="AI176" s="699" t="s">
        <v>266</v>
      </c>
      <c r="AJ176" s="1" t="s">
        <v>68</v>
      </c>
      <c r="AK176" s="5"/>
      <c r="AL176" s="239"/>
      <c r="AM176" s="521"/>
      <c r="AN176" s="1" t="s">
        <v>605</v>
      </c>
      <c r="AO176" s="62">
        <v>43070</v>
      </c>
      <c r="AP176" s="306">
        <f>20303.93</f>
        <v>20303.93</v>
      </c>
      <c r="AQ176" s="37">
        <v>0</v>
      </c>
      <c r="AR176" s="1032">
        <v>101409.74</v>
      </c>
      <c r="AS176" s="1019"/>
      <c r="AT176" s="68" t="s">
        <v>74</v>
      </c>
      <c r="AU176" s="12"/>
      <c r="AV176" s="32" t="s">
        <v>68</v>
      </c>
      <c r="AW176" s="54" t="s">
        <v>68</v>
      </c>
      <c r="AX176" s="359">
        <v>42698</v>
      </c>
      <c r="AY176" s="5">
        <v>42625</v>
      </c>
      <c r="AZ176" s="5">
        <v>42704</v>
      </c>
      <c r="BA176" s="18"/>
      <c r="BB176" s="625">
        <v>42698</v>
      </c>
      <c r="BC176" s="1954"/>
      <c r="BD176" s="360">
        <v>42625</v>
      </c>
      <c r="BE176" s="360">
        <v>42704</v>
      </c>
      <c r="BF176" s="360">
        <v>42698</v>
      </c>
      <c r="BG176" s="361">
        <f t="shared" si="5"/>
        <v>101409.74</v>
      </c>
      <c r="BH176" s="14"/>
      <c r="BI176" s="794" t="s">
        <v>68</v>
      </c>
      <c r="BJ176" s="795" t="s">
        <v>68</v>
      </c>
      <c r="BK176" s="795" t="s">
        <v>68</v>
      </c>
      <c r="BL176" s="794"/>
      <c r="BM176" s="794"/>
      <c r="BN176" s="794"/>
      <c r="BO176" s="794"/>
      <c r="BP176" s="794"/>
      <c r="BQ176" s="794"/>
      <c r="BR176" s="794"/>
      <c r="BS176" s="794" t="s">
        <v>68</v>
      </c>
      <c r="BT176" s="14"/>
      <c r="BU176" s="14"/>
      <c r="BV176" s="14"/>
      <c r="BW176" s="14"/>
      <c r="BX176" s="14"/>
      <c r="BY176" s="1432" t="s">
        <v>1567</v>
      </c>
      <c r="BZ176" s="356" t="s">
        <v>459</v>
      </c>
      <c r="CA176" s="563"/>
      <c r="CB176" s="563"/>
      <c r="CC176" s="563"/>
      <c r="CD176" s="563"/>
      <c r="CE176" s="563"/>
      <c r="CF176" s="563"/>
      <c r="CG176" s="563"/>
      <c r="CH176" s="13"/>
    </row>
    <row r="177" spans="1:86" ht="90.75" hidden="1" customHeight="1">
      <c r="A177"/>
      <c r="B177" s="23"/>
      <c r="C177" s="23"/>
      <c r="D177" s="23"/>
      <c r="E177" s="335" t="s">
        <v>68</v>
      </c>
      <c r="F177" s="335"/>
      <c r="G177" s="1055">
        <v>43126</v>
      </c>
      <c r="H177" s="364">
        <v>42887</v>
      </c>
      <c r="I177" s="17">
        <v>2016</v>
      </c>
      <c r="J177" s="1676"/>
      <c r="K177" s="19" t="s">
        <v>77</v>
      </c>
      <c r="L177" s="35" t="s">
        <v>606</v>
      </c>
      <c r="M177" s="2" t="s">
        <v>79</v>
      </c>
      <c r="N177" s="86" t="s">
        <v>607</v>
      </c>
      <c r="O177" s="86" t="s">
        <v>1979</v>
      </c>
      <c r="P177" s="4">
        <v>187923.95</v>
      </c>
      <c r="Q177" s="6">
        <v>42618</v>
      </c>
      <c r="R177" s="5">
        <v>42625</v>
      </c>
      <c r="S177" s="12">
        <v>42704</v>
      </c>
      <c r="T177" s="70">
        <v>41157</v>
      </c>
      <c r="U177" s="191" t="s">
        <v>476</v>
      </c>
      <c r="V177" s="19" t="s">
        <v>3087</v>
      </c>
      <c r="W177" s="777" t="s">
        <v>68</v>
      </c>
      <c r="X177" s="1618"/>
      <c r="Y177" s="138" t="s">
        <v>593</v>
      </c>
      <c r="Z177" s="137">
        <v>42591</v>
      </c>
      <c r="AA177" s="85">
        <v>187923.96</v>
      </c>
      <c r="AB177" s="4"/>
      <c r="AC177" s="34"/>
      <c r="AD177" s="36" t="s">
        <v>68</v>
      </c>
      <c r="AE177" s="119" t="s">
        <v>68</v>
      </c>
      <c r="AF177" s="119" t="s">
        <v>68</v>
      </c>
      <c r="AG177" s="7" t="s">
        <v>68</v>
      </c>
      <c r="AH177" s="235" t="s">
        <v>68</v>
      </c>
      <c r="AI177" s="699" t="s">
        <v>266</v>
      </c>
      <c r="AJ177" s="1" t="s">
        <v>68</v>
      </c>
      <c r="AK177" s="5"/>
      <c r="AL177" s="239"/>
      <c r="AM177" s="521"/>
      <c r="AN177" s="1" t="s">
        <v>608</v>
      </c>
      <c r="AO177" s="5">
        <v>42705</v>
      </c>
      <c r="AP177" s="306">
        <f>18792.37</f>
        <v>18792.37</v>
      </c>
      <c r="AQ177" s="37"/>
      <c r="AR177" s="1032">
        <v>93627.95</v>
      </c>
      <c r="AS177" s="1019"/>
      <c r="AT177" s="68" t="s">
        <v>74</v>
      </c>
      <c r="AU177" s="12"/>
      <c r="AV177" s="32" t="s">
        <v>68</v>
      </c>
      <c r="AW177" s="54" t="s">
        <v>68</v>
      </c>
      <c r="AX177" s="359">
        <v>42698</v>
      </c>
      <c r="AY177" s="5">
        <v>42625</v>
      </c>
      <c r="AZ177" s="5">
        <v>42704</v>
      </c>
      <c r="BA177" s="18"/>
      <c r="BB177" s="359">
        <v>42698</v>
      </c>
      <c r="BC177" s="1951"/>
      <c r="BD177" s="360">
        <v>42625</v>
      </c>
      <c r="BE177" s="360">
        <v>42704</v>
      </c>
      <c r="BF177" s="360">
        <v>42698</v>
      </c>
      <c r="BG177" s="361">
        <f t="shared" si="5"/>
        <v>93627.95</v>
      </c>
      <c r="BH177" s="14"/>
      <c r="BI177" s="794" t="s">
        <v>68</v>
      </c>
      <c r="BJ177" s="795" t="s">
        <v>68</v>
      </c>
      <c r="BK177" s="795" t="s">
        <v>68</v>
      </c>
      <c r="BL177" s="794"/>
      <c r="BM177" s="794"/>
      <c r="BN177" s="794"/>
      <c r="BO177" s="794"/>
      <c r="BP177" s="794"/>
      <c r="BQ177" s="794"/>
      <c r="BR177" s="794"/>
      <c r="BS177" s="794" t="s">
        <v>68</v>
      </c>
      <c r="BT177" s="14"/>
      <c r="BU177" s="14"/>
      <c r="BV177" s="14"/>
      <c r="BW177" s="14"/>
      <c r="BX177" s="14"/>
      <c r="BY177" s="1432" t="s">
        <v>1567</v>
      </c>
      <c r="BZ177" s="356" t="s">
        <v>459</v>
      </c>
      <c r="CA177" s="563"/>
      <c r="CB177" s="563"/>
      <c r="CC177" s="563"/>
      <c r="CD177" s="563"/>
      <c r="CE177" s="563"/>
      <c r="CF177" s="563"/>
      <c r="CG177" s="563"/>
      <c r="CH177" s="13"/>
    </row>
    <row r="178" spans="1:86" ht="77.25" hidden="1" customHeight="1">
      <c r="A178"/>
      <c r="B178" s="23"/>
      <c r="C178" s="23"/>
      <c r="D178" s="23"/>
      <c r="E178" s="335" t="s">
        <v>68</v>
      </c>
      <c r="F178" s="335"/>
      <c r="G178" s="1055">
        <v>43126</v>
      </c>
      <c r="H178" s="364">
        <v>42887</v>
      </c>
      <c r="I178" s="17">
        <v>2016</v>
      </c>
      <c r="J178" s="1676"/>
      <c r="K178" s="19" t="s">
        <v>77</v>
      </c>
      <c r="L178" s="35" t="s">
        <v>609</v>
      </c>
      <c r="M178" s="2" t="s">
        <v>79</v>
      </c>
      <c r="N178" s="86" t="s">
        <v>610</v>
      </c>
      <c r="O178" s="86" t="s">
        <v>1979</v>
      </c>
      <c r="P178" s="4">
        <v>583370.43999999994</v>
      </c>
      <c r="Q178" s="6">
        <v>42632</v>
      </c>
      <c r="R178" s="5">
        <v>42635</v>
      </c>
      <c r="S178" s="12">
        <v>42704</v>
      </c>
      <c r="T178" s="70">
        <v>42632</v>
      </c>
      <c r="U178" s="35" t="s">
        <v>611</v>
      </c>
      <c r="V178" s="19" t="s">
        <v>3087</v>
      </c>
      <c r="W178" s="70">
        <v>42630</v>
      </c>
      <c r="X178" s="70"/>
      <c r="Y178" s="138" t="s">
        <v>593</v>
      </c>
      <c r="Z178" s="137">
        <v>42591</v>
      </c>
      <c r="AA178" s="85">
        <v>583370.43999999994</v>
      </c>
      <c r="AB178" s="4"/>
      <c r="AC178" s="34"/>
      <c r="AD178" s="36" t="s">
        <v>68</v>
      </c>
      <c r="AE178" s="119" t="s">
        <v>68</v>
      </c>
      <c r="AF178" s="119" t="s">
        <v>68</v>
      </c>
      <c r="AG178" s="7" t="s">
        <v>68</v>
      </c>
      <c r="AH178" s="235" t="s">
        <v>68</v>
      </c>
      <c r="AI178" s="138" t="s">
        <v>232</v>
      </c>
      <c r="AJ178" s="1" t="s">
        <v>68</v>
      </c>
      <c r="AK178" s="5"/>
      <c r="AL178" s="1">
        <v>2056921</v>
      </c>
      <c r="AM178" s="5">
        <v>42634</v>
      </c>
      <c r="AN178" s="1">
        <v>2056935</v>
      </c>
      <c r="AO178" s="5">
        <v>42720</v>
      </c>
      <c r="AP178" s="306">
        <f>58337.04*2</f>
        <v>116674.08</v>
      </c>
      <c r="AQ178" s="37">
        <v>0</v>
      </c>
      <c r="AR178" s="1031">
        <v>581427.36</v>
      </c>
      <c r="AS178" s="1018"/>
      <c r="AT178" s="75">
        <v>42636</v>
      </c>
      <c r="AU178" s="12">
        <v>42719</v>
      </c>
      <c r="AV178" s="32" t="s">
        <v>68</v>
      </c>
      <c r="AW178" s="54" t="s">
        <v>68</v>
      </c>
      <c r="AX178" s="359">
        <v>42720</v>
      </c>
      <c r="AY178" s="5">
        <v>42635</v>
      </c>
      <c r="AZ178" s="5">
        <v>42704</v>
      </c>
      <c r="BA178" s="12">
        <v>42720</v>
      </c>
      <c r="BB178" s="625">
        <v>42720</v>
      </c>
      <c r="BC178" s="1954"/>
      <c r="BD178" s="360">
        <v>42635</v>
      </c>
      <c r="BE178" s="360">
        <v>42704</v>
      </c>
      <c r="BF178" s="360">
        <v>42720</v>
      </c>
      <c r="BG178" s="361">
        <f t="shared" si="5"/>
        <v>581427.36</v>
      </c>
      <c r="BH178" s="223">
        <v>42720</v>
      </c>
      <c r="BI178" s="794" t="s">
        <v>68</v>
      </c>
      <c r="BJ178" s="795" t="s">
        <v>68</v>
      </c>
      <c r="BK178" s="795" t="s">
        <v>68</v>
      </c>
      <c r="BL178" s="794"/>
      <c r="BM178" s="794"/>
      <c r="BN178" s="794"/>
      <c r="BO178" s="794"/>
      <c r="BP178" s="794"/>
      <c r="BQ178" s="794"/>
      <c r="BR178" s="794"/>
      <c r="BS178" s="794" t="s">
        <v>68</v>
      </c>
      <c r="BT178" s="14"/>
      <c r="BU178" s="14"/>
      <c r="BV178" s="14"/>
      <c r="BW178" s="14"/>
      <c r="BX178" s="14"/>
      <c r="BY178" s="1432" t="s">
        <v>1567</v>
      </c>
      <c r="BZ178" s="649" t="s">
        <v>454</v>
      </c>
      <c r="CA178" s="563"/>
      <c r="CB178" s="563"/>
      <c r="CC178" s="563"/>
      <c r="CD178" s="563"/>
      <c r="CE178" s="563"/>
      <c r="CF178" s="563"/>
      <c r="CG178" s="563"/>
      <c r="CH178" s="13"/>
    </row>
    <row r="179" spans="1:86" ht="73.5" hidden="1" customHeight="1">
      <c r="A179"/>
      <c r="B179" s="23"/>
      <c r="C179" s="23"/>
      <c r="D179" s="23"/>
      <c r="E179" s="335" t="s">
        <v>68</v>
      </c>
      <c r="F179" s="335"/>
      <c r="G179" s="1055">
        <v>43332</v>
      </c>
      <c r="H179" s="364">
        <v>42887</v>
      </c>
      <c r="I179" s="17">
        <v>2016</v>
      </c>
      <c r="J179" s="1676"/>
      <c r="K179" s="19" t="s">
        <v>77</v>
      </c>
      <c r="L179" s="35" t="s">
        <v>612</v>
      </c>
      <c r="M179" s="2" t="s">
        <v>79</v>
      </c>
      <c r="N179" s="86" t="s">
        <v>613</v>
      </c>
      <c r="O179" s="86" t="s">
        <v>1979</v>
      </c>
      <c r="P179" s="4">
        <v>490205.03</v>
      </c>
      <c r="Q179" s="6">
        <v>42632</v>
      </c>
      <c r="R179" s="5">
        <v>42635</v>
      </c>
      <c r="S179" s="12">
        <v>42704</v>
      </c>
      <c r="T179" s="70">
        <v>42632</v>
      </c>
      <c r="U179" s="35" t="s">
        <v>611</v>
      </c>
      <c r="V179" s="19" t="s">
        <v>3087</v>
      </c>
      <c r="W179" s="70">
        <v>42630</v>
      </c>
      <c r="X179" s="70"/>
      <c r="Y179" s="138" t="s">
        <v>593</v>
      </c>
      <c r="Z179" s="137">
        <v>42591</v>
      </c>
      <c r="AA179" s="85">
        <v>490205.03</v>
      </c>
      <c r="AB179" s="4"/>
      <c r="AC179" s="34"/>
      <c r="AD179" s="36" t="s">
        <v>68</v>
      </c>
      <c r="AE179" s="119" t="s">
        <v>68</v>
      </c>
      <c r="AF179" s="119" t="s">
        <v>68</v>
      </c>
      <c r="AG179" s="7" t="s">
        <v>68</v>
      </c>
      <c r="AH179" s="235" t="s">
        <v>68</v>
      </c>
      <c r="AI179" s="138" t="s">
        <v>232</v>
      </c>
      <c r="AJ179" s="1" t="s">
        <v>68</v>
      </c>
      <c r="AK179" s="5"/>
      <c r="AL179" s="1">
        <v>2056910</v>
      </c>
      <c r="AM179" s="5">
        <v>42634</v>
      </c>
      <c r="AN179" s="1">
        <v>2056914</v>
      </c>
      <c r="AO179" s="5">
        <v>42720</v>
      </c>
      <c r="AP179" s="306">
        <f>49020.5+49020.5</f>
        <v>98041</v>
      </c>
      <c r="AQ179" s="37">
        <v>0</v>
      </c>
      <c r="AR179" s="1031">
        <v>490205.02</v>
      </c>
      <c r="AS179" s="1018"/>
      <c r="AT179" s="75">
        <v>42636</v>
      </c>
      <c r="AU179" s="12">
        <v>42719</v>
      </c>
      <c r="AV179" s="32" t="s">
        <v>68</v>
      </c>
      <c r="AW179" s="54" t="s">
        <v>68</v>
      </c>
      <c r="AX179" s="359">
        <v>42720</v>
      </c>
      <c r="AY179" s="5">
        <v>42604</v>
      </c>
      <c r="AZ179" s="5">
        <v>42704</v>
      </c>
      <c r="BA179" s="5">
        <v>42720</v>
      </c>
      <c r="BB179" s="359">
        <v>42720</v>
      </c>
      <c r="BC179" s="1951"/>
      <c r="BD179" s="360">
        <v>42635</v>
      </c>
      <c r="BE179" s="360">
        <v>42704</v>
      </c>
      <c r="BF179" s="360">
        <v>42720</v>
      </c>
      <c r="BG179" s="361">
        <f t="shared" si="5"/>
        <v>490205.02</v>
      </c>
      <c r="BH179" s="64">
        <v>42720</v>
      </c>
      <c r="BI179" s="794" t="s">
        <v>68</v>
      </c>
      <c r="BJ179" s="795" t="s">
        <v>68</v>
      </c>
      <c r="BK179" s="795" t="s">
        <v>68</v>
      </c>
      <c r="BL179" s="794"/>
      <c r="BM179" s="794"/>
      <c r="BN179" s="794"/>
      <c r="BO179" s="794"/>
      <c r="BP179" s="794"/>
      <c r="BQ179" s="794"/>
      <c r="BR179" s="794"/>
      <c r="BS179" s="794" t="s">
        <v>68</v>
      </c>
      <c r="BT179" s="14"/>
      <c r="BU179" s="14"/>
      <c r="BV179" s="14"/>
      <c r="BW179" s="14"/>
      <c r="BX179" s="14"/>
      <c r="BY179" s="1432" t="s">
        <v>1567</v>
      </c>
      <c r="BZ179" s="649" t="s">
        <v>454</v>
      </c>
      <c r="CA179" s="563"/>
      <c r="CB179" s="563"/>
      <c r="CC179" s="563"/>
      <c r="CD179" s="563"/>
      <c r="CE179" s="563"/>
      <c r="CF179" s="563"/>
      <c r="CG179" s="563"/>
      <c r="CH179" s="13"/>
    </row>
    <row r="180" spans="1:86" ht="90.75" hidden="1" customHeight="1">
      <c r="A180"/>
      <c r="B180" s="23"/>
      <c r="C180" s="23"/>
      <c r="D180" s="23"/>
      <c r="E180" s="335" t="s">
        <v>68</v>
      </c>
      <c r="F180" s="335"/>
      <c r="G180" s="1055">
        <v>42870</v>
      </c>
      <c r="H180" s="490">
        <v>43013</v>
      </c>
      <c r="I180" s="17">
        <v>2016</v>
      </c>
      <c r="J180" s="1676"/>
      <c r="K180" s="19" t="s">
        <v>554</v>
      </c>
      <c r="L180" s="20" t="s">
        <v>614</v>
      </c>
      <c r="M180" s="2" t="s">
        <v>615</v>
      </c>
      <c r="N180" s="86" t="s">
        <v>616</v>
      </c>
      <c r="O180" s="86"/>
      <c r="P180" s="4">
        <v>3930732.57</v>
      </c>
      <c r="Q180" s="6">
        <v>42633</v>
      </c>
      <c r="R180" s="5">
        <v>42634</v>
      </c>
      <c r="S180" s="12">
        <v>42719</v>
      </c>
      <c r="T180" s="14" t="s">
        <v>68</v>
      </c>
      <c r="U180" s="35" t="s">
        <v>617</v>
      </c>
      <c r="V180" s="183" t="s">
        <v>449</v>
      </c>
      <c r="W180" s="220" t="s">
        <v>68</v>
      </c>
      <c r="X180" s="406"/>
      <c r="Y180" s="20" t="s">
        <v>557</v>
      </c>
      <c r="Z180" s="9">
        <v>42976</v>
      </c>
      <c r="AA180" s="4">
        <v>4000000</v>
      </c>
      <c r="AB180" s="4"/>
      <c r="AC180" s="34"/>
      <c r="AD180" s="36">
        <v>42619</v>
      </c>
      <c r="AE180" s="119">
        <v>42621</v>
      </c>
      <c r="AF180" s="7">
        <v>42621</v>
      </c>
      <c r="AG180" s="119">
        <v>42628</v>
      </c>
      <c r="AH180" s="116">
        <v>42632</v>
      </c>
      <c r="AI180" s="491" t="s">
        <v>589</v>
      </c>
      <c r="AJ180" s="1">
        <v>1741767</v>
      </c>
      <c r="AK180" s="5">
        <v>42633</v>
      </c>
      <c r="AL180" s="1">
        <v>1741772</v>
      </c>
      <c r="AM180" s="5">
        <v>42633</v>
      </c>
      <c r="AN180" s="1">
        <v>1771439</v>
      </c>
      <c r="AO180" s="5">
        <v>42726</v>
      </c>
      <c r="AP180" s="306">
        <f>982683.14+393073.26+393073.26</f>
        <v>1768829.66</v>
      </c>
      <c r="AQ180" s="37">
        <v>0</v>
      </c>
      <c r="AR180" s="1031">
        <f>982683.14+979572.74+561283.76+618396.26+600914.41+187882.23</f>
        <v>3930732.5399999996</v>
      </c>
      <c r="AS180" s="1018"/>
      <c r="AT180" s="75">
        <v>42634</v>
      </c>
      <c r="AU180" s="12">
        <v>42714</v>
      </c>
      <c r="AV180" s="243" t="s">
        <v>68</v>
      </c>
      <c r="AW180" s="244" t="s">
        <v>68</v>
      </c>
      <c r="AX180" s="359">
        <v>42730</v>
      </c>
      <c r="AY180" s="5">
        <v>42634</v>
      </c>
      <c r="AZ180" s="5">
        <v>42719</v>
      </c>
      <c r="BA180" s="12">
        <v>42714</v>
      </c>
      <c r="BB180" s="359">
        <v>42730</v>
      </c>
      <c r="BC180" s="1951"/>
      <c r="BD180" s="5">
        <v>42634</v>
      </c>
      <c r="BE180" s="5">
        <v>42719</v>
      </c>
      <c r="BF180" s="5">
        <v>42714</v>
      </c>
      <c r="BG180" s="38">
        <f t="shared" si="5"/>
        <v>3930732.5399999996</v>
      </c>
      <c r="BH180" s="14"/>
      <c r="BI180" s="794" t="s">
        <v>68</v>
      </c>
      <c r="BJ180" s="795" t="s">
        <v>68</v>
      </c>
      <c r="BK180" s="795" t="s">
        <v>68</v>
      </c>
      <c r="BL180" s="794"/>
      <c r="BM180" s="794"/>
      <c r="BN180" s="794"/>
      <c r="BO180" s="794"/>
      <c r="BP180" s="794"/>
      <c r="BQ180" s="794"/>
      <c r="BR180" s="794"/>
      <c r="BS180" s="794" t="s">
        <v>68</v>
      </c>
      <c r="BT180" s="14"/>
      <c r="BU180" s="14"/>
      <c r="BV180" s="14"/>
      <c r="BW180" s="14"/>
      <c r="BX180" s="14"/>
      <c r="BY180" s="1432" t="s">
        <v>1567</v>
      </c>
      <c r="BZ180" s="649" t="s">
        <v>454</v>
      </c>
      <c r="CA180" s="617"/>
      <c r="CB180" s="617"/>
      <c r="CC180" s="617"/>
      <c r="CD180" s="617"/>
      <c r="CE180" s="617"/>
      <c r="CF180" s="617"/>
      <c r="CG180" s="617"/>
      <c r="CH180" s="13"/>
    </row>
    <row r="181" spans="1:86" ht="57" hidden="1" customHeight="1">
      <c r="A181"/>
      <c r="B181" s="23"/>
      <c r="C181" s="23"/>
      <c r="D181" s="23"/>
      <c r="E181" s="335" t="s">
        <v>68</v>
      </c>
      <c r="F181" s="335"/>
      <c r="G181" s="1055">
        <v>43018</v>
      </c>
      <c r="H181" s="364">
        <v>42887</v>
      </c>
      <c r="I181" s="17">
        <v>2016</v>
      </c>
      <c r="J181" s="1676"/>
      <c r="K181" s="19" t="s">
        <v>77</v>
      </c>
      <c r="L181" s="35" t="s">
        <v>618</v>
      </c>
      <c r="M181" s="2" t="s">
        <v>79</v>
      </c>
      <c r="N181" s="3" t="s">
        <v>619</v>
      </c>
      <c r="O181" s="3" t="s">
        <v>3664</v>
      </c>
      <c r="P181" s="4">
        <v>352278.81</v>
      </c>
      <c r="Q181" s="6">
        <v>42650</v>
      </c>
      <c r="R181" s="5">
        <v>42653</v>
      </c>
      <c r="S181" s="12">
        <v>42734</v>
      </c>
      <c r="T181" s="12">
        <v>42650</v>
      </c>
      <c r="U181" s="35" t="s">
        <v>588</v>
      </c>
      <c r="V181" s="19" t="s">
        <v>114</v>
      </c>
      <c r="W181" s="777" t="s">
        <v>68</v>
      </c>
      <c r="X181" s="1618"/>
      <c r="Y181" s="138" t="s">
        <v>620</v>
      </c>
      <c r="Z181" s="80">
        <v>42586</v>
      </c>
      <c r="AA181" s="81">
        <v>352278.81</v>
      </c>
      <c r="AB181" s="4"/>
      <c r="AC181" s="34"/>
      <c r="AD181" s="36" t="s">
        <v>68</v>
      </c>
      <c r="AE181" s="119" t="s">
        <v>68</v>
      </c>
      <c r="AF181" s="119" t="s">
        <v>68</v>
      </c>
      <c r="AG181" s="7" t="s">
        <v>68</v>
      </c>
      <c r="AH181" s="235" t="s">
        <v>68</v>
      </c>
      <c r="AI181" s="698" t="s">
        <v>589</v>
      </c>
      <c r="AJ181" s="1" t="s">
        <v>68</v>
      </c>
      <c r="AK181" s="5"/>
      <c r="AL181" s="1">
        <v>1789113</v>
      </c>
      <c r="AM181" s="5">
        <v>42652</v>
      </c>
      <c r="AN181" s="239"/>
      <c r="AO181" s="239"/>
      <c r="AP181" s="306">
        <f>35227.88</f>
        <v>35227.879999999997</v>
      </c>
      <c r="AQ181" s="37">
        <v>0</v>
      </c>
      <c r="AR181" s="1032">
        <v>352278.84</v>
      </c>
      <c r="AS181" s="1019"/>
      <c r="AT181" s="75">
        <v>42653</v>
      </c>
      <c r="AU181" s="12">
        <v>42711</v>
      </c>
      <c r="AV181" s="32" t="s">
        <v>68</v>
      </c>
      <c r="AW181" s="54" t="s">
        <v>68</v>
      </c>
      <c r="AX181" s="75">
        <v>42716</v>
      </c>
      <c r="AY181" s="5">
        <v>42653</v>
      </c>
      <c r="AZ181" s="5">
        <v>42734</v>
      </c>
      <c r="BA181" s="12">
        <v>42714</v>
      </c>
      <c r="BB181" s="75">
        <v>42718</v>
      </c>
      <c r="BC181" s="1950"/>
      <c r="BD181" s="5">
        <v>42653</v>
      </c>
      <c r="BE181" s="5">
        <v>42734</v>
      </c>
      <c r="BF181" s="5">
        <v>42714</v>
      </c>
      <c r="BG181" s="38">
        <f t="shared" si="5"/>
        <v>352278.84</v>
      </c>
      <c r="BH181" s="14"/>
      <c r="BI181" s="794" t="s">
        <v>68</v>
      </c>
      <c r="BJ181" s="795" t="s">
        <v>68</v>
      </c>
      <c r="BK181" s="795" t="s">
        <v>68</v>
      </c>
      <c r="BL181" s="794"/>
      <c r="BM181" s="794"/>
      <c r="BN181" s="794"/>
      <c r="BO181" s="794"/>
      <c r="BP181" s="794"/>
      <c r="BQ181" s="794"/>
      <c r="BR181" s="794"/>
      <c r="BS181" s="794" t="s">
        <v>68</v>
      </c>
      <c r="BT181" s="14"/>
      <c r="BU181" s="14"/>
      <c r="BV181" s="14"/>
      <c r="BW181" s="14"/>
      <c r="BX181" s="14"/>
      <c r="BY181" s="1432" t="s">
        <v>1567</v>
      </c>
      <c r="BZ181" s="356" t="s">
        <v>459</v>
      </c>
      <c r="CA181" s="563"/>
      <c r="CB181" s="563"/>
      <c r="CC181" s="563"/>
      <c r="CD181" s="563"/>
      <c r="CE181" s="563"/>
      <c r="CF181" s="563"/>
      <c r="CG181" s="563"/>
      <c r="CH181" s="13"/>
    </row>
    <row r="182" spans="1:86" ht="60.75" hidden="1" customHeight="1">
      <c r="A182"/>
      <c r="B182" s="23"/>
      <c r="C182" s="23"/>
      <c r="D182" s="23"/>
      <c r="E182" s="335" t="s">
        <v>68</v>
      </c>
      <c r="F182" s="335"/>
      <c r="G182" s="1055">
        <v>43018</v>
      </c>
      <c r="H182" s="364">
        <v>42887</v>
      </c>
      <c r="I182" s="17">
        <v>2016</v>
      </c>
      <c r="J182" s="1676"/>
      <c r="K182" s="19" t="s">
        <v>77</v>
      </c>
      <c r="L182" s="35" t="s">
        <v>621</v>
      </c>
      <c r="M182" s="2" t="s">
        <v>79</v>
      </c>
      <c r="N182" s="3" t="s">
        <v>622</v>
      </c>
      <c r="O182" s="3" t="s">
        <v>3664</v>
      </c>
      <c r="P182" s="4">
        <v>364293.06</v>
      </c>
      <c r="Q182" s="6">
        <v>42650</v>
      </c>
      <c r="R182" s="5">
        <v>42653</v>
      </c>
      <c r="S182" s="12">
        <v>42734</v>
      </c>
      <c r="T182" s="12">
        <v>42650</v>
      </c>
      <c r="U182" s="35" t="s">
        <v>588</v>
      </c>
      <c r="V182" s="19" t="s">
        <v>114</v>
      </c>
      <c r="W182" s="777" t="s">
        <v>68</v>
      </c>
      <c r="X182" s="1618"/>
      <c r="Y182" s="138" t="s">
        <v>623</v>
      </c>
      <c r="Z182" s="137">
        <v>42586</v>
      </c>
      <c r="AA182" s="85">
        <v>364293.06</v>
      </c>
      <c r="AB182" s="4"/>
      <c r="AC182" s="34"/>
      <c r="AD182" s="36" t="s">
        <v>68</v>
      </c>
      <c r="AE182" s="119" t="s">
        <v>68</v>
      </c>
      <c r="AF182" s="119" t="s">
        <v>68</v>
      </c>
      <c r="AG182" s="7" t="s">
        <v>68</v>
      </c>
      <c r="AH182" s="235" t="s">
        <v>68</v>
      </c>
      <c r="AI182" s="375" t="s">
        <v>589</v>
      </c>
      <c r="AJ182" s="135" t="s">
        <v>68</v>
      </c>
      <c r="AK182" s="76"/>
      <c r="AL182" s="135">
        <v>1789116</v>
      </c>
      <c r="AM182" s="76">
        <v>42652</v>
      </c>
      <c r="AN182" s="135">
        <v>1793708</v>
      </c>
      <c r="AO182" s="76">
        <v>42830</v>
      </c>
      <c r="AP182" s="376">
        <f>36429.3+36429.3</f>
        <v>72858.600000000006</v>
      </c>
      <c r="AQ182" s="377">
        <v>0</v>
      </c>
      <c r="AR182" s="1039">
        <v>364293.07</v>
      </c>
      <c r="AS182" s="1026"/>
      <c r="AT182" s="75">
        <v>42653</v>
      </c>
      <c r="AU182" s="134">
        <v>42723</v>
      </c>
      <c r="AV182" s="75" t="s">
        <v>68</v>
      </c>
      <c r="AW182" s="378" t="s">
        <v>68</v>
      </c>
      <c r="AX182" s="75">
        <v>42727</v>
      </c>
      <c r="AY182" s="5">
        <v>42653</v>
      </c>
      <c r="AZ182" s="5">
        <v>42734</v>
      </c>
      <c r="BA182" s="12">
        <v>42726</v>
      </c>
      <c r="BB182" s="75">
        <v>42730</v>
      </c>
      <c r="BC182" s="1950"/>
      <c r="BD182" s="5">
        <v>42653</v>
      </c>
      <c r="BE182" s="5">
        <v>42734</v>
      </c>
      <c r="BF182" s="5">
        <v>42726</v>
      </c>
      <c r="BG182" s="38">
        <f t="shared" si="5"/>
        <v>364293.07</v>
      </c>
      <c r="BH182" s="14"/>
      <c r="BI182" s="794" t="s">
        <v>68</v>
      </c>
      <c r="BJ182" s="795" t="s">
        <v>68</v>
      </c>
      <c r="BK182" s="795" t="s">
        <v>68</v>
      </c>
      <c r="BL182" s="794"/>
      <c r="BM182" s="794"/>
      <c r="BN182" s="794"/>
      <c r="BO182" s="794"/>
      <c r="BP182" s="794"/>
      <c r="BQ182" s="794"/>
      <c r="BR182" s="794"/>
      <c r="BS182" s="794" t="s">
        <v>68</v>
      </c>
      <c r="BT182" s="14"/>
      <c r="BU182" s="14"/>
      <c r="BV182" s="14"/>
      <c r="BW182" s="14"/>
      <c r="BX182" s="14"/>
      <c r="BY182" s="1432" t="s">
        <v>1567</v>
      </c>
      <c r="BZ182" s="649" t="s">
        <v>454</v>
      </c>
      <c r="CA182" s="563"/>
      <c r="CB182" s="563"/>
      <c r="CC182" s="563"/>
      <c r="CD182" s="563"/>
      <c r="CE182" s="563"/>
      <c r="CF182" s="563"/>
      <c r="CG182" s="563"/>
      <c r="CH182" s="13"/>
    </row>
    <row r="183" spans="1:86" s="1241" customFormat="1" ht="45.75" hidden="1" customHeight="1">
      <c r="A183" s="1241" t="s">
        <v>624</v>
      </c>
      <c r="B183" s="1242"/>
      <c r="C183" s="1242"/>
      <c r="D183" s="1242"/>
      <c r="E183" s="1242"/>
      <c r="F183" s="1242"/>
      <c r="G183" s="610" t="s">
        <v>68</v>
      </c>
      <c r="H183" s="610" t="s">
        <v>68</v>
      </c>
      <c r="I183" s="588">
        <v>2016</v>
      </c>
      <c r="J183" s="1680"/>
      <c r="K183" s="1747" t="s">
        <v>163</v>
      </c>
      <c r="L183" s="955" t="s">
        <v>625</v>
      </c>
      <c r="M183" s="201" t="s">
        <v>251</v>
      </c>
      <c r="N183" s="112" t="s">
        <v>626</v>
      </c>
      <c r="O183" s="112"/>
      <c r="P183" s="1255">
        <v>2426000</v>
      </c>
      <c r="Q183" s="1746" t="s">
        <v>68</v>
      </c>
      <c r="R183" s="1262" t="s">
        <v>68</v>
      </c>
      <c r="S183" s="1268" t="s">
        <v>68</v>
      </c>
      <c r="T183" s="1273" t="s">
        <v>68</v>
      </c>
      <c r="U183" s="340" t="s">
        <v>251</v>
      </c>
      <c r="V183" s="1747" t="s">
        <v>114</v>
      </c>
      <c r="W183" s="1758" t="s">
        <v>68</v>
      </c>
      <c r="X183" s="1270"/>
      <c r="Y183" s="955" t="s">
        <v>68</v>
      </c>
      <c r="Z183" s="1254"/>
      <c r="AA183" s="1255"/>
      <c r="AB183" s="1255"/>
      <c r="AC183" s="1256"/>
      <c r="AD183" s="1257" t="s">
        <v>68</v>
      </c>
      <c r="AE183" s="1258" t="s">
        <v>68</v>
      </c>
      <c r="AF183" s="1259" t="s">
        <v>68</v>
      </c>
      <c r="AG183" s="1258" t="s">
        <v>68</v>
      </c>
      <c r="AH183" s="1260" t="s">
        <v>68</v>
      </c>
      <c r="AI183" s="340" t="s">
        <v>68</v>
      </c>
      <c r="AJ183" s="1261" t="s">
        <v>68</v>
      </c>
      <c r="AK183" s="1262"/>
      <c r="AL183" s="1261" t="s">
        <v>68</v>
      </c>
      <c r="AM183" s="1262"/>
      <c r="AN183" s="1261" t="s">
        <v>68</v>
      </c>
      <c r="AO183" s="1261"/>
      <c r="AP183" s="1263">
        <v>0</v>
      </c>
      <c r="AQ183" s="1264">
        <v>0</v>
      </c>
      <c r="AR183" s="1265">
        <v>0</v>
      </c>
      <c r="AS183" s="1266"/>
      <c r="AT183" s="1267" t="s">
        <v>68</v>
      </c>
      <c r="AU183" s="1268" t="s">
        <v>68</v>
      </c>
      <c r="AV183" s="1269" t="s">
        <v>68</v>
      </c>
      <c r="AW183" s="1761" t="s">
        <v>68</v>
      </c>
      <c r="AX183" s="955" t="s">
        <v>68</v>
      </c>
      <c r="AY183" s="1261"/>
      <c r="AZ183" s="1261"/>
      <c r="BA183" s="1271"/>
      <c r="BB183" s="1267" t="s">
        <v>68</v>
      </c>
      <c r="BC183" s="1944"/>
      <c r="BD183" s="1262"/>
      <c r="BE183" s="1262"/>
      <c r="BF183" s="1262"/>
      <c r="BG183" s="1272">
        <f t="shared" si="5"/>
        <v>0</v>
      </c>
      <c r="BH183" s="1273"/>
      <c r="BI183" s="1753" t="s">
        <v>68</v>
      </c>
      <c r="BJ183" s="1754" t="s">
        <v>68</v>
      </c>
      <c r="BK183" s="1754" t="s">
        <v>68</v>
      </c>
      <c r="BL183" s="1753"/>
      <c r="BM183" s="1753"/>
      <c r="BN183" s="1753"/>
      <c r="BO183" s="1753"/>
      <c r="BP183" s="1753"/>
      <c r="BQ183" s="1753"/>
      <c r="BR183" s="1753"/>
      <c r="BS183" s="1753" t="s">
        <v>68</v>
      </c>
      <c r="BT183" s="133" t="s">
        <v>627</v>
      </c>
      <c r="BU183" s="133"/>
      <c r="BV183" s="133"/>
      <c r="BW183" s="133"/>
      <c r="BX183" s="133"/>
      <c r="BY183" s="1760" t="s">
        <v>1567</v>
      </c>
      <c r="BZ183" s="133" t="s">
        <v>478</v>
      </c>
      <c r="CA183" s="615"/>
      <c r="CB183" s="615"/>
      <c r="CC183" s="615"/>
      <c r="CD183" s="615"/>
      <c r="CE183" s="615"/>
      <c r="CF183" s="615"/>
      <c r="CG183" s="615"/>
      <c r="CH183" s="1756"/>
    </row>
    <row r="184" spans="1:86" ht="120.75" hidden="1" customHeight="1">
      <c r="A184"/>
      <c r="B184" s="23"/>
      <c r="C184" s="23"/>
      <c r="D184" s="23"/>
      <c r="E184" s="335" t="s">
        <v>68</v>
      </c>
      <c r="F184" s="335"/>
      <c r="G184" s="1055">
        <v>43013</v>
      </c>
      <c r="H184" s="490">
        <v>43013</v>
      </c>
      <c r="I184" s="17">
        <v>2016</v>
      </c>
      <c r="J184" s="1676"/>
      <c r="K184" s="19" t="s">
        <v>554</v>
      </c>
      <c r="L184" s="20" t="s">
        <v>628</v>
      </c>
      <c r="M184" s="2" t="s">
        <v>615</v>
      </c>
      <c r="N184" s="86" t="s">
        <v>629</v>
      </c>
      <c r="O184" s="86"/>
      <c r="P184" s="4">
        <v>2439500.65</v>
      </c>
      <c r="Q184" s="6">
        <v>42683</v>
      </c>
      <c r="R184" s="5">
        <v>42685</v>
      </c>
      <c r="S184" s="12">
        <v>42735</v>
      </c>
      <c r="T184" s="14" t="s">
        <v>68</v>
      </c>
      <c r="U184" s="122" t="s">
        <v>630</v>
      </c>
      <c r="V184" s="183" t="s">
        <v>449</v>
      </c>
      <c r="W184" s="220" t="s">
        <v>68</v>
      </c>
      <c r="X184" s="406"/>
      <c r="Y184" s="20" t="s">
        <v>631</v>
      </c>
      <c r="Z184" s="9">
        <v>42611</v>
      </c>
      <c r="AA184" s="4">
        <v>6000000</v>
      </c>
      <c r="AB184" s="4"/>
      <c r="AC184" s="34"/>
      <c r="AD184" s="36">
        <v>42669</v>
      </c>
      <c r="AE184" s="116">
        <v>42671</v>
      </c>
      <c r="AF184" s="7">
        <v>42675</v>
      </c>
      <c r="AG184" s="119">
        <v>42678</v>
      </c>
      <c r="AH184" s="116">
        <v>42681</v>
      </c>
      <c r="AI184" s="35" t="s">
        <v>107</v>
      </c>
      <c r="AJ184" s="1" t="s">
        <v>632</v>
      </c>
      <c r="AK184" s="5">
        <v>42713</v>
      </c>
      <c r="AL184" s="1" t="s">
        <v>633</v>
      </c>
      <c r="AM184" s="5">
        <v>42683</v>
      </c>
      <c r="AN184" s="1" t="s">
        <v>634</v>
      </c>
      <c r="AO184" s="5">
        <v>42735</v>
      </c>
      <c r="AP184" s="306">
        <f>609875.16+243950.06+243950.06</f>
        <v>1097775.28</v>
      </c>
      <c r="AQ184" s="37">
        <v>0</v>
      </c>
      <c r="AR184" s="1031">
        <v>2439085.04</v>
      </c>
      <c r="AS184" s="1018"/>
      <c r="AT184" s="75">
        <v>42685</v>
      </c>
      <c r="AU184" s="12">
        <v>42734</v>
      </c>
      <c r="AV184" s="243" t="s">
        <v>68</v>
      </c>
      <c r="AW184" s="244" t="s">
        <v>68</v>
      </c>
      <c r="AX184" s="32">
        <v>42734</v>
      </c>
      <c r="AY184" s="5">
        <v>42685</v>
      </c>
      <c r="AZ184" s="5">
        <v>42735</v>
      </c>
      <c r="BA184" s="12">
        <v>42735</v>
      </c>
      <c r="BB184" s="32">
        <v>42740</v>
      </c>
      <c r="BC184" s="341"/>
      <c r="BD184" s="5">
        <v>42685</v>
      </c>
      <c r="BE184" s="5">
        <v>42735</v>
      </c>
      <c r="BF184" s="5">
        <v>42735</v>
      </c>
      <c r="BG184" s="38">
        <f t="shared" si="5"/>
        <v>2439085.04</v>
      </c>
      <c r="BH184" s="14"/>
      <c r="BI184" s="794" t="s">
        <v>68</v>
      </c>
      <c r="BJ184" s="795" t="s">
        <v>68</v>
      </c>
      <c r="BK184" s="795" t="s">
        <v>68</v>
      </c>
      <c r="BL184" s="794"/>
      <c r="BM184" s="794"/>
      <c r="BN184" s="794"/>
      <c r="BO184" s="794"/>
      <c r="BP184" s="794"/>
      <c r="BQ184" s="794"/>
      <c r="BR184" s="794"/>
      <c r="BS184" s="794" t="s">
        <v>68</v>
      </c>
      <c r="BT184" s="14"/>
      <c r="BU184" s="14"/>
      <c r="BV184" s="14"/>
      <c r="BW184" s="14"/>
      <c r="BX184" s="14"/>
      <c r="BY184" s="1432" t="s">
        <v>1567</v>
      </c>
      <c r="BZ184" s="649" t="s">
        <v>454</v>
      </c>
      <c r="CA184" s="563"/>
      <c r="CB184" s="563"/>
      <c r="CC184" s="563"/>
      <c r="CD184" s="563"/>
      <c r="CE184" s="563"/>
      <c r="CF184" s="563"/>
      <c r="CG184" s="563"/>
      <c r="CH184" s="13"/>
    </row>
    <row r="185" spans="1:86" ht="120" hidden="1" customHeight="1">
      <c r="A185"/>
      <c r="B185" s="23"/>
      <c r="C185" s="23"/>
      <c r="D185" s="23"/>
      <c r="E185" s="335" t="s">
        <v>68</v>
      </c>
      <c r="F185" s="335"/>
      <c r="G185" s="1055">
        <v>42881</v>
      </c>
      <c r="H185" s="490">
        <v>43013</v>
      </c>
      <c r="I185" s="17">
        <v>2016</v>
      </c>
      <c r="J185" s="1676"/>
      <c r="K185" s="19" t="s">
        <v>554</v>
      </c>
      <c r="L185" s="20" t="s">
        <v>635</v>
      </c>
      <c r="M185" s="2" t="s">
        <v>615</v>
      </c>
      <c r="N185" s="86" t="s">
        <v>636</v>
      </c>
      <c r="O185" s="86"/>
      <c r="P185" s="4">
        <v>2623234.52</v>
      </c>
      <c r="Q185" s="6">
        <v>42622</v>
      </c>
      <c r="R185" s="5">
        <v>42685</v>
      </c>
      <c r="S185" s="12">
        <v>42735</v>
      </c>
      <c r="T185" s="14" t="s">
        <v>68</v>
      </c>
      <c r="U185" s="122" t="s">
        <v>637</v>
      </c>
      <c r="V185" s="19" t="s">
        <v>477</v>
      </c>
      <c r="W185" s="220" t="s">
        <v>68</v>
      </c>
      <c r="X185" s="406"/>
      <c r="Y185" s="20" t="s">
        <v>557</v>
      </c>
      <c r="Z185" s="9">
        <v>42611</v>
      </c>
      <c r="AA185" s="4">
        <v>6000000</v>
      </c>
      <c r="AB185" s="4"/>
      <c r="AC185" s="34"/>
      <c r="AD185" s="36">
        <v>42669</v>
      </c>
      <c r="AE185" s="116">
        <v>42671</v>
      </c>
      <c r="AF185" s="7">
        <v>42675</v>
      </c>
      <c r="AG185" s="119">
        <v>42678</v>
      </c>
      <c r="AH185" s="116">
        <v>42681</v>
      </c>
      <c r="AI185" s="35" t="s">
        <v>638</v>
      </c>
      <c r="AJ185" s="1" t="s">
        <v>639</v>
      </c>
      <c r="AK185" s="5">
        <v>42692</v>
      </c>
      <c r="AL185" s="1" t="s">
        <v>640</v>
      </c>
      <c r="AM185" s="5">
        <v>42692</v>
      </c>
      <c r="AN185" s="1" t="s">
        <v>641</v>
      </c>
      <c r="AO185" s="5">
        <v>42668</v>
      </c>
      <c r="AP185" s="306">
        <f>655808.62+262323.45+262323.45</f>
        <v>1180455.52</v>
      </c>
      <c r="AQ185" s="37">
        <v>0</v>
      </c>
      <c r="AR185" s="1031">
        <v>2439189.37</v>
      </c>
      <c r="AS185" s="1018"/>
      <c r="AT185" s="75">
        <v>42688</v>
      </c>
      <c r="AU185" s="12">
        <v>42730</v>
      </c>
      <c r="AV185" s="243" t="s">
        <v>68</v>
      </c>
      <c r="AW185" s="244" t="s">
        <v>68</v>
      </c>
      <c r="AX185" s="124" t="s">
        <v>68</v>
      </c>
      <c r="AY185" s="1"/>
      <c r="AZ185" s="1"/>
      <c r="BA185" s="18"/>
      <c r="BB185" s="123">
        <v>42732</v>
      </c>
      <c r="BC185" s="221"/>
      <c r="BD185" s="5">
        <v>42685</v>
      </c>
      <c r="BE185" s="5">
        <v>42735</v>
      </c>
      <c r="BF185" s="5"/>
      <c r="BG185" s="38">
        <v>2623235.04</v>
      </c>
      <c r="BH185" s="14"/>
      <c r="BI185" s="794" t="s">
        <v>68</v>
      </c>
      <c r="BJ185" s="795" t="s">
        <v>68</v>
      </c>
      <c r="BK185" s="795" t="s">
        <v>68</v>
      </c>
      <c r="BL185" s="794"/>
      <c r="BM185" s="794"/>
      <c r="BN185" s="794"/>
      <c r="BO185" s="794"/>
      <c r="BP185" s="794"/>
      <c r="BQ185" s="794"/>
      <c r="BR185" s="794"/>
      <c r="BS185" s="794" t="s">
        <v>68</v>
      </c>
      <c r="BT185" s="14"/>
      <c r="BU185" s="14"/>
      <c r="BV185" s="14"/>
      <c r="BW185" s="14"/>
      <c r="BX185" s="14"/>
      <c r="BY185" s="1432" t="s">
        <v>1567</v>
      </c>
      <c r="BZ185" s="649" t="s">
        <v>454</v>
      </c>
      <c r="CA185" s="563"/>
      <c r="CB185" s="563"/>
      <c r="CC185" s="563"/>
      <c r="CD185" s="563"/>
      <c r="CE185" s="563"/>
      <c r="CF185" s="563"/>
      <c r="CG185" s="563"/>
      <c r="CH185" s="13"/>
    </row>
    <row r="186" spans="1:86" ht="75" hidden="1" customHeight="1">
      <c r="A186"/>
      <c r="B186" s="23"/>
      <c r="C186" s="23"/>
      <c r="D186" s="23"/>
      <c r="E186" s="335" t="s">
        <v>68</v>
      </c>
      <c r="F186" s="335"/>
      <c r="G186" s="1055">
        <v>42802</v>
      </c>
      <c r="H186" s="490">
        <v>43013</v>
      </c>
      <c r="I186" s="17">
        <v>2016</v>
      </c>
      <c r="J186" s="1676"/>
      <c r="K186" s="19" t="s">
        <v>642</v>
      </c>
      <c r="L186" s="20" t="s">
        <v>643</v>
      </c>
      <c r="M186" s="2" t="s">
        <v>615</v>
      </c>
      <c r="N186" s="86" t="s">
        <v>644</v>
      </c>
      <c r="O186" s="86"/>
      <c r="P186" s="4">
        <v>2389400</v>
      </c>
      <c r="Q186" s="6">
        <v>42669</v>
      </c>
      <c r="R186" s="5">
        <v>42671</v>
      </c>
      <c r="S186" s="12">
        <v>42735</v>
      </c>
      <c r="T186" s="14" t="s">
        <v>68</v>
      </c>
      <c r="U186" s="122" t="s">
        <v>637</v>
      </c>
      <c r="V186" s="19" t="s">
        <v>477</v>
      </c>
      <c r="W186" s="220" t="s">
        <v>68</v>
      </c>
      <c r="X186" s="406"/>
      <c r="Y186" s="20" t="s">
        <v>645</v>
      </c>
      <c r="Z186" s="9">
        <v>42674</v>
      </c>
      <c r="AA186" s="4">
        <v>2400000</v>
      </c>
      <c r="AB186" s="4"/>
      <c r="AC186" s="34"/>
      <c r="AD186" s="36">
        <v>42653</v>
      </c>
      <c r="AE186" s="116">
        <v>42656</v>
      </c>
      <c r="AF186" s="7">
        <v>42661</v>
      </c>
      <c r="AG186" s="119">
        <v>42663</v>
      </c>
      <c r="AH186" s="116">
        <v>42668</v>
      </c>
      <c r="AI186" s="492" t="s">
        <v>638</v>
      </c>
      <c r="AJ186" s="1" t="s">
        <v>646</v>
      </c>
      <c r="AK186" s="5">
        <v>42668</v>
      </c>
      <c r="AL186" s="1" t="s">
        <v>647</v>
      </c>
      <c r="AM186" s="5">
        <v>42668</v>
      </c>
      <c r="AN186" s="1" t="s">
        <v>648</v>
      </c>
      <c r="AO186" s="5">
        <v>42668</v>
      </c>
      <c r="AP186" s="306">
        <f>599600+238940+238940</f>
        <v>1077480</v>
      </c>
      <c r="AQ186" s="37">
        <v>0</v>
      </c>
      <c r="AR186" s="1031">
        <v>2401596.3199999998</v>
      </c>
      <c r="AS186" s="1018"/>
      <c r="AT186" s="492">
        <v>42701</v>
      </c>
      <c r="AU186" s="12">
        <v>42718</v>
      </c>
      <c r="AV186" s="243" t="s">
        <v>68</v>
      </c>
      <c r="AW186" s="244" t="s">
        <v>68</v>
      </c>
      <c r="AX186" s="514" t="s">
        <v>68</v>
      </c>
      <c r="AY186" s="1"/>
      <c r="AZ186" s="1"/>
      <c r="BA186" s="18"/>
      <c r="BB186" s="513">
        <v>42735</v>
      </c>
      <c r="BC186" s="1955"/>
      <c r="BD186" s="5"/>
      <c r="BE186" s="5"/>
      <c r="BF186" s="5"/>
      <c r="BG186" s="38">
        <f>AQ186+AR186</f>
        <v>2401596.3199999998</v>
      </c>
      <c r="BH186" s="14"/>
      <c r="BI186" s="794" t="s">
        <v>68</v>
      </c>
      <c r="BJ186" s="795" t="s">
        <v>68</v>
      </c>
      <c r="BK186" s="795" t="s">
        <v>68</v>
      </c>
      <c r="BL186" s="794"/>
      <c r="BM186" s="794"/>
      <c r="BN186" s="794"/>
      <c r="BO186" s="794"/>
      <c r="BP186" s="794"/>
      <c r="BQ186" s="794"/>
      <c r="BR186" s="794"/>
      <c r="BS186" s="794" t="s">
        <v>68</v>
      </c>
      <c r="BT186" s="14"/>
      <c r="BU186" s="14"/>
      <c r="BV186" s="14"/>
      <c r="BW186" s="14"/>
      <c r="BX186" s="14"/>
      <c r="BY186" s="1432" t="s">
        <v>1567</v>
      </c>
      <c r="BZ186" s="649" t="s">
        <v>454</v>
      </c>
      <c r="CA186" s="563"/>
      <c r="CB186" s="563"/>
      <c r="CC186" s="563"/>
      <c r="CD186" s="563"/>
      <c r="CE186" s="563"/>
      <c r="CF186" s="563"/>
      <c r="CG186" s="563"/>
      <c r="CH186" s="13"/>
    </row>
    <row r="187" spans="1:86" ht="82.5" hidden="1" customHeight="1">
      <c r="A187"/>
      <c r="B187" s="23"/>
      <c r="C187" s="23"/>
      <c r="D187" s="23"/>
      <c r="E187" s="335" t="s">
        <v>68</v>
      </c>
      <c r="F187" s="335"/>
      <c r="G187" s="1055">
        <v>43126</v>
      </c>
      <c r="H187" s="364">
        <v>42887</v>
      </c>
      <c r="I187" s="17">
        <v>2016</v>
      </c>
      <c r="J187" s="1676"/>
      <c r="K187" s="19" t="s">
        <v>77</v>
      </c>
      <c r="L187" s="35" t="s">
        <v>649</v>
      </c>
      <c r="M187" s="2" t="s">
        <v>79</v>
      </c>
      <c r="N187" s="86" t="s">
        <v>650</v>
      </c>
      <c r="O187" s="86" t="s">
        <v>3664</v>
      </c>
      <c r="P187" s="4">
        <v>196802.42</v>
      </c>
      <c r="Q187" s="6">
        <v>42677</v>
      </c>
      <c r="R187" s="5">
        <v>42681</v>
      </c>
      <c r="S187" s="12">
        <v>42735</v>
      </c>
      <c r="T187" s="70">
        <v>42675</v>
      </c>
      <c r="U187" s="191" t="s">
        <v>476</v>
      </c>
      <c r="V187" s="19" t="s">
        <v>3087</v>
      </c>
      <c r="W187" s="777" t="s">
        <v>68</v>
      </c>
      <c r="X187" s="1618"/>
      <c r="Y187" s="138" t="s">
        <v>651</v>
      </c>
      <c r="Z187" s="80">
        <v>42674</v>
      </c>
      <c r="AA187" s="81">
        <v>196802.42</v>
      </c>
      <c r="AB187" s="4"/>
      <c r="AC187" s="34"/>
      <c r="AD187" s="36" t="s">
        <v>68</v>
      </c>
      <c r="AE187" s="119" t="s">
        <v>68</v>
      </c>
      <c r="AF187" s="119" t="s">
        <v>68</v>
      </c>
      <c r="AG187" s="7" t="s">
        <v>68</v>
      </c>
      <c r="AH187" s="235" t="s">
        <v>68</v>
      </c>
      <c r="AI187" s="699" t="s">
        <v>266</v>
      </c>
      <c r="AJ187" s="71" t="s">
        <v>68</v>
      </c>
      <c r="AK187" s="255"/>
      <c r="AL187" s="239"/>
      <c r="AM187" s="521"/>
      <c r="AN187" s="71" t="s">
        <v>652</v>
      </c>
      <c r="AO187" s="255">
        <v>42705</v>
      </c>
      <c r="AP187" s="601">
        <f>19640.96</f>
        <v>19640.96</v>
      </c>
      <c r="AQ187" s="37">
        <v>0</v>
      </c>
      <c r="AR187" s="1032">
        <v>196409.58</v>
      </c>
      <c r="AS187" s="1019"/>
      <c r="AT187" s="68" t="s">
        <v>74</v>
      </c>
      <c r="AU187" s="12"/>
      <c r="AV187" s="32" t="s">
        <v>68</v>
      </c>
      <c r="AW187" s="54" t="s">
        <v>68</v>
      </c>
      <c r="AX187" s="381">
        <v>42726</v>
      </c>
      <c r="AY187" s="5">
        <v>42681</v>
      </c>
      <c r="AZ187" s="5">
        <v>42735</v>
      </c>
      <c r="BA187" s="18"/>
      <c r="BB187" s="381">
        <v>42726</v>
      </c>
      <c r="BC187" s="1953"/>
      <c r="BD187" s="360">
        <v>42681</v>
      </c>
      <c r="BE187" s="360">
        <v>42734</v>
      </c>
      <c r="BF187" s="360">
        <v>42726</v>
      </c>
      <c r="BG187" s="361">
        <f>AQ187+AR187</f>
        <v>196409.58</v>
      </c>
      <c r="BH187" s="14"/>
      <c r="BI187" s="794" t="s">
        <v>68</v>
      </c>
      <c r="BJ187" s="795" t="s">
        <v>68</v>
      </c>
      <c r="BK187" s="795" t="s">
        <v>68</v>
      </c>
      <c r="BL187" s="794"/>
      <c r="BM187" s="794"/>
      <c r="BN187" s="794"/>
      <c r="BO187" s="794"/>
      <c r="BP187" s="794"/>
      <c r="BQ187" s="794"/>
      <c r="BR187" s="794"/>
      <c r="BS187" s="794" t="s">
        <v>68</v>
      </c>
      <c r="BT187" s="40"/>
      <c r="BU187" s="40"/>
      <c r="BV187" s="40"/>
      <c r="BW187" s="40"/>
      <c r="BX187" s="40"/>
      <c r="BY187" s="1432" t="s">
        <v>1567</v>
      </c>
      <c r="BZ187" s="356" t="s">
        <v>459</v>
      </c>
      <c r="CA187" s="619"/>
      <c r="CB187" s="619"/>
      <c r="CC187" s="619"/>
      <c r="CD187" s="619"/>
      <c r="CE187" s="619"/>
      <c r="CF187" s="619"/>
      <c r="CG187" s="619"/>
      <c r="CH187" s="13"/>
    </row>
    <row r="188" spans="1:86" ht="90.75" hidden="1" customHeight="1">
      <c r="A188"/>
      <c r="B188" s="23"/>
      <c r="C188" s="23"/>
      <c r="D188" s="23"/>
      <c r="E188" s="335" t="s">
        <v>68</v>
      </c>
      <c r="F188" s="335"/>
      <c r="G188" s="1055">
        <v>43238</v>
      </c>
      <c r="H188" s="364">
        <v>42887</v>
      </c>
      <c r="I188" s="17">
        <v>2016</v>
      </c>
      <c r="J188" s="1676"/>
      <c r="K188" s="19" t="s">
        <v>77</v>
      </c>
      <c r="L188" s="35" t="s">
        <v>653</v>
      </c>
      <c r="M188" s="2" t="s">
        <v>79</v>
      </c>
      <c r="N188" s="86" t="s">
        <v>654</v>
      </c>
      <c r="O188" s="86" t="s">
        <v>3664</v>
      </c>
      <c r="P188" s="4">
        <v>523396.29</v>
      </c>
      <c r="Q188" s="6">
        <v>42677</v>
      </c>
      <c r="R188" s="5">
        <v>42678</v>
      </c>
      <c r="S188" s="12">
        <v>42735</v>
      </c>
      <c r="T188" s="111">
        <v>42675</v>
      </c>
      <c r="U188" s="35" t="s">
        <v>592</v>
      </c>
      <c r="V188" s="19" t="s">
        <v>3087</v>
      </c>
      <c r="W188" s="777" t="s">
        <v>68</v>
      </c>
      <c r="X188" s="1618"/>
      <c r="Y188" s="522" t="s">
        <v>655</v>
      </c>
      <c r="Z188" s="523">
        <v>42674</v>
      </c>
      <c r="AA188" s="524">
        <v>523396.29</v>
      </c>
      <c r="AB188" s="4"/>
      <c r="AC188" s="34"/>
      <c r="AD188" s="36" t="s">
        <v>68</v>
      </c>
      <c r="AE188" s="119" t="s">
        <v>68</v>
      </c>
      <c r="AF188" s="119" t="s">
        <v>68</v>
      </c>
      <c r="AG188" s="7" t="s">
        <v>68</v>
      </c>
      <c r="AH188" s="235" t="s">
        <v>68</v>
      </c>
      <c r="AI188" s="380" t="s">
        <v>232</v>
      </c>
      <c r="AJ188" s="1" t="s">
        <v>68</v>
      </c>
      <c r="AK188" s="5"/>
      <c r="AL188" s="1">
        <v>2057356</v>
      </c>
      <c r="AM188" s="5">
        <v>42677</v>
      </c>
      <c r="AN188" s="1">
        <v>2058589</v>
      </c>
      <c r="AO188" s="5">
        <v>42719</v>
      </c>
      <c r="AP188" s="306">
        <f>52339.63*2</f>
        <v>104679.26</v>
      </c>
      <c r="AQ188" s="37">
        <v>0</v>
      </c>
      <c r="AR188" s="1032">
        <v>523396.3</v>
      </c>
      <c r="AS188" s="1019"/>
      <c r="AT188" s="68" t="s">
        <v>74</v>
      </c>
      <c r="AU188" s="12"/>
      <c r="AV188" s="32" t="s">
        <v>68</v>
      </c>
      <c r="AW188" s="54" t="s">
        <v>68</v>
      </c>
      <c r="AX188" s="373" t="s">
        <v>656</v>
      </c>
      <c r="AY188" s="1"/>
      <c r="AZ188" s="1"/>
      <c r="BA188" s="18"/>
      <c r="BB188" s="373" t="s">
        <v>656</v>
      </c>
      <c r="BC188" s="1956"/>
      <c r="BD188" s="1"/>
      <c r="BE188" s="1"/>
      <c r="BF188" s="1"/>
      <c r="BG188" s="38">
        <f>AQ188+AR188</f>
        <v>523396.3</v>
      </c>
      <c r="BH188" s="14"/>
      <c r="BI188" s="794" t="s">
        <v>68</v>
      </c>
      <c r="BJ188" s="795" t="s">
        <v>68</v>
      </c>
      <c r="BK188" s="795" t="s">
        <v>68</v>
      </c>
      <c r="BL188" s="794"/>
      <c r="BM188" s="794"/>
      <c r="BN188" s="794"/>
      <c r="BO188" s="794"/>
      <c r="BP188" s="794"/>
      <c r="BQ188" s="794"/>
      <c r="BR188" s="794"/>
      <c r="BS188" s="794" t="s">
        <v>68</v>
      </c>
      <c r="BT188" s="14"/>
      <c r="BU188" s="14"/>
      <c r="BV188" s="14"/>
      <c r="BW188" s="14"/>
      <c r="BX188" s="14"/>
      <c r="BY188" s="1432" t="s">
        <v>1567</v>
      </c>
      <c r="BZ188" s="356" t="s">
        <v>459</v>
      </c>
      <c r="CA188" s="620"/>
      <c r="CB188" s="620"/>
      <c r="CC188" s="620"/>
      <c r="CD188" s="620"/>
      <c r="CE188" s="620"/>
      <c r="CF188" s="620"/>
      <c r="CG188" s="620"/>
      <c r="CH188" s="13"/>
    </row>
    <row r="189" spans="1:86" ht="90" hidden="1" customHeight="1">
      <c r="A189"/>
      <c r="B189" s="23"/>
      <c r="C189" s="23"/>
      <c r="D189" s="23"/>
      <c r="E189" s="335" t="s">
        <v>68</v>
      </c>
      <c r="F189" s="335"/>
      <c r="G189" s="1055">
        <v>42871</v>
      </c>
      <c r="H189" s="364">
        <v>42767</v>
      </c>
      <c r="I189" s="17">
        <v>2016</v>
      </c>
      <c r="J189" s="1676"/>
      <c r="K189" s="19" t="s">
        <v>554</v>
      </c>
      <c r="L189" s="35" t="s">
        <v>657</v>
      </c>
      <c r="M189" s="2" t="s">
        <v>79</v>
      </c>
      <c r="N189" s="86" t="s">
        <v>658</v>
      </c>
      <c r="O189" s="86" t="s">
        <v>1979</v>
      </c>
      <c r="P189" s="4">
        <v>577695.28</v>
      </c>
      <c r="Q189" s="6">
        <v>42688</v>
      </c>
      <c r="R189" s="5">
        <v>42689</v>
      </c>
      <c r="S189" s="12">
        <v>42734</v>
      </c>
      <c r="T189" s="111">
        <v>42688</v>
      </c>
      <c r="U189" s="35" t="s">
        <v>588</v>
      </c>
      <c r="V189" s="183" t="s">
        <v>449</v>
      </c>
      <c r="W189" s="220" t="s">
        <v>68</v>
      </c>
      <c r="X189" s="406"/>
      <c r="Y189" s="370" t="s">
        <v>557</v>
      </c>
      <c r="Z189" s="83">
        <v>42611</v>
      </c>
      <c r="AA189" s="84">
        <v>6000000</v>
      </c>
      <c r="AB189" s="4"/>
      <c r="AC189" s="34"/>
      <c r="AD189" s="36" t="s">
        <v>68</v>
      </c>
      <c r="AE189" s="119" t="s">
        <v>68</v>
      </c>
      <c r="AF189" s="119" t="s">
        <v>68</v>
      </c>
      <c r="AG189" s="7" t="s">
        <v>68</v>
      </c>
      <c r="AH189" s="235" t="s">
        <v>68</v>
      </c>
      <c r="AI189" s="375" t="s">
        <v>589</v>
      </c>
      <c r="AJ189" s="1" t="s">
        <v>68</v>
      </c>
      <c r="AK189" s="5"/>
      <c r="AL189" s="1">
        <v>1789281</v>
      </c>
      <c r="AM189" s="5">
        <v>42690</v>
      </c>
      <c r="AN189" s="1">
        <v>1793706</v>
      </c>
      <c r="AO189" s="5">
        <v>42830</v>
      </c>
      <c r="AP189" s="306">
        <f>57769.52+57769.52</f>
        <v>115539.04</v>
      </c>
      <c r="AQ189" s="37">
        <v>0</v>
      </c>
      <c r="AR189" s="1031">
        <v>577695.27</v>
      </c>
      <c r="AS189" s="1018"/>
      <c r="AT189" s="75">
        <v>42689</v>
      </c>
      <c r="AU189" s="134">
        <v>42723</v>
      </c>
      <c r="AV189" s="371" t="s">
        <v>68</v>
      </c>
      <c r="AW189" s="372" t="s">
        <v>68</v>
      </c>
      <c r="AX189" s="75">
        <v>42727</v>
      </c>
      <c r="AY189" s="5">
        <v>42689</v>
      </c>
      <c r="AZ189" s="5">
        <v>42734</v>
      </c>
      <c r="BA189" s="12">
        <v>42726</v>
      </c>
      <c r="BB189" s="75">
        <v>42731</v>
      </c>
      <c r="BC189" s="1950"/>
      <c r="BD189" s="76">
        <v>42689</v>
      </c>
      <c r="BE189" s="76">
        <v>42734</v>
      </c>
      <c r="BF189" s="76">
        <v>42726</v>
      </c>
      <c r="BG189" s="136">
        <f>AQ189+AR189</f>
        <v>577695.27</v>
      </c>
      <c r="BH189" s="14"/>
      <c r="BI189" s="794" t="s">
        <v>68</v>
      </c>
      <c r="BJ189" s="795" t="s">
        <v>68</v>
      </c>
      <c r="BK189" s="795" t="s">
        <v>68</v>
      </c>
      <c r="BL189" s="794"/>
      <c r="BM189" s="794"/>
      <c r="BN189" s="794"/>
      <c r="BO189" s="794"/>
      <c r="BP189" s="794"/>
      <c r="BQ189" s="794"/>
      <c r="BR189" s="794"/>
      <c r="BS189" s="794" t="s">
        <v>68</v>
      </c>
      <c r="BT189" s="14"/>
      <c r="BU189" s="14"/>
      <c r="BV189" s="14"/>
      <c r="BW189" s="14"/>
      <c r="BX189" s="14"/>
      <c r="BY189" s="1432" t="s">
        <v>1567</v>
      </c>
      <c r="BZ189" s="649" t="s">
        <v>454</v>
      </c>
      <c r="CA189" s="617"/>
      <c r="CB189" s="617"/>
      <c r="CC189" s="617"/>
      <c r="CD189" s="617"/>
      <c r="CE189" s="617"/>
      <c r="CF189" s="617"/>
      <c r="CG189" s="617"/>
      <c r="CH189" s="13"/>
    </row>
    <row r="190" spans="1:86" s="1241" customFormat="1" ht="26.25" hidden="1" customHeight="1">
      <c r="B190" s="1242"/>
      <c r="C190" s="1242"/>
      <c r="D190" s="1242"/>
      <c r="E190" s="1242"/>
      <c r="F190" s="1242"/>
      <c r="G190" s="610" t="s">
        <v>68</v>
      </c>
      <c r="H190" s="610" t="s">
        <v>68</v>
      </c>
      <c r="I190" s="588">
        <v>2016</v>
      </c>
      <c r="J190" s="1680"/>
      <c r="K190" s="1747"/>
      <c r="L190" s="955" t="s">
        <v>659</v>
      </c>
      <c r="M190" s="201" t="s">
        <v>251</v>
      </c>
      <c r="N190" s="112" t="s">
        <v>627</v>
      </c>
      <c r="O190" s="112"/>
      <c r="P190" s="1255"/>
      <c r="Q190" s="1746"/>
      <c r="R190" s="1262"/>
      <c r="S190" s="1268"/>
      <c r="T190" s="1273" t="s">
        <v>68</v>
      </c>
      <c r="U190" s="340"/>
      <c r="V190" s="1747"/>
      <c r="W190" s="1278" t="s">
        <v>68</v>
      </c>
      <c r="X190" s="1631"/>
      <c r="Y190" s="955"/>
      <c r="Z190" s="1254"/>
      <c r="AA190" s="1255"/>
      <c r="AB190" s="1255"/>
      <c r="AC190" s="1256"/>
      <c r="AD190" s="1257" t="s">
        <v>68</v>
      </c>
      <c r="AE190" s="1258" t="s">
        <v>68</v>
      </c>
      <c r="AF190" s="1258" t="s">
        <v>68</v>
      </c>
      <c r="AG190" s="1259" t="s">
        <v>68</v>
      </c>
      <c r="AH190" s="1749" t="s">
        <v>68</v>
      </c>
      <c r="AI190" s="340" t="s">
        <v>68</v>
      </c>
      <c r="AJ190" s="1261" t="s">
        <v>68</v>
      </c>
      <c r="AK190" s="1262"/>
      <c r="AL190" s="1261" t="s">
        <v>68</v>
      </c>
      <c r="AM190" s="1262"/>
      <c r="AN190" s="1261" t="s">
        <v>68</v>
      </c>
      <c r="AO190" s="1261"/>
      <c r="AP190" s="1263">
        <v>0</v>
      </c>
      <c r="AQ190" s="1264" t="s">
        <v>68</v>
      </c>
      <c r="AR190" s="1265" t="s">
        <v>68</v>
      </c>
      <c r="AS190" s="1266"/>
      <c r="AT190" s="1267" t="s">
        <v>74</v>
      </c>
      <c r="AU190" s="1268"/>
      <c r="AV190" s="1269" t="s">
        <v>68</v>
      </c>
      <c r="AW190" s="1270" t="s">
        <v>68</v>
      </c>
      <c r="AX190" s="955" t="s">
        <v>68</v>
      </c>
      <c r="AY190" s="1261"/>
      <c r="AZ190" s="1261"/>
      <c r="BA190" s="1271"/>
      <c r="BB190" s="955" t="s">
        <v>68</v>
      </c>
      <c r="BC190" s="1756"/>
      <c r="BD190" s="1261"/>
      <c r="BE190" s="1261"/>
      <c r="BF190" s="1261"/>
      <c r="BG190" s="1272"/>
      <c r="BH190" s="1273"/>
      <c r="BI190" s="1753" t="s">
        <v>68</v>
      </c>
      <c r="BJ190" s="1754" t="s">
        <v>68</v>
      </c>
      <c r="BK190" s="1754" t="s">
        <v>68</v>
      </c>
      <c r="BL190" s="1753"/>
      <c r="BM190" s="1753"/>
      <c r="BN190" s="1753"/>
      <c r="BO190" s="1753"/>
      <c r="BP190" s="1753"/>
      <c r="BQ190" s="1753"/>
      <c r="BR190" s="1753"/>
      <c r="BS190" s="1753" t="s">
        <v>68</v>
      </c>
      <c r="BT190" s="1273"/>
      <c r="BU190" s="1273"/>
      <c r="BV190" s="1273"/>
      <c r="BW190" s="1273"/>
      <c r="BX190" s="1273"/>
      <c r="BY190" s="1760" t="s">
        <v>1567</v>
      </c>
      <c r="BZ190" s="133" t="s">
        <v>478</v>
      </c>
      <c r="CA190" s="567"/>
      <c r="CB190" s="567"/>
      <c r="CC190" s="567"/>
      <c r="CD190" s="567"/>
      <c r="CE190" s="567"/>
      <c r="CF190" s="567"/>
      <c r="CG190" s="567"/>
      <c r="CH190" s="1756"/>
    </row>
    <row r="191" spans="1:86" s="1241" customFormat="1" ht="26.25" hidden="1" customHeight="1">
      <c r="B191" s="1242"/>
      <c r="C191" s="1242"/>
      <c r="D191" s="1242"/>
      <c r="E191" s="1242"/>
      <c r="F191" s="1242"/>
      <c r="G191" s="610" t="s">
        <v>68</v>
      </c>
      <c r="H191" s="610" t="s">
        <v>68</v>
      </c>
      <c r="I191" s="588">
        <v>2016</v>
      </c>
      <c r="J191" s="1680"/>
      <c r="K191" s="1747"/>
      <c r="L191" s="955" t="s">
        <v>660</v>
      </c>
      <c r="M191" s="201" t="s">
        <v>251</v>
      </c>
      <c r="N191" s="112" t="s">
        <v>627</v>
      </c>
      <c r="O191" s="112"/>
      <c r="P191" s="1255"/>
      <c r="Q191" s="1746"/>
      <c r="R191" s="1262"/>
      <c r="S191" s="1268"/>
      <c r="T191" s="1273" t="s">
        <v>68</v>
      </c>
      <c r="U191" s="340"/>
      <c r="V191" s="1747"/>
      <c r="W191" s="1278" t="s">
        <v>68</v>
      </c>
      <c r="X191" s="1631"/>
      <c r="Y191" s="955"/>
      <c r="Z191" s="1254"/>
      <c r="AA191" s="1255"/>
      <c r="AB191" s="1255"/>
      <c r="AC191" s="1256"/>
      <c r="AD191" s="1257" t="s">
        <v>68</v>
      </c>
      <c r="AE191" s="1258" t="s">
        <v>68</v>
      </c>
      <c r="AF191" s="1258" t="s">
        <v>68</v>
      </c>
      <c r="AG191" s="1259" t="s">
        <v>68</v>
      </c>
      <c r="AH191" s="1749" t="s">
        <v>68</v>
      </c>
      <c r="AI191" s="340" t="s">
        <v>68</v>
      </c>
      <c r="AJ191" s="1261" t="s">
        <v>68</v>
      </c>
      <c r="AK191" s="1262"/>
      <c r="AL191" s="1261" t="s">
        <v>68</v>
      </c>
      <c r="AM191" s="1262"/>
      <c r="AN191" s="1261" t="s">
        <v>68</v>
      </c>
      <c r="AO191" s="1261"/>
      <c r="AP191" s="1263">
        <v>0</v>
      </c>
      <c r="AQ191" s="1264" t="s">
        <v>68</v>
      </c>
      <c r="AR191" s="1265" t="s">
        <v>68</v>
      </c>
      <c r="AS191" s="1266"/>
      <c r="AT191" s="1267" t="s">
        <v>74</v>
      </c>
      <c r="AU191" s="1268"/>
      <c r="AV191" s="1269" t="s">
        <v>68</v>
      </c>
      <c r="AW191" s="1270" t="s">
        <v>68</v>
      </c>
      <c r="AX191" s="955" t="s">
        <v>68</v>
      </c>
      <c r="AY191" s="1261"/>
      <c r="AZ191" s="1261"/>
      <c r="BA191" s="1271"/>
      <c r="BB191" s="955" t="s">
        <v>68</v>
      </c>
      <c r="BC191" s="1756"/>
      <c r="BD191" s="1261"/>
      <c r="BE191" s="1261"/>
      <c r="BF191" s="1261"/>
      <c r="BG191" s="1272"/>
      <c r="BH191" s="1273"/>
      <c r="BI191" s="1753" t="s">
        <v>68</v>
      </c>
      <c r="BJ191" s="1754" t="s">
        <v>68</v>
      </c>
      <c r="BK191" s="1754" t="s">
        <v>68</v>
      </c>
      <c r="BL191" s="1753"/>
      <c r="BM191" s="1753"/>
      <c r="BN191" s="1753"/>
      <c r="BO191" s="1753"/>
      <c r="BP191" s="1753"/>
      <c r="BQ191" s="1753"/>
      <c r="BR191" s="1753"/>
      <c r="BS191" s="1753" t="s">
        <v>68</v>
      </c>
      <c r="BT191" s="1273"/>
      <c r="BU191" s="1273"/>
      <c r="BV191" s="1273"/>
      <c r="BW191" s="1273"/>
      <c r="BX191" s="1273"/>
      <c r="BY191" s="1760" t="s">
        <v>1567</v>
      </c>
      <c r="BZ191" s="133" t="s">
        <v>478</v>
      </c>
      <c r="CA191" s="567"/>
      <c r="CB191" s="567"/>
      <c r="CC191" s="567"/>
      <c r="CD191" s="567"/>
      <c r="CE191" s="567"/>
      <c r="CF191" s="567"/>
      <c r="CG191" s="567"/>
      <c r="CH191" s="1756"/>
    </row>
    <row r="192" spans="1:86" ht="60.75" hidden="1" customHeight="1">
      <c r="A192"/>
      <c r="B192" s="23"/>
      <c r="C192" s="23"/>
      <c r="D192" s="23"/>
      <c r="E192" s="335" t="s">
        <v>68</v>
      </c>
      <c r="F192" s="335"/>
      <c r="G192" s="1055">
        <v>43305</v>
      </c>
      <c r="H192" s="490">
        <v>43013</v>
      </c>
      <c r="I192" s="17">
        <v>2016</v>
      </c>
      <c r="J192" s="1676"/>
      <c r="K192" s="19" t="s">
        <v>77</v>
      </c>
      <c r="L192" s="20" t="s">
        <v>661</v>
      </c>
      <c r="M192" s="2" t="s">
        <v>615</v>
      </c>
      <c r="N192" s="86" t="s">
        <v>662</v>
      </c>
      <c r="O192" s="86"/>
      <c r="P192" s="4">
        <v>1630380</v>
      </c>
      <c r="Q192" s="6">
        <v>42720</v>
      </c>
      <c r="R192" s="5">
        <v>42720</v>
      </c>
      <c r="S192" s="12">
        <v>42794</v>
      </c>
      <c r="T192" s="14" t="s">
        <v>68</v>
      </c>
      <c r="U192" s="180" t="s">
        <v>663</v>
      </c>
      <c r="V192" s="19" t="s">
        <v>114</v>
      </c>
      <c r="W192" s="383">
        <v>42717</v>
      </c>
      <c r="X192" s="378"/>
      <c r="Y192" s="138" t="s">
        <v>664</v>
      </c>
      <c r="Z192" s="80">
        <v>42674</v>
      </c>
      <c r="AA192" s="81">
        <v>1630380</v>
      </c>
      <c r="AB192" s="4"/>
      <c r="AC192" s="34"/>
      <c r="AD192" s="36">
        <v>42698</v>
      </c>
      <c r="AE192" s="119">
        <v>42709</v>
      </c>
      <c r="AF192" s="119">
        <v>42709</v>
      </c>
      <c r="AG192" s="7">
        <v>42720</v>
      </c>
      <c r="AH192" s="116">
        <v>42720</v>
      </c>
      <c r="AI192" s="375" t="s">
        <v>589</v>
      </c>
      <c r="AJ192" s="1">
        <v>17871774</v>
      </c>
      <c r="AK192" s="5">
        <v>43085</v>
      </c>
      <c r="AL192" s="1">
        <v>1787176</v>
      </c>
      <c r="AM192" s="5">
        <v>43085</v>
      </c>
      <c r="AN192" s="1">
        <v>1787180</v>
      </c>
      <c r="AO192" s="5">
        <v>42794</v>
      </c>
      <c r="AP192" s="306">
        <f>407595+163038+163038</f>
        <v>733671</v>
      </c>
      <c r="AQ192" s="37">
        <v>0</v>
      </c>
      <c r="AR192" s="1031">
        <v>1779922.8</v>
      </c>
      <c r="AS192" s="1018"/>
      <c r="AT192" s="75">
        <v>42705</v>
      </c>
      <c r="AU192" s="12">
        <v>42793</v>
      </c>
      <c r="AV192" s="32" t="s">
        <v>68</v>
      </c>
      <c r="AW192" s="54" t="s">
        <v>68</v>
      </c>
      <c r="AX192" s="75">
        <v>42796</v>
      </c>
      <c r="AY192" s="5">
        <v>42720</v>
      </c>
      <c r="AZ192" s="5">
        <v>42794</v>
      </c>
      <c r="BA192" s="12">
        <v>42794</v>
      </c>
      <c r="BB192" s="75">
        <v>42796</v>
      </c>
      <c r="BC192" s="1950"/>
      <c r="BD192" s="5">
        <v>42720</v>
      </c>
      <c r="BE192" s="5">
        <v>42794</v>
      </c>
      <c r="BF192" s="5">
        <v>42794</v>
      </c>
      <c r="BG192" s="38">
        <v>1630380</v>
      </c>
      <c r="BH192" s="64">
        <v>42796</v>
      </c>
      <c r="BI192" s="794" t="s">
        <v>68</v>
      </c>
      <c r="BJ192" s="795" t="s">
        <v>68</v>
      </c>
      <c r="BK192" s="795" t="s">
        <v>68</v>
      </c>
      <c r="BL192" s="794"/>
      <c r="BM192" s="794"/>
      <c r="BN192" s="794"/>
      <c r="BO192" s="794"/>
      <c r="BP192" s="794"/>
      <c r="BQ192" s="794"/>
      <c r="BR192" s="794"/>
      <c r="BS192" s="794" t="s">
        <v>68</v>
      </c>
      <c r="BT192" s="14"/>
      <c r="BU192" s="14"/>
      <c r="BV192" s="14"/>
      <c r="BW192" s="14"/>
      <c r="BX192" s="14"/>
      <c r="BY192" s="1432" t="s">
        <v>1567</v>
      </c>
      <c r="BZ192" s="649" t="s">
        <v>454</v>
      </c>
      <c r="CA192" s="563"/>
      <c r="CB192" s="563"/>
      <c r="CC192" s="563"/>
      <c r="CD192" s="563"/>
      <c r="CE192" s="563"/>
      <c r="CF192" s="563"/>
      <c r="CG192" s="563"/>
      <c r="CH192" s="13"/>
    </row>
    <row r="193" spans="2:86" customFormat="1" ht="57" hidden="1" customHeight="1">
      <c r="B193" s="23"/>
      <c r="C193" s="23"/>
      <c r="D193" s="23"/>
      <c r="E193" s="335" t="s">
        <v>68</v>
      </c>
      <c r="F193" s="335"/>
      <c r="G193" s="1055">
        <v>43088</v>
      </c>
      <c r="H193" s="364">
        <v>41426</v>
      </c>
      <c r="I193" s="17">
        <v>-2016</v>
      </c>
      <c r="J193" s="1676"/>
      <c r="K193" s="19" t="s">
        <v>465</v>
      </c>
      <c r="L193" s="612" t="s">
        <v>665</v>
      </c>
      <c r="M193" s="2" t="s">
        <v>615</v>
      </c>
      <c r="N193" s="86" t="s">
        <v>666</v>
      </c>
      <c r="O193" s="86"/>
      <c r="P193" s="4">
        <v>1800000</v>
      </c>
      <c r="Q193" s="6">
        <v>42779</v>
      </c>
      <c r="R193" s="5">
        <v>42779</v>
      </c>
      <c r="S193" s="12">
        <v>43039</v>
      </c>
      <c r="T193" s="14" t="s">
        <v>68</v>
      </c>
      <c r="U193" s="180" t="s">
        <v>667</v>
      </c>
      <c r="V193" s="19" t="s">
        <v>472</v>
      </c>
      <c r="W193" s="220">
        <v>42772</v>
      </c>
      <c r="X193" s="406"/>
      <c r="Y193" s="138" t="s">
        <v>668</v>
      </c>
      <c r="Z193" s="80">
        <v>42773</v>
      </c>
      <c r="AA193" s="81">
        <v>1000000</v>
      </c>
      <c r="AB193" s="4"/>
      <c r="AC193" s="34"/>
      <c r="AD193" s="181">
        <v>42718</v>
      </c>
      <c r="AE193" s="192">
        <v>42723</v>
      </c>
      <c r="AF193" s="192">
        <v>42724</v>
      </c>
      <c r="AG193" s="192">
        <v>42730</v>
      </c>
      <c r="AH193" s="193">
        <v>42733</v>
      </c>
      <c r="AI193" s="375" t="s">
        <v>589</v>
      </c>
      <c r="AJ193" s="1" t="s">
        <v>68</v>
      </c>
      <c r="AK193" s="5"/>
      <c r="AL193" s="1">
        <v>1797375</v>
      </c>
      <c r="AM193" s="5">
        <v>42779</v>
      </c>
      <c r="AN193" s="1">
        <v>1862912</v>
      </c>
      <c r="AO193" s="5">
        <v>43067</v>
      </c>
      <c r="AP193" s="306">
        <f>180000+180000</f>
        <v>360000</v>
      </c>
      <c r="AQ193" s="37">
        <v>0</v>
      </c>
      <c r="AR193" s="1031">
        <v>1800176.82</v>
      </c>
      <c r="AS193" s="1018"/>
      <c r="AT193" s="75">
        <v>42779</v>
      </c>
      <c r="AU193" s="245">
        <v>43082</v>
      </c>
      <c r="AV193" s="243" t="s">
        <v>68</v>
      </c>
      <c r="AW193" s="244" t="s">
        <v>68</v>
      </c>
      <c r="AX193" s="32">
        <v>43067</v>
      </c>
      <c r="AY193" s="5">
        <v>42779</v>
      </c>
      <c r="AZ193" s="5">
        <v>43069</v>
      </c>
      <c r="BA193" s="12">
        <v>43067</v>
      </c>
      <c r="BB193" s="75">
        <v>43080</v>
      </c>
      <c r="BC193" s="1950"/>
      <c r="BD193" s="5">
        <v>42779</v>
      </c>
      <c r="BE193" s="5">
        <v>43069</v>
      </c>
      <c r="BF193" s="5">
        <v>43067</v>
      </c>
      <c r="BG193" s="605">
        <v>1800871.76</v>
      </c>
      <c r="BH193" s="64">
        <v>43080</v>
      </c>
      <c r="BI193" s="794" t="s">
        <v>68</v>
      </c>
      <c r="BJ193" s="795" t="s">
        <v>68</v>
      </c>
      <c r="BK193" s="795" t="s">
        <v>68</v>
      </c>
      <c r="BL193" s="794"/>
      <c r="BM193" s="794"/>
      <c r="BN193" s="794"/>
      <c r="BO193" s="794"/>
      <c r="BP193" s="794"/>
      <c r="BQ193" s="794"/>
      <c r="BR193" s="794"/>
      <c r="BS193" s="794" t="s">
        <v>68</v>
      </c>
      <c r="BT193" s="14"/>
      <c r="BU193" s="14"/>
      <c r="BV193" s="14"/>
      <c r="BW193" s="14"/>
      <c r="BX193" s="14"/>
      <c r="BY193" s="1432" t="s">
        <v>1567</v>
      </c>
      <c r="BZ193" s="649" t="s">
        <v>454</v>
      </c>
      <c r="CA193" s="614"/>
      <c r="CB193" s="614"/>
      <c r="CC193" s="614"/>
      <c r="CD193" s="614"/>
      <c r="CE193" s="614"/>
      <c r="CF193" s="614"/>
      <c r="CG193" s="614"/>
      <c r="CH193" s="13"/>
    </row>
    <row r="194" spans="2:86" customFormat="1" ht="90" hidden="1" customHeight="1">
      <c r="B194" s="23"/>
      <c r="C194" s="23"/>
      <c r="D194" s="23"/>
      <c r="E194" s="23"/>
      <c r="F194" s="23"/>
      <c r="G194" s="1055">
        <v>42867</v>
      </c>
      <c r="H194" s="364">
        <v>43013</v>
      </c>
      <c r="I194" s="17">
        <v>2016</v>
      </c>
      <c r="J194" s="1676"/>
      <c r="K194" s="19" t="s">
        <v>64</v>
      </c>
      <c r="L194" s="35" t="s">
        <v>669</v>
      </c>
      <c r="M194" s="185" t="s">
        <v>467</v>
      </c>
      <c r="N194" s="86" t="s">
        <v>670</v>
      </c>
      <c r="O194" s="86" t="s">
        <v>3664</v>
      </c>
      <c r="P194" s="4">
        <v>2000000</v>
      </c>
      <c r="Q194" s="6">
        <v>42566</v>
      </c>
      <c r="R194" s="5" t="s">
        <v>68</v>
      </c>
      <c r="S194" s="12" t="s">
        <v>68</v>
      </c>
      <c r="T194" s="14" t="s">
        <v>68</v>
      </c>
      <c r="U194" s="180" t="s">
        <v>68</v>
      </c>
      <c r="V194" s="19" t="s">
        <v>68</v>
      </c>
      <c r="W194" s="220" t="s">
        <v>68</v>
      </c>
      <c r="X194" s="406"/>
      <c r="Y194" s="138" t="s">
        <v>68</v>
      </c>
      <c r="Z194" s="80"/>
      <c r="AA194" s="81"/>
      <c r="AB194" s="4"/>
      <c r="AC194" s="34"/>
      <c r="AD194" s="36" t="s">
        <v>68</v>
      </c>
      <c r="AE194" s="119" t="s">
        <v>68</v>
      </c>
      <c r="AF194" s="119" t="s">
        <v>68</v>
      </c>
      <c r="AG194" s="7" t="s">
        <v>68</v>
      </c>
      <c r="AH194" s="235" t="s">
        <v>68</v>
      </c>
      <c r="AI194" s="385" t="s">
        <v>68</v>
      </c>
      <c r="AJ194" s="1"/>
      <c r="AK194" s="5"/>
      <c r="AL194" s="1"/>
      <c r="AM194" s="5"/>
      <c r="AN194" s="1"/>
      <c r="AO194" s="1"/>
      <c r="AP194" s="306"/>
      <c r="AQ194" s="37">
        <v>0</v>
      </c>
      <c r="AR194" s="1031">
        <v>0</v>
      </c>
      <c r="AS194" s="1018"/>
      <c r="AT194" s="386" t="s">
        <v>68</v>
      </c>
      <c r="AU194" s="245"/>
      <c r="AV194" s="387" t="s">
        <v>68</v>
      </c>
      <c r="AW194" s="388" t="s">
        <v>68</v>
      </c>
      <c r="AX194" s="20" t="s">
        <v>68</v>
      </c>
      <c r="AY194" s="1"/>
      <c r="AZ194" s="1"/>
      <c r="BA194" s="18"/>
      <c r="BB194" s="386" t="s">
        <v>68</v>
      </c>
      <c r="BC194" s="1957"/>
      <c r="BD194" s="1"/>
      <c r="BE194" s="1"/>
      <c r="BF194" s="1"/>
      <c r="BG194" s="38"/>
      <c r="BH194" s="14" t="s">
        <v>68</v>
      </c>
      <c r="BI194" s="794" t="s">
        <v>68</v>
      </c>
      <c r="BJ194" s="795" t="s">
        <v>68</v>
      </c>
      <c r="BK194" s="795" t="s">
        <v>68</v>
      </c>
      <c r="BL194" s="794"/>
      <c r="BM194" s="794"/>
      <c r="BN194" s="794"/>
      <c r="BO194" s="794"/>
      <c r="BP194" s="794"/>
      <c r="BQ194" s="794"/>
      <c r="BR194" s="794"/>
      <c r="BS194" s="794" t="s">
        <v>68</v>
      </c>
      <c r="BT194" s="14"/>
      <c r="BU194" s="14"/>
      <c r="BV194" s="14"/>
      <c r="BW194" s="14"/>
      <c r="BX194" s="14"/>
      <c r="BY194" s="1432" t="s">
        <v>1567</v>
      </c>
      <c r="BZ194" s="356" t="s">
        <v>459</v>
      </c>
      <c r="CA194" s="563"/>
      <c r="CB194" s="563"/>
      <c r="CC194" s="563"/>
      <c r="CD194" s="563"/>
      <c r="CE194" s="563"/>
      <c r="CF194" s="563"/>
      <c r="CG194" s="563"/>
      <c r="CH194" s="13"/>
    </row>
    <row r="195" spans="2:86" customFormat="1" ht="56.25" hidden="1" customHeight="1">
      <c r="B195" s="23"/>
      <c r="C195" s="23"/>
      <c r="D195" s="23"/>
      <c r="E195" s="23"/>
      <c r="F195" s="23"/>
      <c r="G195" s="1055">
        <v>42867</v>
      </c>
      <c r="H195" s="364">
        <v>43013</v>
      </c>
      <c r="I195" s="17">
        <v>2016</v>
      </c>
      <c r="J195" s="1676"/>
      <c r="K195" s="352" t="s">
        <v>671</v>
      </c>
      <c r="L195" s="353" t="s">
        <v>672</v>
      </c>
      <c r="M195" s="2" t="s">
        <v>467</v>
      </c>
      <c r="N195" s="354" t="s">
        <v>68</v>
      </c>
      <c r="O195" s="354"/>
      <c r="P195" s="4">
        <v>10000000</v>
      </c>
      <c r="Q195" s="6">
        <v>42614</v>
      </c>
      <c r="R195" s="5" t="s">
        <v>68</v>
      </c>
      <c r="S195" s="12" t="s">
        <v>68</v>
      </c>
      <c r="T195" s="14" t="s">
        <v>68</v>
      </c>
      <c r="U195" s="180" t="s">
        <v>68</v>
      </c>
      <c r="V195" s="19" t="s">
        <v>68</v>
      </c>
      <c r="W195" s="220" t="s">
        <v>68</v>
      </c>
      <c r="X195" s="406"/>
      <c r="Y195" s="138" t="s">
        <v>68</v>
      </c>
      <c r="Z195" s="80"/>
      <c r="AA195" s="81"/>
      <c r="AB195" s="4"/>
      <c r="AC195" s="34"/>
      <c r="AD195" s="36" t="s">
        <v>68</v>
      </c>
      <c r="AE195" s="119" t="s">
        <v>68</v>
      </c>
      <c r="AF195" s="119" t="s">
        <v>68</v>
      </c>
      <c r="AG195" s="7" t="s">
        <v>68</v>
      </c>
      <c r="AH195" s="235" t="s">
        <v>68</v>
      </c>
      <c r="AI195" s="385" t="s">
        <v>68</v>
      </c>
      <c r="AJ195" s="1"/>
      <c r="AK195" s="5"/>
      <c r="AL195" s="1"/>
      <c r="AM195" s="5"/>
      <c r="AN195" s="1"/>
      <c r="AO195" s="1"/>
      <c r="AP195" s="306"/>
      <c r="AQ195" s="37">
        <v>0</v>
      </c>
      <c r="AR195" s="1031">
        <v>0</v>
      </c>
      <c r="AS195" s="1018"/>
      <c r="AT195" s="386" t="s">
        <v>68</v>
      </c>
      <c r="AU195" s="245"/>
      <c r="AV195" s="387" t="s">
        <v>68</v>
      </c>
      <c r="AW195" s="388" t="s">
        <v>68</v>
      </c>
      <c r="AX195" s="20" t="s">
        <v>68</v>
      </c>
      <c r="AY195" s="1"/>
      <c r="AZ195" s="1"/>
      <c r="BA195" s="18"/>
      <c r="BB195" s="386" t="s">
        <v>68</v>
      </c>
      <c r="BC195" s="1957"/>
      <c r="BD195" s="1"/>
      <c r="BE195" s="1"/>
      <c r="BF195" s="1"/>
      <c r="BG195" s="38"/>
      <c r="BH195" s="14" t="s">
        <v>68</v>
      </c>
      <c r="BI195" s="794" t="s">
        <v>68</v>
      </c>
      <c r="BJ195" s="795" t="s">
        <v>68</v>
      </c>
      <c r="BK195" s="795" t="s">
        <v>68</v>
      </c>
      <c r="BL195" s="794"/>
      <c r="BM195" s="794"/>
      <c r="BN195" s="794"/>
      <c r="BO195" s="794"/>
      <c r="BP195" s="794"/>
      <c r="BQ195" s="794"/>
      <c r="BR195" s="794"/>
      <c r="BS195" s="794" t="s">
        <v>68</v>
      </c>
      <c r="BT195" s="14"/>
      <c r="BU195" s="14"/>
      <c r="BV195" s="14"/>
      <c r="BW195" s="14"/>
      <c r="BX195" s="14"/>
      <c r="BY195" s="1432" t="s">
        <v>1567</v>
      </c>
      <c r="BZ195" s="356" t="s">
        <v>459</v>
      </c>
      <c r="CA195" s="618"/>
      <c r="CB195" s="618"/>
      <c r="CC195" s="618"/>
      <c r="CD195" s="618"/>
      <c r="CE195" s="618"/>
      <c r="CF195" s="618"/>
      <c r="CG195" s="618"/>
      <c r="CH195" s="13"/>
    </row>
    <row r="196" spans="2:86" customFormat="1" ht="56.25" hidden="1" customHeight="1">
      <c r="B196" s="23"/>
      <c r="C196" s="23"/>
      <c r="D196" s="23"/>
      <c r="E196" s="23"/>
      <c r="F196" s="23"/>
      <c r="G196" s="1055">
        <v>42867</v>
      </c>
      <c r="H196" s="364">
        <v>43013</v>
      </c>
      <c r="I196" s="17">
        <v>2016</v>
      </c>
      <c r="J196" s="1676"/>
      <c r="K196" s="352" t="s">
        <v>163</v>
      </c>
      <c r="L196" s="357" t="s">
        <v>673</v>
      </c>
      <c r="M196" s="2" t="s">
        <v>467</v>
      </c>
      <c r="N196" s="354" t="s">
        <v>674</v>
      </c>
      <c r="O196" s="354" t="s">
        <v>1979</v>
      </c>
      <c r="P196" s="4">
        <v>456248</v>
      </c>
      <c r="Q196" s="6">
        <v>42583</v>
      </c>
      <c r="R196" s="5" t="s">
        <v>68</v>
      </c>
      <c r="S196" s="12" t="s">
        <v>68</v>
      </c>
      <c r="T196" s="14" t="s">
        <v>68</v>
      </c>
      <c r="U196" s="180" t="s">
        <v>68</v>
      </c>
      <c r="V196" s="19" t="s">
        <v>68</v>
      </c>
      <c r="W196" s="220" t="s">
        <v>68</v>
      </c>
      <c r="X196" s="406"/>
      <c r="Y196" s="138" t="s">
        <v>68</v>
      </c>
      <c r="Z196" s="80"/>
      <c r="AA196" s="81"/>
      <c r="AB196" s="4"/>
      <c r="AC196" s="34"/>
      <c r="AD196" s="36" t="s">
        <v>68</v>
      </c>
      <c r="AE196" s="119" t="s">
        <v>68</v>
      </c>
      <c r="AF196" s="119" t="s">
        <v>68</v>
      </c>
      <c r="AG196" s="7" t="s">
        <v>68</v>
      </c>
      <c r="AH196" s="235" t="s">
        <v>68</v>
      </c>
      <c r="AI196" s="385" t="s">
        <v>68</v>
      </c>
      <c r="AJ196" s="1"/>
      <c r="AK196" s="5"/>
      <c r="AL196" s="1"/>
      <c r="AM196" s="5"/>
      <c r="AN196" s="1"/>
      <c r="AO196" s="1"/>
      <c r="AP196" s="306"/>
      <c r="AQ196" s="37">
        <v>0</v>
      </c>
      <c r="AR196" s="1031">
        <v>0</v>
      </c>
      <c r="AS196" s="1018"/>
      <c r="AT196" s="386" t="s">
        <v>68</v>
      </c>
      <c r="AU196" s="245"/>
      <c r="AV196" s="387" t="s">
        <v>68</v>
      </c>
      <c r="AW196" s="388" t="s">
        <v>68</v>
      </c>
      <c r="AX196" s="20" t="s">
        <v>68</v>
      </c>
      <c r="AY196" s="1"/>
      <c r="AZ196" s="1"/>
      <c r="BA196" s="18"/>
      <c r="BB196" s="386" t="s">
        <v>68</v>
      </c>
      <c r="BC196" s="1957"/>
      <c r="BD196" s="1"/>
      <c r="BE196" s="1"/>
      <c r="BF196" s="1"/>
      <c r="BG196" s="38"/>
      <c r="BH196" s="14" t="s">
        <v>68</v>
      </c>
      <c r="BI196" s="794" t="s">
        <v>68</v>
      </c>
      <c r="BJ196" s="795" t="s">
        <v>68</v>
      </c>
      <c r="BK196" s="795" t="s">
        <v>68</v>
      </c>
      <c r="BL196" s="794"/>
      <c r="BM196" s="794"/>
      <c r="BN196" s="794"/>
      <c r="BO196" s="794"/>
      <c r="BP196" s="794"/>
      <c r="BQ196" s="794"/>
      <c r="BR196" s="794"/>
      <c r="BS196" s="794" t="s">
        <v>68</v>
      </c>
      <c r="BT196" s="14"/>
      <c r="BU196" s="14"/>
      <c r="BV196" s="14"/>
      <c r="BW196" s="14"/>
      <c r="BX196" s="14"/>
      <c r="BY196" s="1432" t="s">
        <v>1567</v>
      </c>
      <c r="BZ196" s="356" t="s">
        <v>459</v>
      </c>
      <c r="CA196" s="618"/>
      <c r="CB196" s="618"/>
      <c r="CC196" s="618"/>
      <c r="CD196" s="618"/>
      <c r="CE196" s="618"/>
      <c r="CF196" s="618"/>
      <c r="CG196" s="618"/>
      <c r="CH196" s="13"/>
    </row>
    <row r="197" spans="2:86" customFormat="1" ht="75" hidden="1" customHeight="1">
      <c r="B197" s="23"/>
      <c r="C197" s="23"/>
      <c r="D197" s="23"/>
      <c r="E197" s="23"/>
      <c r="F197" s="23"/>
      <c r="G197" s="1055">
        <v>42867</v>
      </c>
      <c r="H197" s="364">
        <v>43013</v>
      </c>
      <c r="I197" s="17">
        <v>2016</v>
      </c>
      <c r="J197" s="1676"/>
      <c r="K197" s="352" t="s">
        <v>163</v>
      </c>
      <c r="L197" s="357" t="s">
        <v>675</v>
      </c>
      <c r="M197" s="2" t="s">
        <v>467</v>
      </c>
      <c r="N197" s="354" t="s">
        <v>541</v>
      </c>
      <c r="O197" s="354" t="s">
        <v>4878</v>
      </c>
      <c r="P197" s="4">
        <v>245400</v>
      </c>
      <c r="Q197" s="6">
        <v>42583</v>
      </c>
      <c r="R197" s="5" t="s">
        <v>68</v>
      </c>
      <c r="S197" s="12" t="s">
        <v>68</v>
      </c>
      <c r="T197" s="14" t="s">
        <v>68</v>
      </c>
      <c r="U197" s="180" t="s">
        <v>68</v>
      </c>
      <c r="V197" s="19" t="s">
        <v>68</v>
      </c>
      <c r="W197" s="220" t="s">
        <v>68</v>
      </c>
      <c r="X197" s="406"/>
      <c r="Y197" s="138" t="s">
        <v>68</v>
      </c>
      <c r="Z197" s="80"/>
      <c r="AA197" s="81"/>
      <c r="AB197" s="4"/>
      <c r="AC197" s="34"/>
      <c r="AD197" s="36" t="s">
        <v>68</v>
      </c>
      <c r="AE197" s="119" t="s">
        <v>68</v>
      </c>
      <c r="AF197" s="119" t="s">
        <v>68</v>
      </c>
      <c r="AG197" s="7" t="s">
        <v>68</v>
      </c>
      <c r="AH197" s="235" t="s">
        <v>68</v>
      </c>
      <c r="AI197" s="385" t="s">
        <v>68</v>
      </c>
      <c r="AJ197" s="1"/>
      <c r="AK197" s="5"/>
      <c r="AL197" s="1"/>
      <c r="AM197" s="5"/>
      <c r="AN197" s="1"/>
      <c r="AO197" s="1"/>
      <c r="AP197" s="306"/>
      <c r="AQ197" s="37">
        <v>0</v>
      </c>
      <c r="AR197" s="1031">
        <v>0</v>
      </c>
      <c r="AS197" s="1018"/>
      <c r="AT197" s="386" t="s">
        <v>68</v>
      </c>
      <c r="AU197" s="245"/>
      <c r="AV197" s="387" t="s">
        <v>68</v>
      </c>
      <c r="AW197" s="388" t="s">
        <v>68</v>
      </c>
      <c r="AX197" s="20" t="s">
        <v>68</v>
      </c>
      <c r="AY197" s="1"/>
      <c r="AZ197" s="1"/>
      <c r="BA197" s="18"/>
      <c r="BB197" s="386" t="s">
        <v>68</v>
      </c>
      <c r="BC197" s="1957"/>
      <c r="BD197" s="1"/>
      <c r="BE197" s="1"/>
      <c r="BF197" s="1"/>
      <c r="BG197" s="38"/>
      <c r="BH197" s="14" t="s">
        <v>68</v>
      </c>
      <c r="BI197" s="794" t="s">
        <v>68</v>
      </c>
      <c r="BJ197" s="795" t="s">
        <v>68</v>
      </c>
      <c r="BK197" s="795" t="s">
        <v>68</v>
      </c>
      <c r="BL197" s="794"/>
      <c r="BM197" s="794"/>
      <c r="BN197" s="794"/>
      <c r="BO197" s="794"/>
      <c r="BP197" s="794"/>
      <c r="BQ197" s="794"/>
      <c r="BR197" s="794"/>
      <c r="BS197" s="794" t="s">
        <v>68</v>
      </c>
      <c r="BT197" s="14"/>
      <c r="BU197" s="14"/>
      <c r="BV197" s="14"/>
      <c r="BW197" s="14"/>
      <c r="BX197" s="14"/>
      <c r="BY197" s="1432" t="s">
        <v>1567</v>
      </c>
      <c r="BZ197" s="356" t="s">
        <v>459</v>
      </c>
      <c r="CA197" s="618"/>
      <c r="CB197" s="618"/>
      <c r="CC197" s="618"/>
      <c r="CD197" s="618"/>
      <c r="CE197" s="618"/>
      <c r="CF197" s="618"/>
      <c r="CG197" s="618"/>
      <c r="CH197" s="13"/>
    </row>
    <row r="198" spans="2:86" customFormat="1" ht="90.75" hidden="1" customHeight="1">
      <c r="B198" s="23"/>
      <c r="C198" s="23"/>
      <c r="D198" s="23"/>
      <c r="E198" s="23"/>
      <c r="F198" s="23"/>
      <c r="G198" s="1055">
        <v>42867</v>
      </c>
      <c r="H198" s="364">
        <v>43013</v>
      </c>
      <c r="I198" s="17">
        <v>2016</v>
      </c>
      <c r="J198" s="1676"/>
      <c r="K198" s="352" t="s">
        <v>163</v>
      </c>
      <c r="L198" s="357" t="s">
        <v>676</v>
      </c>
      <c r="M198" s="2" t="s">
        <v>467</v>
      </c>
      <c r="N198" s="354" t="s">
        <v>535</v>
      </c>
      <c r="O198" s="354" t="s">
        <v>4878</v>
      </c>
      <c r="P198" s="4">
        <v>100336</v>
      </c>
      <c r="Q198" s="6">
        <v>42583</v>
      </c>
      <c r="R198" s="5" t="s">
        <v>68</v>
      </c>
      <c r="S198" s="12" t="s">
        <v>68</v>
      </c>
      <c r="T198" s="14" t="s">
        <v>68</v>
      </c>
      <c r="U198" s="180" t="s">
        <v>68</v>
      </c>
      <c r="V198" s="19" t="s">
        <v>68</v>
      </c>
      <c r="W198" s="220" t="s">
        <v>68</v>
      </c>
      <c r="X198" s="406"/>
      <c r="Y198" s="138" t="s">
        <v>68</v>
      </c>
      <c r="Z198" s="80"/>
      <c r="AA198" s="81"/>
      <c r="AB198" s="4"/>
      <c r="AC198" s="34"/>
      <c r="AD198" s="36" t="s">
        <v>68</v>
      </c>
      <c r="AE198" s="119" t="s">
        <v>68</v>
      </c>
      <c r="AF198" s="119" t="s">
        <v>68</v>
      </c>
      <c r="AG198" s="7" t="s">
        <v>68</v>
      </c>
      <c r="AH198" s="235" t="s">
        <v>68</v>
      </c>
      <c r="AI198" s="385" t="s">
        <v>68</v>
      </c>
      <c r="AJ198" s="1"/>
      <c r="AK198" s="5"/>
      <c r="AL198" s="1"/>
      <c r="AM198" s="5"/>
      <c r="AN198" s="1"/>
      <c r="AO198" s="1"/>
      <c r="AP198" s="306"/>
      <c r="AQ198" s="37">
        <v>0</v>
      </c>
      <c r="AR198" s="1031">
        <v>0</v>
      </c>
      <c r="AS198" s="1018"/>
      <c r="AT198" s="386" t="s">
        <v>68</v>
      </c>
      <c r="AU198" s="245"/>
      <c r="AV198" s="387" t="s">
        <v>68</v>
      </c>
      <c r="AW198" s="388" t="s">
        <v>68</v>
      </c>
      <c r="AX198" s="20" t="s">
        <v>68</v>
      </c>
      <c r="AY198" s="1"/>
      <c r="AZ198" s="1"/>
      <c r="BA198" s="18"/>
      <c r="BB198" s="386" t="s">
        <v>68</v>
      </c>
      <c r="BC198" s="1957"/>
      <c r="BD198" s="1"/>
      <c r="BE198" s="1"/>
      <c r="BF198" s="1"/>
      <c r="BG198" s="38"/>
      <c r="BH198" s="14" t="s">
        <v>68</v>
      </c>
      <c r="BI198" s="794" t="s">
        <v>68</v>
      </c>
      <c r="BJ198" s="795" t="s">
        <v>68</v>
      </c>
      <c r="BK198" s="795" t="s">
        <v>68</v>
      </c>
      <c r="BL198" s="794"/>
      <c r="BM198" s="794"/>
      <c r="BN198" s="794"/>
      <c r="BO198" s="794"/>
      <c r="BP198" s="794"/>
      <c r="BQ198" s="794"/>
      <c r="BR198" s="794"/>
      <c r="BS198" s="794" t="s">
        <v>68</v>
      </c>
      <c r="BT198" s="14"/>
      <c r="BU198" s="14"/>
      <c r="BV198" s="14"/>
      <c r="BW198" s="14"/>
      <c r="BX198" s="14"/>
      <c r="BY198" s="1432" t="s">
        <v>1567</v>
      </c>
      <c r="BZ198" s="356" t="s">
        <v>459</v>
      </c>
      <c r="CA198" s="618"/>
      <c r="CB198" s="618"/>
      <c r="CC198" s="618"/>
      <c r="CD198" s="618"/>
      <c r="CE198" s="618"/>
      <c r="CF198" s="618"/>
      <c r="CG198" s="618"/>
      <c r="CH198" s="13"/>
    </row>
    <row r="199" spans="2:86" customFormat="1" ht="75" hidden="1" customHeight="1">
      <c r="B199" s="23"/>
      <c r="C199" s="23"/>
      <c r="D199" s="23"/>
      <c r="E199" s="23"/>
      <c r="F199" s="23"/>
      <c r="G199" s="1055">
        <v>42867</v>
      </c>
      <c r="H199" s="364">
        <v>43013</v>
      </c>
      <c r="I199" s="17">
        <v>2016</v>
      </c>
      <c r="J199" s="1676"/>
      <c r="K199" s="352" t="s">
        <v>163</v>
      </c>
      <c r="L199" s="357" t="s">
        <v>677</v>
      </c>
      <c r="M199" s="2" t="s">
        <v>467</v>
      </c>
      <c r="N199" s="354" t="s">
        <v>539</v>
      </c>
      <c r="O199" s="354" t="s">
        <v>4878</v>
      </c>
      <c r="P199" s="4">
        <v>214516</v>
      </c>
      <c r="Q199" s="6">
        <v>42583</v>
      </c>
      <c r="R199" s="5" t="s">
        <v>68</v>
      </c>
      <c r="S199" s="12" t="s">
        <v>68</v>
      </c>
      <c r="T199" s="14" t="s">
        <v>68</v>
      </c>
      <c r="U199" s="180" t="s">
        <v>68</v>
      </c>
      <c r="V199" s="19" t="s">
        <v>68</v>
      </c>
      <c r="W199" s="220" t="s">
        <v>68</v>
      </c>
      <c r="X199" s="406"/>
      <c r="Y199" s="138" t="s">
        <v>68</v>
      </c>
      <c r="Z199" s="80"/>
      <c r="AA199" s="81"/>
      <c r="AB199" s="4"/>
      <c r="AC199" s="34"/>
      <c r="AD199" s="36" t="s">
        <v>68</v>
      </c>
      <c r="AE199" s="119" t="s">
        <v>68</v>
      </c>
      <c r="AF199" s="119" t="s">
        <v>68</v>
      </c>
      <c r="AG199" s="7" t="s">
        <v>68</v>
      </c>
      <c r="AH199" s="235" t="s">
        <v>68</v>
      </c>
      <c r="AI199" s="385" t="s">
        <v>68</v>
      </c>
      <c r="AJ199" s="1"/>
      <c r="AK199" s="5"/>
      <c r="AL199" s="1"/>
      <c r="AM199" s="5"/>
      <c r="AN199" s="1"/>
      <c r="AO199" s="1"/>
      <c r="AP199" s="306"/>
      <c r="AQ199" s="37">
        <v>0</v>
      </c>
      <c r="AR199" s="1031">
        <v>0</v>
      </c>
      <c r="AS199" s="1018"/>
      <c r="AT199" s="386" t="s">
        <v>68</v>
      </c>
      <c r="AU199" s="245"/>
      <c r="AV199" s="387" t="s">
        <v>68</v>
      </c>
      <c r="AW199" s="388" t="s">
        <v>68</v>
      </c>
      <c r="AX199" s="20" t="s">
        <v>68</v>
      </c>
      <c r="AY199" s="1"/>
      <c r="AZ199" s="1"/>
      <c r="BA199" s="18"/>
      <c r="BB199" s="386" t="s">
        <v>68</v>
      </c>
      <c r="BC199" s="1957"/>
      <c r="BD199" s="1"/>
      <c r="BE199" s="1"/>
      <c r="BF199" s="1"/>
      <c r="BG199" s="38"/>
      <c r="BH199" s="14" t="s">
        <v>68</v>
      </c>
      <c r="BI199" s="794" t="s">
        <v>68</v>
      </c>
      <c r="BJ199" s="795" t="s">
        <v>68</v>
      </c>
      <c r="BK199" s="795" t="s">
        <v>68</v>
      </c>
      <c r="BL199" s="794"/>
      <c r="BM199" s="794"/>
      <c r="BN199" s="794"/>
      <c r="BO199" s="794"/>
      <c r="BP199" s="794"/>
      <c r="BQ199" s="794"/>
      <c r="BR199" s="794"/>
      <c r="BS199" s="794" t="s">
        <v>68</v>
      </c>
      <c r="BT199" s="14"/>
      <c r="BU199" s="14"/>
      <c r="BV199" s="14"/>
      <c r="BW199" s="14"/>
      <c r="BX199" s="14"/>
      <c r="BY199" s="1432" t="s">
        <v>1567</v>
      </c>
      <c r="BZ199" s="356" t="s">
        <v>459</v>
      </c>
      <c r="CA199" s="618"/>
      <c r="CB199" s="618"/>
      <c r="CC199" s="618"/>
      <c r="CD199" s="618"/>
      <c r="CE199" s="618"/>
      <c r="CF199" s="618"/>
      <c r="CG199" s="618"/>
      <c r="CH199" s="13"/>
    </row>
    <row r="200" spans="2:86" customFormat="1" ht="60" hidden="1" customHeight="1">
      <c r="B200" s="23"/>
      <c r="C200" s="23"/>
      <c r="D200" s="23"/>
      <c r="E200" s="23"/>
      <c r="F200" s="23"/>
      <c r="G200" s="1055">
        <v>42867</v>
      </c>
      <c r="H200" s="364">
        <v>43013</v>
      </c>
      <c r="I200" s="17">
        <v>2016</v>
      </c>
      <c r="J200" s="1676"/>
      <c r="K200" s="352" t="s">
        <v>163</v>
      </c>
      <c r="L200" s="357" t="s">
        <v>678</v>
      </c>
      <c r="M200" s="2" t="s">
        <v>467</v>
      </c>
      <c r="N200" s="354" t="s">
        <v>679</v>
      </c>
      <c r="O200" s="354" t="s">
        <v>1979</v>
      </c>
      <c r="P200" s="4">
        <v>233400</v>
      </c>
      <c r="Q200" s="6">
        <v>42583</v>
      </c>
      <c r="R200" s="5" t="s">
        <v>68</v>
      </c>
      <c r="S200" s="12" t="s">
        <v>68</v>
      </c>
      <c r="T200" s="14" t="s">
        <v>68</v>
      </c>
      <c r="U200" s="180" t="s">
        <v>68</v>
      </c>
      <c r="V200" s="19" t="s">
        <v>68</v>
      </c>
      <c r="W200" s="220" t="s">
        <v>68</v>
      </c>
      <c r="X200" s="406"/>
      <c r="Y200" s="138" t="s">
        <v>68</v>
      </c>
      <c r="Z200" s="80"/>
      <c r="AA200" s="81"/>
      <c r="AB200" s="4"/>
      <c r="AC200" s="34"/>
      <c r="AD200" s="36" t="s">
        <v>68</v>
      </c>
      <c r="AE200" s="119" t="s">
        <v>68</v>
      </c>
      <c r="AF200" s="119" t="s">
        <v>68</v>
      </c>
      <c r="AG200" s="7" t="s">
        <v>68</v>
      </c>
      <c r="AH200" s="235" t="s">
        <v>68</v>
      </c>
      <c r="AI200" s="385" t="s">
        <v>68</v>
      </c>
      <c r="AJ200" s="1"/>
      <c r="AK200" s="5"/>
      <c r="AL200" s="1"/>
      <c r="AM200" s="5"/>
      <c r="AN200" s="1"/>
      <c r="AO200" s="1"/>
      <c r="AP200" s="306"/>
      <c r="AQ200" s="37">
        <v>0</v>
      </c>
      <c r="AR200" s="1031">
        <v>0</v>
      </c>
      <c r="AS200" s="1018"/>
      <c r="AT200" s="386" t="s">
        <v>68</v>
      </c>
      <c r="AU200" s="245"/>
      <c r="AV200" s="387" t="s">
        <v>68</v>
      </c>
      <c r="AW200" s="388" t="s">
        <v>68</v>
      </c>
      <c r="AX200" s="20" t="s">
        <v>68</v>
      </c>
      <c r="AY200" s="1"/>
      <c r="AZ200" s="1"/>
      <c r="BA200" s="18"/>
      <c r="BB200" s="386" t="s">
        <v>68</v>
      </c>
      <c r="BC200" s="1957"/>
      <c r="BD200" s="1"/>
      <c r="BE200" s="1"/>
      <c r="BF200" s="1"/>
      <c r="BG200" s="38"/>
      <c r="BH200" s="14" t="s">
        <v>68</v>
      </c>
      <c r="BI200" s="794" t="s">
        <v>68</v>
      </c>
      <c r="BJ200" s="795" t="s">
        <v>68</v>
      </c>
      <c r="BK200" s="795" t="s">
        <v>68</v>
      </c>
      <c r="BL200" s="794"/>
      <c r="BM200" s="794"/>
      <c r="BN200" s="794"/>
      <c r="BO200" s="794"/>
      <c r="BP200" s="794"/>
      <c r="BQ200" s="794"/>
      <c r="BR200" s="794"/>
      <c r="BS200" s="794" t="s">
        <v>68</v>
      </c>
      <c r="BT200" s="14"/>
      <c r="BU200" s="14"/>
      <c r="BV200" s="14"/>
      <c r="BW200" s="14"/>
      <c r="BX200" s="14"/>
      <c r="BY200" s="1432" t="s">
        <v>1567</v>
      </c>
      <c r="BZ200" s="356" t="s">
        <v>459</v>
      </c>
      <c r="CA200" s="618"/>
      <c r="CB200" s="618"/>
      <c r="CC200" s="618"/>
      <c r="CD200" s="618"/>
      <c r="CE200" s="618"/>
      <c r="CF200" s="618"/>
      <c r="CG200" s="618"/>
      <c r="CH200" s="13"/>
    </row>
    <row r="201" spans="2:86" customFormat="1" ht="75" hidden="1" customHeight="1">
      <c r="B201" s="23"/>
      <c r="C201" s="23"/>
      <c r="D201" s="23"/>
      <c r="E201" s="23"/>
      <c r="F201" s="23"/>
      <c r="G201" s="1055">
        <v>42867</v>
      </c>
      <c r="H201" s="364">
        <v>43013</v>
      </c>
      <c r="I201" s="17">
        <v>2016</v>
      </c>
      <c r="J201" s="1676"/>
      <c r="K201" s="352" t="s">
        <v>163</v>
      </c>
      <c r="L201" s="357" t="s">
        <v>680</v>
      </c>
      <c r="M201" s="2" t="s">
        <v>467</v>
      </c>
      <c r="N201" s="354" t="s">
        <v>539</v>
      </c>
      <c r="O201" s="354" t="s">
        <v>4878</v>
      </c>
      <c r="P201" s="4">
        <v>136120</v>
      </c>
      <c r="Q201" s="6">
        <v>42583</v>
      </c>
      <c r="R201" s="5" t="s">
        <v>68</v>
      </c>
      <c r="S201" s="12" t="s">
        <v>68</v>
      </c>
      <c r="T201" s="14" t="s">
        <v>68</v>
      </c>
      <c r="U201" s="180" t="s">
        <v>68</v>
      </c>
      <c r="V201" s="19" t="s">
        <v>68</v>
      </c>
      <c r="W201" s="220" t="s">
        <v>68</v>
      </c>
      <c r="X201" s="406"/>
      <c r="Y201" s="138" t="s">
        <v>68</v>
      </c>
      <c r="Z201" s="80"/>
      <c r="AA201" s="81"/>
      <c r="AB201" s="4"/>
      <c r="AC201" s="34"/>
      <c r="AD201" s="36" t="s">
        <v>68</v>
      </c>
      <c r="AE201" s="119" t="s">
        <v>68</v>
      </c>
      <c r="AF201" s="119" t="s">
        <v>68</v>
      </c>
      <c r="AG201" s="7" t="s">
        <v>68</v>
      </c>
      <c r="AH201" s="235" t="s">
        <v>68</v>
      </c>
      <c r="AI201" s="385" t="s">
        <v>68</v>
      </c>
      <c r="AJ201" s="1"/>
      <c r="AK201" s="5"/>
      <c r="AL201" s="1"/>
      <c r="AM201" s="5"/>
      <c r="AN201" s="1"/>
      <c r="AO201" s="1"/>
      <c r="AP201" s="306"/>
      <c r="AQ201" s="37">
        <v>0</v>
      </c>
      <c r="AR201" s="1031">
        <v>0</v>
      </c>
      <c r="AS201" s="1018"/>
      <c r="AT201" s="386" t="s">
        <v>68</v>
      </c>
      <c r="AU201" s="245"/>
      <c r="AV201" s="387" t="s">
        <v>68</v>
      </c>
      <c r="AW201" s="388" t="s">
        <v>68</v>
      </c>
      <c r="AX201" s="20" t="s">
        <v>68</v>
      </c>
      <c r="AY201" s="1"/>
      <c r="AZ201" s="1"/>
      <c r="BA201" s="18"/>
      <c r="BB201" s="386" t="s">
        <v>68</v>
      </c>
      <c r="BC201" s="1957"/>
      <c r="BD201" s="1"/>
      <c r="BE201" s="1"/>
      <c r="BF201" s="1"/>
      <c r="BG201" s="38"/>
      <c r="BH201" s="14" t="s">
        <v>68</v>
      </c>
      <c r="BI201" s="794" t="s">
        <v>68</v>
      </c>
      <c r="BJ201" s="795" t="s">
        <v>68</v>
      </c>
      <c r="BK201" s="795" t="s">
        <v>68</v>
      </c>
      <c r="BL201" s="794"/>
      <c r="BM201" s="794"/>
      <c r="BN201" s="794"/>
      <c r="BO201" s="794"/>
      <c r="BP201" s="794"/>
      <c r="BQ201" s="794"/>
      <c r="BR201" s="794"/>
      <c r="BS201" s="794" t="s">
        <v>68</v>
      </c>
      <c r="BT201" s="14"/>
      <c r="BU201" s="14"/>
      <c r="BV201" s="14"/>
      <c r="BW201" s="14"/>
      <c r="BX201" s="14"/>
      <c r="BY201" s="1432" t="s">
        <v>1567</v>
      </c>
      <c r="BZ201" s="356" t="s">
        <v>459</v>
      </c>
      <c r="CA201" s="618"/>
      <c r="CB201" s="618"/>
      <c r="CC201" s="618"/>
      <c r="CD201" s="618"/>
      <c r="CE201" s="618"/>
      <c r="CF201" s="618"/>
      <c r="CG201" s="618"/>
      <c r="CH201" s="13"/>
    </row>
    <row r="202" spans="2:86" customFormat="1" ht="90" hidden="1" customHeight="1">
      <c r="B202" s="23"/>
      <c r="C202" s="23"/>
      <c r="D202" s="23"/>
      <c r="E202" s="23"/>
      <c r="F202" s="23"/>
      <c r="G202" s="1055">
        <v>42867</v>
      </c>
      <c r="H202" s="364">
        <v>43013</v>
      </c>
      <c r="I202" s="17">
        <v>2016</v>
      </c>
      <c r="J202" s="1676"/>
      <c r="K202" s="352" t="s">
        <v>163</v>
      </c>
      <c r="L202" s="357" t="s">
        <v>681</v>
      </c>
      <c r="M202" s="2" t="s">
        <v>467</v>
      </c>
      <c r="N202" s="354" t="s">
        <v>682</v>
      </c>
      <c r="O202" s="354" t="s">
        <v>2574</v>
      </c>
      <c r="P202" s="4">
        <v>525186</v>
      </c>
      <c r="Q202" s="6">
        <v>42583</v>
      </c>
      <c r="R202" s="5" t="s">
        <v>68</v>
      </c>
      <c r="S202" s="12" t="s">
        <v>68</v>
      </c>
      <c r="T202" s="14" t="s">
        <v>68</v>
      </c>
      <c r="U202" s="180" t="s">
        <v>68</v>
      </c>
      <c r="V202" s="19" t="s">
        <v>68</v>
      </c>
      <c r="W202" s="220" t="s">
        <v>68</v>
      </c>
      <c r="X202" s="406"/>
      <c r="Y202" s="138" t="s">
        <v>68</v>
      </c>
      <c r="Z202" s="80"/>
      <c r="AA202" s="81"/>
      <c r="AB202" s="4"/>
      <c r="AC202" s="34"/>
      <c r="AD202" s="36" t="s">
        <v>68</v>
      </c>
      <c r="AE202" s="119" t="s">
        <v>68</v>
      </c>
      <c r="AF202" s="119" t="s">
        <v>68</v>
      </c>
      <c r="AG202" s="7" t="s">
        <v>68</v>
      </c>
      <c r="AH202" s="235" t="s">
        <v>68</v>
      </c>
      <c r="AI202" s="385" t="s">
        <v>68</v>
      </c>
      <c r="AJ202" s="1"/>
      <c r="AK202" s="5"/>
      <c r="AL202" s="1"/>
      <c r="AM202" s="5"/>
      <c r="AN202" s="1"/>
      <c r="AO202" s="1"/>
      <c r="AP202" s="306"/>
      <c r="AQ202" s="37">
        <v>0</v>
      </c>
      <c r="AR202" s="1031">
        <v>0</v>
      </c>
      <c r="AS202" s="1018"/>
      <c r="AT202" s="386" t="s">
        <v>68</v>
      </c>
      <c r="AU202" s="245"/>
      <c r="AV202" s="387" t="s">
        <v>68</v>
      </c>
      <c r="AW202" s="388" t="s">
        <v>68</v>
      </c>
      <c r="AX202" s="20" t="s">
        <v>68</v>
      </c>
      <c r="AY202" s="1"/>
      <c r="AZ202" s="1"/>
      <c r="BA202" s="18"/>
      <c r="BB202" s="386" t="s">
        <v>68</v>
      </c>
      <c r="BC202" s="1957"/>
      <c r="BD202" s="1"/>
      <c r="BE202" s="1"/>
      <c r="BF202" s="1"/>
      <c r="BG202" s="38"/>
      <c r="BH202" s="14" t="s">
        <v>68</v>
      </c>
      <c r="BI202" s="794" t="s">
        <v>68</v>
      </c>
      <c r="BJ202" s="795" t="s">
        <v>68</v>
      </c>
      <c r="BK202" s="795" t="s">
        <v>68</v>
      </c>
      <c r="BL202" s="794"/>
      <c r="BM202" s="794"/>
      <c r="BN202" s="794"/>
      <c r="BO202" s="794"/>
      <c r="BP202" s="794"/>
      <c r="BQ202" s="794"/>
      <c r="BR202" s="794"/>
      <c r="BS202" s="794" t="s">
        <v>68</v>
      </c>
      <c r="BT202" s="14"/>
      <c r="BU202" s="14"/>
      <c r="BV202" s="14"/>
      <c r="BW202" s="14"/>
      <c r="BX202" s="14"/>
      <c r="BY202" s="1432" t="s">
        <v>1567</v>
      </c>
      <c r="BZ202" s="356" t="s">
        <v>459</v>
      </c>
      <c r="CA202" s="618"/>
      <c r="CB202" s="618"/>
      <c r="CC202" s="618"/>
      <c r="CD202" s="618"/>
      <c r="CE202" s="618"/>
      <c r="CF202" s="618"/>
      <c r="CG202" s="618"/>
      <c r="CH202" s="13"/>
    </row>
    <row r="203" spans="2:86" customFormat="1" ht="75" hidden="1" customHeight="1">
      <c r="B203" s="23"/>
      <c r="C203" s="23"/>
      <c r="D203" s="23"/>
      <c r="E203" s="23"/>
      <c r="F203" s="23"/>
      <c r="G203" s="1055">
        <v>42867</v>
      </c>
      <c r="H203" s="364">
        <v>43013</v>
      </c>
      <c r="I203" s="17">
        <v>2016</v>
      </c>
      <c r="J203" s="1676"/>
      <c r="K203" s="352" t="s">
        <v>163</v>
      </c>
      <c r="L203" s="357" t="s">
        <v>683</v>
      </c>
      <c r="M203" s="2" t="s">
        <v>467</v>
      </c>
      <c r="N203" s="354" t="s">
        <v>684</v>
      </c>
      <c r="O203" s="354" t="s">
        <v>3664</v>
      </c>
      <c r="P203" s="4">
        <v>678342</v>
      </c>
      <c r="Q203" s="6">
        <v>42583</v>
      </c>
      <c r="R203" s="5" t="s">
        <v>68</v>
      </c>
      <c r="S203" s="12" t="s">
        <v>68</v>
      </c>
      <c r="T203" s="14" t="s">
        <v>68</v>
      </c>
      <c r="U203" s="180" t="s">
        <v>68</v>
      </c>
      <c r="V203" s="19" t="s">
        <v>68</v>
      </c>
      <c r="W203" s="220" t="s">
        <v>68</v>
      </c>
      <c r="X203" s="406"/>
      <c r="Y203" s="138" t="s">
        <v>68</v>
      </c>
      <c r="Z203" s="80"/>
      <c r="AA203" s="81"/>
      <c r="AB203" s="4"/>
      <c r="AC203" s="34"/>
      <c r="AD203" s="36" t="s">
        <v>68</v>
      </c>
      <c r="AE203" s="119" t="s">
        <v>68</v>
      </c>
      <c r="AF203" s="119" t="s">
        <v>68</v>
      </c>
      <c r="AG203" s="7" t="s">
        <v>68</v>
      </c>
      <c r="AH203" s="235" t="s">
        <v>68</v>
      </c>
      <c r="AI203" s="385" t="s">
        <v>68</v>
      </c>
      <c r="AJ203" s="1"/>
      <c r="AK203" s="5"/>
      <c r="AL203" s="1"/>
      <c r="AM203" s="5"/>
      <c r="AN203" s="1"/>
      <c r="AO203" s="1"/>
      <c r="AP203" s="306"/>
      <c r="AQ203" s="37">
        <v>0</v>
      </c>
      <c r="AR203" s="1031">
        <v>0</v>
      </c>
      <c r="AS203" s="1018"/>
      <c r="AT203" s="386" t="s">
        <v>68</v>
      </c>
      <c r="AU203" s="245"/>
      <c r="AV203" s="387" t="s">
        <v>68</v>
      </c>
      <c r="AW203" s="388" t="s">
        <v>68</v>
      </c>
      <c r="AX203" s="20" t="s">
        <v>68</v>
      </c>
      <c r="AY203" s="1"/>
      <c r="AZ203" s="1"/>
      <c r="BA203" s="18"/>
      <c r="BB203" s="386" t="s">
        <v>68</v>
      </c>
      <c r="BC203" s="1957"/>
      <c r="BD203" s="1"/>
      <c r="BE203" s="1"/>
      <c r="BF203" s="1"/>
      <c r="BG203" s="38"/>
      <c r="BH203" s="14" t="s">
        <v>68</v>
      </c>
      <c r="BI203" s="794" t="s">
        <v>68</v>
      </c>
      <c r="BJ203" s="795" t="s">
        <v>68</v>
      </c>
      <c r="BK203" s="795" t="s">
        <v>68</v>
      </c>
      <c r="BL203" s="794"/>
      <c r="BM203" s="794"/>
      <c r="BN203" s="794"/>
      <c r="BO203" s="794"/>
      <c r="BP203" s="794"/>
      <c r="BQ203" s="794"/>
      <c r="BR203" s="794"/>
      <c r="BS203" s="794" t="s">
        <v>68</v>
      </c>
      <c r="BT203" s="14"/>
      <c r="BU203" s="14"/>
      <c r="BV203" s="14"/>
      <c r="BW203" s="14"/>
      <c r="BX203" s="14"/>
      <c r="BY203" s="1432" t="s">
        <v>1567</v>
      </c>
      <c r="BZ203" s="356" t="s">
        <v>459</v>
      </c>
      <c r="CA203" s="618"/>
      <c r="CB203" s="618"/>
      <c r="CC203" s="618"/>
      <c r="CD203" s="618"/>
      <c r="CE203" s="618"/>
      <c r="CF203" s="618"/>
      <c r="CG203" s="618"/>
      <c r="CH203" s="13"/>
    </row>
    <row r="204" spans="2:86" customFormat="1" ht="56.25" hidden="1" customHeight="1">
      <c r="B204" s="23"/>
      <c r="C204" s="23"/>
      <c r="D204" s="23"/>
      <c r="E204" s="23"/>
      <c r="F204" s="23"/>
      <c r="G204" s="1055">
        <v>42867</v>
      </c>
      <c r="H204" s="364">
        <v>43013</v>
      </c>
      <c r="I204" s="17">
        <v>2016</v>
      </c>
      <c r="J204" s="1676"/>
      <c r="K204" s="352" t="s">
        <v>163</v>
      </c>
      <c r="L204" s="357" t="s">
        <v>685</v>
      </c>
      <c r="M204" s="2" t="s">
        <v>467</v>
      </c>
      <c r="N204" s="354" t="s">
        <v>626</v>
      </c>
      <c r="O204" s="354" t="s">
        <v>3664</v>
      </c>
      <c r="P204" s="4">
        <v>2426000</v>
      </c>
      <c r="Q204" s="6">
        <v>42583</v>
      </c>
      <c r="R204" s="5" t="s">
        <v>68</v>
      </c>
      <c r="S204" s="12" t="s">
        <v>68</v>
      </c>
      <c r="T204" s="14" t="s">
        <v>68</v>
      </c>
      <c r="U204" s="180" t="s">
        <v>68</v>
      </c>
      <c r="V204" s="19" t="s">
        <v>68</v>
      </c>
      <c r="W204" s="220" t="s">
        <v>68</v>
      </c>
      <c r="X204" s="406"/>
      <c r="Y204" s="138" t="s">
        <v>68</v>
      </c>
      <c r="Z204" s="80"/>
      <c r="AA204" s="81"/>
      <c r="AB204" s="4"/>
      <c r="AC204" s="34"/>
      <c r="AD204" s="36" t="s">
        <v>68</v>
      </c>
      <c r="AE204" s="119" t="s">
        <v>68</v>
      </c>
      <c r="AF204" s="119" t="s">
        <v>68</v>
      </c>
      <c r="AG204" s="7" t="s">
        <v>68</v>
      </c>
      <c r="AH204" s="235" t="s">
        <v>68</v>
      </c>
      <c r="AI204" s="385" t="s">
        <v>68</v>
      </c>
      <c r="AJ204" s="1"/>
      <c r="AK204" s="5"/>
      <c r="AL204" s="1"/>
      <c r="AM204" s="5"/>
      <c r="AN204" s="1"/>
      <c r="AO204" s="1"/>
      <c r="AP204" s="306"/>
      <c r="AQ204" s="37">
        <v>0</v>
      </c>
      <c r="AR204" s="1031">
        <v>0</v>
      </c>
      <c r="AS204" s="1018"/>
      <c r="AT204" s="386" t="s">
        <v>68</v>
      </c>
      <c r="AU204" s="245"/>
      <c r="AV204" s="387" t="s">
        <v>68</v>
      </c>
      <c r="AW204" s="388" t="s">
        <v>68</v>
      </c>
      <c r="AX204" s="20" t="s">
        <v>68</v>
      </c>
      <c r="AY204" s="1"/>
      <c r="AZ204" s="1"/>
      <c r="BA204" s="18"/>
      <c r="BB204" s="386" t="s">
        <v>68</v>
      </c>
      <c r="BC204" s="1957"/>
      <c r="BD204" s="1"/>
      <c r="BE204" s="1"/>
      <c r="BF204" s="1"/>
      <c r="BG204" s="38"/>
      <c r="BH204" s="14" t="s">
        <v>68</v>
      </c>
      <c r="BI204" s="794" t="s">
        <v>68</v>
      </c>
      <c r="BJ204" s="795" t="s">
        <v>68</v>
      </c>
      <c r="BK204" s="795" t="s">
        <v>68</v>
      </c>
      <c r="BL204" s="794"/>
      <c r="BM204" s="794"/>
      <c r="BN204" s="794"/>
      <c r="BO204" s="794"/>
      <c r="BP204" s="794"/>
      <c r="BQ204" s="794"/>
      <c r="BR204" s="794"/>
      <c r="BS204" s="794" t="s">
        <v>68</v>
      </c>
      <c r="BT204" s="14"/>
      <c r="BU204" s="14"/>
      <c r="BV204" s="14"/>
      <c r="BW204" s="14"/>
      <c r="BX204" s="14"/>
      <c r="BY204" s="1432" t="s">
        <v>1567</v>
      </c>
      <c r="BZ204" s="356" t="s">
        <v>459</v>
      </c>
      <c r="CA204" s="618"/>
      <c r="CB204" s="618"/>
      <c r="CC204" s="618"/>
      <c r="CD204" s="618"/>
      <c r="CE204" s="618"/>
      <c r="CF204" s="618"/>
      <c r="CG204" s="618"/>
      <c r="CH204" s="13"/>
    </row>
    <row r="205" spans="2:86" customFormat="1" ht="105" hidden="1" customHeight="1">
      <c r="B205" s="23"/>
      <c r="C205" s="23"/>
      <c r="D205" s="23"/>
      <c r="E205" s="23"/>
      <c r="F205" s="23"/>
      <c r="G205" s="1055">
        <v>42867</v>
      </c>
      <c r="H205" s="364">
        <v>43013</v>
      </c>
      <c r="I205" s="17">
        <v>2016</v>
      </c>
      <c r="J205" s="1676"/>
      <c r="K205" s="352" t="s">
        <v>163</v>
      </c>
      <c r="L205" s="357" t="s">
        <v>686</v>
      </c>
      <c r="M205" s="2" t="s">
        <v>467</v>
      </c>
      <c r="N205" s="354" t="s">
        <v>687</v>
      </c>
      <c r="O205" s="354" t="s">
        <v>4878</v>
      </c>
      <c r="P205" s="4">
        <v>236752</v>
      </c>
      <c r="Q205" s="6">
        <v>42583</v>
      </c>
      <c r="R205" s="5" t="s">
        <v>68</v>
      </c>
      <c r="S205" s="12" t="s">
        <v>68</v>
      </c>
      <c r="T205" s="14" t="s">
        <v>68</v>
      </c>
      <c r="U205" s="180" t="s">
        <v>68</v>
      </c>
      <c r="V205" s="19" t="s">
        <v>68</v>
      </c>
      <c r="W205" s="220" t="s">
        <v>68</v>
      </c>
      <c r="X205" s="406"/>
      <c r="Y205" s="138" t="s">
        <v>68</v>
      </c>
      <c r="Z205" s="80"/>
      <c r="AA205" s="81"/>
      <c r="AB205" s="4"/>
      <c r="AC205" s="34"/>
      <c r="AD205" s="36" t="s">
        <v>68</v>
      </c>
      <c r="AE205" s="119" t="s">
        <v>68</v>
      </c>
      <c r="AF205" s="119" t="s">
        <v>68</v>
      </c>
      <c r="AG205" s="7" t="s">
        <v>68</v>
      </c>
      <c r="AH205" s="235" t="s">
        <v>68</v>
      </c>
      <c r="AI205" s="385" t="s">
        <v>68</v>
      </c>
      <c r="AJ205" s="1"/>
      <c r="AK205" s="5"/>
      <c r="AL205" s="1"/>
      <c r="AM205" s="5"/>
      <c r="AN205" s="1"/>
      <c r="AO205" s="1"/>
      <c r="AP205" s="306"/>
      <c r="AQ205" s="37">
        <v>0</v>
      </c>
      <c r="AR205" s="1031">
        <v>0</v>
      </c>
      <c r="AS205" s="1018"/>
      <c r="AT205" s="386" t="s">
        <v>68</v>
      </c>
      <c r="AU205" s="245"/>
      <c r="AV205" s="387" t="s">
        <v>68</v>
      </c>
      <c r="AW205" s="388" t="s">
        <v>68</v>
      </c>
      <c r="AX205" s="20" t="s">
        <v>68</v>
      </c>
      <c r="AY205" s="1"/>
      <c r="AZ205" s="1"/>
      <c r="BA205" s="18"/>
      <c r="BB205" s="386" t="s">
        <v>68</v>
      </c>
      <c r="BC205" s="1957"/>
      <c r="BD205" s="1"/>
      <c r="BE205" s="1"/>
      <c r="BF205" s="1"/>
      <c r="BG205" s="38"/>
      <c r="BH205" s="14" t="s">
        <v>68</v>
      </c>
      <c r="BI205" s="794" t="s">
        <v>68</v>
      </c>
      <c r="BJ205" s="795" t="s">
        <v>68</v>
      </c>
      <c r="BK205" s="795" t="s">
        <v>68</v>
      </c>
      <c r="BL205" s="794"/>
      <c r="BM205" s="794"/>
      <c r="BN205" s="794"/>
      <c r="BO205" s="794"/>
      <c r="BP205" s="794"/>
      <c r="BQ205" s="794"/>
      <c r="BR205" s="794"/>
      <c r="BS205" s="794" t="s">
        <v>68</v>
      </c>
      <c r="BT205" s="14"/>
      <c r="BU205" s="14"/>
      <c r="BV205" s="14"/>
      <c r="BW205" s="14"/>
      <c r="BX205" s="14"/>
      <c r="BY205" s="1432" t="s">
        <v>1567</v>
      </c>
      <c r="BZ205" s="356" t="s">
        <v>459</v>
      </c>
      <c r="CA205" s="618"/>
      <c r="CB205" s="618"/>
      <c r="CC205" s="618"/>
      <c r="CD205" s="618"/>
      <c r="CE205" s="618"/>
      <c r="CF205" s="618"/>
      <c r="CG205" s="618"/>
      <c r="CH205" s="13"/>
    </row>
    <row r="206" spans="2:86" customFormat="1" ht="90" hidden="1" customHeight="1">
      <c r="B206" s="23"/>
      <c r="C206" s="23"/>
      <c r="D206" s="23"/>
      <c r="E206" s="23"/>
      <c r="F206" s="23"/>
      <c r="G206" s="1055">
        <v>42867</v>
      </c>
      <c r="H206" s="364">
        <v>43013</v>
      </c>
      <c r="I206" s="17">
        <v>2016</v>
      </c>
      <c r="J206" s="1676"/>
      <c r="K206" s="352" t="s">
        <v>163</v>
      </c>
      <c r="L206" s="357" t="s">
        <v>688</v>
      </c>
      <c r="M206" s="2" t="s">
        <v>467</v>
      </c>
      <c r="N206" s="354" t="s">
        <v>543</v>
      </c>
      <c r="O206" s="354" t="s">
        <v>4878</v>
      </c>
      <c r="P206" s="4">
        <v>259860</v>
      </c>
      <c r="Q206" s="6">
        <v>42583</v>
      </c>
      <c r="R206" s="5" t="s">
        <v>68</v>
      </c>
      <c r="S206" s="12" t="s">
        <v>68</v>
      </c>
      <c r="T206" s="14" t="s">
        <v>68</v>
      </c>
      <c r="U206" s="180" t="s">
        <v>68</v>
      </c>
      <c r="V206" s="19" t="s">
        <v>68</v>
      </c>
      <c r="W206" s="220" t="s">
        <v>68</v>
      </c>
      <c r="X206" s="406"/>
      <c r="Y206" s="138" t="s">
        <v>68</v>
      </c>
      <c r="Z206" s="80"/>
      <c r="AA206" s="81"/>
      <c r="AB206" s="4"/>
      <c r="AC206" s="34"/>
      <c r="AD206" s="36" t="s">
        <v>68</v>
      </c>
      <c r="AE206" s="119" t="s">
        <v>68</v>
      </c>
      <c r="AF206" s="119" t="s">
        <v>68</v>
      </c>
      <c r="AG206" s="7" t="s">
        <v>68</v>
      </c>
      <c r="AH206" s="235" t="s">
        <v>68</v>
      </c>
      <c r="AI206" s="385" t="s">
        <v>68</v>
      </c>
      <c r="AJ206" s="1"/>
      <c r="AK206" s="5"/>
      <c r="AL206" s="1"/>
      <c r="AM206" s="5"/>
      <c r="AN206" s="1"/>
      <c r="AO206" s="1"/>
      <c r="AP206" s="306"/>
      <c r="AQ206" s="37">
        <v>0</v>
      </c>
      <c r="AR206" s="1031">
        <v>0</v>
      </c>
      <c r="AS206" s="1018"/>
      <c r="AT206" s="386" t="s">
        <v>68</v>
      </c>
      <c r="AU206" s="245"/>
      <c r="AV206" s="387" t="s">
        <v>68</v>
      </c>
      <c r="AW206" s="388" t="s">
        <v>68</v>
      </c>
      <c r="AX206" s="20" t="s">
        <v>68</v>
      </c>
      <c r="AY206" s="1"/>
      <c r="AZ206" s="1"/>
      <c r="BA206" s="18"/>
      <c r="BB206" s="386" t="s">
        <v>68</v>
      </c>
      <c r="BC206" s="1957"/>
      <c r="BD206" s="1"/>
      <c r="BE206" s="1"/>
      <c r="BF206" s="1"/>
      <c r="BG206" s="38"/>
      <c r="BH206" s="14" t="s">
        <v>68</v>
      </c>
      <c r="BI206" s="794" t="s">
        <v>68</v>
      </c>
      <c r="BJ206" s="795" t="s">
        <v>68</v>
      </c>
      <c r="BK206" s="795" t="s">
        <v>68</v>
      </c>
      <c r="BL206" s="794"/>
      <c r="BM206" s="794"/>
      <c r="BN206" s="794"/>
      <c r="BO206" s="794"/>
      <c r="BP206" s="794"/>
      <c r="BQ206" s="794"/>
      <c r="BR206" s="794"/>
      <c r="BS206" s="794" t="s">
        <v>68</v>
      </c>
      <c r="BT206" s="14"/>
      <c r="BU206" s="14"/>
      <c r="BV206" s="14"/>
      <c r="BW206" s="14"/>
      <c r="BX206" s="14"/>
      <c r="BY206" s="1432" t="s">
        <v>1567</v>
      </c>
      <c r="BZ206" s="356" t="s">
        <v>459</v>
      </c>
      <c r="CA206" s="618"/>
      <c r="CB206" s="618"/>
      <c r="CC206" s="618"/>
      <c r="CD206" s="618"/>
      <c r="CE206" s="618"/>
      <c r="CF206" s="618"/>
      <c r="CG206" s="618"/>
      <c r="CH206" s="13"/>
    </row>
    <row r="207" spans="2:86" customFormat="1" ht="111.75" hidden="1" customHeight="1">
      <c r="B207" s="23"/>
      <c r="C207" s="23"/>
      <c r="D207" s="23"/>
      <c r="E207" s="23"/>
      <c r="F207" s="23"/>
      <c r="G207" s="1055"/>
      <c r="H207" s="364"/>
      <c r="I207" s="17">
        <v>2017</v>
      </c>
      <c r="J207" s="1676"/>
      <c r="K207" s="352" t="s">
        <v>64</v>
      </c>
      <c r="L207" s="357" t="s">
        <v>3256</v>
      </c>
      <c r="M207" s="2" t="s">
        <v>467</v>
      </c>
      <c r="N207" s="354" t="s">
        <v>3257</v>
      </c>
      <c r="O207" s="354" t="s">
        <v>1979</v>
      </c>
      <c r="P207" s="85">
        <v>2068965.52</v>
      </c>
      <c r="Q207" s="69">
        <v>42898</v>
      </c>
      <c r="R207" s="5" t="s">
        <v>68</v>
      </c>
      <c r="S207" s="12" t="s">
        <v>68</v>
      </c>
      <c r="T207" s="14" t="s">
        <v>68</v>
      </c>
      <c r="U207" s="180" t="s">
        <v>1177</v>
      </c>
      <c r="V207" s="19" t="s">
        <v>68</v>
      </c>
      <c r="W207" s="220" t="s">
        <v>68</v>
      </c>
      <c r="X207" s="406"/>
      <c r="Y207" s="699"/>
      <c r="Z207" s="80"/>
      <c r="AA207" s="81"/>
      <c r="AB207" s="4"/>
      <c r="AC207" s="34"/>
      <c r="AD207" s="36" t="s">
        <v>68</v>
      </c>
      <c r="AE207" s="119" t="s">
        <v>68</v>
      </c>
      <c r="AF207" s="119" t="s">
        <v>68</v>
      </c>
      <c r="AG207" s="7" t="s">
        <v>68</v>
      </c>
      <c r="AH207" s="235" t="s">
        <v>68</v>
      </c>
      <c r="AI207" s="385" t="s">
        <v>68</v>
      </c>
      <c r="AJ207" s="1"/>
      <c r="AK207" s="5"/>
      <c r="AL207" s="1"/>
      <c r="AM207" s="5"/>
      <c r="AN207" s="1"/>
      <c r="AO207" s="1"/>
      <c r="AP207" s="306"/>
      <c r="AQ207" s="37">
        <v>0</v>
      </c>
      <c r="AR207" s="1031">
        <v>0</v>
      </c>
      <c r="AS207" s="1018"/>
      <c r="AT207" s="386" t="s">
        <v>68</v>
      </c>
      <c r="AU207" s="245"/>
      <c r="AV207" s="387" t="s">
        <v>68</v>
      </c>
      <c r="AW207" s="388" t="s">
        <v>68</v>
      </c>
      <c r="AX207" s="20" t="s">
        <v>68</v>
      </c>
      <c r="AY207" s="1"/>
      <c r="AZ207" s="1"/>
      <c r="BA207" s="18"/>
      <c r="BB207" s="386" t="s">
        <v>68</v>
      </c>
      <c r="BC207" s="1957"/>
      <c r="BD207" s="1"/>
      <c r="BE207" s="1"/>
      <c r="BF207" s="1"/>
      <c r="BG207" s="38"/>
      <c r="BH207" s="14" t="s">
        <v>68</v>
      </c>
      <c r="BI207" s="794" t="s">
        <v>68</v>
      </c>
      <c r="BJ207" s="795" t="s">
        <v>68</v>
      </c>
      <c r="BK207" s="795" t="s">
        <v>68</v>
      </c>
      <c r="BL207" s="794"/>
      <c r="BM207" s="794"/>
      <c r="BN207" s="794"/>
      <c r="BO207" s="794"/>
      <c r="BP207" s="794"/>
      <c r="BQ207" s="794"/>
      <c r="BR207" s="794"/>
      <c r="BS207" s="794"/>
      <c r="BT207" s="14"/>
      <c r="BU207" s="14"/>
      <c r="BV207" s="14"/>
      <c r="BW207" s="14"/>
      <c r="BX207" s="14"/>
      <c r="BY207" s="1432" t="s">
        <v>1567</v>
      </c>
      <c r="BZ207" s="649" t="s">
        <v>454</v>
      </c>
      <c r="CA207" s="618"/>
      <c r="CB207" s="618"/>
      <c r="CC207" s="618"/>
      <c r="CD207" s="618"/>
      <c r="CE207" s="618"/>
      <c r="CF207" s="618"/>
      <c r="CG207" s="618"/>
      <c r="CH207" s="13"/>
    </row>
    <row r="208" spans="2:86" customFormat="1" ht="111.75" hidden="1" customHeight="1">
      <c r="B208" s="23"/>
      <c r="C208" s="23"/>
      <c r="D208" s="23"/>
      <c r="E208" s="23"/>
      <c r="F208" s="23"/>
      <c r="G208" s="1055"/>
      <c r="H208" s="364"/>
      <c r="I208" s="17">
        <v>2017</v>
      </c>
      <c r="J208" s="1676"/>
      <c r="K208" s="352" t="s">
        <v>867</v>
      </c>
      <c r="L208" s="357" t="s">
        <v>68</v>
      </c>
      <c r="M208" s="2" t="s">
        <v>467</v>
      </c>
      <c r="N208" s="354" t="s">
        <v>3258</v>
      </c>
      <c r="O208" s="354" t="s">
        <v>1979</v>
      </c>
      <c r="P208" s="4">
        <v>2940000</v>
      </c>
      <c r="Q208" s="6">
        <v>42879</v>
      </c>
      <c r="R208" s="5" t="s">
        <v>68</v>
      </c>
      <c r="S208" s="12" t="s">
        <v>68</v>
      </c>
      <c r="T208" s="14" t="s">
        <v>68</v>
      </c>
      <c r="U208" s="180" t="s">
        <v>1177</v>
      </c>
      <c r="V208" s="19" t="s">
        <v>68</v>
      </c>
      <c r="W208" s="220" t="s">
        <v>68</v>
      </c>
      <c r="X208" s="406"/>
      <c r="Y208" s="699"/>
      <c r="Z208" s="80"/>
      <c r="AA208" s="81"/>
      <c r="AB208" s="4"/>
      <c r="AC208" s="34"/>
      <c r="AD208" s="36" t="s">
        <v>68</v>
      </c>
      <c r="AE208" s="119" t="s">
        <v>68</v>
      </c>
      <c r="AF208" s="119" t="s">
        <v>68</v>
      </c>
      <c r="AG208" s="7" t="s">
        <v>68</v>
      </c>
      <c r="AH208" s="235" t="s">
        <v>68</v>
      </c>
      <c r="AI208" s="385" t="s">
        <v>68</v>
      </c>
      <c r="AJ208" s="1"/>
      <c r="AK208" s="5"/>
      <c r="AL208" s="1"/>
      <c r="AM208" s="5"/>
      <c r="AN208" s="1"/>
      <c r="AO208" s="1"/>
      <c r="AP208" s="306"/>
      <c r="AQ208" s="37">
        <v>0</v>
      </c>
      <c r="AR208" s="1031">
        <v>0</v>
      </c>
      <c r="AS208" s="1018"/>
      <c r="AT208" s="386" t="s">
        <v>68</v>
      </c>
      <c r="AU208" s="245"/>
      <c r="AV208" s="387" t="s">
        <v>68</v>
      </c>
      <c r="AW208" s="388" t="s">
        <v>68</v>
      </c>
      <c r="AX208" s="20" t="s">
        <v>68</v>
      </c>
      <c r="AY208" s="1"/>
      <c r="AZ208" s="1"/>
      <c r="BA208" s="18"/>
      <c r="BB208" s="386" t="s">
        <v>68</v>
      </c>
      <c r="BC208" s="1957"/>
      <c r="BD208" s="1"/>
      <c r="BE208" s="1"/>
      <c r="BF208" s="1"/>
      <c r="BG208" s="38"/>
      <c r="BH208" s="14" t="s">
        <v>68</v>
      </c>
      <c r="BI208" s="794" t="s">
        <v>68</v>
      </c>
      <c r="BJ208" s="795" t="s">
        <v>68</v>
      </c>
      <c r="BK208" s="795" t="s">
        <v>68</v>
      </c>
      <c r="BL208" s="794"/>
      <c r="BM208" s="794"/>
      <c r="BN208" s="794"/>
      <c r="BO208" s="794"/>
      <c r="BP208" s="794"/>
      <c r="BQ208" s="794"/>
      <c r="BR208" s="794"/>
      <c r="BS208" s="794"/>
      <c r="BT208" s="14"/>
      <c r="BU208" s="14"/>
      <c r="BV208" s="14"/>
      <c r="BW208" s="14"/>
      <c r="BX208" s="14"/>
      <c r="BY208" s="1432" t="s">
        <v>1567</v>
      </c>
      <c r="BZ208" s="649" t="s">
        <v>454</v>
      </c>
      <c r="CA208" s="618"/>
      <c r="CB208" s="618"/>
      <c r="CC208" s="618"/>
      <c r="CD208" s="618"/>
      <c r="CE208" s="618"/>
      <c r="CF208" s="618"/>
      <c r="CG208" s="618"/>
      <c r="CH208" s="13"/>
    </row>
    <row r="209" spans="2:88" customFormat="1" ht="111.75" hidden="1" customHeight="1">
      <c r="B209" s="23"/>
      <c r="C209" s="23"/>
      <c r="D209" s="23"/>
      <c r="E209" s="23"/>
      <c r="F209" s="23"/>
      <c r="G209" s="1055"/>
      <c r="H209" s="364"/>
      <c r="I209" s="17">
        <v>2017</v>
      </c>
      <c r="J209" s="1676"/>
      <c r="K209" s="352" t="s">
        <v>3261</v>
      </c>
      <c r="L209" s="357" t="s">
        <v>3261</v>
      </c>
      <c r="M209" s="2" t="s">
        <v>467</v>
      </c>
      <c r="N209" s="354" t="s">
        <v>68</v>
      </c>
      <c r="O209" s="354"/>
      <c r="P209" s="4">
        <v>2910056.73</v>
      </c>
      <c r="Q209" s="6">
        <v>42863</v>
      </c>
      <c r="R209" s="5" t="s">
        <v>68</v>
      </c>
      <c r="S209" s="12" t="s">
        <v>68</v>
      </c>
      <c r="T209" s="14" t="s">
        <v>68</v>
      </c>
      <c r="U209" s="180" t="s">
        <v>1177</v>
      </c>
      <c r="V209" s="19" t="s">
        <v>68</v>
      </c>
      <c r="W209" s="220" t="s">
        <v>68</v>
      </c>
      <c r="X209" s="406"/>
      <c r="Y209" s="699"/>
      <c r="Z209" s="80"/>
      <c r="AA209" s="81"/>
      <c r="AB209" s="4"/>
      <c r="AC209" s="34"/>
      <c r="AD209" s="36" t="s">
        <v>68</v>
      </c>
      <c r="AE209" s="119" t="s">
        <v>68</v>
      </c>
      <c r="AF209" s="119" t="s">
        <v>68</v>
      </c>
      <c r="AG209" s="7" t="s">
        <v>68</v>
      </c>
      <c r="AH209" s="235" t="s">
        <v>68</v>
      </c>
      <c r="AI209" s="385" t="s">
        <v>68</v>
      </c>
      <c r="AJ209" s="1"/>
      <c r="AK209" s="5"/>
      <c r="AL209" s="1"/>
      <c r="AM209" s="5"/>
      <c r="AN209" s="1"/>
      <c r="AO209" s="1"/>
      <c r="AP209" s="306"/>
      <c r="AQ209" s="37">
        <v>0</v>
      </c>
      <c r="AR209" s="1031">
        <v>0</v>
      </c>
      <c r="AS209" s="1018"/>
      <c r="AT209" s="386" t="s">
        <v>68</v>
      </c>
      <c r="AU209" s="245"/>
      <c r="AV209" s="387" t="s">
        <v>68</v>
      </c>
      <c r="AW209" s="388" t="s">
        <v>68</v>
      </c>
      <c r="AX209" s="20" t="s">
        <v>68</v>
      </c>
      <c r="AY209" s="1"/>
      <c r="AZ209" s="1"/>
      <c r="BA209" s="18"/>
      <c r="BB209" s="386" t="s">
        <v>68</v>
      </c>
      <c r="BC209" s="1957"/>
      <c r="BD209" s="1"/>
      <c r="BE209" s="1"/>
      <c r="BF209" s="1"/>
      <c r="BG209" s="38"/>
      <c r="BH209" s="14" t="s">
        <v>68</v>
      </c>
      <c r="BI209" s="794" t="s">
        <v>68</v>
      </c>
      <c r="BJ209" s="795" t="s">
        <v>68</v>
      </c>
      <c r="BK209" s="795" t="s">
        <v>68</v>
      </c>
      <c r="BL209" s="794"/>
      <c r="BM209" s="794"/>
      <c r="BN209" s="794"/>
      <c r="BO209" s="794"/>
      <c r="BP209" s="794"/>
      <c r="BQ209" s="794"/>
      <c r="BR209" s="794"/>
      <c r="BS209" s="794"/>
      <c r="BT209" s="14"/>
      <c r="BU209" s="14"/>
      <c r="BV209" s="14"/>
      <c r="BW209" s="14"/>
      <c r="BX209" s="14"/>
      <c r="BY209" s="1432" t="s">
        <v>1567</v>
      </c>
      <c r="BZ209" s="649" t="s">
        <v>454</v>
      </c>
      <c r="CA209" s="618"/>
      <c r="CB209" s="618"/>
      <c r="CC209" s="618"/>
      <c r="CD209" s="618"/>
      <c r="CE209" s="618"/>
      <c r="CF209" s="618"/>
      <c r="CG209" s="618"/>
      <c r="CH209" s="13"/>
    </row>
    <row r="210" spans="2:88" customFormat="1" ht="408.75" hidden="1" customHeight="1">
      <c r="B210" s="23"/>
      <c r="C210" s="23"/>
      <c r="D210" s="23"/>
      <c r="E210" s="23"/>
      <c r="F210" s="23"/>
      <c r="G210" s="1055"/>
      <c r="H210" s="364"/>
      <c r="I210" s="17">
        <v>2017</v>
      </c>
      <c r="J210" s="1676"/>
      <c r="K210" s="352" t="s">
        <v>3261</v>
      </c>
      <c r="L210" s="357" t="s">
        <v>3262</v>
      </c>
      <c r="M210" s="2" t="s">
        <v>467</v>
      </c>
      <c r="N210" s="354" t="s">
        <v>3265</v>
      </c>
      <c r="O210" s="354" t="s">
        <v>1979</v>
      </c>
      <c r="P210" s="4">
        <v>3089943.27</v>
      </c>
      <c r="Q210" s="6">
        <v>42885</v>
      </c>
      <c r="R210" s="5" t="s">
        <v>68</v>
      </c>
      <c r="S210" s="12" t="s">
        <v>68</v>
      </c>
      <c r="T210" s="14" t="s">
        <v>68</v>
      </c>
      <c r="U210" s="180" t="s">
        <v>1177</v>
      </c>
      <c r="V210" s="19" t="s">
        <v>68</v>
      </c>
      <c r="W210" s="220" t="s">
        <v>68</v>
      </c>
      <c r="X210" s="406"/>
      <c r="Y210" s="699"/>
      <c r="Z210" s="80"/>
      <c r="AA210" s="81"/>
      <c r="AB210" s="4"/>
      <c r="AC210" s="34"/>
      <c r="AD210" s="36" t="s">
        <v>68</v>
      </c>
      <c r="AE210" s="119" t="s">
        <v>68</v>
      </c>
      <c r="AF210" s="119" t="s">
        <v>68</v>
      </c>
      <c r="AG210" s="7" t="s">
        <v>68</v>
      </c>
      <c r="AH210" s="235" t="s">
        <v>68</v>
      </c>
      <c r="AI210" s="385" t="s">
        <v>68</v>
      </c>
      <c r="AJ210" s="1"/>
      <c r="AK210" s="5"/>
      <c r="AL210" s="1"/>
      <c r="AM210" s="5"/>
      <c r="AN210" s="1"/>
      <c r="AO210" s="1"/>
      <c r="AP210" s="306"/>
      <c r="AQ210" s="37">
        <v>0</v>
      </c>
      <c r="AR210" s="1031">
        <v>0</v>
      </c>
      <c r="AS210" s="1018"/>
      <c r="AT210" s="386" t="s">
        <v>68</v>
      </c>
      <c r="AU210" s="245"/>
      <c r="AV210" s="387" t="s">
        <v>68</v>
      </c>
      <c r="AW210" s="388" t="s">
        <v>68</v>
      </c>
      <c r="AX210" s="20" t="s">
        <v>68</v>
      </c>
      <c r="AY210" s="1"/>
      <c r="AZ210" s="1"/>
      <c r="BA210" s="18"/>
      <c r="BB210" s="386" t="s">
        <v>68</v>
      </c>
      <c r="BC210" s="1957"/>
      <c r="BD210" s="1"/>
      <c r="BE210" s="1"/>
      <c r="BF210" s="1"/>
      <c r="BG210" s="38"/>
      <c r="BH210" s="14" t="s">
        <v>68</v>
      </c>
      <c r="BI210" s="794" t="s">
        <v>68</v>
      </c>
      <c r="BJ210" s="795" t="s">
        <v>68</v>
      </c>
      <c r="BK210" s="795" t="s">
        <v>68</v>
      </c>
      <c r="BL210" s="794"/>
      <c r="BM210" s="794"/>
      <c r="BN210" s="794"/>
      <c r="BO210" s="794"/>
      <c r="BP210" s="794"/>
      <c r="BQ210" s="794"/>
      <c r="BR210" s="794"/>
      <c r="BS210" s="794"/>
      <c r="BT210" s="14"/>
      <c r="BU210" s="14"/>
      <c r="BV210" s="14"/>
      <c r="BW210" s="14"/>
      <c r="BX210" s="14"/>
      <c r="BY210" s="1432" t="s">
        <v>1567</v>
      </c>
      <c r="BZ210" s="649" t="s">
        <v>454</v>
      </c>
      <c r="CA210" s="618"/>
      <c r="CB210" s="618"/>
      <c r="CC210" s="618"/>
      <c r="CD210" s="618"/>
      <c r="CE210" s="618"/>
      <c r="CF210" s="618"/>
      <c r="CG210" s="618"/>
      <c r="CH210" s="13"/>
    </row>
    <row r="211" spans="2:88" customFormat="1" ht="160.5" hidden="1" customHeight="1">
      <c r="B211" s="23"/>
      <c r="C211" s="23"/>
      <c r="D211" s="23"/>
      <c r="E211" s="335" t="s">
        <v>68</v>
      </c>
      <c r="F211" s="335"/>
      <c r="G211" s="1055">
        <v>43244</v>
      </c>
      <c r="H211" s="364"/>
      <c r="I211" s="17">
        <v>2017</v>
      </c>
      <c r="J211" s="1676"/>
      <c r="K211" s="19" t="s">
        <v>166</v>
      </c>
      <c r="L211" s="35" t="s">
        <v>689</v>
      </c>
      <c r="M211" s="2" t="s">
        <v>4077</v>
      </c>
      <c r="N211" s="328" t="s">
        <v>690</v>
      </c>
      <c r="O211" s="328" t="s">
        <v>1979</v>
      </c>
      <c r="P211" s="4">
        <v>162823.91</v>
      </c>
      <c r="Q211" s="69">
        <v>42755</v>
      </c>
      <c r="R211" s="5">
        <v>42740</v>
      </c>
      <c r="S211" s="12">
        <v>42746</v>
      </c>
      <c r="T211" s="64" t="s">
        <v>68</v>
      </c>
      <c r="U211" s="20" t="s">
        <v>1177</v>
      </c>
      <c r="V211" s="19" t="s">
        <v>213</v>
      </c>
      <c r="W211" s="772" t="s">
        <v>68</v>
      </c>
      <c r="X211" s="1622"/>
      <c r="Y211" s="35" t="s">
        <v>691</v>
      </c>
      <c r="Z211" s="667">
        <v>42804</v>
      </c>
      <c r="AA211" s="4">
        <v>162823.91</v>
      </c>
      <c r="AB211" s="4"/>
      <c r="AC211" s="34"/>
      <c r="AD211" s="36" t="s">
        <v>68</v>
      </c>
      <c r="AE211" s="119" t="s">
        <v>68</v>
      </c>
      <c r="AF211" s="119" t="s">
        <v>68</v>
      </c>
      <c r="AG211" s="7" t="s">
        <v>68</v>
      </c>
      <c r="AH211" s="235" t="s">
        <v>68</v>
      </c>
      <c r="AI211" s="35" t="s">
        <v>68</v>
      </c>
      <c r="AJ211" s="1" t="s">
        <v>68</v>
      </c>
      <c r="AK211" s="1"/>
      <c r="AL211" s="1" t="s">
        <v>68</v>
      </c>
      <c r="AM211" s="1"/>
      <c r="AN211" s="1" t="s">
        <v>68</v>
      </c>
      <c r="AO211" s="1"/>
      <c r="AP211" s="306">
        <v>0</v>
      </c>
      <c r="AQ211" s="506">
        <v>30600</v>
      </c>
      <c r="AR211" s="600">
        <v>100961.34</v>
      </c>
      <c r="AS211" s="376"/>
      <c r="AT211" s="386" t="s">
        <v>68</v>
      </c>
      <c r="AU211" s="245"/>
      <c r="AV211" s="387"/>
      <c r="AW211" s="246"/>
      <c r="AX211" s="68" t="s">
        <v>692</v>
      </c>
      <c r="AY211" s="255">
        <v>42740</v>
      </c>
      <c r="AZ211" s="255">
        <v>42746</v>
      </c>
      <c r="BA211" s="255">
        <v>42882</v>
      </c>
      <c r="BB211" s="68" t="s">
        <v>692</v>
      </c>
      <c r="BC211" s="1686"/>
      <c r="BD211" s="255">
        <v>42740</v>
      </c>
      <c r="BE211" s="255">
        <v>42746</v>
      </c>
      <c r="BF211" s="255">
        <v>42882</v>
      </c>
      <c r="BG211" s="38">
        <f>AQ211+AR211</f>
        <v>131561.34</v>
      </c>
      <c r="BH211" s="14" t="s">
        <v>68</v>
      </c>
      <c r="BI211" s="111"/>
      <c r="BJ211" s="5"/>
      <c r="BK211" s="5"/>
      <c r="BL211" s="54"/>
      <c r="BM211" s="54"/>
      <c r="BN211" s="54"/>
      <c r="BO211" s="54"/>
      <c r="BP211" s="54"/>
      <c r="BQ211" s="54"/>
      <c r="BR211" s="54"/>
      <c r="BS211" s="55"/>
      <c r="BT211" s="14"/>
      <c r="BU211" s="14"/>
      <c r="BV211" s="14"/>
      <c r="BW211" s="14"/>
      <c r="BX211" s="14"/>
      <c r="BY211" s="1432" t="s">
        <v>1567</v>
      </c>
      <c r="BZ211" s="356" t="s">
        <v>459</v>
      </c>
      <c r="CA211" s="563"/>
      <c r="CB211" s="563"/>
      <c r="CC211" s="563"/>
      <c r="CD211" s="563"/>
      <c r="CE211" s="563"/>
      <c r="CF211" s="563"/>
      <c r="CG211" s="563"/>
      <c r="CH211" s="13"/>
    </row>
    <row r="212" spans="2:88" customFormat="1" ht="93" hidden="1" customHeight="1">
      <c r="B212" s="23"/>
      <c r="C212" s="23"/>
      <c r="D212" s="23"/>
      <c r="E212" s="335" t="s">
        <v>68</v>
      </c>
      <c r="F212" s="335"/>
      <c r="G212" s="1055">
        <v>43067</v>
      </c>
      <c r="H212" s="364"/>
      <c r="I212" s="17">
        <v>2017</v>
      </c>
      <c r="J212" s="1676"/>
      <c r="K212" s="19" t="s">
        <v>166</v>
      </c>
      <c r="L212" s="35" t="s">
        <v>693</v>
      </c>
      <c r="M212" s="2" t="s">
        <v>4077</v>
      </c>
      <c r="N212" s="328" t="s">
        <v>694</v>
      </c>
      <c r="O212" s="328" t="s">
        <v>4458</v>
      </c>
      <c r="P212" s="4">
        <v>313594.21000000002</v>
      </c>
      <c r="Q212" s="6">
        <v>42872</v>
      </c>
      <c r="R212" s="5">
        <v>42893</v>
      </c>
      <c r="S212" s="12">
        <v>43046</v>
      </c>
      <c r="T212" s="64" t="s">
        <v>68</v>
      </c>
      <c r="U212" s="20" t="s">
        <v>1177</v>
      </c>
      <c r="V212" s="19" t="s">
        <v>213</v>
      </c>
      <c r="W212" s="505" t="s">
        <v>74</v>
      </c>
      <c r="X212" s="1623"/>
      <c r="Y212" s="35" t="s">
        <v>695</v>
      </c>
      <c r="Z212" s="9">
        <v>42854</v>
      </c>
      <c r="AA212" s="4">
        <v>313594.21000000002</v>
      </c>
      <c r="AB212" s="4"/>
      <c r="AC212" s="34"/>
      <c r="AD212" s="36" t="s">
        <v>68</v>
      </c>
      <c r="AE212" s="119" t="s">
        <v>68</v>
      </c>
      <c r="AF212" s="119" t="s">
        <v>68</v>
      </c>
      <c r="AG212" s="7" t="s">
        <v>68</v>
      </c>
      <c r="AH212" s="235" t="s">
        <v>68</v>
      </c>
      <c r="AI212" s="35" t="s">
        <v>68</v>
      </c>
      <c r="AJ212" s="1" t="s">
        <v>68</v>
      </c>
      <c r="AK212" s="1"/>
      <c r="AL212" s="1" t="s">
        <v>68</v>
      </c>
      <c r="AM212" s="1"/>
      <c r="AN212" s="1" t="s">
        <v>68</v>
      </c>
      <c r="AO212" s="1"/>
      <c r="AP212" s="306">
        <v>0</v>
      </c>
      <c r="AQ212" s="506">
        <v>93000</v>
      </c>
      <c r="AR212" s="600">
        <v>58338.45</v>
      </c>
      <c r="AS212" s="376"/>
      <c r="AT212" s="68" t="s">
        <v>74</v>
      </c>
      <c r="AU212" s="12"/>
      <c r="AV212" s="243" t="s">
        <v>68</v>
      </c>
      <c r="AW212" s="54"/>
      <c r="AX212" s="68" t="s">
        <v>692</v>
      </c>
      <c r="AY212" s="5">
        <v>42893</v>
      </c>
      <c r="AZ212" s="5">
        <v>43046</v>
      </c>
      <c r="BA212" s="715"/>
      <c r="BB212" s="68" t="s">
        <v>692</v>
      </c>
      <c r="BC212" s="1686"/>
      <c r="BD212" s="5">
        <v>42893</v>
      </c>
      <c r="BE212" s="5">
        <v>43046</v>
      </c>
      <c r="BF212" s="521"/>
      <c r="BG212" s="38">
        <f>AQ212+AR212</f>
        <v>151338.45000000001</v>
      </c>
      <c r="BH212" s="14" t="s">
        <v>68</v>
      </c>
      <c r="BI212" s="111"/>
      <c r="BJ212" s="5"/>
      <c r="BK212" s="5"/>
      <c r="BL212" s="54"/>
      <c r="BM212" s="54"/>
      <c r="BN212" s="54"/>
      <c r="BO212" s="54"/>
      <c r="BP212" s="54"/>
      <c r="BQ212" s="54"/>
      <c r="BR212" s="54"/>
      <c r="BS212" s="55"/>
      <c r="BT212" s="14"/>
      <c r="BU212" s="14"/>
      <c r="BV212" s="14"/>
      <c r="BW212" s="14"/>
      <c r="BX212" s="14"/>
      <c r="BY212" s="1432" t="s">
        <v>1567</v>
      </c>
      <c r="BZ212" s="356" t="s">
        <v>459</v>
      </c>
      <c r="CA212" s="563"/>
      <c r="CB212" s="563"/>
      <c r="CC212" s="563"/>
      <c r="CD212" s="563"/>
      <c r="CE212" s="563"/>
      <c r="CF212" s="563"/>
      <c r="CG212" s="563"/>
      <c r="CH212" s="13"/>
    </row>
    <row r="213" spans="2:88" customFormat="1" ht="84.75" hidden="1" customHeight="1">
      <c r="B213" s="23"/>
      <c r="C213" s="23"/>
      <c r="D213" s="23"/>
      <c r="E213" s="335" t="s">
        <v>68</v>
      </c>
      <c r="F213" s="335"/>
      <c r="G213" s="1055">
        <v>43347</v>
      </c>
      <c r="H213" s="364">
        <v>43352</v>
      </c>
      <c r="I213" s="17">
        <v>2017</v>
      </c>
      <c r="J213" s="1676"/>
      <c r="K213" s="19" t="s">
        <v>166</v>
      </c>
      <c r="L213" s="35" t="s">
        <v>696</v>
      </c>
      <c r="M213" s="2" t="s">
        <v>4077</v>
      </c>
      <c r="N213" s="328" t="s">
        <v>697</v>
      </c>
      <c r="O213" s="328" t="s">
        <v>4459</v>
      </c>
      <c r="P213" s="4">
        <v>129065</v>
      </c>
      <c r="Q213" s="6">
        <v>42947</v>
      </c>
      <c r="R213" s="5">
        <v>42948</v>
      </c>
      <c r="S213" s="12">
        <v>42959</v>
      </c>
      <c r="T213" s="14" t="s">
        <v>68</v>
      </c>
      <c r="U213" s="20" t="s">
        <v>1177</v>
      </c>
      <c r="V213" s="19" t="s">
        <v>114</v>
      </c>
      <c r="W213" s="220" t="s">
        <v>68</v>
      </c>
      <c r="X213" s="406"/>
      <c r="Y213" s="491" t="s">
        <v>698</v>
      </c>
      <c r="Z213" s="9">
        <v>42947</v>
      </c>
      <c r="AA213" s="4">
        <v>129065</v>
      </c>
      <c r="AB213" s="4"/>
      <c r="AC213" s="34"/>
      <c r="AD213" s="36" t="s">
        <v>68</v>
      </c>
      <c r="AE213" s="119" t="s">
        <v>68</v>
      </c>
      <c r="AF213" s="119" t="s">
        <v>68</v>
      </c>
      <c r="AG213" s="7" t="s">
        <v>68</v>
      </c>
      <c r="AH213" s="235" t="s">
        <v>68</v>
      </c>
      <c r="AI213" s="35" t="s">
        <v>68</v>
      </c>
      <c r="AJ213" s="1" t="s">
        <v>68</v>
      </c>
      <c r="AK213" s="1"/>
      <c r="AL213" s="1" t="s">
        <v>68</v>
      </c>
      <c r="AM213" s="1"/>
      <c r="AN213" s="1" t="s">
        <v>68</v>
      </c>
      <c r="AO213" s="1"/>
      <c r="AP213" s="306">
        <v>0</v>
      </c>
      <c r="AQ213" s="74">
        <v>50496</v>
      </c>
      <c r="AR213" s="1032">
        <v>93513.45</v>
      </c>
      <c r="AS213" s="733"/>
      <c r="AT213" s="766" t="s">
        <v>68</v>
      </c>
      <c r="AU213" s="12"/>
      <c r="AV213" s="243" t="s">
        <v>68</v>
      </c>
      <c r="AW213" s="54"/>
      <c r="AX213" s="68" t="s">
        <v>692</v>
      </c>
      <c r="AY213" s="5">
        <v>42947</v>
      </c>
      <c r="AZ213" s="5">
        <v>42948</v>
      </c>
      <c r="BA213" s="5">
        <v>42965</v>
      </c>
      <c r="BB213" s="68" t="s">
        <v>692</v>
      </c>
      <c r="BC213" s="1686"/>
      <c r="BD213" s="5">
        <v>42947</v>
      </c>
      <c r="BE213" s="5">
        <v>42948</v>
      </c>
      <c r="BF213" s="5">
        <v>42965</v>
      </c>
      <c r="BG213" s="38">
        <f>AQ213+AR213</f>
        <v>144009.45000000001</v>
      </c>
      <c r="BH213" s="14" t="s">
        <v>68</v>
      </c>
      <c r="BI213" s="111"/>
      <c r="BJ213" s="5"/>
      <c r="BK213" s="5"/>
      <c r="BL213" s="54"/>
      <c r="BM213" s="54"/>
      <c r="BN213" s="54"/>
      <c r="BO213" s="54"/>
      <c r="BP213" s="54"/>
      <c r="BQ213" s="54"/>
      <c r="BR213" s="54"/>
      <c r="BS213" s="55"/>
      <c r="BT213" s="14"/>
      <c r="BU213" s="14"/>
      <c r="BV213" s="14"/>
      <c r="BW213" s="14"/>
      <c r="BX213" s="14"/>
      <c r="BY213" s="1432" t="s">
        <v>1567</v>
      </c>
      <c r="BZ213" s="356" t="s">
        <v>459</v>
      </c>
      <c r="CA213" s="563"/>
      <c r="CB213" s="563"/>
      <c r="CC213" s="563"/>
      <c r="CD213" s="563"/>
      <c r="CE213" s="563"/>
      <c r="CF213" s="563"/>
      <c r="CG213" s="563"/>
      <c r="CH213" s="13"/>
    </row>
    <row r="214" spans="2:88" customFormat="1" ht="118.5" hidden="1" customHeight="1">
      <c r="B214" s="23"/>
      <c r="C214" s="23"/>
      <c r="D214" s="23"/>
      <c r="E214" s="335" t="s">
        <v>68</v>
      </c>
      <c r="F214" s="335"/>
      <c r="G214" s="1055">
        <v>43244</v>
      </c>
      <c r="H214" s="364"/>
      <c r="I214" s="17">
        <v>2017</v>
      </c>
      <c r="J214" s="1676"/>
      <c r="K214" s="19" t="s">
        <v>166</v>
      </c>
      <c r="L214" s="35" t="s">
        <v>699</v>
      </c>
      <c r="M214" s="2" t="s">
        <v>4077</v>
      </c>
      <c r="N214" s="3" t="s">
        <v>700</v>
      </c>
      <c r="O214" s="3" t="s">
        <v>4458</v>
      </c>
      <c r="P214" s="4">
        <v>75540.72</v>
      </c>
      <c r="Q214" s="6">
        <v>42947</v>
      </c>
      <c r="R214" s="5">
        <v>42947</v>
      </c>
      <c r="S214" s="12">
        <v>42959</v>
      </c>
      <c r="T214" s="14" t="s">
        <v>68</v>
      </c>
      <c r="U214" s="20" t="s">
        <v>1177</v>
      </c>
      <c r="V214" s="19" t="s">
        <v>114</v>
      </c>
      <c r="W214" s="220" t="s">
        <v>68</v>
      </c>
      <c r="X214" s="406"/>
      <c r="Y214" s="491" t="s">
        <v>701</v>
      </c>
      <c r="Z214" s="9">
        <v>42915</v>
      </c>
      <c r="AA214" s="4">
        <v>75540.72</v>
      </c>
      <c r="AB214" s="4"/>
      <c r="AC214" s="34"/>
      <c r="AD214" s="36" t="s">
        <v>68</v>
      </c>
      <c r="AE214" s="119" t="s">
        <v>68</v>
      </c>
      <c r="AF214" s="119" t="s">
        <v>68</v>
      </c>
      <c r="AG214" s="7" t="s">
        <v>68</v>
      </c>
      <c r="AH214" s="235" t="s">
        <v>68</v>
      </c>
      <c r="AI214" s="35" t="s">
        <v>68</v>
      </c>
      <c r="AJ214" s="1" t="s">
        <v>68</v>
      </c>
      <c r="AK214" s="1"/>
      <c r="AL214" s="1" t="s">
        <v>68</v>
      </c>
      <c r="AM214" s="1"/>
      <c r="AN214" s="1" t="s">
        <v>68</v>
      </c>
      <c r="AO214" s="1"/>
      <c r="AP214" s="306">
        <v>0</v>
      </c>
      <c r="AQ214" s="74">
        <v>21483.8</v>
      </c>
      <c r="AR214" s="1032">
        <v>50743.12</v>
      </c>
      <c r="AS214" s="733"/>
      <c r="AT214" s="386" t="s">
        <v>68</v>
      </c>
      <c r="AU214" s="12"/>
      <c r="AV214" s="243" t="s">
        <v>68</v>
      </c>
      <c r="AW214" s="54" t="s">
        <v>702</v>
      </c>
      <c r="AX214" s="32">
        <v>42961</v>
      </c>
      <c r="AY214" s="5">
        <v>42947</v>
      </c>
      <c r="AZ214" s="1" t="s">
        <v>68</v>
      </c>
      <c r="BA214" s="12">
        <v>42959</v>
      </c>
      <c r="BB214" s="32">
        <v>42963</v>
      </c>
      <c r="BC214" s="341"/>
      <c r="BD214" s="5">
        <v>42947</v>
      </c>
      <c r="BE214" s="1" t="s">
        <v>68</v>
      </c>
      <c r="BF214" s="5">
        <v>42959</v>
      </c>
      <c r="BG214" s="38">
        <v>72199.95</v>
      </c>
      <c r="BH214" s="14" t="s">
        <v>68</v>
      </c>
      <c r="BI214" s="111"/>
      <c r="BJ214" s="5"/>
      <c r="BK214" s="5"/>
      <c r="BL214" s="54"/>
      <c r="BM214" s="54"/>
      <c r="BN214" s="54"/>
      <c r="BO214" s="54"/>
      <c r="BP214" s="54"/>
      <c r="BQ214" s="54"/>
      <c r="BR214" s="54"/>
      <c r="BS214" s="55"/>
      <c r="BT214" s="14"/>
      <c r="BU214" s="14"/>
      <c r="BV214" s="14"/>
      <c r="BW214" s="14"/>
      <c r="BX214" s="14"/>
      <c r="BY214" s="1432" t="s">
        <v>1567</v>
      </c>
      <c r="BZ214" s="649" t="s">
        <v>454</v>
      </c>
      <c r="CA214" s="563"/>
      <c r="CB214" s="563"/>
      <c r="CC214" s="563"/>
      <c r="CD214" s="563"/>
      <c r="CE214" s="563"/>
      <c r="CF214" s="563"/>
      <c r="CG214" s="563"/>
      <c r="CH214" s="13"/>
      <c r="CJ214" s="660"/>
    </row>
    <row r="215" spans="2:88" customFormat="1" ht="97.5" hidden="1" customHeight="1">
      <c r="B215" s="23"/>
      <c r="C215" s="23"/>
      <c r="D215" s="23"/>
      <c r="E215" s="335" t="s">
        <v>68</v>
      </c>
      <c r="F215" s="335"/>
      <c r="G215" s="1055">
        <v>43153</v>
      </c>
      <c r="H215" s="364"/>
      <c r="I215" s="17">
        <v>2017</v>
      </c>
      <c r="J215" s="1676"/>
      <c r="K215" s="19" t="s">
        <v>166</v>
      </c>
      <c r="L215" s="35" t="s">
        <v>703</v>
      </c>
      <c r="M215" s="2" t="s">
        <v>4077</v>
      </c>
      <c r="N215" s="3" t="s">
        <v>704</v>
      </c>
      <c r="O215" s="3" t="s">
        <v>2551</v>
      </c>
      <c r="P215" s="4">
        <v>266570.25</v>
      </c>
      <c r="Q215" s="6">
        <v>42947</v>
      </c>
      <c r="R215" s="5">
        <v>42947</v>
      </c>
      <c r="S215" s="12">
        <v>43008</v>
      </c>
      <c r="T215" s="14" t="s">
        <v>68</v>
      </c>
      <c r="U215" s="20" t="s">
        <v>1177</v>
      </c>
      <c r="V215" s="183" t="s">
        <v>449</v>
      </c>
      <c r="W215" s="220" t="s">
        <v>68</v>
      </c>
      <c r="X215" s="406"/>
      <c r="Y215" s="491" t="s">
        <v>705</v>
      </c>
      <c r="Z215" s="9">
        <v>42947</v>
      </c>
      <c r="AA215" s="4">
        <v>266570.25</v>
      </c>
      <c r="AB215" s="4"/>
      <c r="AC215" s="34"/>
      <c r="AD215" s="36" t="s">
        <v>68</v>
      </c>
      <c r="AE215" s="119" t="s">
        <v>68</v>
      </c>
      <c r="AF215" s="119" t="s">
        <v>68</v>
      </c>
      <c r="AG215" s="7" t="s">
        <v>68</v>
      </c>
      <c r="AH215" s="235" t="s">
        <v>68</v>
      </c>
      <c r="AI215" s="35" t="s">
        <v>68</v>
      </c>
      <c r="AJ215" s="1" t="s">
        <v>68</v>
      </c>
      <c r="AK215" s="1"/>
      <c r="AL215" s="1" t="s">
        <v>68</v>
      </c>
      <c r="AM215" s="1"/>
      <c r="AN215" s="1" t="s">
        <v>68</v>
      </c>
      <c r="AO215" s="1"/>
      <c r="AP215" s="306">
        <v>0</v>
      </c>
      <c r="AQ215" s="68"/>
      <c r="AR215" s="1040"/>
      <c r="AS215" s="1027"/>
      <c r="AT215" s="68" t="s">
        <v>74</v>
      </c>
      <c r="AU215" s="12"/>
      <c r="AV215" s="243" t="s">
        <v>68</v>
      </c>
      <c r="AW215" s="54"/>
      <c r="AX215" s="68" t="s">
        <v>692</v>
      </c>
      <c r="AY215" s="5">
        <v>42947</v>
      </c>
      <c r="AZ215" s="5">
        <v>43008</v>
      </c>
      <c r="BA215" s="715"/>
      <c r="BB215" s="68" t="s">
        <v>692</v>
      </c>
      <c r="BC215" s="1686"/>
      <c r="BD215" s="255">
        <v>42947</v>
      </c>
      <c r="BE215" s="255">
        <v>43008</v>
      </c>
      <c r="BF215" s="521"/>
      <c r="BG215" s="66">
        <f>AQ215+AR215</f>
        <v>0</v>
      </c>
      <c r="BH215" s="14" t="s">
        <v>68</v>
      </c>
      <c r="BI215" s="111"/>
      <c r="BJ215" s="5"/>
      <c r="BK215" s="5"/>
      <c r="BL215" s="54"/>
      <c r="BM215" s="54"/>
      <c r="BN215" s="54"/>
      <c r="BO215" s="54"/>
      <c r="BP215" s="54"/>
      <c r="BQ215" s="54"/>
      <c r="BR215" s="54"/>
      <c r="BS215" s="55"/>
      <c r="BT215" s="14"/>
      <c r="BU215" s="14"/>
      <c r="BV215" s="14"/>
      <c r="BW215" s="14"/>
      <c r="BX215" s="14"/>
      <c r="BY215" s="1432" t="s">
        <v>1567</v>
      </c>
      <c r="BZ215" s="356" t="s">
        <v>459</v>
      </c>
      <c r="CA215" s="563"/>
      <c r="CB215" s="2"/>
      <c r="CC215" s="2"/>
      <c r="CD215" s="2"/>
      <c r="CE215" s="2"/>
      <c r="CF215" s="2"/>
      <c r="CG215" s="2"/>
      <c r="CH215" s="13"/>
    </row>
    <row r="216" spans="2:88" s="1241" customFormat="1" ht="30" hidden="1" customHeight="1">
      <c r="B216" s="1242"/>
      <c r="C216" s="1242"/>
      <c r="D216" s="1242"/>
      <c r="E216" s="1242"/>
      <c r="F216" s="1242"/>
      <c r="G216" s="610"/>
      <c r="H216" s="610"/>
      <c r="I216" s="588">
        <v>2017</v>
      </c>
      <c r="J216" s="1680"/>
      <c r="K216" s="1747"/>
      <c r="L216" s="955" t="s">
        <v>706</v>
      </c>
      <c r="M216" s="203" t="s">
        <v>251</v>
      </c>
      <c r="N216" s="112"/>
      <c r="O216" s="112"/>
      <c r="P216" s="1255"/>
      <c r="Q216" s="1746"/>
      <c r="R216" s="1262"/>
      <c r="S216" s="1268"/>
      <c r="T216" s="1273" t="s">
        <v>68</v>
      </c>
      <c r="U216" s="955" t="s">
        <v>68</v>
      </c>
      <c r="V216" s="1747"/>
      <c r="W216" s="1278" t="s">
        <v>68</v>
      </c>
      <c r="X216" s="1631"/>
      <c r="Y216" s="340"/>
      <c r="Z216" s="1254"/>
      <c r="AA216" s="1255"/>
      <c r="AB216" s="1255"/>
      <c r="AC216" s="1256"/>
      <c r="AD216" s="1257" t="s">
        <v>68</v>
      </c>
      <c r="AE216" s="1258" t="s">
        <v>68</v>
      </c>
      <c r="AF216" s="1258" t="s">
        <v>68</v>
      </c>
      <c r="AG216" s="1259" t="s">
        <v>68</v>
      </c>
      <c r="AH216" s="1749" t="s">
        <v>68</v>
      </c>
      <c r="AI216" s="340" t="s">
        <v>68</v>
      </c>
      <c r="AJ216" s="1261" t="s">
        <v>68</v>
      </c>
      <c r="AK216" s="1261"/>
      <c r="AL216" s="1261" t="s">
        <v>68</v>
      </c>
      <c r="AM216" s="1261"/>
      <c r="AN216" s="1261" t="s">
        <v>68</v>
      </c>
      <c r="AO216" s="1261"/>
      <c r="AP216" s="1263">
        <v>0</v>
      </c>
      <c r="AQ216" s="1267"/>
      <c r="AR216" s="1265"/>
      <c r="AS216" s="1266"/>
      <c r="AT216" s="1762" t="s">
        <v>74</v>
      </c>
      <c r="AU216" s="1268"/>
      <c r="AV216" s="1269" t="s">
        <v>68</v>
      </c>
      <c r="AW216" s="1270"/>
      <c r="AX216" s="1762" t="s">
        <v>74</v>
      </c>
      <c r="AY216" s="1261"/>
      <c r="AZ216" s="1261"/>
      <c r="BA216" s="1271"/>
      <c r="BB216" s="1762" t="s">
        <v>74</v>
      </c>
      <c r="BC216" s="1958"/>
      <c r="BD216" s="1261"/>
      <c r="BE216" s="1261"/>
      <c r="BF216" s="1261"/>
      <c r="BG216" s="1272"/>
      <c r="BH216" s="1273" t="s">
        <v>68</v>
      </c>
      <c r="BI216" s="1252"/>
      <c r="BJ216" s="1262"/>
      <c r="BK216" s="1262"/>
      <c r="BL216" s="1270"/>
      <c r="BM216" s="1270"/>
      <c r="BN216" s="1270"/>
      <c r="BO216" s="1270"/>
      <c r="BP216" s="1270"/>
      <c r="BQ216" s="1270"/>
      <c r="BR216" s="1270"/>
      <c r="BS216" s="1758"/>
      <c r="BT216" s="1273"/>
      <c r="BU216" s="1273"/>
      <c r="BV216" s="1273"/>
      <c r="BW216" s="1273"/>
      <c r="BX216" s="1273"/>
      <c r="BY216" s="1760" t="s">
        <v>1567</v>
      </c>
      <c r="BZ216" s="133" t="s">
        <v>478</v>
      </c>
      <c r="CA216" s="567"/>
      <c r="CB216" s="567"/>
      <c r="CC216" s="567"/>
      <c r="CD216" s="567"/>
      <c r="CE216" s="567"/>
      <c r="CF216" s="567"/>
      <c r="CG216" s="567"/>
      <c r="CH216" s="1756"/>
    </row>
    <row r="217" spans="2:88" customFormat="1" ht="80.25" hidden="1" customHeight="1">
      <c r="B217" s="23"/>
      <c r="C217" s="23"/>
      <c r="D217" s="23"/>
      <c r="E217" s="335" t="s">
        <v>68</v>
      </c>
      <c r="F217" s="335"/>
      <c r="G217" s="1055">
        <v>43333</v>
      </c>
      <c r="H217" s="364"/>
      <c r="I217" s="17">
        <v>2017</v>
      </c>
      <c r="J217" s="1676"/>
      <c r="K217" s="19" t="s">
        <v>166</v>
      </c>
      <c r="L217" s="35" t="s">
        <v>707</v>
      </c>
      <c r="M217" s="2" t="s">
        <v>4077</v>
      </c>
      <c r="N217" s="3" t="s">
        <v>708</v>
      </c>
      <c r="O217" s="3" t="s">
        <v>2551</v>
      </c>
      <c r="P217" s="4">
        <v>80202.34</v>
      </c>
      <c r="Q217" s="767">
        <v>43046</v>
      </c>
      <c r="R217" s="5">
        <v>43054</v>
      </c>
      <c r="S217" s="12">
        <v>43084</v>
      </c>
      <c r="T217" s="14" t="s">
        <v>68</v>
      </c>
      <c r="U217" s="20" t="s">
        <v>1177</v>
      </c>
      <c r="V217" s="768" t="s">
        <v>709</v>
      </c>
      <c r="W217" s="220" t="s">
        <v>68</v>
      </c>
      <c r="X217" s="406"/>
      <c r="Y217" s="180" t="s">
        <v>710</v>
      </c>
      <c r="Z217" s="9">
        <v>43045</v>
      </c>
      <c r="AA217" s="4">
        <v>80202.34</v>
      </c>
      <c r="AB217" s="4"/>
      <c r="AC217" s="34"/>
      <c r="AD217" s="36" t="s">
        <v>68</v>
      </c>
      <c r="AE217" s="119" t="s">
        <v>68</v>
      </c>
      <c r="AF217" s="119" t="s">
        <v>68</v>
      </c>
      <c r="AG217" s="7" t="s">
        <v>68</v>
      </c>
      <c r="AH217" s="235" t="s">
        <v>68</v>
      </c>
      <c r="AI217" s="35" t="s">
        <v>68</v>
      </c>
      <c r="AJ217" s="1" t="s">
        <v>68</v>
      </c>
      <c r="AK217" s="1"/>
      <c r="AL217" s="1" t="s">
        <v>68</v>
      </c>
      <c r="AM217" s="1"/>
      <c r="AN217" s="1" t="s">
        <v>68</v>
      </c>
      <c r="AO217" s="1"/>
      <c r="AP217" s="306">
        <v>0</v>
      </c>
      <c r="AQ217" s="506">
        <v>18552.240000000002</v>
      </c>
      <c r="AR217" s="600">
        <v>38895.050000000003</v>
      </c>
      <c r="AS217" s="376"/>
      <c r="AT217" s="386" t="s">
        <v>68</v>
      </c>
      <c r="AU217" s="12"/>
      <c r="AV217" s="243" t="s">
        <v>68</v>
      </c>
      <c r="AW217" s="54"/>
      <c r="AX217" s="68" t="s">
        <v>692</v>
      </c>
      <c r="AY217" s="5">
        <v>43054</v>
      </c>
      <c r="AZ217" s="5">
        <v>43084</v>
      </c>
      <c r="BA217" s="12">
        <v>43084</v>
      </c>
      <c r="BB217" s="68" t="s">
        <v>692</v>
      </c>
      <c r="BC217" s="1686"/>
      <c r="BD217" s="5">
        <v>43054</v>
      </c>
      <c r="BE217" s="5">
        <v>43084</v>
      </c>
      <c r="BF217" s="5">
        <v>43084</v>
      </c>
      <c r="BG217" s="38">
        <f>AQ217+AR217</f>
        <v>57447.290000000008</v>
      </c>
      <c r="BH217" s="14" t="s">
        <v>68</v>
      </c>
      <c r="BI217" s="111"/>
      <c r="BJ217" s="5"/>
      <c r="BK217" s="5"/>
      <c r="BL217" s="54"/>
      <c r="BM217" s="54"/>
      <c r="BN217" s="54"/>
      <c r="BO217" s="54"/>
      <c r="BP217" s="54"/>
      <c r="BQ217" s="54"/>
      <c r="BR217" s="54"/>
      <c r="BS217" s="55"/>
      <c r="BT217" s="14"/>
      <c r="BU217" s="14"/>
      <c r="BV217" s="14"/>
      <c r="BW217" s="14"/>
      <c r="BX217" s="14"/>
      <c r="BY217" s="1432" t="s">
        <v>1567</v>
      </c>
      <c r="BZ217" s="356" t="s">
        <v>459</v>
      </c>
      <c r="CA217" s="563"/>
      <c r="CB217" s="563"/>
      <c r="CC217" s="563"/>
      <c r="CD217" s="563"/>
      <c r="CE217" s="563"/>
      <c r="CF217" s="563"/>
      <c r="CG217" s="563"/>
      <c r="CH217" s="13"/>
    </row>
    <row r="218" spans="2:88" customFormat="1" ht="111.75" hidden="1" customHeight="1">
      <c r="B218" s="23"/>
      <c r="C218" s="23"/>
      <c r="D218" s="23"/>
      <c r="E218" s="335" t="s">
        <v>68</v>
      </c>
      <c r="F218" s="335"/>
      <c r="G218" s="1055">
        <v>43147</v>
      </c>
      <c r="H218" s="364"/>
      <c r="I218" s="17">
        <v>2017</v>
      </c>
      <c r="J218" s="1676"/>
      <c r="K218" s="19" t="s">
        <v>77</v>
      </c>
      <c r="L218" s="35" t="s">
        <v>711</v>
      </c>
      <c r="M218" s="2" t="s">
        <v>4077</v>
      </c>
      <c r="N218" s="328" t="s">
        <v>712</v>
      </c>
      <c r="O218" s="328" t="s">
        <v>1979</v>
      </c>
      <c r="P218" s="4">
        <v>121598.89</v>
      </c>
      <c r="Q218" s="6">
        <v>43054</v>
      </c>
      <c r="R218" s="5">
        <v>43052</v>
      </c>
      <c r="S218" s="12">
        <v>43066</v>
      </c>
      <c r="T218" s="14" t="s">
        <v>68</v>
      </c>
      <c r="U218" s="20" t="s">
        <v>1177</v>
      </c>
      <c r="V218" s="19" t="s">
        <v>563</v>
      </c>
      <c r="W218" s="73" t="s">
        <v>74</v>
      </c>
      <c r="X218" s="1013"/>
      <c r="Y218" s="35" t="s">
        <v>713</v>
      </c>
      <c r="Z218" s="9">
        <v>42947</v>
      </c>
      <c r="AA218" s="4">
        <v>121598.89</v>
      </c>
      <c r="AB218" s="4"/>
      <c r="AC218" s="34"/>
      <c r="AD218" s="36" t="s">
        <v>68</v>
      </c>
      <c r="AE218" s="119" t="s">
        <v>68</v>
      </c>
      <c r="AF218" s="119" t="s">
        <v>68</v>
      </c>
      <c r="AG218" s="7" t="s">
        <v>68</v>
      </c>
      <c r="AH218" s="235" t="s">
        <v>68</v>
      </c>
      <c r="AI218" s="35" t="s">
        <v>68</v>
      </c>
      <c r="AJ218" s="1" t="s">
        <v>68</v>
      </c>
      <c r="AK218" s="1"/>
      <c r="AL218" s="1" t="s">
        <v>68</v>
      </c>
      <c r="AM218" s="1"/>
      <c r="AN218" s="1" t="s">
        <v>68</v>
      </c>
      <c r="AO218" s="1"/>
      <c r="AP218" s="306">
        <v>0</v>
      </c>
      <c r="AQ218" s="506">
        <v>13654.58</v>
      </c>
      <c r="AR218" s="1039">
        <v>66337.600000000006</v>
      </c>
      <c r="AS218" s="1026"/>
      <c r="AT218" s="386" t="s">
        <v>68</v>
      </c>
      <c r="AU218" s="12"/>
      <c r="AV218" s="243" t="s">
        <v>68</v>
      </c>
      <c r="AW218" s="501" t="s">
        <v>492</v>
      </c>
      <c r="AX218" s="359">
        <v>43099</v>
      </c>
      <c r="AY218" s="360">
        <v>43052</v>
      </c>
      <c r="AZ218" s="360">
        <v>43066</v>
      </c>
      <c r="BA218" s="12">
        <v>43099</v>
      </c>
      <c r="BB218" s="359">
        <v>43099</v>
      </c>
      <c r="BC218" s="1951"/>
      <c r="BD218" s="360">
        <v>43052</v>
      </c>
      <c r="BE218" s="360">
        <v>43066</v>
      </c>
      <c r="BF218" s="360">
        <v>43099</v>
      </c>
      <c r="BG218" s="361">
        <f>AQ218+AR218</f>
        <v>79992.180000000008</v>
      </c>
      <c r="BH218" s="14" t="s">
        <v>68</v>
      </c>
      <c r="BI218" s="111"/>
      <c r="BJ218" s="5"/>
      <c r="BK218" s="5"/>
      <c r="BL218" s="54"/>
      <c r="BM218" s="54"/>
      <c r="BN218" s="54"/>
      <c r="BO218" s="54"/>
      <c r="BP218" s="54"/>
      <c r="BQ218" s="54"/>
      <c r="BR218" s="54"/>
      <c r="BS218" s="55"/>
      <c r="BT218" s="14"/>
      <c r="BU218" s="14"/>
      <c r="BV218" s="14"/>
      <c r="BW218" s="14"/>
      <c r="BX218" s="14"/>
      <c r="BY218" s="1432" t="s">
        <v>1567</v>
      </c>
      <c r="BZ218" s="649" t="s">
        <v>454</v>
      </c>
      <c r="CA218" s="563"/>
      <c r="CB218" s="563"/>
      <c r="CC218" s="563"/>
      <c r="CD218" s="563"/>
      <c r="CE218" s="563"/>
      <c r="CF218" s="563"/>
      <c r="CG218" s="563"/>
      <c r="CH218" s="13"/>
      <c r="CJ218" s="660"/>
    </row>
    <row r="219" spans="2:88" customFormat="1" ht="107.25" hidden="1" customHeight="1">
      <c r="B219" s="23"/>
      <c r="C219" s="23"/>
      <c r="D219" s="23"/>
      <c r="E219" s="335" t="s">
        <v>68</v>
      </c>
      <c r="F219" s="335"/>
      <c r="G219" s="1055">
        <v>43251</v>
      </c>
      <c r="H219" s="364"/>
      <c r="I219" s="17">
        <v>2017</v>
      </c>
      <c r="J219" s="1676"/>
      <c r="K219" s="19" t="s">
        <v>77</v>
      </c>
      <c r="L219" s="35" t="s">
        <v>714</v>
      </c>
      <c r="M219" s="2" t="s">
        <v>4077</v>
      </c>
      <c r="N219" s="328" t="s">
        <v>715</v>
      </c>
      <c r="O219" s="328" t="s">
        <v>3664</v>
      </c>
      <c r="P219" s="4">
        <v>54161.63</v>
      </c>
      <c r="Q219" s="69">
        <v>43078</v>
      </c>
      <c r="R219" s="5">
        <v>43078</v>
      </c>
      <c r="S219" s="12">
        <v>43099</v>
      </c>
      <c r="T219" s="14" t="s">
        <v>68</v>
      </c>
      <c r="U219" s="20" t="s">
        <v>1177</v>
      </c>
      <c r="V219" s="19" t="s">
        <v>563</v>
      </c>
      <c r="W219" s="688">
        <v>43073</v>
      </c>
      <c r="X219" s="1624"/>
      <c r="Y219" s="35" t="s">
        <v>716</v>
      </c>
      <c r="Z219" s="9">
        <v>43077</v>
      </c>
      <c r="AA219" s="4">
        <v>54161.63</v>
      </c>
      <c r="AB219" s="4"/>
      <c r="AC219" s="34"/>
      <c r="AD219" s="36" t="s">
        <v>68</v>
      </c>
      <c r="AE219" s="119" t="s">
        <v>68</v>
      </c>
      <c r="AF219" s="119" t="s">
        <v>68</v>
      </c>
      <c r="AG219" s="7" t="s">
        <v>68</v>
      </c>
      <c r="AH219" s="235" t="s">
        <v>68</v>
      </c>
      <c r="AI219" s="35" t="s">
        <v>68</v>
      </c>
      <c r="AJ219" s="1" t="s">
        <v>68</v>
      </c>
      <c r="AK219" s="1"/>
      <c r="AL219" s="1" t="s">
        <v>68</v>
      </c>
      <c r="AM219" s="1"/>
      <c r="AN219" s="1" t="s">
        <v>68</v>
      </c>
      <c r="AO219" s="1"/>
      <c r="AP219" s="306">
        <v>0</v>
      </c>
      <c r="AQ219" s="37">
        <v>14458.72</v>
      </c>
      <c r="AR219" s="1039">
        <v>39678.15</v>
      </c>
      <c r="AS219" s="1026"/>
      <c r="AT219" s="386" t="s">
        <v>68</v>
      </c>
      <c r="AU219" s="12"/>
      <c r="AV219" s="243" t="s">
        <v>68</v>
      </c>
      <c r="AW219" s="54"/>
      <c r="AX219" s="32">
        <v>43099</v>
      </c>
      <c r="AY219" s="5">
        <v>43078</v>
      </c>
      <c r="AZ219" s="5">
        <v>43099</v>
      </c>
      <c r="BA219" s="12">
        <v>43099</v>
      </c>
      <c r="BB219" s="32">
        <v>43099</v>
      </c>
      <c r="BC219" s="341"/>
      <c r="BD219" s="5">
        <v>43078</v>
      </c>
      <c r="BE219" s="5">
        <v>43099</v>
      </c>
      <c r="BF219" s="5">
        <v>43099</v>
      </c>
      <c r="BG219" s="38">
        <f>AQ219+AR219</f>
        <v>54136.87</v>
      </c>
      <c r="BH219" s="14" t="s">
        <v>68</v>
      </c>
      <c r="BI219" s="111"/>
      <c r="BJ219" s="5"/>
      <c r="BK219" s="5"/>
      <c r="BL219" s="54"/>
      <c r="BM219" s="54"/>
      <c r="BN219" s="54"/>
      <c r="BO219" s="54"/>
      <c r="BP219" s="54"/>
      <c r="BQ219" s="54"/>
      <c r="BR219" s="54"/>
      <c r="BS219" s="55"/>
      <c r="BT219" s="14"/>
      <c r="BU219" s="14"/>
      <c r="BV219" s="14"/>
      <c r="BW219" s="14"/>
      <c r="BX219" s="14"/>
      <c r="BY219" s="1432" t="s">
        <v>1567</v>
      </c>
      <c r="BZ219" s="649" t="s">
        <v>454</v>
      </c>
      <c r="CA219" s="563"/>
      <c r="CB219" s="563"/>
      <c r="CC219" s="563"/>
      <c r="CD219" s="563"/>
      <c r="CE219" s="563"/>
      <c r="CF219" s="563"/>
      <c r="CG219" s="563"/>
      <c r="CH219" s="13"/>
    </row>
    <row r="220" spans="2:88" customFormat="1" ht="100.5" hidden="1" customHeight="1">
      <c r="B220" s="23"/>
      <c r="C220" s="23"/>
      <c r="D220" s="23"/>
      <c r="E220" s="335" t="s">
        <v>68</v>
      </c>
      <c r="F220" s="335"/>
      <c r="G220" s="1055">
        <v>43251</v>
      </c>
      <c r="H220" s="364"/>
      <c r="I220" s="17">
        <v>2017</v>
      </c>
      <c r="J220" s="1676"/>
      <c r="K220" s="19" t="s">
        <v>77</v>
      </c>
      <c r="L220" s="35" t="s">
        <v>717</v>
      </c>
      <c r="M220" s="2" t="s">
        <v>4077</v>
      </c>
      <c r="N220" s="328" t="s">
        <v>718</v>
      </c>
      <c r="O220" s="328" t="s">
        <v>3664</v>
      </c>
      <c r="P220" s="4">
        <v>72083.75</v>
      </c>
      <c r="Q220" s="69">
        <v>43078</v>
      </c>
      <c r="R220" s="5">
        <v>43078</v>
      </c>
      <c r="S220" s="12">
        <v>43099</v>
      </c>
      <c r="T220" s="14" t="s">
        <v>68</v>
      </c>
      <c r="U220" s="20" t="s">
        <v>1177</v>
      </c>
      <c r="V220" s="19" t="s">
        <v>563</v>
      </c>
      <c r="W220" s="688">
        <v>43073</v>
      </c>
      <c r="X220" s="1624"/>
      <c r="Y220" s="35" t="s">
        <v>719</v>
      </c>
      <c r="Z220" s="9">
        <v>43077</v>
      </c>
      <c r="AA220" s="4">
        <v>72083.75</v>
      </c>
      <c r="AB220" s="4"/>
      <c r="AC220" s="34"/>
      <c r="AD220" s="36" t="s">
        <v>68</v>
      </c>
      <c r="AE220" s="119" t="s">
        <v>68</v>
      </c>
      <c r="AF220" s="119" t="s">
        <v>68</v>
      </c>
      <c r="AG220" s="7" t="s">
        <v>68</v>
      </c>
      <c r="AH220" s="235" t="s">
        <v>68</v>
      </c>
      <c r="AI220" s="35" t="s">
        <v>68</v>
      </c>
      <c r="AJ220" s="1" t="s">
        <v>68</v>
      </c>
      <c r="AK220" s="1"/>
      <c r="AL220" s="1" t="s">
        <v>68</v>
      </c>
      <c r="AM220" s="1"/>
      <c r="AN220" s="1" t="s">
        <v>68</v>
      </c>
      <c r="AO220" s="1"/>
      <c r="AP220" s="306">
        <v>0</v>
      </c>
      <c r="AQ220" s="37">
        <v>17279.54</v>
      </c>
      <c r="AR220" s="1039">
        <v>39678.15</v>
      </c>
      <c r="AS220" s="1026"/>
      <c r="AT220" s="386" t="s">
        <v>68</v>
      </c>
      <c r="AU220" s="12"/>
      <c r="AV220" s="243" t="s">
        <v>68</v>
      </c>
      <c r="AW220" s="54"/>
      <c r="AX220" s="32">
        <v>43099</v>
      </c>
      <c r="AY220" s="5">
        <v>43078</v>
      </c>
      <c r="AZ220" s="5">
        <v>43099</v>
      </c>
      <c r="BA220" s="12">
        <v>43099</v>
      </c>
      <c r="BB220" s="32">
        <v>43099</v>
      </c>
      <c r="BC220" s="341"/>
      <c r="BD220" s="5">
        <v>43078</v>
      </c>
      <c r="BE220" s="5">
        <v>43099</v>
      </c>
      <c r="BF220" s="5">
        <v>43099</v>
      </c>
      <c r="BG220" s="38">
        <f>AQ220+AR220</f>
        <v>56957.69</v>
      </c>
      <c r="BH220" s="14" t="s">
        <v>68</v>
      </c>
      <c r="BI220" s="111"/>
      <c r="BJ220" s="5"/>
      <c r="BK220" s="5"/>
      <c r="BL220" s="54"/>
      <c r="BM220" s="54"/>
      <c r="BN220" s="54"/>
      <c r="BO220" s="54"/>
      <c r="BP220" s="54"/>
      <c r="BQ220" s="54"/>
      <c r="BR220" s="54"/>
      <c r="BS220" s="55"/>
      <c r="BT220" s="14"/>
      <c r="BU220" s="14"/>
      <c r="BV220" s="14"/>
      <c r="BW220" s="14"/>
      <c r="BX220" s="14"/>
      <c r="BY220" s="1432" t="s">
        <v>1567</v>
      </c>
      <c r="BZ220" s="649" t="s">
        <v>454</v>
      </c>
      <c r="CA220" s="563"/>
      <c r="CB220" s="563"/>
      <c r="CC220" s="563"/>
      <c r="CD220" s="563"/>
      <c r="CE220" s="563"/>
      <c r="CF220" s="563"/>
      <c r="CG220" s="563"/>
      <c r="CH220" s="13"/>
    </row>
    <row r="221" spans="2:88" customFormat="1" ht="60" hidden="1" customHeight="1">
      <c r="B221" s="23"/>
      <c r="C221" s="23"/>
      <c r="D221" s="23"/>
      <c r="E221" s="335" t="s">
        <v>68</v>
      </c>
      <c r="F221" s="335"/>
      <c r="G221" s="1055">
        <v>43339</v>
      </c>
      <c r="H221" s="364">
        <v>43350</v>
      </c>
      <c r="I221" s="17">
        <v>2017</v>
      </c>
      <c r="J221" s="1676"/>
      <c r="K221" s="19" t="s">
        <v>166</v>
      </c>
      <c r="L221" s="35" t="s">
        <v>720</v>
      </c>
      <c r="M221" s="2" t="s">
        <v>4077</v>
      </c>
      <c r="N221" s="328" t="s">
        <v>721</v>
      </c>
      <c r="O221" s="328" t="s">
        <v>4458</v>
      </c>
      <c r="P221" s="4">
        <v>574043.4</v>
      </c>
      <c r="Q221" s="6">
        <v>42986</v>
      </c>
      <c r="R221" s="5">
        <v>42989</v>
      </c>
      <c r="S221" s="12">
        <v>43099</v>
      </c>
      <c r="T221" s="23" t="s">
        <v>68</v>
      </c>
      <c r="U221" s="20" t="s">
        <v>1177</v>
      </c>
      <c r="V221" s="19" t="s">
        <v>213</v>
      </c>
      <c r="W221" s="220" t="s">
        <v>68</v>
      </c>
      <c r="X221" s="406"/>
      <c r="Y221" s="491" t="s">
        <v>722</v>
      </c>
      <c r="Z221" s="9">
        <v>42854</v>
      </c>
      <c r="AA221" s="4">
        <v>574043.4</v>
      </c>
      <c r="AB221" s="4"/>
      <c r="AC221" s="34"/>
      <c r="AD221" s="36" t="s">
        <v>68</v>
      </c>
      <c r="AE221" s="119" t="s">
        <v>68</v>
      </c>
      <c r="AF221" s="119" t="s">
        <v>68</v>
      </c>
      <c r="AG221" s="7" t="s">
        <v>68</v>
      </c>
      <c r="AH221" s="235" t="s">
        <v>68</v>
      </c>
      <c r="AI221" s="35" t="s">
        <v>68</v>
      </c>
      <c r="AJ221" s="1" t="s">
        <v>68</v>
      </c>
      <c r="AK221" s="1"/>
      <c r="AL221" s="1" t="s">
        <v>68</v>
      </c>
      <c r="AM221" s="1"/>
      <c r="AN221" s="1" t="s">
        <v>68</v>
      </c>
      <c r="AO221" s="1"/>
      <c r="AP221" s="306">
        <v>0</v>
      </c>
      <c r="AQ221" s="625"/>
      <c r="AR221" s="1041"/>
      <c r="AS221" s="1028"/>
      <c r="AT221" s="373" t="s">
        <v>74</v>
      </c>
      <c r="AU221" s="12"/>
      <c r="AV221" s="243" t="s">
        <v>68</v>
      </c>
      <c r="AW221" s="54"/>
      <c r="AX221" s="373" t="s">
        <v>692</v>
      </c>
      <c r="AY221" s="5">
        <v>42989</v>
      </c>
      <c r="AZ221" s="5">
        <v>43099</v>
      </c>
      <c r="BA221" s="715"/>
      <c r="BB221" s="373" t="s">
        <v>692</v>
      </c>
      <c r="BC221" s="1956"/>
      <c r="BD221" s="5">
        <v>42989</v>
      </c>
      <c r="BE221" s="5">
        <v>43099</v>
      </c>
      <c r="BF221" s="521"/>
      <c r="BG221" s="66">
        <f>AQ221+AR221</f>
        <v>0</v>
      </c>
      <c r="BH221" s="14"/>
      <c r="BI221" s="111"/>
      <c r="BJ221" s="5"/>
      <c r="BK221" s="5"/>
      <c r="BL221" s="54"/>
      <c r="BM221" s="54"/>
      <c r="BN221" s="54"/>
      <c r="BO221" s="54"/>
      <c r="BP221" s="54"/>
      <c r="BQ221" s="54"/>
      <c r="BR221" s="54"/>
      <c r="BS221" s="55"/>
      <c r="BT221" s="14"/>
      <c r="BU221" s="14"/>
      <c r="BV221" s="14"/>
      <c r="BW221" s="14"/>
      <c r="BX221" s="14"/>
      <c r="BY221" s="1432" t="s">
        <v>1567</v>
      </c>
      <c r="BZ221" s="356" t="s">
        <v>459</v>
      </c>
      <c r="CA221" s="563"/>
      <c r="CB221" s="563"/>
      <c r="CC221" s="563"/>
      <c r="CD221" s="563"/>
      <c r="CE221" s="563"/>
      <c r="CF221" s="563"/>
      <c r="CG221" s="563"/>
      <c r="CH221" s="13"/>
    </row>
    <row r="222" spans="2:88" s="1241" customFormat="1" ht="60" hidden="1" customHeight="1">
      <c r="B222" s="1242"/>
      <c r="C222" s="1242"/>
      <c r="D222" s="1242"/>
      <c r="E222" s="1242"/>
      <c r="F222" s="1242"/>
      <c r="G222" s="610"/>
      <c r="H222" s="610"/>
      <c r="I222" s="588">
        <v>2017</v>
      </c>
      <c r="J222" s="1680"/>
      <c r="K222" s="1747" t="s">
        <v>77</v>
      </c>
      <c r="L222" s="955" t="s">
        <v>723</v>
      </c>
      <c r="M222" s="201" t="s">
        <v>251</v>
      </c>
      <c r="N222" s="112" t="s">
        <v>724</v>
      </c>
      <c r="O222" s="112"/>
      <c r="P222" s="1255">
        <v>46522.58</v>
      </c>
      <c r="Q222" s="1746"/>
      <c r="R222" s="1262">
        <v>42979</v>
      </c>
      <c r="S222" s="1268">
        <v>42734</v>
      </c>
      <c r="T222" s="1242"/>
      <c r="U222" s="955" t="s">
        <v>68</v>
      </c>
      <c r="V222" s="1747"/>
      <c r="W222" s="1278"/>
      <c r="X222" s="1631"/>
      <c r="Y222" s="340"/>
      <c r="Z222" s="1254"/>
      <c r="AA222" s="1255"/>
      <c r="AB222" s="1255"/>
      <c r="AC222" s="1256"/>
      <c r="AD222" s="1257"/>
      <c r="AE222" s="1258"/>
      <c r="AF222" s="1258"/>
      <c r="AG222" s="1259"/>
      <c r="AH222" s="1749"/>
      <c r="AI222" s="340" t="s">
        <v>68</v>
      </c>
      <c r="AJ222" s="1261" t="s">
        <v>68</v>
      </c>
      <c r="AK222" s="1261"/>
      <c r="AL222" s="1261" t="s">
        <v>68</v>
      </c>
      <c r="AM222" s="1261"/>
      <c r="AN222" s="1261" t="s">
        <v>68</v>
      </c>
      <c r="AO222" s="1261"/>
      <c r="AP222" s="1263">
        <v>0</v>
      </c>
      <c r="AQ222" s="1264">
        <v>0</v>
      </c>
      <c r="AR222" s="1265"/>
      <c r="AS222" s="1266"/>
      <c r="AT222" s="1267"/>
      <c r="AU222" s="1268"/>
      <c r="AV222" s="1269"/>
      <c r="AW222" s="1761"/>
      <c r="AX222" s="955"/>
      <c r="AY222" s="1261"/>
      <c r="AZ222" s="1261"/>
      <c r="BA222" s="1271"/>
      <c r="BB222" s="955"/>
      <c r="BC222" s="1756"/>
      <c r="BD222" s="1261"/>
      <c r="BE222" s="1261"/>
      <c r="BF222" s="1261"/>
      <c r="BG222" s="1272"/>
      <c r="BH222" s="1273"/>
      <c r="BI222" s="1252"/>
      <c r="BJ222" s="1262"/>
      <c r="BK222" s="1262"/>
      <c r="BL222" s="1270"/>
      <c r="BM222" s="1270"/>
      <c r="BN222" s="1270"/>
      <c r="BO222" s="1270"/>
      <c r="BP222" s="1270"/>
      <c r="BQ222" s="1270"/>
      <c r="BR222" s="1270"/>
      <c r="BS222" s="1758"/>
      <c r="BT222" s="1273"/>
      <c r="BU222" s="1273"/>
      <c r="BV222" s="1273"/>
      <c r="BW222" s="1273"/>
      <c r="BX222" s="1273"/>
      <c r="BY222" s="1760" t="s">
        <v>1567</v>
      </c>
      <c r="BZ222" s="133" t="s">
        <v>478</v>
      </c>
      <c r="CA222" s="567"/>
      <c r="CB222" s="567"/>
      <c r="CC222" s="567"/>
      <c r="CD222" s="567"/>
      <c r="CE222" s="567"/>
      <c r="CF222" s="567"/>
      <c r="CG222" s="567"/>
      <c r="CH222" s="1756"/>
    </row>
    <row r="223" spans="2:88" s="1241" customFormat="1" ht="60" hidden="1" customHeight="1">
      <c r="B223" s="1242"/>
      <c r="C223" s="1242"/>
      <c r="D223" s="1242"/>
      <c r="E223" s="1242"/>
      <c r="F223" s="1242"/>
      <c r="G223" s="610"/>
      <c r="H223" s="610"/>
      <c r="I223" s="588">
        <v>2017</v>
      </c>
      <c r="J223" s="1680"/>
      <c r="K223" s="1747" t="s">
        <v>77</v>
      </c>
      <c r="L223" s="955" t="s">
        <v>725</v>
      </c>
      <c r="M223" s="201" t="s">
        <v>251</v>
      </c>
      <c r="N223" s="112" t="s">
        <v>726</v>
      </c>
      <c r="O223" s="112"/>
      <c r="P223" s="1255">
        <v>107544.91</v>
      </c>
      <c r="Q223" s="1746"/>
      <c r="R223" s="1262">
        <v>43070</v>
      </c>
      <c r="S223" s="1268">
        <v>43099</v>
      </c>
      <c r="T223" s="1242"/>
      <c r="U223" s="955" t="s">
        <v>68</v>
      </c>
      <c r="V223" s="1747"/>
      <c r="W223" s="1278"/>
      <c r="X223" s="1631"/>
      <c r="Y223" s="340"/>
      <c r="Z223" s="1254"/>
      <c r="AA223" s="1255"/>
      <c r="AB223" s="1255"/>
      <c r="AC223" s="1256"/>
      <c r="AD223" s="1257"/>
      <c r="AE223" s="1258"/>
      <c r="AF223" s="1258"/>
      <c r="AG223" s="1259"/>
      <c r="AH223" s="1749"/>
      <c r="AI223" s="340" t="s">
        <v>68</v>
      </c>
      <c r="AJ223" s="1261" t="s">
        <v>68</v>
      </c>
      <c r="AK223" s="1261"/>
      <c r="AL223" s="1261" t="s">
        <v>68</v>
      </c>
      <c r="AM223" s="1261"/>
      <c r="AN223" s="1261" t="s">
        <v>68</v>
      </c>
      <c r="AO223" s="1261"/>
      <c r="AP223" s="1263">
        <v>0</v>
      </c>
      <c r="AQ223" s="1264">
        <v>0</v>
      </c>
      <c r="AR223" s="1265"/>
      <c r="AS223" s="1266"/>
      <c r="AT223" s="1267"/>
      <c r="AU223" s="1268"/>
      <c r="AV223" s="1269"/>
      <c r="AW223" s="1761"/>
      <c r="AX223" s="955"/>
      <c r="AY223" s="1261"/>
      <c r="AZ223" s="1261"/>
      <c r="BA223" s="1271"/>
      <c r="BB223" s="955"/>
      <c r="BC223" s="1756"/>
      <c r="BD223" s="1261"/>
      <c r="BE223" s="1261"/>
      <c r="BF223" s="1261"/>
      <c r="BG223" s="1272"/>
      <c r="BH223" s="1273"/>
      <c r="BI223" s="1252"/>
      <c r="BJ223" s="1262"/>
      <c r="BK223" s="1262"/>
      <c r="BL223" s="1270"/>
      <c r="BM223" s="1270"/>
      <c r="BN223" s="1270"/>
      <c r="BO223" s="1270"/>
      <c r="BP223" s="1270"/>
      <c r="BQ223" s="1270"/>
      <c r="BR223" s="1270"/>
      <c r="BS223" s="1758"/>
      <c r="BT223" s="1273"/>
      <c r="BU223" s="1273"/>
      <c r="BV223" s="1273"/>
      <c r="BW223" s="1273"/>
      <c r="BX223" s="1273"/>
      <c r="BY223" s="1760" t="s">
        <v>1567</v>
      </c>
      <c r="BZ223" s="133" t="s">
        <v>478</v>
      </c>
      <c r="CA223" s="567"/>
      <c r="CB223" s="567"/>
      <c r="CC223" s="567"/>
      <c r="CD223" s="567"/>
      <c r="CE223" s="567"/>
      <c r="CF223" s="567"/>
      <c r="CG223" s="567"/>
      <c r="CH223" s="1756"/>
    </row>
    <row r="224" spans="2:88" customFormat="1" ht="116.25" hidden="1" customHeight="1">
      <c r="B224" s="23"/>
      <c r="C224" s="23"/>
      <c r="D224" s="23"/>
      <c r="E224" s="335" t="s">
        <v>68</v>
      </c>
      <c r="F224" s="335"/>
      <c r="G224" s="1055">
        <v>43348</v>
      </c>
      <c r="H224" s="364">
        <v>43352</v>
      </c>
      <c r="I224" s="17">
        <v>2017</v>
      </c>
      <c r="J224" s="1676"/>
      <c r="K224" s="19" t="s">
        <v>166</v>
      </c>
      <c r="L224" s="35" t="s">
        <v>727</v>
      </c>
      <c r="M224" s="2" t="s">
        <v>4077</v>
      </c>
      <c r="N224" s="328" t="s">
        <v>728</v>
      </c>
      <c r="O224" s="328" t="s">
        <v>1979</v>
      </c>
      <c r="P224" s="85">
        <v>60000</v>
      </c>
      <c r="Q224" s="69">
        <v>43078</v>
      </c>
      <c r="R224" s="255">
        <v>43078</v>
      </c>
      <c r="S224" s="245">
        <v>43099</v>
      </c>
      <c r="T224" s="23" t="s">
        <v>68</v>
      </c>
      <c r="U224" s="20" t="s">
        <v>1177</v>
      </c>
      <c r="V224" s="19" t="s">
        <v>709</v>
      </c>
      <c r="W224" s="220" t="s">
        <v>68</v>
      </c>
      <c r="X224" s="406"/>
      <c r="Y224" s="35" t="s">
        <v>729</v>
      </c>
      <c r="Z224" s="9">
        <v>43077</v>
      </c>
      <c r="AA224" s="4">
        <v>40000</v>
      </c>
      <c r="AB224" s="4"/>
      <c r="AC224" s="34"/>
      <c r="AD224" s="36" t="s">
        <v>68</v>
      </c>
      <c r="AE224" s="119" t="s">
        <v>68</v>
      </c>
      <c r="AF224" s="119" t="s">
        <v>68</v>
      </c>
      <c r="AG224" s="7" t="s">
        <v>68</v>
      </c>
      <c r="AH224" s="235" t="s">
        <v>68</v>
      </c>
      <c r="AI224" s="35" t="s">
        <v>68</v>
      </c>
      <c r="AJ224" s="1" t="s">
        <v>68</v>
      </c>
      <c r="AK224" s="1"/>
      <c r="AL224" s="1" t="s">
        <v>68</v>
      </c>
      <c r="AM224" s="1"/>
      <c r="AN224" s="1" t="s">
        <v>68</v>
      </c>
      <c r="AO224" s="1"/>
      <c r="AP224" s="306">
        <v>0</v>
      </c>
      <c r="AQ224" s="625"/>
      <c r="AR224" s="1041"/>
      <c r="AS224" s="1028"/>
      <c r="AT224" s="386" t="s">
        <v>68</v>
      </c>
      <c r="AU224" s="12"/>
      <c r="AV224" s="243" t="s">
        <v>68</v>
      </c>
      <c r="AW224" s="244" t="s">
        <v>492</v>
      </c>
      <c r="AX224" s="124" t="s">
        <v>692</v>
      </c>
      <c r="AY224" s="5">
        <v>43078</v>
      </c>
      <c r="AZ224" s="5">
        <v>43099</v>
      </c>
      <c r="BA224" s="715"/>
      <c r="BB224" s="124" t="s">
        <v>692</v>
      </c>
      <c r="BC224" s="1959"/>
      <c r="BD224" s="5">
        <v>43078</v>
      </c>
      <c r="BE224" s="5">
        <v>43099</v>
      </c>
      <c r="BF224" s="239"/>
      <c r="BG224" s="66">
        <f>AQ224+AR224</f>
        <v>0</v>
      </c>
      <c r="BH224" s="14" t="s">
        <v>68</v>
      </c>
      <c r="BI224" s="111"/>
      <c r="BJ224" s="5"/>
      <c r="BK224" s="5"/>
      <c r="BL224" s="54"/>
      <c r="BM224" s="54"/>
      <c r="BN224" s="54"/>
      <c r="BO224" s="54"/>
      <c r="BP224" s="54"/>
      <c r="BQ224" s="54"/>
      <c r="BR224" s="54"/>
      <c r="BS224" s="55"/>
      <c r="BT224" s="14"/>
      <c r="BU224" s="14"/>
      <c r="BV224" s="14"/>
      <c r="BW224" s="14"/>
      <c r="BX224" s="14"/>
      <c r="BY224" s="1432" t="s">
        <v>1567</v>
      </c>
      <c r="BZ224" s="356" t="s">
        <v>459</v>
      </c>
      <c r="CA224" s="563"/>
      <c r="CB224" s="563"/>
      <c r="CC224" s="563"/>
      <c r="CD224" s="563"/>
      <c r="CE224" s="563"/>
      <c r="CF224" s="563"/>
      <c r="CG224" s="563"/>
      <c r="CH224" s="13"/>
    </row>
    <row r="225" spans="2:86" s="1241" customFormat="1" ht="60" hidden="1" customHeight="1">
      <c r="B225" s="1242"/>
      <c r="C225" s="1242"/>
      <c r="D225" s="1242"/>
      <c r="E225" s="1242"/>
      <c r="F225" s="1242"/>
      <c r="G225" s="610"/>
      <c r="H225" s="610"/>
      <c r="I225" s="588">
        <v>2017</v>
      </c>
      <c r="J225" s="1680"/>
      <c r="K225" s="1747"/>
      <c r="L225" s="955" t="s">
        <v>730</v>
      </c>
      <c r="M225" s="201" t="s">
        <v>251</v>
      </c>
      <c r="N225" s="112"/>
      <c r="O225" s="112"/>
      <c r="P225" s="1255"/>
      <c r="Q225" s="1746"/>
      <c r="R225" s="1262"/>
      <c r="S225" s="1268"/>
      <c r="T225" s="1242"/>
      <c r="U225" s="955" t="s">
        <v>68</v>
      </c>
      <c r="V225" s="1747"/>
      <c r="W225" s="1278"/>
      <c r="X225" s="1631"/>
      <c r="Y225" s="340"/>
      <c r="Z225" s="1254"/>
      <c r="AA225" s="1255"/>
      <c r="AB225" s="1255"/>
      <c r="AC225" s="1256"/>
      <c r="AD225" s="1257"/>
      <c r="AE225" s="1258"/>
      <c r="AF225" s="1258"/>
      <c r="AG225" s="1259"/>
      <c r="AH225" s="1749"/>
      <c r="AI225" s="340" t="s">
        <v>68</v>
      </c>
      <c r="AJ225" s="1261" t="s">
        <v>68</v>
      </c>
      <c r="AK225" s="1261"/>
      <c r="AL225" s="1261" t="s">
        <v>68</v>
      </c>
      <c r="AM225" s="1261"/>
      <c r="AN225" s="1261" t="s">
        <v>68</v>
      </c>
      <c r="AO225" s="1261"/>
      <c r="AP225" s="1263">
        <v>0</v>
      </c>
      <c r="AQ225" s="1264">
        <v>0</v>
      </c>
      <c r="AR225" s="1265"/>
      <c r="AS225" s="1266"/>
      <c r="AT225" s="1762" t="s">
        <v>74</v>
      </c>
      <c r="AU225" s="1268"/>
      <c r="AV225" s="1269"/>
      <c r="AW225" s="1761"/>
      <c r="AX225" s="955"/>
      <c r="AY225" s="1261"/>
      <c r="AZ225" s="1261"/>
      <c r="BA225" s="1271"/>
      <c r="BB225" s="955"/>
      <c r="BC225" s="1756"/>
      <c r="BD225" s="1261"/>
      <c r="BE225" s="1261"/>
      <c r="BF225" s="1261"/>
      <c r="BG225" s="1272"/>
      <c r="BH225" s="1273"/>
      <c r="BI225" s="1252"/>
      <c r="BJ225" s="1262"/>
      <c r="BK225" s="1262"/>
      <c r="BL225" s="1270"/>
      <c r="BM225" s="1270"/>
      <c r="BN225" s="1270"/>
      <c r="BO225" s="1270"/>
      <c r="BP225" s="1270"/>
      <c r="BQ225" s="1270"/>
      <c r="BR225" s="1270"/>
      <c r="BS225" s="1758"/>
      <c r="BT225" s="1273"/>
      <c r="BU225" s="1273"/>
      <c r="BV225" s="1273"/>
      <c r="BW225" s="1273"/>
      <c r="BX225" s="1273"/>
      <c r="BY225" s="1760" t="s">
        <v>1567</v>
      </c>
      <c r="BZ225" s="133" t="s">
        <v>478</v>
      </c>
      <c r="CA225" s="567"/>
      <c r="CB225" s="567"/>
      <c r="CC225" s="567"/>
      <c r="CD225" s="567"/>
      <c r="CE225" s="567"/>
      <c r="CF225" s="567"/>
      <c r="CG225" s="567"/>
      <c r="CH225" s="1756"/>
    </row>
    <row r="226" spans="2:86" customFormat="1" ht="337.5" hidden="1" customHeight="1">
      <c r="B226" s="23"/>
      <c r="C226" s="23"/>
      <c r="D226" s="23"/>
      <c r="E226" s="335" t="s">
        <v>68</v>
      </c>
      <c r="F226" s="335"/>
      <c r="G226" s="1055">
        <v>43077</v>
      </c>
      <c r="H226" s="364">
        <v>42767</v>
      </c>
      <c r="I226" s="17">
        <v>2017</v>
      </c>
      <c r="J226" s="1676"/>
      <c r="K226" s="19" t="s">
        <v>166</v>
      </c>
      <c r="L226" s="35" t="s">
        <v>731</v>
      </c>
      <c r="M226" s="2" t="s">
        <v>79</v>
      </c>
      <c r="N226" s="3" t="s">
        <v>732</v>
      </c>
      <c r="O226" s="3" t="s">
        <v>1979</v>
      </c>
      <c r="P226" s="4">
        <v>1499890.33</v>
      </c>
      <c r="Q226" s="6">
        <v>42737</v>
      </c>
      <c r="R226" s="5">
        <v>42740</v>
      </c>
      <c r="S226" s="12">
        <v>42746</v>
      </c>
      <c r="T226" s="111">
        <v>42737</v>
      </c>
      <c r="U226" s="35" t="s">
        <v>733</v>
      </c>
      <c r="V226" s="19" t="s">
        <v>563</v>
      </c>
      <c r="W226" s="220" t="s">
        <v>68</v>
      </c>
      <c r="X226" s="406"/>
      <c r="Y226" s="35" t="s">
        <v>734</v>
      </c>
      <c r="Z226" s="596">
        <v>42739</v>
      </c>
      <c r="AA226" s="215">
        <v>2815943.3</v>
      </c>
      <c r="AB226" s="4"/>
      <c r="AC226" s="34"/>
      <c r="AD226" s="36" t="s">
        <v>68</v>
      </c>
      <c r="AE226" s="119" t="s">
        <v>68</v>
      </c>
      <c r="AF226" s="119" t="s">
        <v>68</v>
      </c>
      <c r="AG226" s="7" t="s">
        <v>68</v>
      </c>
      <c r="AH226" s="235" t="s">
        <v>68</v>
      </c>
      <c r="AI226" s="375" t="s">
        <v>589</v>
      </c>
      <c r="AJ226" s="1" t="s">
        <v>68</v>
      </c>
      <c r="AK226" s="5"/>
      <c r="AL226" s="1">
        <v>1788257</v>
      </c>
      <c r="AM226" s="5">
        <v>42740</v>
      </c>
      <c r="AN226" s="1">
        <v>1788260</v>
      </c>
      <c r="AO226" s="5">
        <v>42746</v>
      </c>
      <c r="AP226" s="306">
        <f>149989.03*2</f>
        <v>299978.06</v>
      </c>
      <c r="AQ226" s="37">
        <v>0</v>
      </c>
      <c r="AR226" s="1038">
        <v>1499890.33</v>
      </c>
      <c r="AS226" s="1025"/>
      <c r="AT226" s="381">
        <v>42741</v>
      </c>
      <c r="AU226" s="12">
        <v>42746</v>
      </c>
      <c r="AV226" s="243" t="s">
        <v>68</v>
      </c>
      <c r="AW226" s="244" t="s">
        <v>68</v>
      </c>
      <c r="AX226" s="381">
        <v>42747</v>
      </c>
      <c r="AY226" s="5">
        <v>42740</v>
      </c>
      <c r="AZ226" s="5">
        <v>42746</v>
      </c>
      <c r="BA226" s="12">
        <v>42746</v>
      </c>
      <c r="BB226" s="381">
        <v>42747</v>
      </c>
      <c r="BC226" s="1953"/>
      <c r="BD226" s="5">
        <v>42740</v>
      </c>
      <c r="BE226" s="5">
        <v>42746</v>
      </c>
      <c r="BF226" s="5">
        <v>42746</v>
      </c>
      <c r="BG226" s="72">
        <f>AQ226+AR226</f>
        <v>1499890.33</v>
      </c>
      <c r="BH226" s="64">
        <v>42748</v>
      </c>
      <c r="BI226" s="111"/>
      <c r="BJ226" s="5"/>
      <c r="BK226" s="5"/>
      <c r="BL226" s="54"/>
      <c r="BM226" s="54"/>
      <c r="BN226" s="54"/>
      <c r="BO226" s="54"/>
      <c r="BP226" s="54"/>
      <c r="BQ226" s="54"/>
      <c r="BR226" s="54"/>
      <c r="BS226" s="55"/>
      <c r="BT226" s="14"/>
      <c r="BU226" s="14"/>
      <c r="BV226" s="14"/>
      <c r="BW226" s="14"/>
      <c r="BX226" s="14"/>
      <c r="BY226" s="1432" t="s">
        <v>1567</v>
      </c>
      <c r="BZ226" s="649" t="s">
        <v>454</v>
      </c>
      <c r="CA226" s="621"/>
      <c r="CB226" s="621"/>
      <c r="CC226" s="621"/>
      <c r="CD226" s="621"/>
      <c r="CE226" s="621"/>
      <c r="CF226" s="621"/>
      <c r="CG226" s="621"/>
      <c r="CH226" s="13"/>
    </row>
    <row r="227" spans="2:86" customFormat="1" ht="305.25" hidden="1" customHeight="1">
      <c r="B227" s="23"/>
      <c r="C227" s="23"/>
      <c r="D227" s="23"/>
      <c r="E227" s="335" t="s">
        <v>68</v>
      </c>
      <c r="F227" s="335"/>
      <c r="G227" s="1055">
        <v>43077</v>
      </c>
      <c r="H227" s="364">
        <v>42767</v>
      </c>
      <c r="I227" s="17">
        <v>2017</v>
      </c>
      <c r="J227" s="1676"/>
      <c r="K227" s="19" t="s">
        <v>166</v>
      </c>
      <c r="L227" s="35" t="s">
        <v>735</v>
      </c>
      <c r="M227" s="2" t="s">
        <v>79</v>
      </c>
      <c r="N227" s="3" t="s">
        <v>736</v>
      </c>
      <c r="O227" s="3" t="s">
        <v>1979</v>
      </c>
      <c r="P227" s="4">
        <v>1316020.1499999999</v>
      </c>
      <c r="Q227" s="6">
        <v>42747</v>
      </c>
      <c r="R227" s="5">
        <v>42747</v>
      </c>
      <c r="S227" s="12">
        <v>42837</v>
      </c>
      <c r="T227" s="111">
        <v>42747</v>
      </c>
      <c r="U227" s="35" t="s">
        <v>733</v>
      </c>
      <c r="V227" s="19" t="s">
        <v>563</v>
      </c>
      <c r="W227" s="220" t="s">
        <v>68</v>
      </c>
      <c r="X227" s="406"/>
      <c r="Y227" s="35" t="s">
        <v>734</v>
      </c>
      <c r="Z227" s="596">
        <v>42739</v>
      </c>
      <c r="AA227" s="215">
        <v>2815943.3</v>
      </c>
      <c r="AB227" s="4"/>
      <c r="AC227" s="34"/>
      <c r="AD227" s="36" t="s">
        <v>68</v>
      </c>
      <c r="AE227" s="119" t="s">
        <v>68</v>
      </c>
      <c r="AF227" s="119" t="s">
        <v>68</v>
      </c>
      <c r="AG227" s="7" t="s">
        <v>68</v>
      </c>
      <c r="AH227" s="235" t="s">
        <v>68</v>
      </c>
      <c r="AI227" s="375" t="s">
        <v>589</v>
      </c>
      <c r="AJ227" s="1" t="s">
        <v>68</v>
      </c>
      <c r="AK227" s="5"/>
      <c r="AL227" s="1">
        <v>1789996</v>
      </c>
      <c r="AM227" s="5">
        <v>42747</v>
      </c>
      <c r="AN227" s="1">
        <v>1791140</v>
      </c>
      <c r="AO227" s="5">
        <v>42781</v>
      </c>
      <c r="AP227" s="306">
        <f>131602.01+131602.01</f>
        <v>263204.02</v>
      </c>
      <c r="AQ227" s="37">
        <v>0</v>
      </c>
      <c r="AR227" s="1038">
        <v>1316020.1399999999</v>
      </c>
      <c r="AS227" s="1025"/>
      <c r="AT227" s="381">
        <v>42748</v>
      </c>
      <c r="AU227" s="12">
        <v>42767</v>
      </c>
      <c r="AV227" s="243" t="s">
        <v>68</v>
      </c>
      <c r="AW227" s="244" t="s">
        <v>68</v>
      </c>
      <c r="AX227" s="375">
        <v>42838</v>
      </c>
      <c r="AY227" s="5">
        <v>42747</v>
      </c>
      <c r="AZ227" s="5">
        <v>42837</v>
      </c>
      <c r="BA227" s="12">
        <v>42837</v>
      </c>
      <c r="BB227" s="375">
        <v>42838</v>
      </c>
      <c r="BC227" s="1952"/>
      <c r="BD227" s="76">
        <v>42747</v>
      </c>
      <c r="BE227" s="76">
        <v>42837</v>
      </c>
      <c r="BF227" s="76">
        <v>42837</v>
      </c>
      <c r="BG227" s="136">
        <f>AQ227+AR227+0.01</f>
        <v>1316020.1499999999</v>
      </c>
      <c r="BH227" s="64">
        <v>42839</v>
      </c>
      <c r="BI227" s="111"/>
      <c r="BJ227" s="5"/>
      <c r="BK227" s="5"/>
      <c r="BL227" s="54"/>
      <c r="BM227" s="54"/>
      <c r="BN227" s="54"/>
      <c r="BO227" s="54"/>
      <c r="BP227" s="54"/>
      <c r="BQ227" s="54"/>
      <c r="BR227" s="54"/>
      <c r="BS227" s="55"/>
      <c r="BT227" s="14"/>
      <c r="BU227" s="14"/>
      <c r="BV227" s="14"/>
      <c r="BW227" s="14"/>
      <c r="BX227" s="14"/>
      <c r="BY227" s="1432" t="s">
        <v>1567</v>
      </c>
      <c r="BZ227" s="649" t="s">
        <v>454</v>
      </c>
      <c r="CA227" s="563"/>
      <c r="CB227" s="563"/>
      <c r="CC227" s="563"/>
      <c r="CD227" s="563"/>
      <c r="CE227" s="563"/>
      <c r="CF227" s="563"/>
      <c r="CG227" s="563"/>
      <c r="CH227" s="13"/>
    </row>
    <row r="228" spans="2:86" customFormat="1" ht="77.25" hidden="1" customHeight="1">
      <c r="B228" s="23"/>
      <c r="C228" s="23"/>
      <c r="D228" s="23"/>
      <c r="E228" s="335" t="s">
        <v>68</v>
      </c>
      <c r="F228" s="335"/>
      <c r="G228" s="1055">
        <v>43244</v>
      </c>
      <c r="H228" s="364">
        <v>43048</v>
      </c>
      <c r="I228" s="17">
        <v>2017</v>
      </c>
      <c r="J228" s="1676"/>
      <c r="K228" s="19" t="s">
        <v>77</v>
      </c>
      <c r="L228" s="35" t="s">
        <v>737</v>
      </c>
      <c r="M228" s="2" t="s">
        <v>79</v>
      </c>
      <c r="N228" s="328" t="s">
        <v>738</v>
      </c>
      <c r="O228" s="328" t="s">
        <v>1979</v>
      </c>
      <c r="P228" s="4">
        <v>626112.69999999995</v>
      </c>
      <c r="Q228" s="6">
        <v>42857</v>
      </c>
      <c r="R228" s="5">
        <v>42860</v>
      </c>
      <c r="S228" s="12">
        <v>42880</v>
      </c>
      <c r="T228" s="111">
        <v>42857</v>
      </c>
      <c r="U228" s="191" t="s">
        <v>739</v>
      </c>
      <c r="V228" s="19" t="s">
        <v>563</v>
      </c>
      <c r="W228" s="73" t="s">
        <v>74</v>
      </c>
      <c r="X228" s="1013"/>
      <c r="Y228" s="35" t="s">
        <v>740</v>
      </c>
      <c r="Z228" s="80">
        <v>42854</v>
      </c>
      <c r="AA228" s="81">
        <v>626112.69999999995</v>
      </c>
      <c r="AB228" s="4"/>
      <c r="AC228" s="34"/>
      <c r="AD228" s="36" t="s">
        <v>68</v>
      </c>
      <c r="AE228" s="119" t="s">
        <v>68</v>
      </c>
      <c r="AF228" s="119" t="s">
        <v>68</v>
      </c>
      <c r="AG228" s="7" t="s">
        <v>68</v>
      </c>
      <c r="AH228" s="235" t="s">
        <v>68</v>
      </c>
      <c r="AI228" s="491" t="s">
        <v>232</v>
      </c>
      <c r="AJ228" s="1" t="s">
        <v>68</v>
      </c>
      <c r="AK228" s="5"/>
      <c r="AL228" s="1">
        <v>2093929</v>
      </c>
      <c r="AM228" s="5">
        <v>42858</v>
      </c>
      <c r="AN228" s="1">
        <v>2107004</v>
      </c>
      <c r="AO228" s="5">
        <v>42920</v>
      </c>
      <c r="AP228" s="306">
        <f>62611.27+62611.27</f>
        <v>125222.54</v>
      </c>
      <c r="AQ228" s="37">
        <v>0</v>
      </c>
      <c r="AR228" s="1032">
        <v>673715.91</v>
      </c>
      <c r="AS228" s="1019"/>
      <c r="AT228" s="375">
        <v>42860</v>
      </c>
      <c r="AU228" s="12">
        <v>42880</v>
      </c>
      <c r="AV228" s="243" t="s">
        <v>68</v>
      </c>
      <c r="AW228" s="244" t="s">
        <v>68</v>
      </c>
      <c r="AX228" s="375">
        <v>42880</v>
      </c>
      <c r="AY228" s="76">
        <v>42860</v>
      </c>
      <c r="AZ228" s="76">
        <v>42880</v>
      </c>
      <c r="BA228" s="245">
        <v>42880</v>
      </c>
      <c r="BB228" s="375">
        <v>42880</v>
      </c>
      <c r="BC228" s="1952"/>
      <c r="BD228" s="76">
        <v>42860</v>
      </c>
      <c r="BE228" s="76">
        <v>42880</v>
      </c>
      <c r="BF228" s="76">
        <v>42880</v>
      </c>
      <c r="BG228" s="136">
        <v>673715.91</v>
      </c>
      <c r="BH228" s="282"/>
      <c r="BI228" s="578"/>
      <c r="BJ228" s="255"/>
      <c r="BK228" s="255"/>
      <c r="BL228" s="246"/>
      <c r="BM228" s="246"/>
      <c r="BN228" s="246"/>
      <c r="BO228" s="246"/>
      <c r="BP228" s="246"/>
      <c r="BQ228" s="246"/>
      <c r="BR228" s="246"/>
      <c r="BS228" s="758"/>
      <c r="BT228" s="282"/>
      <c r="BU228" s="282"/>
      <c r="BV228" s="282"/>
      <c r="BW228" s="282"/>
      <c r="BX228" s="282"/>
      <c r="BY228" s="1432" t="s">
        <v>1567</v>
      </c>
      <c r="BZ228" s="356" t="s">
        <v>459</v>
      </c>
      <c r="CA228" s="563"/>
      <c r="CB228" s="563"/>
      <c r="CC228" s="563"/>
      <c r="CD228" s="563"/>
      <c r="CE228" s="563"/>
      <c r="CF228" s="563"/>
      <c r="CG228" s="563"/>
      <c r="CH228" s="13"/>
    </row>
    <row r="229" spans="2:86" customFormat="1" ht="75" hidden="1" customHeight="1">
      <c r="B229" s="23"/>
      <c r="C229" s="23"/>
      <c r="D229" s="23"/>
      <c r="E229" s="335" t="s">
        <v>68</v>
      </c>
      <c r="F229" s="335"/>
      <c r="G229" s="1055">
        <v>43250</v>
      </c>
      <c r="H229" s="364">
        <v>43048</v>
      </c>
      <c r="I229" s="17">
        <v>2017</v>
      </c>
      <c r="J229" s="1676"/>
      <c r="K229" s="19" t="s">
        <v>77</v>
      </c>
      <c r="L229" s="35" t="s">
        <v>741</v>
      </c>
      <c r="M229" s="2" t="s">
        <v>79</v>
      </c>
      <c r="N229" s="328" t="s">
        <v>742</v>
      </c>
      <c r="O229" s="328" t="s">
        <v>1979</v>
      </c>
      <c r="P229" s="4">
        <v>475018.98</v>
      </c>
      <c r="Q229" s="6">
        <v>42857</v>
      </c>
      <c r="R229" s="5">
        <v>42860</v>
      </c>
      <c r="S229" s="12">
        <v>42885</v>
      </c>
      <c r="T229" s="111">
        <v>42857</v>
      </c>
      <c r="U229" s="191" t="s">
        <v>739</v>
      </c>
      <c r="V229" s="19" t="s">
        <v>563</v>
      </c>
      <c r="W229" s="73" t="s">
        <v>74</v>
      </c>
      <c r="X229" s="1013"/>
      <c r="Y229" s="35" t="s">
        <v>743</v>
      </c>
      <c r="Z229" s="137">
        <v>42854</v>
      </c>
      <c r="AA229" s="85">
        <v>475018.89</v>
      </c>
      <c r="AB229" s="4"/>
      <c r="AC229" s="34"/>
      <c r="AD229" s="36" t="s">
        <v>68</v>
      </c>
      <c r="AE229" s="119" t="s">
        <v>68</v>
      </c>
      <c r="AF229" s="119" t="s">
        <v>68</v>
      </c>
      <c r="AG229" s="7" t="s">
        <v>68</v>
      </c>
      <c r="AH229" s="235" t="s">
        <v>68</v>
      </c>
      <c r="AI229" s="491" t="s">
        <v>232</v>
      </c>
      <c r="AJ229" s="1" t="s">
        <v>68</v>
      </c>
      <c r="AK229" s="5"/>
      <c r="AL229" s="1">
        <v>2093933</v>
      </c>
      <c r="AM229" s="5">
        <v>42858</v>
      </c>
      <c r="AN229" s="1">
        <v>2106985</v>
      </c>
      <c r="AO229" s="5">
        <v>42919</v>
      </c>
      <c r="AP229" s="306">
        <f>47501.89+47501.89</f>
        <v>95003.78</v>
      </c>
      <c r="AQ229" s="37">
        <v>0</v>
      </c>
      <c r="AR229" s="1032">
        <v>502258.4</v>
      </c>
      <c r="AS229" s="1019"/>
      <c r="AT229" s="375">
        <v>42860</v>
      </c>
      <c r="AU229" s="12">
        <v>42885</v>
      </c>
      <c r="AV229" s="243" t="s">
        <v>68</v>
      </c>
      <c r="AW229" s="244" t="s">
        <v>68</v>
      </c>
      <c r="AX229" s="375">
        <v>42885</v>
      </c>
      <c r="AY229" s="255">
        <v>42860</v>
      </c>
      <c r="AZ229" s="255">
        <v>42885</v>
      </c>
      <c r="BA229" s="245">
        <v>42885</v>
      </c>
      <c r="BB229" s="375">
        <v>42885</v>
      </c>
      <c r="BC229" s="1952"/>
      <c r="BD229" s="76">
        <v>42860</v>
      </c>
      <c r="BE229" s="76">
        <v>42885</v>
      </c>
      <c r="BF229" s="76">
        <v>42885</v>
      </c>
      <c r="BG229" s="136">
        <f>AQ229+AR229</f>
        <v>502258.4</v>
      </c>
      <c r="BH229" s="282"/>
      <c r="BI229" s="578"/>
      <c r="BJ229" s="255"/>
      <c r="BK229" s="255"/>
      <c r="BL229" s="246"/>
      <c r="BM229" s="246"/>
      <c r="BN229" s="246"/>
      <c r="BO229" s="246"/>
      <c r="BP229" s="246"/>
      <c r="BQ229" s="246"/>
      <c r="BR229" s="246"/>
      <c r="BS229" s="758"/>
      <c r="BT229" s="282"/>
      <c r="BU229" s="282"/>
      <c r="BV229" s="282"/>
      <c r="BW229" s="282"/>
      <c r="BX229" s="282"/>
      <c r="BY229" s="1432" t="s">
        <v>1567</v>
      </c>
      <c r="BZ229" s="356" t="s">
        <v>459</v>
      </c>
      <c r="CA229" s="563"/>
      <c r="CB229" s="563"/>
      <c r="CC229" s="563"/>
      <c r="CD229" s="563"/>
      <c r="CE229" s="563"/>
      <c r="CF229" s="563"/>
      <c r="CG229" s="563"/>
      <c r="CH229" s="13"/>
    </row>
    <row r="230" spans="2:86" customFormat="1" ht="75" hidden="1" customHeight="1">
      <c r="B230" s="23"/>
      <c r="C230" s="23"/>
      <c r="D230" s="23"/>
      <c r="E230" s="335" t="s">
        <v>68</v>
      </c>
      <c r="F230" s="335"/>
      <c r="G230" s="1055">
        <v>43130</v>
      </c>
      <c r="H230" s="364">
        <v>43048</v>
      </c>
      <c r="I230" s="17">
        <v>2017</v>
      </c>
      <c r="J230" s="1676"/>
      <c r="K230" s="19" t="s">
        <v>77</v>
      </c>
      <c r="L230" s="35" t="s">
        <v>744</v>
      </c>
      <c r="M230" s="2" t="s">
        <v>79</v>
      </c>
      <c r="N230" s="328" t="s">
        <v>745</v>
      </c>
      <c r="O230" s="328" t="s">
        <v>1979</v>
      </c>
      <c r="P230" s="4">
        <v>383419.34</v>
      </c>
      <c r="Q230" s="6">
        <v>42857</v>
      </c>
      <c r="R230" s="5">
        <v>42861</v>
      </c>
      <c r="S230" s="12">
        <v>42901</v>
      </c>
      <c r="T230" s="111">
        <v>42857</v>
      </c>
      <c r="U230" s="191" t="s">
        <v>739</v>
      </c>
      <c r="V230" s="19" t="s">
        <v>563</v>
      </c>
      <c r="W230" s="73" t="s">
        <v>74</v>
      </c>
      <c r="X230" s="1013"/>
      <c r="Y230" s="35" t="s">
        <v>746</v>
      </c>
      <c r="Z230" s="137">
        <v>42854</v>
      </c>
      <c r="AA230" s="85">
        <v>383419.34</v>
      </c>
      <c r="AB230" s="4"/>
      <c r="AC230" s="34"/>
      <c r="AD230" s="36" t="s">
        <v>68</v>
      </c>
      <c r="AE230" s="119" t="s">
        <v>68</v>
      </c>
      <c r="AF230" s="119" t="s">
        <v>68</v>
      </c>
      <c r="AG230" s="7" t="s">
        <v>68</v>
      </c>
      <c r="AH230" s="235" t="s">
        <v>68</v>
      </c>
      <c r="AI230" s="491" t="s">
        <v>232</v>
      </c>
      <c r="AJ230" s="1" t="s">
        <v>68</v>
      </c>
      <c r="AK230" s="5"/>
      <c r="AL230" s="1">
        <v>2093934</v>
      </c>
      <c r="AM230" s="5">
        <v>42858</v>
      </c>
      <c r="AN230" s="1">
        <v>2107000</v>
      </c>
      <c r="AO230" s="5">
        <v>42919</v>
      </c>
      <c r="AP230" s="306">
        <f>38341.93+38341.93</f>
        <v>76683.86</v>
      </c>
      <c r="AQ230" s="37">
        <v>0</v>
      </c>
      <c r="AR230" s="1032">
        <v>380404.63</v>
      </c>
      <c r="AS230" s="1019"/>
      <c r="AT230" s="373" t="s">
        <v>74</v>
      </c>
      <c r="AU230" s="12"/>
      <c r="AV230" s="243" t="s">
        <v>68</v>
      </c>
      <c r="AW230" s="244" t="s">
        <v>68</v>
      </c>
      <c r="AX230" s="375">
        <v>42902</v>
      </c>
      <c r="AY230" s="255">
        <v>42861</v>
      </c>
      <c r="AZ230" s="255">
        <v>42901</v>
      </c>
      <c r="BA230" s="245">
        <v>42901</v>
      </c>
      <c r="BB230" s="375">
        <v>42902</v>
      </c>
      <c r="BC230" s="1952"/>
      <c r="BD230" s="76">
        <v>42861</v>
      </c>
      <c r="BE230" s="76">
        <v>42901</v>
      </c>
      <c r="BF230" s="76">
        <v>42901</v>
      </c>
      <c r="BG230" s="136">
        <v>383464.63</v>
      </c>
      <c r="BH230" s="282"/>
      <c r="BI230" s="578"/>
      <c r="BJ230" s="255"/>
      <c r="BK230" s="255"/>
      <c r="BL230" s="246"/>
      <c r="BM230" s="246"/>
      <c r="BN230" s="246"/>
      <c r="BO230" s="246"/>
      <c r="BP230" s="246"/>
      <c r="BQ230" s="246"/>
      <c r="BR230" s="246"/>
      <c r="BS230" s="758"/>
      <c r="BT230" s="282"/>
      <c r="BU230" s="282"/>
      <c r="BV230" s="282"/>
      <c r="BW230" s="282"/>
      <c r="BX230" s="282"/>
      <c r="BY230" s="1432" t="s">
        <v>1567</v>
      </c>
      <c r="BZ230" s="356" t="s">
        <v>459</v>
      </c>
      <c r="CA230" s="563"/>
      <c r="CB230" s="563"/>
      <c r="CC230" s="563"/>
      <c r="CD230" s="563"/>
      <c r="CE230" s="563"/>
      <c r="CF230" s="563"/>
      <c r="CG230" s="563"/>
      <c r="CH230" s="13"/>
    </row>
    <row r="231" spans="2:86" customFormat="1" ht="59.25" hidden="1" customHeight="1">
      <c r="B231" s="23"/>
      <c r="C231" s="23"/>
      <c r="D231" s="23"/>
      <c r="E231" s="335" t="s">
        <v>68</v>
      </c>
      <c r="F231" s="335"/>
      <c r="G231" s="1055">
        <v>43224</v>
      </c>
      <c r="H231" s="365">
        <v>43048</v>
      </c>
      <c r="I231" s="17">
        <v>2017</v>
      </c>
      <c r="J231" s="1678"/>
      <c r="K231" s="183" t="s">
        <v>77</v>
      </c>
      <c r="L231" s="35" t="s">
        <v>747</v>
      </c>
      <c r="M231" s="185" t="s">
        <v>79</v>
      </c>
      <c r="N231" s="494" t="s">
        <v>748</v>
      </c>
      <c r="O231" s="494" t="s">
        <v>2574</v>
      </c>
      <c r="P231" s="187">
        <v>167666.94</v>
      </c>
      <c r="Q231" s="657">
        <v>42858</v>
      </c>
      <c r="R231" s="189">
        <v>42859</v>
      </c>
      <c r="S231" s="190">
        <v>42875</v>
      </c>
      <c r="T231" s="111">
        <v>42857</v>
      </c>
      <c r="U231" s="122" t="s">
        <v>637</v>
      </c>
      <c r="V231" s="19" t="s">
        <v>3087</v>
      </c>
      <c r="W231" s="383">
        <v>42859</v>
      </c>
      <c r="X231" s="378"/>
      <c r="Y231" s="35" t="s">
        <v>749</v>
      </c>
      <c r="Z231" s="83">
        <v>42854</v>
      </c>
      <c r="AA231" s="84">
        <v>167666.94</v>
      </c>
      <c r="AB231" s="4"/>
      <c r="AC231" s="34"/>
      <c r="AD231" s="36" t="s">
        <v>68</v>
      </c>
      <c r="AE231" s="119" t="s">
        <v>68</v>
      </c>
      <c r="AF231" s="119" t="s">
        <v>68</v>
      </c>
      <c r="AG231" s="7" t="s">
        <v>68</v>
      </c>
      <c r="AH231" s="235" t="s">
        <v>68</v>
      </c>
      <c r="AI231" s="380" t="s">
        <v>638</v>
      </c>
      <c r="AJ231" s="1" t="s">
        <v>68</v>
      </c>
      <c r="AK231" s="5"/>
      <c r="AL231" s="1" t="s">
        <v>750</v>
      </c>
      <c r="AM231" s="5">
        <v>42871</v>
      </c>
      <c r="AN231" s="1" t="s">
        <v>751</v>
      </c>
      <c r="AO231" s="5">
        <v>42871</v>
      </c>
      <c r="AP231" s="306">
        <f>16766.69+16766.69</f>
        <v>33533.379999999997</v>
      </c>
      <c r="AQ231" s="37">
        <v>0</v>
      </c>
      <c r="AR231" s="1038">
        <v>166947.16</v>
      </c>
      <c r="AS231" s="1025"/>
      <c r="AT231" s="373" t="s">
        <v>74</v>
      </c>
      <c r="AU231" s="12"/>
      <c r="AV231" s="243" t="s">
        <v>68</v>
      </c>
      <c r="AW231" s="244" t="s">
        <v>68</v>
      </c>
      <c r="AX231" s="375">
        <v>42874</v>
      </c>
      <c r="AY231" s="5">
        <v>42860</v>
      </c>
      <c r="AZ231" s="5">
        <v>42875</v>
      </c>
      <c r="BA231" s="18"/>
      <c r="BB231" s="375">
        <v>42875</v>
      </c>
      <c r="BC231" s="1952"/>
      <c r="BD231" s="76">
        <v>42860</v>
      </c>
      <c r="BE231" s="76">
        <v>42875</v>
      </c>
      <c r="BF231" s="76">
        <v>42873</v>
      </c>
      <c r="BG231" s="136">
        <v>166227.56</v>
      </c>
      <c r="BH231" s="64">
        <v>42874</v>
      </c>
      <c r="BI231" s="111"/>
      <c r="BJ231" s="5"/>
      <c r="BK231" s="5"/>
      <c r="BL231" s="54"/>
      <c r="BM231" s="54"/>
      <c r="BN231" s="54"/>
      <c r="BO231" s="54"/>
      <c r="BP231" s="54"/>
      <c r="BQ231" s="54"/>
      <c r="BR231" s="54"/>
      <c r="BS231" s="55"/>
      <c r="BT231" s="14"/>
      <c r="BU231" s="14"/>
      <c r="BV231" s="14"/>
      <c r="BW231" s="14"/>
      <c r="BX231" s="14"/>
      <c r="BY231" s="1432" t="s">
        <v>1567</v>
      </c>
      <c r="BZ231" s="356" t="s">
        <v>459</v>
      </c>
      <c r="CA231" s="582"/>
      <c r="CB231" s="2"/>
      <c r="CC231" s="2"/>
      <c r="CD231" s="2"/>
      <c r="CE231" s="2"/>
      <c r="CF231" s="2"/>
      <c r="CG231" s="2"/>
      <c r="CH231" s="16"/>
    </row>
    <row r="232" spans="2:86" customFormat="1" ht="92.25" hidden="1" customHeight="1">
      <c r="B232" s="23"/>
      <c r="C232" s="23"/>
      <c r="D232" s="23"/>
      <c r="E232" s="335" t="s">
        <v>68</v>
      </c>
      <c r="F232" s="335"/>
      <c r="G232" s="1055">
        <v>43251</v>
      </c>
      <c r="H232" s="365">
        <v>43048</v>
      </c>
      <c r="I232" s="17">
        <v>2017</v>
      </c>
      <c r="J232" s="1678"/>
      <c r="K232" s="183" t="s">
        <v>77</v>
      </c>
      <c r="L232" s="35" t="s">
        <v>752</v>
      </c>
      <c r="M232" s="185" t="s">
        <v>79</v>
      </c>
      <c r="N232" s="494" t="s">
        <v>753</v>
      </c>
      <c r="O232" s="494" t="s">
        <v>2574</v>
      </c>
      <c r="P232" s="187">
        <v>336153.85</v>
      </c>
      <c r="Q232" s="188">
        <v>42857</v>
      </c>
      <c r="R232" s="189">
        <v>42868</v>
      </c>
      <c r="S232" s="190">
        <v>42899</v>
      </c>
      <c r="T232" s="111">
        <v>42857</v>
      </c>
      <c r="U232" s="122" t="s">
        <v>637</v>
      </c>
      <c r="V232" s="19" t="s">
        <v>3087</v>
      </c>
      <c r="W232" s="505" t="s">
        <v>74</v>
      </c>
      <c r="X232" s="1623"/>
      <c r="Y232" s="35" t="s">
        <v>754</v>
      </c>
      <c r="Z232" s="83">
        <v>42854</v>
      </c>
      <c r="AA232" s="84">
        <v>336153.85</v>
      </c>
      <c r="AB232" s="4"/>
      <c r="AC232" s="34"/>
      <c r="AD232" s="36" t="s">
        <v>68</v>
      </c>
      <c r="AE232" s="119" t="s">
        <v>68</v>
      </c>
      <c r="AF232" s="119" t="s">
        <v>68</v>
      </c>
      <c r="AG232" s="7" t="s">
        <v>68</v>
      </c>
      <c r="AH232" s="235" t="s">
        <v>68</v>
      </c>
      <c r="AI232" s="380" t="s">
        <v>638</v>
      </c>
      <c r="AJ232" s="1" t="s">
        <v>68</v>
      </c>
      <c r="AK232" s="5"/>
      <c r="AL232" s="1" t="s">
        <v>755</v>
      </c>
      <c r="AM232" s="5">
        <v>42871</v>
      </c>
      <c r="AN232" s="1" t="s">
        <v>756</v>
      </c>
      <c r="AO232" s="5">
        <v>42871</v>
      </c>
      <c r="AP232" s="306">
        <f>33615.38*2</f>
        <v>67230.759999999995</v>
      </c>
      <c r="AQ232" s="37">
        <v>0</v>
      </c>
      <c r="AR232" s="1032">
        <v>334711.14</v>
      </c>
      <c r="AS232" s="1019"/>
      <c r="AT232" s="373" t="s">
        <v>74</v>
      </c>
      <c r="AU232" s="12"/>
      <c r="AV232" s="243" t="s">
        <v>68</v>
      </c>
      <c r="AW232" s="244" t="s">
        <v>68</v>
      </c>
      <c r="AX232" s="375">
        <v>42895</v>
      </c>
      <c r="AY232" s="5">
        <v>42877</v>
      </c>
      <c r="AZ232" s="5">
        <v>42899</v>
      </c>
      <c r="BA232" s="18"/>
      <c r="BB232" s="375">
        <v>42898</v>
      </c>
      <c r="BC232" s="1952"/>
      <c r="BD232" s="76">
        <v>42877</v>
      </c>
      <c r="BE232" s="76">
        <v>42899</v>
      </c>
      <c r="BF232" s="689">
        <v>42893</v>
      </c>
      <c r="BG232" s="136">
        <v>335050.68</v>
      </c>
      <c r="BH232" s="64">
        <v>42899</v>
      </c>
      <c r="BI232" s="111"/>
      <c r="BJ232" s="5"/>
      <c r="BK232" s="5"/>
      <c r="BL232" s="54"/>
      <c r="BM232" s="54"/>
      <c r="BN232" s="54"/>
      <c r="BO232" s="54"/>
      <c r="BP232" s="54"/>
      <c r="BQ232" s="54"/>
      <c r="BR232" s="54"/>
      <c r="BS232" s="55"/>
      <c r="BT232" s="14"/>
      <c r="BU232" s="14"/>
      <c r="BV232" s="14"/>
      <c r="BW232" s="14"/>
      <c r="BX232" s="14"/>
      <c r="BY232" s="1432" t="s">
        <v>1567</v>
      </c>
      <c r="BZ232" s="356" t="s">
        <v>459</v>
      </c>
      <c r="CA232" s="582"/>
      <c r="CB232" s="582"/>
      <c r="CC232" s="582"/>
      <c r="CD232" s="582"/>
      <c r="CE232" s="582"/>
      <c r="CF232" s="582"/>
      <c r="CG232" s="582"/>
      <c r="CH232" s="16"/>
    </row>
    <row r="233" spans="2:86" customFormat="1" ht="62.25" hidden="1" customHeight="1">
      <c r="B233" s="23"/>
      <c r="C233" s="23"/>
      <c r="D233" s="23"/>
      <c r="E233" s="335" t="s">
        <v>68</v>
      </c>
      <c r="F233" s="335"/>
      <c r="G233" s="1055">
        <v>43158</v>
      </c>
      <c r="H233" s="365">
        <v>43048</v>
      </c>
      <c r="I233" s="17">
        <v>2017</v>
      </c>
      <c r="J233" s="1678"/>
      <c r="K233" s="183" t="s">
        <v>77</v>
      </c>
      <c r="L233" s="35" t="s">
        <v>757</v>
      </c>
      <c r="M233" s="185" t="s">
        <v>79</v>
      </c>
      <c r="N233" s="494" t="s">
        <v>758</v>
      </c>
      <c r="O233" s="494" t="s">
        <v>1979</v>
      </c>
      <c r="P233" s="187">
        <v>177076.07</v>
      </c>
      <c r="Q233" s="657">
        <v>42857</v>
      </c>
      <c r="R233" s="189">
        <v>42859</v>
      </c>
      <c r="S233" s="190">
        <v>42890</v>
      </c>
      <c r="T233" s="70">
        <v>42857</v>
      </c>
      <c r="U233" s="191" t="s">
        <v>476</v>
      </c>
      <c r="V233" s="183" t="s">
        <v>213</v>
      </c>
      <c r="W233" s="725">
        <v>42856</v>
      </c>
      <c r="X233" s="1479"/>
      <c r="Y233" s="35" t="s">
        <v>759</v>
      </c>
      <c r="Z233" s="137">
        <v>42854</v>
      </c>
      <c r="AA233" s="85">
        <v>177076.07</v>
      </c>
      <c r="AB233" s="4"/>
      <c r="AC233" s="34"/>
      <c r="AD233" s="36" t="s">
        <v>68</v>
      </c>
      <c r="AE233" s="119" t="s">
        <v>68</v>
      </c>
      <c r="AF233" s="119" t="s">
        <v>68</v>
      </c>
      <c r="AG233" s="7" t="s">
        <v>68</v>
      </c>
      <c r="AH233" s="235" t="s">
        <v>68</v>
      </c>
      <c r="AI233" s="373" t="s">
        <v>74</v>
      </c>
      <c r="AJ233" s="1"/>
      <c r="AK233" s="5"/>
      <c r="AL233" s="1"/>
      <c r="AM233" s="5"/>
      <c r="AN233" s="1"/>
      <c r="AO233" s="1"/>
      <c r="AP233" s="306"/>
      <c r="AQ233" s="37">
        <v>0</v>
      </c>
      <c r="AR233" s="1042">
        <v>175527.04000000001</v>
      </c>
      <c r="AS233" s="1029"/>
      <c r="AT233" s="373" t="s">
        <v>74</v>
      </c>
      <c r="AU233" s="12"/>
      <c r="AV233" s="243" t="s">
        <v>68</v>
      </c>
      <c r="AW233" s="244" t="s">
        <v>68</v>
      </c>
      <c r="AX233" s="373" t="s">
        <v>74</v>
      </c>
      <c r="AY233" s="1"/>
      <c r="AZ233" s="1"/>
      <c r="BA233" s="18"/>
      <c r="BB233" s="373" t="s">
        <v>74</v>
      </c>
      <c r="BC233" s="1956"/>
      <c r="BD233" s="5"/>
      <c r="BE233" s="5"/>
      <c r="BF233" s="5"/>
      <c r="BG233" s="38">
        <f t="shared" ref="BG233:BG238" si="6">AQ233+AR233</f>
        <v>175527.04000000001</v>
      </c>
      <c r="BH233" s="14"/>
      <c r="BI233" s="111"/>
      <c r="BJ233" s="5"/>
      <c r="BK233" s="5"/>
      <c r="BL233" s="54"/>
      <c r="BM233" s="54"/>
      <c r="BN233" s="54"/>
      <c r="BO233" s="54"/>
      <c r="BP233" s="54"/>
      <c r="BQ233" s="54"/>
      <c r="BR233" s="54"/>
      <c r="BS233" s="55"/>
      <c r="BT233" s="14"/>
      <c r="BU233" s="14"/>
      <c r="BV233" s="14"/>
      <c r="BW233" s="14"/>
      <c r="BX233" s="14"/>
      <c r="BY233" s="1432" t="s">
        <v>1567</v>
      </c>
      <c r="BZ233" s="356" t="s">
        <v>459</v>
      </c>
      <c r="CA233" s="582"/>
      <c r="CB233" s="582"/>
      <c r="CC233" s="582"/>
      <c r="CD233" s="582"/>
      <c r="CE233" s="582"/>
      <c r="CF233" s="582"/>
      <c r="CG233" s="582"/>
      <c r="CH233" s="16"/>
    </row>
    <row r="234" spans="2:86" customFormat="1" ht="97.5" hidden="1" customHeight="1">
      <c r="B234" s="23"/>
      <c r="C234" s="23"/>
      <c r="D234" s="23"/>
      <c r="E234" s="335" t="s">
        <v>68</v>
      </c>
      <c r="F234" s="335"/>
      <c r="G234" s="1055">
        <v>43235</v>
      </c>
      <c r="H234" s="365">
        <v>43048</v>
      </c>
      <c r="I234" s="17">
        <v>2017</v>
      </c>
      <c r="J234" s="1678"/>
      <c r="K234" s="183" t="s">
        <v>77</v>
      </c>
      <c r="L234" s="35" t="s">
        <v>760</v>
      </c>
      <c r="M234" s="185" t="s">
        <v>79</v>
      </c>
      <c r="N234" s="495" t="s">
        <v>761</v>
      </c>
      <c r="O234" s="495" t="s">
        <v>1979</v>
      </c>
      <c r="P234" s="187">
        <v>113674.93</v>
      </c>
      <c r="Q234" s="657">
        <v>42858</v>
      </c>
      <c r="R234" s="189">
        <v>42870</v>
      </c>
      <c r="S234" s="190">
        <v>42886</v>
      </c>
      <c r="T234" s="70">
        <v>42857</v>
      </c>
      <c r="U234" s="191" t="s">
        <v>476</v>
      </c>
      <c r="V234" s="183" t="s">
        <v>213</v>
      </c>
      <c r="W234" s="725">
        <v>42856</v>
      </c>
      <c r="X234" s="1479"/>
      <c r="Y234" s="491" t="s">
        <v>762</v>
      </c>
      <c r="Z234" s="137">
        <v>42854</v>
      </c>
      <c r="AA234" s="85">
        <v>113674.93</v>
      </c>
      <c r="AB234" s="4"/>
      <c r="AC234" s="34"/>
      <c r="AD234" s="36" t="s">
        <v>68</v>
      </c>
      <c r="AE234" s="119" t="s">
        <v>68</v>
      </c>
      <c r="AF234" s="119" t="s">
        <v>68</v>
      </c>
      <c r="AG234" s="7" t="s">
        <v>68</v>
      </c>
      <c r="AH234" s="235" t="s">
        <v>68</v>
      </c>
      <c r="AI234" s="373" t="s">
        <v>74</v>
      </c>
      <c r="AJ234" s="1"/>
      <c r="AK234" s="5"/>
      <c r="AL234" s="1"/>
      <c r="AM234" s="5"/>
      <c r="AN234" s="1"/>
      <c r="AO234" s="1"/>
      <c r="AP234" s="306"/>
      <c r="AQ234" s="37">
        <v>0</v>
      </c>
      <c r="AR234" s="1042">
        <v>113674.77</v>
      </c>
      <c r="AS234" s="1029"/>
      <c r="AT234" s="373" t="s">
        <v>74</v>
      </c>
      <c r="AU234" s="12"/>
      <c r="AV234" s="243" t="s">
        <v>68</v>
      </c>
      <c r="AW234" s="244" t="s">
        <v>68</v>
      </c>
      <c r="AX234" s="373" t="s">
        <v>74</v>
      </c>
      <c r="AY234" s="1"/>
      <c r="AZ234" s="1"/>
      <c r="BA234" s="18"/>
      <c r="BB234" s="373" t="s">
        <v>74</v>
      </c>
      <c r="BC234" s="1956"/>
      <c r="BD234" s="5"/>
      <c r="BE234" s="5"/>
      <c r="BF234" s="5"/>
      <c r="BG234" s="38">
        <f t="shared" si="6"/>
        <v>113674.77</v>
      </c>
      <c r="BH234" s="14"/>
      <c r="BI234" s="111"/>
      <c r="BJ234" s="5"/>
      <c r="BK234" s="5"/>
      <c r="BL234" s="54"/>
      <c r="BM234" s="54"/>
      <c r="BN234" s="54"/>
      <c r="BO234" s="54"/>
      <c r="BP234" s="54"/>
      <c r="BQ234" s="54"/>
      <c r="BR234" s="54"/>
      <c r="BS234" s="55"/>
      <c r="BT234" s="14"/>
      <c r="BU234" s="14"/>
      <c r="BV234" s="14"/>
      <c r="BW234" s="14"/>
      <c r="BX234" s="14"/>
      <c r="BY234" s="1432" t="s">
        <v>1567</v>
      </c>
      <c r="BZ234" s="356" t="s">
        <v>459</v>
      </c>
      <c r="CA234" s="582"/>
      <c r="CB234" s="582"/>
      <c r="CC234" s="582"/>
      <c r="CD234" s="582"/>
      <c r="CE234" s="582"/>
      <c r="CF234" s="582"/>
      <c r="CG234" s="582"/>
      <c r="CH234" s="16"/>
    </row>
    <row r="235" spans="2:86" customFormat="1" ht="60" hidden="1" customHeight="1">
      <c r="B235" s="23"/>
      <c r="C235" s="23"/>
      <c r="D235" s="23"/>
      <c r="E235" s="335" t="s">
        <v>68</v>
      </c>
      <c r="F235" s="335"/>
      <c r="G235" s="1055">
        <v>43158</v>
      </c>
      <c r="H235" s="365">
        <v>43048</v>
      </c>
      <c r="I235" s="17">
        <v>2017</v>
      </c>
      <c r="J235" s="1678"/>
      <c r="K235" s="183" t="s">
        <v>77</v>
      </c>
      <c r="L235" s="35" t="s">
        <v>763</v>
      </c>
      <c r="M235" s="185" t="s">
        <v>79</v>
      </c>
      <c r="N235" s="494" t="s">
        <v>764</v>
      </c>
      <c r="O235" s="494" t="s">
        <v>1979</v>
      </c>
      <c r="P235" s="187">
        <v>228407.58</v>
      </c>
      <c r="Q235" s="657">
        <v>42857</v>
      </c>
      <c r="R235" s="189">
        <v>42859</v>
      </c>
      <c r="S235" s="190">
        <v>42890</v>
      </c>
      <c r="T235" s="70">
        <v>42857</v>
      </c>
      <c r="U235" s="191" t="s">
        <v>476</v>
      </c>
      <c r="V235" s="183" t="s">
        <v>213</v>
      </c>
      <c r="W235" s="725">
        <v>42856</v>
      </c>
      <c r="X235" s="1479"/>
      <c r="Y235" s="491" t="s">
        <v>765</v>
      </c>
      <c r="Z235" s="137">
        <v>42854</v>
      </c>
      <c r="AA235" s="85">
        <v>228407.58</v>
      </c>
      <c r="AB235" s="4"/>
      <c r="AC235" s="34"/>
      <c r="AD235" s="36" t="s">
        <v>68</v>
      </c>
      <c r="AE235" s="119" t="s">
        <v>68</v>
      </c>
      <c r="AF235" s="119" t="s">
        <v>68</v>
      </c>
      <c r="AG235" s="7" t="s">
        <v>68</v>
      </c>
      <c r="AH235" s="235" t="s">
        <v>68</v>
      </c>
      <c r="AI235" s="373" t="s">
        <v>74</v>
      </c>
      <c r="AJ235" s="1"/>
      <c r="AK235" s="5"/>
      <c r="AL235" s="1"/>
      <c r="AM235" s="5"/>
      <c r="AN235" s="1"/>
      <c r="AO235" s="1"/>
      <c r="AP235" s="306"/>
      <c r="AQ235" s="37">
        <v>0</v>
      </c>
      <c r="AR235" s="1042">
        <v>228406.51</v>
      </c>
      <c r="AS235" s="1029"/>
      <c r="AT235" s="373" t="s">
        <v>74</v>
      </c>
      <c r="AU235" s="12"/>
      <c r="AV235" s="243" t="s">
        <v>68</v>
      </c>
      <c r="AW235" s="244" t="s">
        <v>68</v>
      </c>
      <c r="AX235" s="373" t="s">
        <v>74</v>
      </c>
      <c r="AY235" s="1"/>
      <c r="AZ235" s="1"/>
      <c r="BA235" s="18"/>
      <c r="BB235" s="373" t="s">
        <v>74</v>
      </c>
      <c r="BC235" s="1956"/>
      <c r="BD235" s="5"/>
      <c r="BE235" s="5"/>
      <c r="BF235" s="5"/>
      <c r="BG235" s="38">
        <f t="shared" si="6"/>
        <v>228406.51</v>
      </c>
      <c r="BH235" s="14"/>
      <c r="BI235" s="111"/>
      <c r="BJ235" s="5"/>
      <c r="BK235" s="5"/>
      <c r="BL235" s="54"/>
      <c r="BM235" s="54"/>
      <c r="BN235" s="54"/>
      <c r="BO235" s="54"/>
      <c r="BP235" s="54"/>
      <c r="BQ235" s="54"/>
      <c r="BR235" s="54"/>
      <c r="BS235" s="55"/>
      <c r="BT235" s="14"/>
      <c r="BU235" s="14"/>
      <c r="BV235" s="14"/>
      <c r="BW235" s="14"/>
      <c r="BX235" s="14"/>
      <c r="BY235" s="1432" t="s">
        <v>1567</v>
      </c>
      <c r="BZ235" s="356" t="s">
        <v>459</v>
      </c>
      <c r="CA235" s="582"/>
      <c r="CB235" s="582"/>
      <c r="CC235" s="582"/>
      <c r="CD235" s="582"/>
      <c r="CE235" s="582"/>
      <c r="CF235" s="582"/>
      <c r="CG235" s="582"/>
      <c r="CH235" s="16"/>
    </row>
    <row r="236" spans="2:86" customFormat="1" ht="85.5" hidden="1" customHeight="1">
      <c r="B236" s="23"/>
      <c r="C236" s="23"/>
      <c r="D236" s="23"/>
      <c r="E236" s="335" t="s">
        <v>68</v>
      </c>
      <c r="F236" s="335"/>
      <c r="G236" s="1055">
        <v>43235</v>
      </c>
      <c r="H236" s="365">
        <v>43048</v>
      </c>
      <c r="I236" s="17">
        <v>2017</v>
      </c>
      <c r="J236" s="1678"/>
      <c r="K236" s="183" t="s">
        <v>77</v>
      </c>
      <c r="L236" s="35" t="s">
        <v>766</v>
      </c>
      <c r="M236" s="185" t="s">
        <v>79</v>
      </c>
      <c r="N236" s="495" t="s">
        <v>767</v>
      </c>
      <c r="O236" s="495" t="s">
        <v>1979</v>
      </c>
      <c r="P236" s="661">
        <v>147033.21</v>
      </c>
      <c r="Q236" s="657">
        <v>42858</v>
      </c>
      <c r="R236" s="189">
        <v>42870</v>
      </c>
      <c r="S236" s="190">
        <v>42886</v>
      </c>
      <c r="T236" s="70">
        <v>42857</v>
      </c>
      <c r="U236" s="191" t="s">
        <v>476</v>
      </c>
      <c r="V236" s="183" t="s">
        <v>213</v>
      </c>
      <c r="W236" s="725">
        <v>42856</v>
      </c>
      <c r="X236" s="1479"/>
      <c r="Y236" s="491" t="s">
        <v>768</v>
      </c>
      <c r="Z236" s="9">
        <v>42854</v>
      </c>
      <c r="AA236" s="4">
        <v>147033.21</v>
      </c>
      <c r="AB236" s="4"/>
      <c r="AC236" s="34"/>
      <c r="AD236" s="36" t="s">
        <v>68</v>
      </c>
      <c r="AE236" s="119" t="s">
        <v>68</v>
      </c>
      <c r="AF236" s="119" t="s">
        <v>68</v>
      </c>
      <c r="AG236" s="7" t="s">
        <v>68</v>
      </c>
      <c r="AH236" s="235" t="s">
        <v>68</v>
      </c>
      <c r="AI236" s="373" t="s">
        <v>74</v>
      </c>
      <c r="AJ236" s="1"/>
      <c r="AK236" s="5"/>
      <c r="AL236" s="1"/>
      <c r="AM236" s="5"/>
      <c r="AN236" s="1"/>
      <c r="AO236" s="1"/>
      <c r="AP236" s="306"/>
      <c r="AQ236" s="37">
        <v>0</v>
      </c>
      <c r="AR236" s="1042">
        <v>146402.1</v>
      </c>
      <c r="AS236" s="1029"/>
      <c r="AT236" s="373" t="s">
        <v>74</v>
      </c>
      <c r="AU236" s="12"/>
      <c r="AV236" s="243" t="s">
        <v>68</v>
      </c>
      <c r="AW236" s="244" t="s">
        <v>68</v>
      </c>
      <c r="AX236" s="373" t="s">
        <v>74</v>
      </c>
      <c r="AY236" s="1"/>
      <c r="AZ236" s="1"/>
      <c r="BA236" s="18"/>
      <c r="BB236" s="373" t="s">
        <v>74</v>
      </c>
      <c r="BC236" s="1956"/>
      <c r="BD236" s="5"/>
      <c r="BE236" s="5"/>
      <c r="BF236" s="5"/>
      <c r="BG236" s="38">
        <f t="shared" si="6"/>
        <v>146402.1</v>
      </c>
      <c r="BH236" s="14"/>
      <c r="BI236" s="111"/>
      <c r="BJ236" s="5"/>
      <c r="BK236" s="5"/>
      <c r="BL236" s="54"/>
      <c r="BM236" s="54"/>
      <c r="BN236" s="54"/>
      <c r="BO236" s="54"/>
      <c r="BP236" s="54"/>
      <c r="BQ236" s="54"/>
      <c r="BR236" s="54"/>
      <c r="BS236" s="55"/>
      <c r="BT236" s="14"/>
      <c r="BU236" s="14"/>
      <c r="BV236" s="14"/>
      <c r="BW236" s="14"/>
      <c r="BX236" s="14"/>
      <c r="BY236" s="1432" t="s">
        <v>1567</v>
      </c>
      <c r="BZ236" s="356" t="s">
        <v>459</v>
      </c>
      <c r="CA236" s="582"/>
      <c r="CB236" s="582"/>
      <c r="CC236" s="582"/>
      <c r="CD236" s="582"/>
      <c r="CE236" s="582"/>
      <c r="CF236" s="582"/>
      <c r="CG236" s="582"/>
      <c r="CH236" s="16"/>
    </row>
    <row r="237" spans="2:86" customFormat="1" ht="81" hidden="1" customHeight="1">
      <c r="B237" s="23"/>
      <c r="C237" s="23"/>
      <c r="D237" s="23"/>
      <c r="E237" s="335" t="s">
        <v>68</v>
      </c>
      <c r="F237" s="335"/>
      <c r="G237" s="1055"/>
      <c r="H237" s="365">
        <v>43048</v>
      </c>
      <c r="I237" s="17">
        <v>2017</v>
      </c>
      <c r="J237" s="1678"/>
      <c r="K237" s="183" t="s">
        <v>77</v>
      </c>
      <c r="L237" s="35" t="s">
        <v>769</v>
      </c>
      <c r="M237" s="185" t="s">
        <v>79</v>
      </c>
      <c r="N237" s="495" t="s">
        <v>770</v>
      </c>
      <c r="O237" s="495" t="s">
        <v>1979</v>
      </c>
      <c r="P237" s="187">
        <v>81517.39</v>
      </c>
      <c r="Q237" s="657">
        <v>42858</v>
      </c>
      <c r="R237" s="189">
        <v>42859</v>
      </c>
      <c r="S237" s="190">
        <v>42890</v>
      </c>
      <c r="T237" s="70">
        <v>42857</v>
      </c>
      <c r="U237" s="191" t="s">
        <v>476</v>
      </c>
      <c r="V237" s="183" t="s">
        <v>213</v>
      </c>
      <c r="W237" s="725">
        <v>42856</v>
      </c>
      <c r="X237" s="1479"/>
      <c r="Y237" s="491" t="s">
        <v>771</v>
      </c>
      <c r="Z237" s="9">
        <v>42854</v>
      </c>
      <c r="AA237" s="4">
        <v>81517.39</v>
      </c>
      <c r="AB237" s="4"/>
      <c r="AC237" s="34"/>
      <c r="AD237" s="36" t="s">
        <v>68</v>
      </c>
      <c r="AE237" s="119" t="s">
        <v>68</v>
      </c>
      <c r="AF237" s="119" t="s">
        <v>68</v>
      </c>
      <c r="AG237" s="7" t="s">
        <v>68</v>
      </c>
      <c r="AH237" s="235" t="s">
        <v>68</v>
      </c>
      <c r="AI237" s="373" t="s">
        <v>74</v>
      </c>
      <c r="AJ237" s="1"/>
      <c r="AK237" s="5"/>
      <c r="AL237" s="1"/>
      <c r="AM237" s="5"/>
      <c r="AN237" s="1"/>
      <c r="AO237" s="1"/>
      <c r="AP237" s="306"/>
      <c r="AQ237" s="37">
        <v>0</v>
      </c>
      <c r="AR237" s="1042">
        <v>81517.22</v>
      </c>
      <c r="AS237" s="1029"/>
      <c r="AT237" s="373" t="s">
        <v>74</v>
      </c>
      <c r="AU237" s="12"/>
      <c r="AV237" s="243" t="s">
        <v>68</v>
      </c>
      <c r="AW237" s="244" t="s">
        <v>68</v>
      </c>
      <c r="AX237" s="373" t="s">
        <v>74</v>
      </c>
      <c r="AY237" s="1"/>
      <c r="AZ237" s="1"/>
      <c r="BA237" s="18"/>
      <c r="BB237" s="373" t="s">
        <v>74</v>
      </c>
      <c r="BC237" s="1956"/>
      <c r="BD237" s="5"/>
      <c r="BE237" s="5"/>
      <c r="BF237" s="5"/>
      <c r="BG237" s="38">
        <f t="shared" si="6"/>
        <v>81517.22</v>
      </c>
      <c r="BH237" s="14"/>
      <c r="BI237" s="111"/>
      <c r="BJ237" s="5"/>
      <c r="BK237" s="5"/>
      <c r="BL237" s="54"/>
      <c r="BM237" s="54"/>
      <c r="BN237" s="54"/>
      <c r="BO237" s="54"/>
      <c r="BP237" s="54"/>
      <c r="BQ237" s="54"/>
      <c r="BR237" s="54"/>
      <c r="BS237" s="55"/>
      <c r="BT237" s="14"/>
      <c r="BU237" s="14"/>
      <c r="BV237" s="14"/>
      <c r="BW237" s="14"/>
      <c r="BX237" s="14"/>
      <c r="BY237" s="1432" t="s">
        <v>1567</v>
      </c>
      <c r="BZ237" s="356" t="s">
        <v>459</v>
      </c>
      <c r="CA237" s="582"/>
      <c r="CB237" s="582"/>
      <c r="CC237" s="582"/>
      <c r="CD237" s="582"/>
      <c r="CE237" s="582"/>
      <c r="CF237" s="582"/>
      <c r="CG237" s="582"/>
      <c r="CH237" s="16"/>
    </row>
    <row r="238" spans="2:86" customFormat="1" ht="79.5" hidden="1" customHeight="1">
      <c r="B238" s="23"/>
      <c r="C238" s="23"/>
      <c r="D238" s="23"/>
      <c r="E238" s="335" t="s">
        <v>68</v>
      </c>
      <c r="F238" s="335"/>
      <c r="G238" s="1055">
        <v>43235</v>
      </c>
      <c r="H238" s="365">
        <v>43048</v>
      </c>
      <c r="I238" s="17">
        <v>2017</v>
      </c>
      <c r="J238" s="1678"/>
      <c r="K238" s="183" t="s">
        <v>77</v>
      </c>
      <c r="L238" s="35" t="s">
        <v>772</v>
      </c>
      <c r="M238" s="185" t="s">
        <v>79</v>
      </c>
      <c r="N238" s="495" t="s">
        <v>773</v>
      </c>
      <c r="O238" s="495" t="s">
        <v>1979</v>
      </c>
      <c r="P238" s="187">
        <v>52148.39</v>
      </c>
      <c r="Q238" s="657">
        <v>42858</v>
      </c>
      <c r="R238" s="189">
        <v>42870</v>
      </c>
      <c r="S238" s="190">
        <v>42886</v>
      </c>
      <c r="T238" s="70">
        <v>42857</v>
      </c>
      <c r="U238" s="191" t="s">
        <v>476</v>
      </c>
      <c r="V238" s="183" t="s">
        <v>213</v>
      </c>
      <c r="W238" s="725">
        <v>42856</v>
      </c>
      <c r="X238" s="1479"/>
      <c r="Y238" s="491" t="s">
        <v>774</v>
      </c>
      <c r="Z238" s="9">
        <v>42854</v>
      </c>
      <c r="AA238" s="4">
        <v>52148.39</v>
      </c>
      <c r="AB238" s="4"/>
      <c r="AC238" s="34"/>
      <c r="AD238" s="36" t="s">
        <v>68</v>
      </c>
      <c r="AE238" s="119" t="s">
        <v>68</v>
      </c>
      <c r="AF238" s="119" t="s">
        <v>68</v>
      </c>
      <c r="AG238" s="7" t="s">
        <v>68</v>
      </c>
      <c r="AH238" s="235" t="s">
        <v>68</v>
      </c>
      <c r="AI238" s="373" t="s">
        <v>74</v>
      </c>
      <c r="AJ238" s="1"/>
      <c r="AK238" s="5"/>
      <c r="AL238" s="1"/>
      <c r="AM238" s="5"/>
      <c r="AN238" s="1"/>
      <c r="AO238" s="1"/>
      <c r="AP238" s="306"/>
      <c r="AQ238" s="37">
        <v>0</v>
      </c>
      <c r="AR238" s="1042">
        <v>53036.21</v>
      </c>
      <c r="AS238" s="1029"/>
      <c r="AT238" s="373" t="s">
        <v>74</v>
      </c>
      <c r="AU238" s="12"/>
      <c r="AV238" s="243" t="s">
        <v>68</v>
      </c>
      <c r="AW238" s="244" t="s">
        <v>68</v>
      </c>
      <c r="AX238" s="373" t="s">
        <v>74</v>
      </c>
      <c r="AY238" s="1"/>
      <c r="AZ238" s="1"/>
      <c r="BA238" s="18"/>
      <c r="BB238" s="373" t="s">
        <v>74</v>
      </c>
      <c r="BC238" s="1956"/>
      <c r="BD238" s="5"/>
      <c r="BE238" s="5"/>
      <c r="BF238" s="5"/>
      <c r="BG238" s="38">
        <f t="shared" si="6"/>
        <v>53036.21</v>
      </c>
      <c r="BH238" s="14"/>
      <c r="BI238" s="111"/>
      <c r="BJ238" s="5"/>
      <c r="BK238" s="5"/>
      <c r="BL238" s="54"/>
      <c r="BM238" s="54"/>
      <c r="BN238" s="54"/>
      <c r="BO238" s="54"/>
      <c r="BP238" s="54"/>
      <c r="BQ238" s="54"/>
      <c r="BR238" s="54"/>
      <c r="BS238" s="55"/>
      <c r="BT238" s="14"/>
      <c r="BU238" s="14"/>
      <c r="BV238" s="14"/>
      <c r="BW238" s="14"/>
      <c r="BX238" s="14"/>
      <c r="BY238" s="1432" t="s">
        <v>1567</v>
      </c>
      <c r="BZ238" s="356" t="s">
        <v>459</v>
      </c>
      <c r="CA238" s="582"/>
      <c r="CB238" s="582"/>
      <c r="CC238" s="582"/>
      <c r="CD238" s="582"/>
      <c r="CE238" s="582"/>
      <c r="CF238" s="582"/>
      <c r="CG238" s="582"/>
      <c r="CH238" s="16"/>
    </row>
    <row r="239" spans="2:86" customFormat="1" ht="94.5" hidden="1" customHeight="1">
      <c r="B239" s="23"/>
      <c r="C239" s="23"/>
      <c r="D239" s="23"/>
      <c r="E239" s="335" t="s">
        <v>68</v>
      </c>
      <c r="F239" s="335"/>
      <c r="G239" s="1055">
        <v>43146</v>
      </c>
      <c r="H239" s="365">
        <v>43048</v>
      </c>
      <c r="I239" s="17">
        <v>2017</v>
      </c>
      <c r="J239" s="1678"/>
      <c r="K239" s="183" t="s">
        <v>77</v>
      </c>
      <c r="L239" s="35" t="s">
        <v>775</v>
      </c>
      <c r="M239" s="185" t="s">
        <v>79</v>
      </c>
      <c r="N239" s="494" t="s">
        <v>776</v>
      </c>
      <c r="O239" s="494" t="s">
        <v>1979</v>
      </c>
      <c r="P239" s="187">
        <v>206557.32</v>
      </c>
      <c r="Q239" s="657">
        <v>42888</v>
      </c>
      <c r="R239" s="189">
        <v>42888</v>
      </c>
      <c r="S239" s="190">
        <v>42902</v>
      </c>
      <c r="T239" s="111">
        <v>42887</v>
      </c>
      <c r="U239" s="191" t="s">
        <v>777</v>
      </c>
      <c r="V239" s="183" t="s">
        <v>449</v>
      </c>
      <c r="W239" s="688">
        <v>42856</v>
      </c>
      <c r="X239" s="1624"/>
      <c r="Y239" s="35" t="s">
        <v>778</v>
      </c>
      <c r="Z239" s="9">
        <v>42886</v>
      </c>
      <c r="AA239" s="4">
        <v>206557.32</v>
      </c>
      <c r="AB239" s="4"/>
      <c r="AC239" s="34"/>
      <c r="AD239" s="36" t="s">
        <v>68</v>
      </c>
      <c r="AE239" s="119" t="s">
        <v>68</v>
      </c>
      <c r="AF239" s="119" t="s">
        <v>68</v>
      </c>
      <c r="AG239" s="7" t="s">
        <v>68</v>
      </c>
      <c r="AH239" s="116" t="s">
        <v>68</v>
      </c>
      <c r="AI239" s="180" t="s">
        <v>779</v>
      </c>
      <c r="AJ239" s="1" t="s">
        <v>68</v>
      </c>
      <c r="AK239" s="5"/>
      <c r="AL239" s="1">
        <v>31700009821</v>
      </c>
      <c r="AM239" s="5">
        <v>42888</v>
      </c>
      <c r="AN239" s="1" t="s">
        <v>83</v>
      </c>
      <c r="AO239" s="5"/>
      <c r="AP239" s="306">
        <f>20655.73</f>
        <v>20655.73</v>
      </c>
      <c r="AQ239" s="37">
        <v>0</v>
      </c>
      <c r="AR239" s="1031">
        <v>187754.15</v>
      </c>
      <c r="AS239" s="1018"/>
      <c r="AT239" s="68" t="s">
        <v>74</v>
      </c>
      <c r="AU239" s="12"/>
      <c r="AV239" s="243" t="s">
        <v>68</v>
      </c>
      <c r="AW239" s="244" t="s">
        <v>68</v>
      </c>
      <c r="AX239" s="32">
        <v>42906</v>
      </c>
      <c r="AY239" s="5">
        <v>42888</v>
      </c>
      <c r="AZ239" s="5">
        <v>42902</v>
      </c>
      <c r="BA239" s="12">
        <v>42902</v>
      </c>
      <c r="BB239" s="32">
        <v>42906</v>
      </c>
      <c r="BC239" s="341"/>
      <c r="BD239" s="62">
        <v>42888</v>
      </c>
      <c r="BE239" s="5">
        <v>42902</v>
      </c>
      <c r="BF239" s="62">
        <v>42902</v>
      </c>
      <c r="BG239" s="38">
        <v>187754.14</v>
      </c>
      <c r="BH239" s="64">
        <v>42906</v>
      </c>
      <c r="BI239" s="111"/>
      <c r="BJ239" s="5"/>
      <c r="BK239" s="5"/>
      <c r="BL239" s="54"/>
      <c r="BM239" s="54"/>
      <c r="BN239" s="54"/>
      <c r="BO239" s="54"/>
      <c r="BP239" s="54"/>
      <c r="BQ239" s="54"/>
      <c r="BR239" s="54"/>
      <c r="BS239" s="55"/>
      <c r="BT239" s="14"/>
      <c r="BU239" s="14"/>
      <c r="BV239" s="14"/>
      <c r="BW239" s="14"/>
      <c r="BX239" s="14"/>
      <c r="BY239" s="1432" t="s">
        <v>1567</v>
      </c>
      <c r="BZ239" s="356" t="s">
        <v>459</v>
      </c>
      <c r="CA239" s="582"/>
      <c r="CB239" s="582"/>
      <c r="CC239" s="582"/>
      <c r="CD239" s="582"/>
      <c r="CE239" s="582"/>
      <c r="CF239" s="582"/>
      <c r="CG239" s="582"/>
      <c r="CH239" s="16"/>
    </row>
    <row r="240" spans="2:86" customFormat="1" ht="92.25" hidden="1" customHeight="1">
      <c r="B240" s="23"/>
      <c r="C240" s="23"/>
      <c r="D240" s="23"/>
      <c r="E240" s="335" t="s">
        <v>68</v>
      </c>
      <c r="F240" s="335"/>
      <c r="G240" s="1055">
        <v>43251</v>
      </c>
      <c r="H240" s="365">
        <v>43048</v>
      </c>
      <c r="I240" s="17">
        <v>2017</v>
      </c>
      <c r="J240" s="1678"/>
      <c r="K240" s="183" t="s">
        <v>77</v>
      </c>
      <c r="L240" s="35" t="s">
        <v>780</v>
      </c>
      <c r="M240" s="185" t="s">
        <v>79</v>
      </c>
      <c r="N240" s="494" t="s">
        <v>781</v>
      </c>
      <c r="O240" s="494" t="s">
        <v>1979</v>
      </c>
      <c r="P240" s="187">
        <v>125546.81</v>
      </c>
      <c r="Q240" s="188">
        <v>42887</v>
      </c>
      <c r="R240" s="189">
        <v>42888</v>
      </c>
      <c r="S240" s="190">
        <v>42902</v>
      </c>
      <c r="T240" s="189">
        <v>42887</v>
      </c>
      <c r="U240" s="191" t="s">
        <v>777</v>
      </c>
      <c r="V240" s="183" t="s">
        <v>449</v>
      </c>
      <c r="W240" s="688">
        <v>42856</v>
      </c>
      <c r="X240" s="1624"/>
      <c r="Y240" s="35" t="s">
        <v>778</v>
      </c>
      <c r="Z240" s="9">
        <v>42886</v>
      </c>
      <c r="AA240" s="4">
        <v>125546.81</v>
      </c>
      <c r="AB240" s="4"/>
      <c r="AC240" s="34"/>
      <c r="AD240" s="36" t="s">
        <v>68</v>
      </c>
      <c r="AE240" s="119" t="s">
        <v>68</v>
      </c>
      <c r="AF240" s="119" t="s">
        <v>68</v>
      </c>
      <c r="AG240" s="7" t="s">
        <v>68</v>
      </c>
      <c r="AH240" s="116" t="s">
        <v>68</v>
      </c>
      <c r="AI240" s="180" t="s">
        <v>779</v>
      </c>
      <c r="AJ240" s="1" t="s">
        <v>68</v>
      </c>
      <c r="AK240" s="5"/>
      <c r="AL240" s="1">
        <v>31700009822</v>
      </c>
      <c r="AM240" s="5">
        <v>42888</v>
      </c>
      <c r="AN240" s="1" t="s">
        <v>83</v>
      </c>
      <c r="AO240" s="5"/>
      <c r="AP240" s="306">
        <f>12554.68</f>
        <v>12554.68</v>
      </c>
      <c r="AQ240" s="37">
        <v>0</v>
      </c>
      <c r="AR240" s="1031">
        <v>125655.98</v>
      </c>
      <c r="AS240" s="1018"/>
      <c r="AT240" s="68" t="s">
        <v>74</v>
      </c>
      <c r="AU240" s="12"/>
      <c r="AV240" s="243" t="s">
        <v>68</v>
      </c>
      <c r="AW240" s="244" t="s">
        <v>68</v>
      </c>
      <c r="AX240" s="32">
        <v>42902</v>
      </c>
      <c r="AY240" s="5">
        <v>42888</v>
      </c>
      <c r="AZ240" s="5">
        <v>42902</v>
      </c>
      <c r="BA240" s="12">
        <v>42901</v>
      </c>
      <c r="BB240" s="32">
        <v>42902</v>
      </c>
      <c r="BC240" s="341"/>
      <c r="BD240" s="5">
        <v>42888</v>
      </c>
      <c r="BE240" s="5">
        <v>42902</v>
      </c>
      <c r="BF240" s="5">
        <v>42901</v>
      </c>
      <c r="BG240" s="38">
        <v>122655.98</v>
      </c>
      <c r="BH240" s="64">
        <v>42902</v>
      </c>
      <c r="BI240" s="111"/>
      <c r="BJ240" s="5"/>
      <c r="BK240" s="5"/>
      <c r="BL240" s="54"/>
      <c r="BM240" s="54"/>
      <c r="BN240" s="54"/>
      <c r="BO240" s="54"/>
      <c r="BP240" s="54"/>
      <c r="BQ240" s="54"/>
      <c r="BR240" s="54"/>
      <c r="BS240" s="55"/>
      <c r="BT240" s="14"/>
      <c r="BU240" s="14"/>
      <c r="BV240" s="14"/>
      <c r="BW240" s="14"/>
      <c r="BX240" s="14"/>
      <c r="BY240" s="1432" t="s">
        <v>1567</v>
      </c>
      <c r="BZ240" s="356" t="s">
        <v>459</v>
      </c>
      <c r="CA240" s="582"/>
      <c r="CB240" s="582"/>
      <c r="CC240" s="582"/>
      <c r="CD240" s="582"/>
      <c r="CE240" s="582"/>
      <c r="CF240" s="582"/>
      <c r="CG240" s="582"/>
      <c r="CH240" s="16"/>
    </row>
    <row r="241" spans="2:86" customFormat="1" ht="77.25" hidden="1" customHeight="1">
      <c r="B241" s="23"/>
      <c r="C241" s="23"/>
      <c r="D241" s="23"/>
      <c r="E241" s="335" t="s">
        <v>68</v>
      </c>
      <c r="F241" s="335"/>
      <c r="G241" s="1055">
        <v>43340</v>
      </c>
      <c r="H241" s="365">
        <v>43048</v>
      </c>
      <c r="I241" s="17">
        <v>2017</v>
      </c>
      <c r="J241" s="1678"/>
      <c r="K241" s="183" t="s">
        <v>166</v>
      </c>
      <c r="L241" s="35" t="s">
        <v>782</v>
      </c>
      <c r="M241" s="185" t="s">
        <v>79</v>
      </c>
      <c r="N241" s="495" t="s">
        <v>783</v>
      </c>
      <c r="O241" s="495" t="s">
        <v>1979</v>
      </c>
      <c r="P241" s="187">
        <v>1570967.83</v>
      </c>
      <c r="Q241" s="188">
        <v>42893</v>
      </c>
      <c r="R241" s="189">
        <v>42905</v>
      </c>
      <c r="S241" s="190">
        <v>43027</v>
      </c>
      <c r="T241" s="111">
        <v>42893</v>
      </c>
      <c r="U241" s="191" t="s">
        <v>471</v>
      </c>
      <c r="V241" s="183" t="s">
        <v>213</v>
      </c>
      <c r="W241" s="505" t="s">
        <v>74</v>
      </c>
      <c r="X241" s="1623"/>
      <c r="Y241" s="35" t="s">
        <v>784</v>
      </c>
      <c r="Z241" s="9">
        <v>42854</v>
      </c>
      <c r="AA241" s="4">
        <v>4600000</v>
      </c>
      <c r="AB241" s="4"/>
      <c r="AC241" s="34"/>
      <c r="AD241" s="36" t="s">
        <v>68</v>
      </c>
      <c r="AE241" s="119" t="s">
        <v>68</v>
      </c>
      <c r="AF241" s="119" t="s">
        <v>68</v>
      </c>
      <c r="AG241" s="7" t="s">
        <v>68</v>
      </c>
      <c r="AH241" s="116" t="s">
        <v>68</v>
      </c>
      <c r="AI241" s="380" t="s">
        <v>589</v>
      </c>
      <c r="AJ241" s="1">
        <v>1812410</v>
      </c>
      <c r="AK241" s="5">
        <v>42891</v>
      </c>
      <c r="AL241" s="1">
        <v>1812447</v>
      </c>
      <c r="AM241" s="5">
        <v>42891</v>
      </c>
      <c r="AN241" s="267">
        <v>1905567</v>
      </c>
      <c r="AO241" s="62">
        <v>43236</v>
      </c>
      <c r="AP241" s="306">
        <f>314193.5+157096.78+157096.7</f>
        <v>628386.98</v>
      </c>
      <c r="AQ241" s="37">
        <v>0</v>
      </c>
      <c r="AR241" s="1038">
        <v>1577830.51</v>
      </c>
      <c r="AS241" s="1025"/>
      <c r="AT241" s="375">
        <v>42917</v>
      </c>
      <c r="AU241" s="12">
        <v>43097</v>
      </c>
      <c r="AV241" s="243" t="s">
        <v>68</v>
      </c>
      <c r="AW241" s="244" t="s">
        <v>68</v>
      </c>
      <c r="AX241" s="381">
        <v>43098</v>
      </c>
      <c r="AY241" s="5">
        <v>42905</v>
      </c>
      <c r="AZ241" s="5">
        <v>43100</v>
      </c>
      <c r="BA241" s="12">
        <v>43098</v>
      </c>
      <c r="BB241" s="381">
        <v>43098</v>
      </c>
      <c r="BC241" s="1953"/>
      <c r="BD241" s="5">
        <v>42905</v>
      </c>
      <c r="BE241" s="5">
        <v>43100</v>
      </c>
      <c r="BF241" s="5">
        <v>43098</v>
      </c>
      <c r="BG241" s="66">
        <f t="shared" ref="BG241:BG261" si="7">AQ241+AR241</f>
        <v>1577830.51</v>
      </c>
      <c r="BH241" s="64">
        <v>43098</v>
      </c>
      <c r="BI241" s="111"/>
      <c r="BJ241" s="5"/>
      <c r="BK241" s="5"/>
      <c r="BL241" s="54"/>
      <c r="BM241" s="54"/>
      <c r="BN241" s="54"/>
      <c r="BO241" s="54"/>
      <c r="BP241" s="54"/>
      <c r="BQ241" s="54"/>
      <c r="BR241" s="54"/>
      <c r="BS241" s="55"/>
      <c r="BT241" s="14"/>
      <c r="BU241" s="14"/>
      <c r="BV241" s="14"/>
      <c r="BW241" s="14"/>
      <c r="BX241" s="14"/>
      <c r="BY241" s="1432" t="s">
        <v>1567</v>
      </c>
      <c r="BZ241" s="356" t="s">
        <v>459</v>
      </c>
      <c r="CA241" s="582"/>
      <c r="CB241" s="582"/>
      <c r="CC241" s="582"/>
      <c r="CD241" s="582"/>
      <c r="CE241" s="582"/>
      <c r="CF241" s="582"/>
      <c r="CG241" s="582"/>
      <c r="CH241" s="16"/>
    </row>
    <row r="242" spans="2:86" customFormat="1" ht="90" hidden="1" customHeight="1">
      <c r="B242" s="23"/>
      <c r="C242" s="23"/>
      <c r="D242" s="23"/>
      <c r="E242" s="335" t="s">
        <v>68</v>
      </c>
      <c r="F242" s="335"/>
      <c r="G242" s="1055">
        <v>43252</v>
      </c>
      <c r="H242" s="365">
        <v>43048</v>
      </c>
      <c r="I242" s="17">
        <v>2017</v>
      </c>
      <c r="J242" s="1678"/>
      <c r="K242" s="183" t="s">
        <v>77</v>
      </c>
      <c r="L242" s="35" t="s">
        <v>785</v>
      </c>
      <c r="M242" s="185" t="s">
        <v>79</v>
      </c>
      <c r="N242" s="495" t="s">
        <v>786</v>
      </c>
      <c r="O242" s="495" t="s">
        <v>1979</v>
      </c>
      <c r="P242" s="187">
        <v>143878.99</v>
      </c>
      <c r="Q242" s="188">
        <v>42902</v>
      </c>
      <c r="R242" s="189">
        <v>42907</v>
      </c>
      <c r="S242" s="190">
        <v>42968</v>
      </c>
      <c r="T242" s="111">
        <v>42902</v>
      </c>
      <c r="U242" s="191" t="s">
        <v>739</v>
      </c>
      <c r="V242" s="183" t="s">
        <v>449</v>
      </c>
      <c r="W242" s="505" t="s">
        <v>74</v>
      </c>
      <c r="X242" s="1623"/>
      <c r="Y242" s="35" t="s">
        <v>778</v>
      </c>
      <c r="Z242" s="9">
        <v>42886</v>
      </c>
      <c r="AA242" s="4">
        <v>143878.99</v>
      </c>
      <c r="AB242" s="4"/>
      <c r="AC242" s="34"/>
      <c r="AD242" s="36" t="s">
        <v>68</v>
      </c>
      <c r="AE242" s="119" t="s">
        <v>68</v>
      </c>
      <c r="AF242" s="119" t="s">
        <v>68</v>
      </c>
      <c r="AG242" s="7" t="s">
        <v>68</v>
      </c>
      <c r="AH242" s="116" t="s">
        <v>68</v>
      </c>
      <c r="AI242" s="180" t="s">
        <v>787</v>
      </c>
      <c r="AJ242" s="1">
        <v>2104909</v>
      </c>
      <c r="AK242" s="5">
        <v>42905</v>
      </c>
      <c r="AL242" s="135">
        <v>2104684</v>
      </c>
      <c r="AM242" s="5">
        <v>42905</v>
      </c>
      <c r="AN242" s="135">
        <v>2136650</v>
      </c>
      <c r="AO242" s="5">
        <v>43024</v>
      </c>
      <c r="AP242" s="306">
        <f>35969.74+14387.89+14387.89</f>
        <v>64745.52</v>
      </c>
      <c r="AQ242" s="37">
        <v>0</v>
      </c>
      <c r="AR242" s="1032">
        <v>157116</v>
      </c>
      <c r="AS242" s="1019"/>
      <c r="AT242" s="68" t="s">
        <v>74</v>
      </c>
      <c r="AU242" s="12"/>
      <c r="AV242" s="243" t="s">
        <v>68</v>
      </c>
      <c r="AW242" s="244" t="s">
        <v>68</v>
      </c>
      <c r="AX242" s="124" t="s">
        <v>692</v>
      </c>
      <c r="AY242" s="5">
        <v>42907</v>
      </c>
      <c r="AZ242" s="5">
        <v>42968</v>
      </c>
      <c r="BA242" s="715"/>
      <c r="BB242" s="124" t="s">
        <v>692</v>
      </c>
      <c r="BC242" s="1959"/>
      <c r="BD242" s="5">
        <v>42907</v>
      </c>
      <c r="BE242" s="5">
        <v>42968</v>
      </c>
      <c r="BF242" s="521"/>
      <c r="BG242" s="38">
        <f>AQ242+AR242</f>
        <v>157116</v>
      </c>
      <c r="BH242" s="217" t="s">
        <v>692</v>
      </c>
      <c r="BI242" s="791"/>
      <c r="BJ242" s="793"/>
      <c r="BK242" s="793"/>
      <c r="BL242" s="1013"/>
      <c r="BM242" s="1013"/>
      <c r="BN242" s="1013"/>
      <c r="BO242" s="1013"/>
      <c r="BP242" s="1013"/>
      <c r="BQ242" s="1013"/>
      <c r="BR242" s="1013"/>
      <c r="BS242" s="73"/>
      <c r="BT242" s="14"/>
      <c r="BU242" s="14"/>
      <c r="BV242" s="14"/>
      <c r="BW242" s="14"/>
      <c r="BX242" s="14"/>
      <c r="BY242" s="1432" t="s">
        <v>1567</v>
      </c>
      <c r="BZ242" s="356" t="s">
        <v>459</v>
      </c>
      <c r="CA242" s="582"/>
      <c r="CB242" s="2"/>
      <c r="CC242" s="2"/>
      <c r="CD242" s="2"/>
      <c r="CE242" s="2"/>
      <c r="CF242" s="2"/>
      <c r="CG242" s="2"/>
      <c r="CH242" s="16"/>
    </row>
    <row r="243" spans="2:86" customFormat="1" ht="89.25" hidden="1" customHeight="1">
      <c r="B243" s="23"/>
      <c r="C243" s="23"/>
      <c r="D243" s="23"/>
      <c r="E243" s="335" t="s">
        <v>68</v>
      </c>
      <c r="F243" s="335"/>
      <c r="G243" s="1055">
        <v>43321</v>
      </c>
      <c r="H243" s="365">
        <v>43048</v>
      </c>
      <c r="I243" s="17">
        <v>2017</v>
      </c>
      <c r="J243" s="1678"/>
      <c r="K243" s="183" t="s">
        <v>77</v>
      </c>
      <c r="L243" s="35" t="s">
        <v>788</v>
      </c>
      <c r="M243" s="185" t="s">
        <v>79</v>
      </c>
      <c r="N243" s="495" t="s">
        <v>789</v>
      </c>
      <c r="O243" s="495" t="s">
        <v>1979</v>
      </c>
      <c r="P243" s="187">
        <v>88991.13</v>
      </c>
      <c r="Q243" s="188">
        <v>42902</v>
      </c>
      <c r="R243" s="189">
        <v>42907</v>
      </c>
      <c r="S243" s="190">
        <v>42968</v>
      </c>
      <c r="T243" s="111">
        <v>42902</v>
      </c>
      <c r="U243" s="191" t="s">
        <v>739</v>
      </c>
      <c r="V243" s="183" t="s">
        <v>449</v>
      </c>
      <c r="W243" s="505" t="s">
        <v>74</v>
      </c>
      <c r="X243" s="1623"/>
      <c r="Y243" s="35" t="s">
        <v>778</v>
      </c>
      <c r="Z243" s="9">
        <v>42886</v>
      </c>
      <c r="AA243" s="4">
        <v>88991.13</v>
      </c>
      <c r="AB243" s="4"/>
      <c r="AC243" s="34"/>
      <c r="AD243" s="36" t="s">
        <v>68</v>
      </c>
      <c r="AE243" s="119" t="s">
        <v>68</v>
      </c>
      <c r="AF243" s="119" t="s">
        <v>68</v>
      </c>
      <c r="AG243" s="7" t="s">
        <v>68</v>
      </c>
      <c r="AH243" s="116" t="s">
        <v>68</v>
      </c>
      <c r="AI243" s="491" t="s">
        <v>787</v>
      </c>
      <c r="AJ243" s="135">
        <v>2104912</v>
      </c>
      <c r="AK243" s="76">
        <v>42905</v>
      </c>
      <c r="AL243" s="135">
        <v>2104688</v>
      </c>
      <c r="AM243" s="5">
        <v>42905</v>
      </c>
      <c r="AN243" s="135">
        <v>2136630</v>
      </c>
      <c r="AO243" s="5">
        <v>43024</v>
      </c>
      <c r="AP243" s="306">
        <f>22247.78+8899.11</f>
        <v>31146.89</v>
      </c>
      <c r="AQ243" s="37">
        <v>0</v>
      </c>
      <c r="AR243" s="1032">
        <v>409917.97</v>
      </c>
      <c r="AS243" s="1019"/>
      <c r="AT243" s="359">
        <v>42907</v>
      </c>
      <c r="AU243" s="12">
        <v>42967</v>
      </c>
      <c r="AV243" s="243" t="s">
        <v>68</v>
      </c>
      <c r="AW243" s="244" t="s">
        <v>68</v>
      </c>
      <c r="AX243" s="124" t="s">
        <v>74</v>
      </c>
      <c r="AY243" s="1"/>
      <c r="AZ243" s="1"/>
      <c r="BA243" s="18"/>
      <c r="BB243" s="124" t="s">
        <v>74</v>
      </c>
      <c r="BC243" s="1959"/>
      <c r="BD243" s="5"/>
      <c r="BE243" s="5"/>
      <c r="BF243" s="5"/>
      <c r="BG243" s="38">
        <f>AQ244+AR244</f>
        <v>144956.81</v>
      </c>
      <c r="BH243" s="222"/>
      <c r="BI243" s="773"/>
      <c r="BJ243" s="521"/>
      <c r="BK243" s="521"/>
      <c r="BL243" s="1014"/>
      <c r="BM243" s="1014"/>
      <c r="BN243" s="1014"/>
      <c r="BO243" s="1014"/>
      <c r="BP243" s="1014"/>
      <c r="BQ243" s="1014"/>
      <c r="BR243" s="1014"/>
      <c r="BS243" s="792"/>
      <c r="BT243" s="14"/>
      <c r="BU243" s="14"/>
      <c r="BV243" s="14"/>
      <c r="BW243" s="14"/>
      <c r="BX243" s="14"/>
      <c r="BY243" s="1432" t="s">
        <v>1567</v>
      </c>
      <c r="BZ243" s="356" t="s">
        <v>459</v>
      </c>
      <c r="CA243" s="582"/>
      <c r="CB243" s="2"/>
      <c r="CC243" s="2"/>
      <c r="CD243" s="2"/>
      <c r="CE243" s="2"/>
      <c r="CF243" s="2"/>
      <c r="CG243" s="2"/>
      <c r="CH243" s="16"/>
    </row>
    <row r="244" spans="2:86" customFormat="1" ht="75" hidden="1" customHeight="1">
      <c r="B244" s="23"/>
      <c r="C244" s="23"/>
      <c r="D244" s="23"/>
      <c r="E244" s="335" t="s">
        <v>68</v>
      </c>
      <c r="F244" s="335"/>
      <c r="G244" s="1055">
        <v>43264</v>
      </c>
      <c r="H244" s="365">
        <v>43048</v>
      </c>
      <c r="I244" s="17">
        <v>2017</v>
      </c>
      <c r="J244" s="1678"/>
      <c r="K244" s="183" t="s">
        <v>77</v>
      </c>
      <c r="L244" s="35" t="s">
        <v>790</v>
      </c>
      <c r="M244" s="185" t="s">
        <v>79</v>
      </c>
      <c r="N244" s="495" t="s">
        <v>791</v>
      </c>
      <c r="O244" s="495" t="s">
        <v>1979</v>
      </c>
      <c r="P244" s="187">
        <v>120964.57</v>
      </c>
      <c r="Q244" s="188">
        <v>42902</v>
      </c>
      <c r="R244" s="189">
        <v>42907</v>
      </c>
      <c r="S244" s="190">
        <v>42968</v>
      </c>
      <c r="T244" s="111">
        <v>42902</v>
      </c>
      <c r="U244" s="191" t="s">
        <v>739</v>
      </c>
      <c r="V244" s="183" t="s">
        <v>449</v>
      </c>
      <c r="W244" s="505" t="s">
        <v>74</v>
      </c>
      <c r="X244" s="1623"/>
      <c r="Y244" s="35" t="s">
        <v>778</v>
      </c>
      <c r="Z244" s="9">
        <v>42886</v>
      </c>
      <c r="AA244" s="4">
        <v>120964.24</v>
      </c>
      <c r="AB244" s="4"/>
      <c r="AC244" s="34"/>
      <c r="AD244" s="36" t="s">
        <v>68</v>
      </c>
      <c r="AE244" s="119" t="s">
        <v>68</v>
      </c>
      <c r="AF244" s="119" t="s">
        <v>68</v>
      </c>
      <c r="AG244" s="7" t="s">
        <v>68</v>
      </c>
      <c r="AH244" s="116" t="s">
        <v>68</v>
      </c>
      <c r="AI244" s="491" t="s">
        <v>787</v>
      </c>
      <c r="AJ244" s="135">
        <v>2104917</v>
      </c>
      <c r="AK244" s="76">
        <v>42905</v>
      </c>
      <c r="AL244" s="135">
        <v>2104692</v>
      </c>
      <c r="AM244" s="5">
        <v>42905</v>
      </c>
      <c r="AN244" s="135">
        <v>2136640</v>
      </c>
      <c r="AO244" s="5">
        <v>43024</v>
      </c>
      <c r="AP244" s="601">
        <f>30241.14+12096.45+12096.45</f>
        <v>54434.039999999994</v>
      </c>
      <c r="AQ244" s="37">
        <v>0</v>
      </c>
      <c r="AR244" s="1032">
        <v>144956.81</v>
      </c>
      <c r="AS244" s="1019"/>
      <c r="AT244" s="68" t="s">
        <v>74</v>
      </c>
      <c r="AU244" s="12"/>
      <c r="AV244" s="243" t="s">
        <v>68</v>
      </c>
      <c r="AW244" s="244" t="s">
        <v>68</v>
      </c>
      <c r="AX244" s="124" t="s">
        <v>74</v>
      </c>
      <c r="AY244" s="1"/>
      <c r="AZ244" s="1"/>
      <c r="BA244" s="18"/>
      <c r="BB244" s="124" t="s">
        <v>74</v>
      </c>
      <c r="BC244" s="1959"/>
      <c r="BD244" s="5"/>
      <c r="BE244" s="5"/>
      <c r="BF244" s="5"/>
      <c r="BG244" s="38">
        <f t="shared" si="7"/>
        <v>144956.81</v>
      </c>
      <c r="BH244" s="222"/>
      <c r="BI244" s="773"/>
      <c r="BJ244" s="521"/>
      <c r="BK244" s="521"/>
      <c r="BL244" s="1014"/>
      <c r="BM244" s="1014"/>
      <c r="BN244" s="1014"/>
      <c r="BO244" s="1014"/>
      <c r="BP244" s="1014"/>
      <c r="BQ244" s="1014"/>
      <c r="BR244" s="1014"/>
      <c r="BS244" s="792"/>
      <c r="BT244" s="14"/>
      <c r="BU244" s="14"/>
      <c r="BV244" s="14"/>
      <c r="BW244" s="14"/>
      <c r="BX244" s="14"/>
      <c r="BY244" s="1432" t="s">
        <v>1567</v>
      </c>
      <c r="BZ244" s="356" t="s">
        <v>459</v>
      </c>
      <c r="CA244" s="582"/>
      <c r="CB244" s="2"/>
      <c r="CC244" s="2"/>
      <c r="CD244" s="2"/>
      <c r="CE244" s="2"/>
      <c r="CF244" s="2"/>
      <c r="CG244" s="2"/>
      <c r="CH244" s="16"/>
    </row>
    <row r="245" spans="2:86" customFormat="1" ht="75" hidden="1" customHeight="1">
      <c r="B245" s="23"/>
      <c r="C245" s="23"/>
      <c r="D245" s="23"/>
      <c r="E245" s="335" t="s">
        <v>68</v>
      </c>
      <c r="F245" s="335"/>
      <c r="G245" s="1055">
        <v>43264</v>
      </c>
      <c r="H245" s="365">
        <v>43048</v>
      </c>
      <c r="I245" s="17">
        <v>2017</v>
      </c>
      <c r="J245" s="1678"/>
      <c r="K245" s="183" t="s">
        <v>77</v>
      </c>
      <c r="L245" s="35" t="s">
        <v>792</v>
      </c>
      <c r="M245" s="185" t="s">
        <v>79</v>
      </c>
      <c r="N245" s="495" t="s">
        <v>793</v>
      </c>
      <c r="O245" s="495" t="s">
        <v>1979</v>
      </c>
      <c r="P245" s="187">
        <v>77992.240000000005</v>
      </c>
      <c r="Q245" s="188">
        <v>42902</v>
      </c>
      <c r="R245" s="189">
        <v>42907</v>
      </c>
      <c r="S245" s="190">
        <v>42968</v>
      </c>
      <c r="T245" s="111">
        <v>42902</v>
      </c>
      <c r="U245" s="191" t="s">
        <v>739</v>
      </c>
      <c r="V245" s="183" t="s">
        <v>449</v>
      </c>
      <c r="W245" s="505" t="s">
        <v>74</v>
      </c>
      <c r="X245" s="1623"/>
      <c r="Y245" s="35" t="s">
        <v>778</v>
      </c>
      <c r="Z245" s="9">
        <v>42886</v>
      </c>
      <c r="AA245" s="4">
        <v>77992.240000000005</v>
      </c>
      <c r="AB245" s="4"/>
      <c r="AC245" s="34"/>
      <c r="AD245" s="36" t="s">
        <v>68</v>
      </c>
      <c r="AE245" s="119" t="s">
        <v>68</v>
      </c>
      <c r="AF245" s="119" t="s">
        <v>68</v>
      </c>
      <c r="AG245" s="7" t="s">
        <v>68</v>
      </c>
      <c r="AH245" s="116" t="s">
        <v>68</v>
      </c>
      <c r="AI245" s="280" t="s">
        <v>787</v>
      </c>
      <c r="AJ245" s="1">
        <v>2104921</v>
      </c>
      <c r="AK245" s="5">
        <v>42905</v>
      </c>
      <c r="AL245" s="135">
        <v>2104694</v>
      </c>
      <c r="AM245" s="5">
        <v>42909</v>
      </c>
      <c r="AN245" s="238" t="s">
        <v>74</v>
      </c>
      <c r="AO245" s="1"/>
      <c r="AP245" s="306">
        <f>19498.06+7799.22</f>
        <v>27297.280000000002</v>
      </c>
      <c r="AQ245" s="37">
        <v>0</v>
      </c>
      <c r="AR245" s="1032">
        <v>93230.1</v>
      </c>
      <c r="AS245" s="1019"/>
      <c r="AT245" s="68" t="s">
        <v>74</v>
      </c>
      <c r="AU245" s="12"/>
      <c r="AV245" s="243" t="s">
        <v>68</v>
      </c>
      <c r="AW245" s="244" t="s">
        <v>68</v>
      </c>
      <c r="AX245" s="124" t="s">
        <v>74</v>
      </c>
      <c r="AY245" s="1"/>
      <c r="AZ245" s="1"/>
      <c r="BA245" s="18"/>
      <c r="BB245" s="124" t="s">
        <v>74</v>
      </c>
      <c r="BC245" s="1959"/>
      <c r="BD245" s="5"/>
      <c r="BE245" s="5"/>
      <c r="BF245" s="5"/>
      <c r="BG245" s="38">
        <f t="shared" si="7"/>
        <v>93230.1</v>
      </c>
      <c r="BH245" s="222"/>
      <c r="BI245" s="773"/>
      <c r="BJ245" s="521"/>
      <c r="BK245" s="521"/>
      <c r="BL245" s="1014"/>
      <c r="BM245" s="1014"/>
      <c r="BN245" s="1014"/>
      <c r="BO245" s="1014"/>
      <c r="BP245" s="1014"/>
      <c r="BQ245" s="1014"/>
      <c r="BR245" s="1014"/>
      <c r="BS245" s="792"/>
      <c r="BT245" s="14"/>
      <c r="BU245" s="14"/>
      <c r="BV245" s="14"/>
      <c r="BW245" s="14"/>
      <c r="BX245" s="14"/>
      <c r="BY245" s="1432" t="s">
        <v>1567</v>
      </c>
      <c r="BZ245" s="356" t="s">
        <v>459</v>
      </c>
      <c r="CA245" s="582"/>
      <c r="CB245" s="2"/>
      <c r="CC245" s="2"/>
      <c r="CD245" s="2"/>
      <c r="CE245" s="2"/>
      <c r="CF245" s="2"/>
      <c r="CG245" s="2"/>
      <c r="CH245" s="16"/>
    </row>
    <row r="246" spans="2:86" customFormat="1" ht="75" hidden="1" customHeight="1">
      <c r="B246" s="23"/>
      <c r="C246" s="23"/>
      <c r="D246" s="23"/>
      <c r="E246" s="335" t="s">
        <v>68</v>
      </c>
      <c r="F246" s="335"/>
      <c r="G246" s="1055">
        <v>43256</v>
      </c>
      <c r="H246" s="365">
        <v>43048</v>
      </c>
      <c r="I246" s="17">
        <v>2017</v>
      </c>
      <c r="J246" s="1678"/>
      <c r="K246" s="183" t="s">
        <v>77</v>
      </c>
      <c r="L246" s="35" t="s">
        <v>794</v>
      </c>
      <c r="M246" s="185" t="s">
        <v>79</v>
      </c>
      <c r="N246" s="495" t="s">
        <v>795</v>
      </c>
      <c r="O246" s="495" t="s">
        <v>1979</v>
      </c>
      <c r="P246" s="187">
        <v>125684.46</v>
      </c>
      <c r="Q246" s="188">
        <v>42944</v>
      </c>
      <c r="R246" s="189">
        <v>42948</v>
      </c>
      <c r="S246" s="190">
        <v>42978</v>
      </c>
      <c r="T246" s="111">
        <v>42944</v>
      </c>
      <c r="U246" s="191" t="s">
        <v>796</v>
      </c>
      <c r="V246" s="183" t="s">
        <v>449</v>
      </c>
      <c r="W246" s="505" t="s">
        <v>74</v>
      </c>
      <c r="X246" s="1623"/>
      <c r="Y246" s="35" t="s">
        <v>778</v>
      </c>
      <c r="Z246" s="9">
        <v>42886</v>
      </c>
      <c r="AA246" s="4">
        <v>128488.26</v>
      </c>
      <c r="AB246" s="4"/>
      <c r="AC246" s="34"/>
      <c r="AD246" s="36" t="s">
        <v>68</v>
      </c>
      <c r="AE246" s="119" t="s">
        <v>68</v>
      </c>
      <c r="AF246" s="119" t="s">
        <v>68</v>
      </c>
      <c r="AG246" s="7" t="s">
        <v>68</v>
      </c>
      <c r="AH246" s="116" t="s">
        <v>68</v>
      </c>
      <c r="AI246" s="491" t="s">
        <v>797</v>
      </c>
      <c r="AJ246" s="135">
        <v>8146</v>
      </c>
      <c r="AK246" s="76">
        <v>42947</v>
      </c>
      <c r="AL246" s="135">
        <v>8148</v>
      </c>
      <c r="AM246" s="76">
        <v>42947</v>
      </c>
      <c r="AN246" s="135">
        <v>12133</v>
      </c>
      <c r="AO246" s="76">
        <v>42978</v>
      </c>
      <c r="AP246" s="306">
        <f>31421.12+12568.45+12568.45</f>
        <v>56558.020000000004</v>
      </c>
      <c r="AQ246" s="37">
        <v>0</v>
      </c>
      <c r="AR246" s="1032">
        <v>125684.46</v>
      </c>
      <c r="AS246" s="1019"/>
      <c r="AT246" s="75">
        <v>42948</v>
      </c>
      <c r="AU246" s="12">
        <v>42978</v>
      </c>
      <c r="AV246" s="243" t="s">
        <v>68</v>
      </c>
      <c r="AW246" s="244" t="s">
        <v>68</v>
      </c>
      <c r="AX246" s="75">
        <v>42979</v>
      </c>
      <c r="AY246" s="5">
        <v>42948</v>
      </c>
      <c r="AZ246" s="5">
        <v>42978</v>
      </c>
      <c r="BA246" s="12">
        <v>42978</v>
      </c>
      <c r="BB246" s="75">
        <v>42979</v>
      </c>
      <c r="BC246" s="1950"/>
      <c r="BD246" s="76">
        <v>42948</v>
      </c>
      <c r="BE246" s="76">
        <v>42978</v>
      </c>
      <c r="BF246" s="76">
        <v>42978</v>
      </c>
      <c r="BG246" s="136">
        <f t="shared" si="7"/>
        <v>125684.46</v>
      </c>
      <c r="BH246" s="216">
        <v>42979</v>
      </c>
      <c r="BI246" s="578"/>
      <c r="BJ246" s="255"/>
      <c r="BK246" s="255"/>
      <c r="BL246" s="246"/>
      <c r="BM246" s="246"/>
      <c r="BN246" s="246"/>
      <c r="BO246" s="246"/>
      <c r="BP246" s="246"/>
      <c r="BQ246" s="246"/>
      <c r="BR246" s="246"/>
      <c r="BS246" s="758"/>
      <c r="BT246" s="14"/>
      <c r="BU246" s="14"/>
      <c r="BV246" s="14"/>
      <c r="BW246" s="14"/>
      <c r="BX246" s="14"/>
      <c r="BY246" s="1432" t="s">
        <v>1567</v>
      </c>
      <c r="BZ246" s="356" t="s">
        <v>459</v>
      </c>
      <c r="CA246" s="582"/>
      <c r="CB246" s="2"/>
      <c r="CC246" s="2"/>
      <c r="CD246" s="2"/>
      <c r="CE246" s="2"/>
      <c r="CF246" s="2"/>
      <c r="CG246" s="2"/>
      <c r="CH246" s="16"/>
    </row>
    <row r="247" spans="2:86" customFormat="1" ht="75" hidden="1" customHeight="1">
      <c r="B247" s="23"/>
      <c r="C247" s="23"/>
      <c r="D247" s="23"/>
      <c r="E247" s="335" t="s">
        <v>68</v>
      </c>
      <c r="F247" s="335"/>
      <c r="G247" s="1055">
        <v>43256</v>
      </c>
      <c r="H247" s="365">
        <v>43048</v>
      </c>
      <c r="I247" s="17">
        <v>2017</v>
      </c>
      <c r="J247" s="1678"/>
      <c r="K247" s="183" t="s">
        <v>77</v>
      </c>
      <c r="L247" s="35" t="s">
        <v>798</v>
      </c>
      <c r="M247" s="185" t="s">
        <v>79</v>
      </c>
      <c r="N247" s="495" t="s">
        <v>799</v>
      </c>
      <c r="O247" s="495" t="s">
        <v>1979</v>
      </c>
      <c r="P247" s="187">
        <v>79897.39</v>
      </c>
      <c r="Q247" s="188">
        <v>42944</v>
      </c>
      <c r="R247" s="189">
        <v>42948</v>
      </c>
      <c r="S247" s="190">
        <v>42978</v>
      </c>
      <c r="T247" s="111">
        <v>42944</v>
      </c>
      <c r="U247" s="191" t="s">
        <v>796</v>
      </c>
      <c r="V247" s="183" t="s">
        <v>449</v>
      </c>
      <c r="W247" s="505" t="s">
        <v>74</v>
      </c>
      <c r="X247" s="1623"/>
      <c r="Y247" s="35" t="s">
        <v>778</v>
      </c>
      <c r="Z247" s="9">
        <v>42886</v>
      </c>
      <c r="AA247" s="4">
        <v>80034.22</v>
      </c>
      <c r="AB247" s="4"/>
      <c r="AC247" s="34"/>
      <c r="AD247" s="36" t="s">
        <v>68</v>
      </c>
      <c r="AE247" s="119" t="s">
        <v>68</v>
      </c>
      <c r="AF247" s="119" t="s">
        <v>68</v>
      </c>
      <c r="AG247" s="7" t="s">
        <v>68</v>
      </c>
      <c r="AH247" s="116" t="s">
        <v>68</v>
      </c>
      <c r="AI247" s="712" t="s">
        <v>797</v>
      </c>
      <c r="AJ247" s="713">
        <v>8147</v>
      </c>
      <c r="AK247" s="714">
        <v>42947</v>
      </c>
      <c r="AL247" s="139" t="s">
        <v>74</v>
      </c>
      <c r="AM247" s="714"/>
      <c r="AN247" s="139" t="s">
        <v>74</v>
      </c>
      <c r="AO247" s="5"/>
      <c r="AP247" s="306">
        <f>19974.35</f>
        <v>19974.349999999999</v>
      </c>
      <c r="AQ247" s="37">
        <v>0</v>
      </c>
      <c r="AR247" s="1032">
        <v>79839.72</v>
      </c>
      <c r="AS247" s="1019"/>
      <c r="AT247" s="68" t="s">
        <v>74</v>
      </c>
      <c r="AU247" s="12"/>
      <c r="AV247" s="243" t="s">
        <v>68</v>
      </c>
      <c r="AW247" s="244" t="s">
        <v>68</v>
      </c>
      <c r="AX247" s="124" t="s">
        <v>74</v>
      </c>
      <c r="AY247" s="1"/>
      <c r="AZ247" s="1"/>
      <c r="BA247" s="18"/>
      <c r="BB247" s="124" t="s">
        <v>74</v>
      </c>
      <c r="BC247" s="1959"/>
      <c r="BD247" s="5"/>
      <c r="BE247" s="5"/>
      <c r="BF247" s="5"/>
      <c r="BG247" s="38">
        <f t="shared" si="7"/>
        <v>79839.72</v>
      </c>
      <c r="BH247" s="222"/>
      <c r="BI247" s="773"/>
      <c r="BJ247" s="521"/>
      <c r="BK247" s="521"/>
      <c r="BL247" s="1014"/>
      <c r="BM247" s="1014"/>
      <c r="BN247" s="1014"/>
      <c r="BO247" s="1014"/>
      <c r="BP247" s="1014"/>
      <c r="BQ247" s="1014"/>
      <c r="BR247" s="1014"/>
      <c r="BS247" s="792"/>
      <c r="BT247" s="14"/>
      <c r="BU247" s="14"/>
      <c r="BV247" s="14"/>
      <c r="BW247" s="14"/>
      <c r="BX247" s="14"/>
      <c r="BY247" s="1432" t="s">
        <v>1567</v>
      </c>
      <c r="BZ247" s="356" t="s">
        <v>459</v>
      </c>
      <c r="CA247" s="582"/>
      <c r="CB247" s="2"/>
      <c r="CC247" s="2"/>
      <c r="CD247" s="2"/>
      <c r="CE247" s="2"/>
      <c r="CF247" s="2"/>
      <c r="CG247" s="2"/>
      <c r="CH247" s="16"/>
    </row>
    <row r="248" spans="2:86" customFormat="1" ht="75" hidden="1" customHeight="1">
      <c r="B248" s="23"/>
      <c r="C248" s="23"/>
      <c r="D248" s="23"/>
      <c r="E248" s="335" t="s">
        <v>68</v>
      </c>
      <c r="F248" s="335"/>
      <c r="G248" s="1055">
        <v>43252</v>
      </c>
      <c r="H248" s="365">
        <v>43048</v>
      </c>
      <c r="I248" s="17">
        <v>2017</v>
      </c>
      <c r="J248" s="1678"/>
      <c r="K248" s="183" t="s">
        <v>77</v>
      </c>
      <c r="L248" s="35" t="s">
        <v>800</v>
      </c>
      <c r="M248" s="185" t="s">
        <v>79</v>
      </c>
      <c r="N248" s="495" t="s">
        <v>801</v>
      </c>
      <c r="O248" s="495" t="s">
        <v>1979</v>
      </c>
      <c r="P248" s="187">
        <v>119278.43</v>
      </c>
      <c r="Q248" s="188">
        <v>42957</v>
      </c>
      <c r="R248" s="189">
        <v>42961</v>
      </c>
      <c r="S248" s="190">
        <v>42994</v>
      </c>
      <c r="T248" s="70">
        <v>42957</v>
      </c>
      <c r="U248" s="191" t="s">
        <v>796</v>
      </c>
      <c r="V248" s="183" t="s">
        <v>449</v>
      </c>
      <c r="W248" s="505" t="s">
        <v>74</v>
      </c>
      <c r="X248" s="1623"/>
      <c r="Y248" s="35" t="s">
        <v>778</v>
      </c>
      <c r="Z248" s="9">
        <v>42886</v>
      </c>
      <c r="AA248" s="4">
        <v>121299.35</v>
      </c>
      <c r="AB248" s="4"/>
      <c r="AC248" s="34"/>
      <c r="AD248" s="36" t="s">
        <v>68</v>
      </c>
      <c r="AE248" s="119" t="s">
        <v>68</v>
      </c>
      <c r="AF248" s="119" t="s">
        <v>68</v>
      </c>
      <c r="AG248" s="7" t="s">
        <v>68</v>
      </c>
      <c r="AH248" s="116" t="s">
        <v>68</v>
      </c>
      <c r="AI248" s="180" t="s">
        <v>797</v>
      </c>
      <c r="AJ248" s="1">
        <v>8143</v>
      </c>
      <c r="AK248" s="5">
        <v>42958</v>
      </c>
      <c r="AL248" s="135">
        <v>8156</v>
      </c>
      <c r="AM248" s="76">
        <v>42958</v>
      </c>
      <c r="AN248" s="135">
        <v>12135</v>
      </c>
      <c r="AO248" s="5">
        <v>42994</v>
      </c>
      <c r="AP248" s="306">
        <f>29819.61+11927.84+11927.84</f>
        <v>53675.289999999994</v>
      </c>
      <c r="AQ248" s="37">
        <v>0</v>
      </c>
      <c r="AR248" s="1032">
        <v>108518.67</v>
      </c>
      <c r="AS248" s="1019"/>
      <c r="AT248" s="75">
        <v>42961</v>
      </c>
      <c r="AU248" s="12">
        <v>42994</v>
      </c>
      <c r="AV248" s="243" t="s">
        <v>68</v>
      </c>
      <c r="AW248" s="244" t="s">
        <v>68</v>
      </c>
      <c r="AX248" s="75">
        <v>42996</v>
      </c>
      <c r="AY248" s="76">
        <v>42961</v>
      </c>
      <c r="AZ248" s="76">
        <v>42994</v>
      </c>
      <c r="BA248" s="134">
        <v>42994</v>
      </c>
      <c r="BB248" s="75">
        <v>42996</v>
      </c>
      <c r="BC248" s="1950"/>
      <c r="BD248" s="76">
        <v>42992</v>
      </c>
      <c r="BE248" s="76">
        <v>42994</v>
      </c>
      <c r="BF248" s="76">
        <v>42994</v>
      </c>
      <c r="BG248" s="136">
        <f t="shared" si="7"/>
        <v>108518.67</v>
      </c>
      <c r="BH248" s="711">
        <v>42996</v>
      </c>
      <c r="BI248" s="70"/>
      <c r="BJ248" s="76"/>
      <c r="BK248" s="76"/>
      <c r="BL248" s="378"/>
      <c r="BM248" s="378"/>
      <c r="BN248" s="378"/>
      <c r="BO248" s="378"/>
      <c r="BP248" s="378"/>
      <c r="BQ248" s="378"/>
      <c r="BR248" s="378"/>
      <c r="BS248" s="383"/>
      <c r="BT248" s="14"/>
      <c r="BU248" s="14"/>
      <c r="BV248" s="14"/>
      <c r="BW248" s="14"/>
      <c r="BX248" s="14"/>
      <c r="BY248" s="1432" t="s">
        <v>1567</v>
      </c>
      <c r="BZ248" s="356" t="s">
        <v>459</v>
      </c>
      <c r="CA248" s="582"/>
      <c r="CB248" s="2"/>
      <c r="CC248" s="2"/>
      <c r="CD248" s="2"/>
      <c r="CE248" s="2"/>
      <c r="CF248" s="2"/>
      <c r="CG248" s="2"/>
      <c r="CH248" s="16"/>
    </row>
    <row r="249" spans="2:86" customFormat="1" ht="75" hidden="1" customHeight="1">
      <c r="B249" s="23"/>
      <c r="C249" s="23"/>
      <c r="D249" s="23"/>
      <c r="E249" s="335" t="s">
        <v>68</v>
      </c>
      <c r="F249" s="335"/>
      <c r="G249" s="1055">
        <v>43252</v>
      </c>
      <c r="H249" s="365">
        <v>43048</v>
      </c>
      <c r="I249" s="17">
        <v>2017</v>
      </c>
      <c r="J249" s="1678"/>
      <c r="K249" s="183" t="s">
        <v>77</v>
      </c>
      <c r="L249" s="35" t="s">
        <v>802</v>
      </c>
      <c r="M249" s="185" t="s">
        <v>79</v>
      </c>
      <c r="N249" s="495" t="s">
        <v>803</v>
      </c>
      <c r="O249" s="495" t="s">
        <v>1979</v>
      </c>
      <c r="P249" s="187">
        <v>77217.95</v>
      </c>
      <c r="Q249" s="188">
        <v>42957</v>
      </c>
      <c r="R249" s="189">
        <v>42961</v>
      </c>
      <c r="S249" s="190">
        <v>42994</v>
      </c>
      <c r="T249" s="111">
        <v>42902</v>
      </c>
      <c r="U249" s="191" t="s">
        <v>796</v>
      </c>
      <c r="V249" s="183" t="s">
        <v>449</v>
      </c>
      <c r="W249" s="505" t="s">
        <v>74</v>
      </c>
      <c r="X249" s="1623"/>
      <c r="Y249" s="35" t="s">
        <v>778</v>
      </c>
      <c r="Z249" s="9">
        <v>42886</v>
      </c>
      <c r="AA249" s="4">
        <v>77642.48</v>
      </c>
      <c r="AB249" s="4"/>
      <c r="AC249" s="34"/>
      <c r="AD249" s="36" t="s">
        <v>68</v>
      </c>
      <c r="AE249" s="119" t="s">
        <v>68</v>
      </c>
      <c r="AF249" s="119" t="s">
        <v>68</v>
      </c>
      <c r="AG249" s="7" t="s">
        <v>68</v>
      </c>
      <c r="AH249" s="116" t="s">
        <v>68</v>
      </c>
      <c r="AI249" s="180" t="s">
        <v>797</v>
      </c>
      <c r="AJ249" s="1">
        <v>8157</v>
      </c>
      <c r="AK249" s="5">
        <v>42958</v>
      </c>
      <c r="AL249" s="135">
        <v>8159</v>
      </c>
      <c r="AM249" s="76">
        <v>42958</v>
      </c>
      <c r="AN249" s="135">
        <v>12138</v>
      </c>
      <c r="AO249" s="5">
        <v>42994</v>
      </c>
      <c r="AP249" s="306">
        <f>19304.49+7721.8+7721.8</f>
        <v>34748.090000000004</v>
      </c>
      <c r="AQ249" s="37">
        <v>0</v>
      </c>
      <c r="AR249" s="1032">
        <v>77160.37</v>
      </c>
      <c r="AS249" s="1019"/>
      <c r="AT249" s="75">
        <v>42961</v>
      </c>
      <c r="AU249" s="12">
        <v>42994</v>
      </c>
      <c r="AV249" s="243" t="s">
        <v>68</v>
      </c>
      <c r="AW249" s="244" t="s">
        <v>68</v>
      </c>
      <c r="AX249" s="75">
        <v>42996</v>
      </c>
      <c r="AY249" s="5">
        <v>42961</v>
      </c>
      <c r="AZ249" s="5">
        <v>42994</v>
      </c>
      <c r="BA249" s="12">
        <v>42994</v>
      </c>
      <c r="BB249" s="75">
        <v>42996</v>
      </c>
      <c r="BC249" s="1950"/>
      <c r="BD249" s="5">
        <v>42961</v>
      </c>
      <c r="BE249" s="5">
        <v>42994</v>
      </c>
      <c r="BF249" s="5">
        <v>42994</v>
      </c>
      <c r="BG249" s="38">
        <f t="shared" si="7"/>
        <v>77160.37</v>
      </c>
      <c r="BH249" s="216">
        <v>42996</v>
      </c>
      <c r="BI249" s="578"/>
      <c r="BJ249" s="255"/>
      <c r="BK249" s="255"/>
      <c r="BL249" s="246"/>
      <c r="BM249" s="246"/>
      <c r="BN249" s="246"/>
      <c r="BO249" s="246"/>
      <c r="BP249" s="246"/>
      <c r="BQ249" s="246"/>
      <c r="BR249" s="246"/>
      <c r="BS249" s="758"/>
      <c r="BT249" s="14"/>
      <c r="BU249" s="14"/>
      <c r="BV249" s="14"/>
      <c r="BW249" s="14"/>
      <c r="BX249" s="14"/>
      <c r="BY249" s="1432" t="s">
        <v>1567</v>
      </c>
      <c r="BZ249" s="356" t="s">
        <v>459</v>
      </c>
      <c r="CA249" s="582"/>
      <c r="CB249" s="2"/>
      <c r="CC249" s="2"/>
      <c r="CD249" s="2"/>
      <c r="CE249" s="2"/>
      <c r="CF249" s="2"/>
      <c r="CG249" s="2"/>
      <c r="CH249" s="16"/>
    </row>
    <row r="250" spans="2:86" customFormat="1" ht="75" hidden="1" customHeight="1">
      <c r="B250" s="23"/>
      <c r="C250" s="23"/>
      <c r="D250" s="23"/>
      <c r="E250" s="335" t="s">
        <v>68</v>
      </c>
      <c r="F250" s="335"/>
      <c r="G250" s="1055">
        <v>43255</v>
      </c>
      <c r="H250" s="365">
        <v>43048</v>
      </c>
      <c r="I250" s="17">
        <v>2017</v>
      </c>
      <c r="J250" s="1678"/>
      <c r="K250" s="183" t="s">
        <v>77</v>
      </c>
      <c r="L250" s="35" t="s">
        <v>804</v>
      </c>
      <c r="M250" s="185" t="s">
        <v>79</v>
      </c>
      <c r="N250" s="495" t="s">
        <v>805</v>
      </c>
      <c r="O250" s="495" t="s">
        <v>1979</v>
      </c>
      <c r="P250" s="187">
        <v>101100.81</v>
      </c>
      <c r="Q250" s="188">
        <v>42977</v>
      </c>
      <c r="R250" s="189">
        <v>42982</v>
      </c>
      <c r="S250" s="190">
        <v>43008</v>
      </c>
      <c r="T250" s="111">
        <v>42977</v>
      </c>
      <c r="U250" s="191" t="s">
        <v>796</v>
      </c>
      <c r="V250" s="183" t="s">
        <v>449</v>
      </c>
      <c r="W250" s="505" t="s">
        <v>74</v>
      </c>
      <c r="X250" s="1623"/>
      <c r="Y250" s="35" t="s">
        <v>778</v>
      </c>
      <c r="Z250" s="9">
        <v>42886</v>
      </c>
      <c r="AA250" s="4">
        <v>101136.2</v>
      </c>
      <c r="AB250" s="4"/>
      <c r="AC250" s="34"/>
      <c r="AD250" s="36" t="s">
        <v>68</v>
      </c>
      <c r="AE250" s="119" t="s">
        <v>68</v>
      </c>
      <c r="AF250" s="119" t="s">
        <v>68</v>
      </c>
      <c r="AG250" s="7" t="s">
        <v>68</v>
      </c>
      <c r="AH250" s="116" t="s">
        <v>68</v>
      </c>
      <c r="AI250" s="491" t="s">
        <v>797</v>
      </c>
      <c r="AJ250" s="135">
        <v>8141</v>
      </c>
      <c r="AK250" s="76">
        <v>42978</v>
      </c>
      <c r="AL250" s="135">
        <v>8142</v>
      </c>
      <c r="AM250" s="76">
        <v>42978</v>
      </c>
      <c r="AN250" s="135">
        <v>12139</v>
      </c>
      <c r="AO250" s="5">
        <v>43008</v>
      </c>
      <c r="AP250" s="306">
        <f>25275.2+10110.08+10110.08</f>
        <v>45495.360000000001</v>
      </c>
      <c r="AQ250" s="37">
        <v>0</v>
      </c>
      <c r="AR250" s="1032">
        <v>101100.8</v>
      </c>
      <c r="AS250" s="1019"/>
      <c r="AT250" s="75">
        <v>42982</v>
      </c>
      <c r="AU250" s="12">
        <v>43001</v>
      </c>
      <c r="AV250" s="243" t="s">
        <v>68</v>
      </c>
      <c r="AW250" s="244" t="s">
        <v>68</v>
      </c>
      <c r="AX250" s="75">
        <v>43010</v>
      </c>
      <c r="AY250" s="76">
        <v>42982</v>
      </c>
      <c r="AZ250" s="76">
        <v>43008</v>
      </c>
      <c r="BA250" s="134">
        <v>43008</v>
      </c>
      <c r="BB250" s="75">
        <v>43010</v>
      </c>
      <c r="BC250" s="1950"/>
      <c r="BD250" s="5">
        <v>42982</v>
      </c>
      <c r="BE250" s="5">
        <v>43008</v>
      </c>
      <c r="BF250" s="5">
        <v>43008</v>
      </c>
      <c r="BG250" s="38">
        <f t="shared" si="7"/>
        <v>101100.8</v>
      </c>
      <c r="BH250" s="711">
        <v>43010</v>
      </c>
      <c r="BI250" s="70"/>
      <c r="BJ250" s="76"/>
      <c r="BK250" s="76"/>
      <c r="BL250" s="378"/>
      <c r="BM250" s="378"/>
      <c r="BN250" s="378"/>
      <c r="BO250" s="378"/>
      <c r="BP250" s="378"/>
      <c r="BQ250" s="378"/>
      <c r="BR250" s="378"/>
      <c r="BS250" s="383"/>
      <c r="BT250" s="14"/>
      <c r="BU250" s="14"/>
      <c r="BV250" s="14"/>
      <c r="BW250" s="14"/>
      <c r="BX250" s="14"/>
      <c r="BY250" s="1432" t="s">
        <v>1567</v>
      </c>
      <c r="BZ250" s="356" t="s">
        <v>459</v>
      </c>
      <c r="CA250" s="582"/>
      <c r="CB250" s="2"/>
      <c r="CC250" s="2"/>
      <c r="CD250" s="2"/>
      <c r="CE250" s="2"/>
      <c r="CF250" s="2"/>
      <c r="CG250" s="2"/>
      <c r="CH250" s="16"/>
    </row>
    <row r="251" spans="2:86" customFormat="1" ht="75" hidden="1" customHeight="1">
      <c r="B251" s="23"/>
      <c r="C251" s="23"/>
      <c r="D251" s="23"/>
      <c r="E251" s="335" t="s">
        <v>68</v>
      </c>
      <c r="F251" s="335"/>
      <c r="G251" s="1055">
        <v>43067</v>
      </c>
      <c r="H251" s="365">
        <v>43048</v>
      </c>
      <c r="I251" s="17">
        <v>2017</v>
      </c>
      <c r="J251" s="1678"/>
      <c r="K251" s="183" t="s">
        <v>77</v>
      </c>
      <c r="L251" s="35" t="s">
        <v>806</v>
      </c>
      <c r="M251" s="185" t="s">
        <v>79</v>
      </c>
      <c r="N251" s="495" t="s">
        <v>807</v>
      </c>
      <c r="O251" s="495" t="s">
        <v>1979</v>
      </c>
      <c r="P251" s="187">
        <v>62348.13</v>
      </c>
      <c r="Q251" s="188">
        <v>42977</v>
      </c>
      <c r="R251" s="189">
        <v>42982</v>
      </c>
      <c r="S251" s="190">
        <v>43008</v>
      </c>
      <c r="T251" s="111">
        <v>42977</v>
      </c>
      <c r="U251" s="191" t="s">
        <v>796</v>
      </c>
      <c r="V251" s="183" t="s">
        <v>449</v>
      </c>
      <c r="W251" s="505" t="s">
        <v>74</v>
      </c>
      <c r="X251" s="1623"/>
      <c r="Y251" s="35" t="s">
        <v>778</v>
      </c>
      <c r="Z251" s="9">
        <v>42886</v>
      </c>
      <c r="AA251" s="4">
        <v>63712.39</v>
      </c>
      <c r="AB251" s="4"/>
      <c r="AC251" s="34"/>
      <c r="AD251" s="36" t="s">
        <v>68</v>
      </c>
      <c r="AE251" s="119" t="s">
        <v>68</v>
      </c>
      <c r="AF251" s="119" t="s">
        <v>68</v>
      </c>
      <c r="AG251" s="7" t="s">
        <v>68</v>
      </c>
      <c r="AH251" s="116" t="s">
        <v>68</v>
      </c>
      <c r="AI251" s="491" t="s">
        <v>797</v>
      </c>
      <c r="AJ251" s="135">
        <v>8145</v>
      </c>
      <c r="AK251" s="76">
        <v>42978</v>
      </c>
      <c r="AL251" s="135">
        <v>8155</v>
      </c>
      <c r="AM251" s="76">
        <v>42978</v>
      </c>
      <c r="AN251" s="135">
        <v>12140</v>
      </c>
      <c r="AO251" s="5">
        <v>43008</v>
      </c>
      <c r="AP251" s="306">
        <f>15587.03+6234.81+6234.81</f>
        <v>28056.65</v>
      </c>
      <c r="AQ251" s="37">
        <v>0</v>
      </c>
      <c r="AR251" s="1032">
        <v>62291.82</v>
      </c>
      <c r="AS251" s="1019"/>
      <c r="AT251" s="75">
        <v>42982</v>
      </c>
      <c r="AU251" s="12">
        <v>43008</v>
      </c>
      <c r="AV251" s="243" t="s">
        <v>68</v>
      </c>
      <c r="AW251" s="244" t="s">
        <v>68</v>
      </c>
      <c r="AX251" s="75">
        <v>43010</v>
      </c>
      <c r="AY251" s="76">
        <v>42982</v>
      </c>
      <c r="AZ251" s="76">
        <v>43008</v>
      </c>
      <c r="BA251" s="134">
        <v>43008</v>
      </c>
      <c r="BB251" s="75">
        <v>43010</v>
      </c>
      <c r="BC251" s="1950"/>
      <c r="BD251" s="76">
        <v>42982</v>
      </c>
      <c r="BE251" s="76">
        <v>43008</v>
      </c>
      <c r="BF251" s="76">
        <v>43008</v>
      </c>
      <c r="BG251" s="136">
        <v>62348.13</v>
      </c>
      <c r="BH251" s="711">
        <v>43010</v>
      </c>
      <c r="BI251" s="70"/>
      <c r="BJ251" s="76"/>
      <c r="BK251" s="76"/>
      <c r="BL251" s="378"/>
      <c r="BM251" s="378"/>
      <c r="BN251" s="378"/>
      <c r="BO251" s="378"/>
      <c r="BP251" s="378"/>
      <c r="BQ251" s="378"/>
      <c r="BR251" s="378"/>
      <c r="BS251" s="383"/>
      <c r="BT251" s="14"/>
      <c r="BU251" s="14"/>
      <c r="BV251" s="14"/>
      <c r="BW251" s="14"/>
      <c r="BX251" s="14"/>
      <c r="BY251" s="1432" t="s">
        <v>1567</v>
      </c>
      <c r="BZ251" s="356" t="s">
        <v>459</v>
      </c>
      <c r="CA251" s="582"/>
      <c r="CB251" s="2"/>
      <c r="CC251" s="2"/>
      <c r="CD251" s="2"/>
      <c r="CE251" s="2"/>
      <c r="CF251" s="2"/>
      <c r="CG251" s="2"/>
      <c r="CH251" s="16"/>
    </row>
    <row r="252" spans="2:86" customFormat="1" ht="135" hidden="1" customHeight="1">
      <c r="B252" s="23"/>
      <c r="C252" s="23"/>
      <c r="D252" s="23"/>
      <c r="E252" s="335" t="s">
        <v>68</v>
      </c>
      <c r="F252" s="335"/>
      <c r="G252" s="1055">
        <v>43201</v>
      </c>
      <c r="H252" s="365">
        <v>43048</v>
      </c>
      <c r="I252" s="17">
        <v>2017</v>
      </c>
      <c r="J252" s="1678"/>
      <c r="K252" s="183" t="s">
        <v>808</v>
      </c>
      <c r="L252" s="35" t="s">
        <v>809</v>
      </c>
      <c r="M252" s="185" t="s">
        <v>79</v>
      </c>
      <c r="N252" s="495" t="s">
        <v>810</v>
      </c>
      <c r="O252" s="495" t="s">
        <v>1979</v>
      </c>
      <c r="P252" s="187">
        <v>527048.46</v>
      </c>
      <c r="Q252" s="657">
        <v>42895</v>
      </c>
      <c r="R252" s="189">
        <v>42901</v>
      </c>
      <c r="S252" s="190">
        <v>42922</v>
      </c>
      <c r="T252" s="111">
        <v>42923</v>
      </c>
      <c r="U252" s="191" t="s">
        <v>777</v>
      </c>
      <c r="V252" s="183" t="s">
        <v>449</v>
      </c>
      <c r="W252" s="688">
        <v>42934</v>
      </c>
      <c r="X252" s="1624"/>
      <c r="Y252" s="35" t="s">
        <v>811</v>
      </c>
      <c r="Z252" s="9">
        <v>42804</v>
      </c>
      <c r="AA252" s="4">
        <v>6000000</v>
      </c>
      <c r="AB252" s="4"/>
      <c r="AC252" s="34"/>
      <c r="AD252" s="36" t="s">
        <v>68</v>
      </c>
      <c r="AE252" s="119" t="s">
        <v>68</v>
      </c>
      <c r="AF252" s="119" t="s">
        <v>68</v>
      </c>
      <c r="AG252" s="7" t="s">
        <v>68</v>
      </c>
      <c r="AH252" s="116" t="s">
        <v>68</v>
      </c>
      <c r="AI252" s="373" t="s">
        <v>779</v>
      </c>
      <c r="AJ252" s="1"/>
      <c r="AK252" s="5"/>
      <c r="AL252" s="139" t="s">
        <v>74</v>
      </c>
      <c r="AM252" s="521"/>
      <c r="AN252" s="1">
        <v>31700009824</v>
      </c>
      <c r="AO252" s="5">
        <v>42895</v>
      </c>
      <c r="AP252" s="306">
        <f>52704.84</f>
        <v>52704.84</v>
      </c>
      <c r="AQ252" s="37">
        <v>0</v>
      </c>
      <c r="AR252" s="1031">
        <v>471639.52</v>
      </c>
      <c r="AS252" s="1018"/>
      <c r="AT252" s="68" t="s">
        <v>74</v>
      </c>
      <c r="AU252" s="12"/>
      <c r="AV252" s="243" t="s">
        <v>68</v>
      </c>
      <c r="AW252" s="244" t="s">
        <v>68</v>
      </c>
      <c r="AX252" s="124" t="s">
        <v>74</v>
      </c>
      <c r="AY252" s="1"/>
      <c r="AZ252" s="1"/>
      <c r="BA252" s="18"/>
      <c r="BB252" s="124" t="s">
        <v>74</v>
      </c>
      <c r="BC252" s="1959"/>
      <c r="BD252" s="5"/>
      <c r="BE252" s="5"/>
      <c r="BF252" s="5"/>
      <c r="BG252" s="38">
        <f>AQ252+AR252</f>
        <v>471639.52</v>
      </c>
      <c r="BH252" s="222"/>
      <c r="BI252" s="773"/>
      <c r="BJ252" s="521"/>
      <c r="BK252" s="521"/>
      <c r="BL252" s="1014"/>
      <c r="BM252" s="1014"/>
      <c r="BN252" s="1014"/>
      <c r="BO252" s="1014"/>
      <c r="BP252" s="1014"/>
      <c r="BQ252" s="1014"/>
      <c r="BR252" s="1014"/>
      <c r="BS252" s="792"/>
      <c r="BT252" s="14"/>
      <c r="BU252" s="14"/>
      <c r="BV252" s="14"/>
      <c r="BW252" s="14"/>
      <c r="BX252" s="14"/>
      <c r="BY252" s="1432" t="s">
        <v>1567</v>
      </c>
      <c r="BZ252" s="356" t="s">
        <v>459</v>
      </c>
      <c r="CA252" s="582"/>
      <c r="CB252" s="2"/>
      <c r="CC252" s="2"/>
      <c r="CD252" s="2"/>
      <c r="CE252" s="2"/>
      <c r="CF252" s="2"/>
      <c r="CG252" s="2"/>
      <c r="CH252" s="16"/>
    </row>
    <row r="253" spans="2:86" customFormat="1" ht="250.5" hidden="1" customHeight="1">
      <c r="B253" s="23"/>
      <c r="C253" s="23"/>
      <c r="D253" s="23"/>
      <c r="E253" s="335" t="s">
        <v>68</v>
      </c>
      <c r="F253" s="335"/>
      <c r="G253" s="1055">
        <v>43196</v>
      </c>
      <c r="H253" s="365">
        <v>43048</v>
      </c>
      <c r="I253" s="17">
        <v>2017</v>
      </c>
      <c r="J253" s="1678"/>
      <c r="K253" s="183" t="s">
        <v>808</v>
      </c>
      <c r="L253" s="35" t="s">
        <v>812</v>
      </c>
      <c r="M253" s="185" t="s">
        <v>79</v>
      </c>
      <c r="N253" s="544" t="s">
        <v>813</v>
      </c>
      <c r="O253" s="544" t="s">
        <v>1979</v>
      </c>
      <c r="P253" s="187">
        <v>887214.12</v>
      </c>
      <c r="Q253" s="657">
        <v>42951</v>
      </c>
      <c r="R253" s="189">
        <v>42955</v>
      </c>
      <c r="S253" s="190">
        <v>42986</v>
      </c>
      <c r="T253" s="111">
        <v>42950</v>
      </c>
      <c r="U253" s="191" t="s">
        <v>739</v>
      </c>
      <c r="V253" s="183" t="s">
        <v>449</v>
      </c>
      <c r="W253" s="688">
        <v>42934</v>
      </c>
      <c r="X253" s="1624"/>
      <c r="Y253" s="35" t="s">
        <v>814</v>
      </c>
      <c r="Z253" s="9">
        <v>42804</v>
      </c>
      <c r="AA253" s="4">
        <v>6000000</v>
      </c>
      <c r="AB253" s="4"/>
      <c r="AC253" s="34"/>
      <c r="AD253" s="36" t="s">
        <v>68</v>
      </c>
      <c r="AE253" s="119" t="s">
        <v>68</v>
      </c>
      <c r="AF253" s="119" t="s">
        <v>68</v>
      </c>
      <c r="AG253" s="7" t="s">
        <v>68</v>
      </c>
      <c r="AH253" s="116" t="s">
        <v>68</v>
      </c>
      <c r="AI253" s="266" t="s">
        <v>787</v>
      </c>
      <c r="AJ253" s="1" t="s">
        <v>68</v>
      </c>
      <c r="AK253" s="5"/>
      <c r="AL253" s="379">
        <v>2119497</v>
      </c>
      <c r="AM253" s="5">
        <v>42951</v>
      </c>
      <c r="AN253" s="1">
        <v>2136656</v>
      </c>
      <c r="AO253" s="5">
        <v>43024</v>
      </c>
      <c r="AP253" s="306">
        <f>88721.41+88721.41</f>
        <v>177442.82</v>
      </c>
      <c r="AQ253" s="37">
        <v>0</v>
      </c>
      <c r="AR253" s="1031">
        <v>897371.43</v>
      </c>
      <c r="AS253" s="1018"/>
      <c r="AT253" s="68" t="s">
        <v>74</v>
      </c>
      <c r="AU253" s="12"/>
      <c r="AV253" s="243" t="s">
        <v>68</v>
      </c>
      <c r="AW253" s="244" t="s">
        <v>68</v>
      </c>
      <c r="AX253" s="32">
        <v>42986</v>
      </c>
      <c r="AY253" s="5">
        <v>42954</v>
      </c>
      <c r="AZ253" s="5">
        <v>42986</v>
      </c>
      <c r="BA253" s="12">
        <v>42986</v>
      </c>
      <c r="BB253" s="32">
        <v>42986</v>
      </c>
      <c r="BC253" s="341"/>
      <c r="BD253" s="5">
        <v>42954</v>
      </c>
      <c r="BE253" s="5">
        <v>42986</v>
      </c>
      <c r="BF253" s="5">
        <v>42986</v>
      </c>
      <c r="BG253" s="666">
        <f>AQ253+AR253-0.09</f>
        <v>897371.34000000008</v>
      </c>
      <c r="BH253" s="64">
        <v>42986</v>
      </c>
      <c r="BI253" s="111"/>
      <c r="BJ253" s="5"/>
      <c r="BK253" s="5"/>
      <c r="BL253" s="54"/>
      <c r="BM253" s="54"/>
      <c r="BN253" s="54"/>
      <c r="BO253" s="54"/>
      <c r="BP253" s="54"/>
      <c r="BQ253" s="54"/>
      <c r="BR253" s="54"/>
      <c r="BS253" s="55"/>
      <c r="BT253" s="14" t="s">
        <v>815</v>
      </c>
      <c r="BU253" s="14"/>
      <c r="BV253" s="14"/>
      <c r="BW253" s="14"/>
      <c r="BX253" s="14"/>
      <c r="BY253" s="1432" t="s">
        <v>1567</v>
      </c>
      <c r="BZ253" s="356" t="s">
        <v>459</v>
      </c>
      <c r="CA253" s="582"/>
      <c r="CB253" s="2"/>
      <c r="CC253" s="2"/>
      <c r="CD253" s="2"/>
      <c r="CE253" s="2"/>
      <c r="CF253" s="2"/>
      <c r="CG253" s="2"/>
      <c r="CH253" s="16"/>
    </row>
    <row r="254" spans="2:86" customFormat="1" ht="252" hidden="1" customHeight="1">
      <c r="B254" s="23"/>
      <c r="C254" s="23"/>
      <c r="D254" s="23"/>
      <c r="E254" s="335" t="s">
        <v>68</v>
      </c>
      <c r="F254" s="335"/>
      <c r="G254" s="1055">
        <v>43201</v>
      </c>
      <c r="H254" s="365"/>
      <c r="I254" s="17">
        <v>2017</v>
      </c>
      <c r="J254" s="1678"/>
      <c r="K254" s="183" t="s">
        <v>808</v>
      </c>
      <c r="L254" s="35" t="s">
        <v>816</v>
      </c>
      <c r="M254" s="185" t="s">
        <v>79</v>
      </c>
      <c r="N254" s="495" t="s">
        <v>817</v>
      </c>
      <c r="O254" s="495" t="s">
        <v>1979</v>
      </c>
      <c r="P254" s="187">
        <v>197219.12</v>
      </c>
      <c r="Q254" s="657">
        <v>43021</v>
      </c>
      <c r="R254" s="189">
        <v>43038</v>
      </c>
      <c r="S254" s="190">
        <v>43100</v>
      </c>
      <c r="T254" s="111">
        <v>43017</v>
      </c>
      <c r="U254" s="191" t="s">
        <v>796</v>
      </c>
      <c r="V254" s="183" t="s">
        <v>449</v>
      </c>
      <c r="W254" s="688">
        <v>42934</v>
      </c>
      <c r="X254" s="1624"/>
      <c r="Y254" s="35" t="s">
        <v>814</v>
      </c>
      <c r="Z254" s="9">
        <v>42804</v>
      </c>
      <c r="AA254" s="4">
        <v>6000000</v>
      </c>
      <c r="AB254" s="4"/>
      <c r="AC254" s="34"/>
      <c r="AD254" s="36" t="s">
        <v>68</v>
      </c>
      <c r="AE254" s="119" t="s">
        <v>68</v>
      </c>
      <c r="AF254" s="119" t="s">
        <v>68</v>
      </c>
      <c r="AG254" s="7" t="s">
        <v>68</v>
      </c>
      <c r="AH254" s="116" t="s">
        <v>68</v>
      </c>
      <c r="AI254" s="373" t="s">
        <v>74</v>
      </c>
      <c r="AJ254" s="1"/>
      <c r="AK254" s="5"/>
      <c r="AL254" s="1"/>
      <c r="AM254" s="5"/>
      <c r="AN254" s="1"/>
      <c r="AO254" s="1"/>
      <c r="AP254" s="306"/>
      <c r="AQ254" s="37">
        <v>0</v>
      </c>
      <c r="AR254" s="1031">
        <v>113086.79</v>
      </c>
      <c r="AS254" s="1018"/>
      <c r="AT254" s="68" t="s">
        <v>74</v>
      </c>
      <c r="AU254" s="12"/>
      <c r="AV254" s="243" t="s">
        <v>68</v>
      </c>
      <c r="AW254" s="244" t="s">
        <v>68</v>
      </c>
      <c r="AX254" s="68" t="s">
        <v>74</v>
      </c>
      <c r="AY254" s="1"/>
      <c r="AZ254" s="1"/>
      <c r="BA254" s="18"/>
      <c r="BB254" s="68" t="s">
        <v>74</v>
      </c>
      <c r="BC254" s="1686"/>
      <c r="BD254" s="5"/>
      <c r="BE254" s="5"/>
      <c r="BF254" s="5"/>
      <c r="BG254" s="38">
        <f t="shared" si="7"/>
        <v>113086.79</v>
      </c>
      <c r="BH254" s="14"/>
      <c r="BI254" s="111"/>
      <c r="BJ254" s="5"/>
      <c r="BK254" s="5"/>
      <c r="BL254" s="54"/>
      <c r="BM254" s="54"/>
      <c r="BN254" s="54"/>
      <c r="BO254" s="54"/>
      <c r="BP254" s="54"/>
      <c r="BQ254" s="54"/>
      <c r="BR254" s="54"/>
      <c r="BS254" s="55"/>
      <c r="BT254" s="14"/>
      <c r="BU254" s="14"/>
      <c r="BV254" s="14"/>
      <c r="BW254" s="14"/>
      <c r="BX254" s="14"/>
      <c r="BY254" s="1432" t="s">
        <v>1567</v>
      </c>
      <c r="BZ254" s="356" t="s">
        <v>459</v>
      </c>
      <c r="CA254" s="582"/>
      <c r="CB254" s="2"/>
      <c r="CC254" s="2"/>
      <c r="CD254" s="2"/>
      <c r="CE254" s="2"/>
      <c r="CF254" s="2"/>
      <c r="CG254" s="2"/>
      <c r="CH254" s="16"/>
    </row>
    <row r="255" spans="2:86" customFormat="1" ht="233.25" hidden="1" customHeight="1">
      <c r="B255" s="23"/>
      <c r="C255" s="23"/>
      <c r="D255" s="23"/>
      <c r="E255" s="335" t="s">
        <v>68</v>
      </c>
      <c r="F255" s="335"/>
      <c r="G255" s="1055">
        <v>43200</v>
      </c>
      <c r="H255" s="365">
        <v>43203</v>
      </c>
      <c r="I255" s="17">
        <v>2017</v>
      </c>
      <c r="J255" s="1678"/>
      <c r="K255" s="183" t="s">
        <v>808</v>
      </c>
      <c r="L255" s="35" t="s">
        <v>818</v>
      </c>
      <c r="M255" s="663" t="s">
        <v>79</v>
      </c>
      <c r="N255" s="495" t="s">
        <v>819</v>
      </c>
      <c r="O255" s="495" t="s">
        <v>1979</v>
      </c>
      <c r="P255" s="661">
        <v>1185389.8899999999</v>
      </c>
      <c r="Q255" s="657">
        <v>43021</v>
      </c>
      <c r="R255" s="189">
        <v>43031</v>
      </c>
      <c r="S255" s="190">
        <v>43100</v>
      </c>
      <c r="T255" s="111">
        <v>43017</v>
      </c>
      <c r="U255" s="191" t="s">
        <v>617</v>
      </c>
      <c r="V255" s="183" t="s">
        <v>449</v>
      </c>
      <c r="W255" s="688">
        <v>42934</v>
      </c>
      <c r="X255" s="1624"/>
      <c r="Y255" s="35" t="s">
        <v>811</v>
      </c>
      <c r="Z255" s="9">
        <v>42804</v>
      </c>
      <c r="AA255" s="4">
        <v>6000000</v>
      </c>
      <c r="AB255" s="4"/>
      <c r="AC255" s="34"/>
      <c r="AD255" s="36" t="s">
        <v>68</v>
      </c>
      <c r="AE255" s="119" t="s">
        <v>68</v>
      </c>
      <c r="AF255" s="119" t="s">
        <v>68</v>
      </c>
      <c r="AG255" s="7" t="s">
        <v>68</v>
      </c>
      <c r="AH255" s="116" t="s">
        <v>68</v>
      </c>
      <c r="AI255" s="375" t="s">
        <v>589</v>
      </c>
      <c r="AJ255" s="1">
        <v>1850369</v>
      </c>
      <c r="AK255" s="5">
        <v>43021</v>
      </c>
      <c r="AL255" s="1">
        <v>1850370</v>
      </c>
      <c r="AM255" s="5">
        <v>43021</v>
      </c>
      <c r="AN255" s="1">
        <v>1885021</v>
      </c>
      <c r="AO255" s="5">
        <v>43097</v>
      </c>
      <c r="AP255" s="306">
        <f>296347.47+118538.99+118538.99</f>
        <v>533425.44999999995</v>
      </c>
      <c r="AQ255" s="37">
        <v>0</v>
      </c>
      <c r="AR255" s="1031">
        <v>1185389.8799999999</v>
      </c>
      <c r="AS255" s="1018"/>
      <c r="AT255" s="68" t="s">
        <v>74</v>
      </c>
      <c r="AU255" s="12"/>
      <c r="AV255" s="243" t="s">
        <v>68</v>
      </c>
      <c r="AW255" s="244" t="s">
        <v>68</v>
      </c>
      <c r="AX255" s="32">
        <v>43089</v>
      </c>
      <c r="AY255" s="5">
        <v>43029</v>
      </c>
      <c r="AZ255" s="5">
        <v>43100</v>
      </c>
      <c r="BA255" s="12">
        <v>43089</v>
      </c>
      <c r="BB255" s="32">
        <v>43090</v>
      </c>
      <c r="BC255" s="341"/>
      <c r="BD255" s="5">
        <v>43031</v>
      </c>
      <c r="BE255" s="5">
        <v>43100</v>
      </c>
      <c r="BF255" s="5">
        <v>43089</v>
      </c>
      <c r="BG255" s="38">
        <f>AQ255+AR255+0.01</f>
        <v>1185389.8899999999</v>
      </c>
      <c r="BH255" s="64">
        <v>43090</v>
      </c>
      <c r="BI255" s="111"/>
      <c r="BJ255" s="5"/>
      <c r="BK255" s="5"/>
      <c r="BL255" s="54"/>
      <c r="BM255" s="54"/>
      <c r="BN255" s="54"/>
      <c r="BO255" s="54"/>
      <c r="BP255" s="54"/>
      <c r="BQ255" s="54"/>
      <c r="BR255" s="54"/>
      <c r="BS255" s="55"/>
      <c r="BT255" s="14"/>
      <c r="BU255" s="14"/>
      <c r="BV255" s="14"/>
      <c r="BW255" s="14"/>
      <c r="BX255" s="14"/>
      <c r="BY255" s="1432" t="s">
        <v>1567</v>
      </c>
      <c r="BZ255" s="356" t="s">
        <v>459</v>
      </c>
      <c r="CA255" s="582"/>
      <c r="CB255" s="2"/>
      <c r="CC255" s="2"/>
      <c r="CD255" s="2"/>
      <c r="CE255" s="2"/>
      <c r="CF255" s="2"/>
      <c r="CG255" s="2"/>
      <c r="CH255" s="16"/>
    </row>
    <row r="256" spans="2:86" customFormat="1" ht="171.75" hidden="1" customHeight="1">
      <c r="B256" s="23"/>
      <c r="C256" s="23"/>
      <c r="D256" s="23"/>
      <c r="E256" s="335" t="s">
        <v>68</v>
      </c>
      <c r="F256" s="335"/>
      <c r="G256" s="1055">
        <v>43271</v>
      </c>
      <c r="H256" s="365">
        <v>43048</v>
      </c>
      <c r="I256" s="17">
        <v>2017</v>
      </c>
      <c r="J256" s="1678"/>
      <c r="K256" s="183" t="s">
        <v>808</v>
      </c>
      <c r="L256" s="35" t="s">
        <v>820</v>
      </c>
      <c r="M256" s="185" t="s">
        <v>79</v>
      </c>
      <c r="N256" s="495" t="s">
        <v>821</v>
      </c>
      <c r="O256" s="495" t="s">
        <v>1979</v>
      </c>
      <c r="P256" s="187">
        <v>227599.71</v>
      </c>
      <c r="Q256" s="188">
        <v>42926</v>
      </c>
      <c r="R256" s="189">
        <v>42928</v>
      </c>
      <c r="S256" s="190">
        <v>43035</v>
      </c>
      <c r="T256" s="111">
        <v>42926</v>
      </c>
      <c r="U256" s="191" t="s">
        <v>476</v>
      </c>
      <c r="V256" s="183" t="s">
        <v>449</v>
      </c>
      <c r="W256" s="688">
        <v>42934</v>
      </c>
      <c r="X256" s="1624"/>
      <c r="Y256" s="35" t="s">
        <v>811</v>
      </c>
      <c r="Z256" s="9">
        <v>42804</v>
      </c>
      <c r="AA256" s="4">
        <v>6000000</v>
      </c>
      <c r="AB256" s="4"/>
      <c r="AC256" s="34"/>
      <c r="AD256" s="36" t="s">
        <v>68</v>
      </c>
      <c r="AE256" s="119" t="s">
        <v>68</v>
      </c>
      <c r="AF256" s="119" t="s">
        <v>68</v>
      </c>
      <c r="AG256" s="7" t="s">
        <v>68</v>
      </c>
      <c r="AH256" s="116" t="s">
        <v>68</v>
      </c>
      <c r="AI256" s="35" t="s">
        <v>107</v>
      </c>
      <c r="AJ256" s="1" t="s">
        <v>68</v>
      </c>
      <c r="AK256" s="5"/>
      <c r="AL256" s="1" t="s">
        <v>822</v>
      </c>
      <c r="AM256" s="5">
        <v>42927</v>
      </c>
      <c r="AN256" s="1" t="s">
        <v>823</v>
      </c>
      <c r="AO256" s="5">
        <v>43084</v>
      </c>
      <c r="AP256" s="306">
        <f>22759.97+22759.97</f>
        <v>45519.94</v>
      </c>
      <c r="AQ256" s="37">
        <v>0</v>
      </c>
      <c r="AR256" s="1031">
        <v>227557.25</v>
      </c>
      <c r="AS256" s="1018"/>
      <c r="AT256" s="68" t="s">
        <v>74</v>
      </c>
      <c r="AU256" s="12"/>
      <c r="AV256" s="243" t="s">
        <v>68</v>
      </c>
      <c r="AW256" s="244" t="s">
        <v>68</v>
      </c>
      <c r="AX256" s="32">
        <v>43083</v>
      </c>
      <c r="AY256" s="5">
        <v>42928</v>
      </c>
      <c r="AZ256" s="5">
        <v>43035</v>
      </c>
      <c r="BA256" s="12">
        <v>43083</v>
      </c>
      <c r="BB256" s="32">
        <v>43083</v>
      </c>
      <c r="BC256" s="341"/>
      <c r="BD256" s="5">
        <v>42928</v>
      </c>
      <c r="BE256" s="5">
        <v>43035</v>
      </c>
      <c r="BF256" s="5">
        <v>43083</v>
      </c>
      <c r="BG256" s="38">
        <v>227557.25</v>
      </c>
      <c r="BH256" s="14"/>
      <c r="BI256" s="111"/>
      <c r="BJ256" s="5"/>
      <c r="BK256" s="5"/>
      <c r="BL256" s="54"/>
      <c r="BM256" s="54"/>
      <c r="BN256" s="54"/>
      <c r="BO256" s="54"/>
      <c r="BP256" s="54"/>
      <c r="BQ256" s="54"/>
      <c r="BR256" s="54"/>
      <c r="BS256" s="55"/>
      <c r="BT256" s="14"/>
      <c r="BU256" s="14"/>
      <c r="BV256" s="14"/>
      <c r="BW256" s="14"/>
      <c r="BX256" s="14"/>
      <c r="BY256" s="1432" t="s">
        <v>1567</v>
      </c>
      <c r="BZ256" s="356" t="s">
        <v>459</v>
      </c>
      <c r="CA256" s="582"/>
      <c r="CB256" s="2"/>
      <c r="CC256" s="2"/>
      <c r="CD256" s="2"/>
      <c r="CE256" s="2"/>
      <c r="CF256" s="2"/>
      <c r="CG256" s="2"/>
      <c r="CH256" s="16"/>
    </row>
    <row r="257" spans="1:86" ht="175.5" hidden="1" customHeight="1">
      <c r="A257"/>
      <c r="B257" s="23"/>
      <c r="C257" s="23"/>
      <c r="D257" s="23"/>
      <c r="E257" s="335" t="s">
        <v>68</v>
      </c>
      <c r="F257" s="335"/>
      <c r="G257" s="1055">
        <v>43271</v>
      </c>
      <c r="H257" s="365">
        <v>43048</v>
      </c>
      <c r="I257" s="17">
        <v>2017</v>
      </c>
      <c r="J257" s="1678"/>
      <c r="K257" s="183" t="s">
        <v>808</v>
      </c>
      <c r="L257" s="35" t="s">
        <v>824</v>
      </c>
      <c r="M257" s="663" t="s">
        <v>79</v>
      </c>
      <c r="N257" s="495" t="s">
        <v>825</v>
      </c>
      <c r="O257" s="495" t="s">
        <v>1979</v>
      </c>
      <c r="P257" s="661">
        <v>1522376.56</v>
      </c>
      <c r="Q257" s="657">
        <v>42927</v>
      </c>
      <c r="R257" s="189">
        <v>42928</v>
      </c>
      <c r="S257" s="190">
        <v>43035</v>
      </c>
      <c r="T257" s="111">
        <v>42926</v>
      </c>
      <c r="U257" s="191" t="s">
        <v>826</v>
      </c>
      <c r="V257" s="183" t="s">
        <v>449</v>
      </c>
      <c r="W257" s="688">
        <v>42934</v>
      </c>
      <c r="X257" s="1624"/>
      <c r="Y257" s="35" t="s">
        <v>811</v>
      </c>
      <c r="Z257" s="9">
        <v>42804</v>
      </c>
      <c r="AA257" s="4">
        <v>6000000</v>
      </c>
      <c r="AB257" s="4"/>
      <c r="AC257" s="34"/>
      <c r="AD257" s="36" t="s">
        <v>68</v>
      </c>
      <c r="AE257" s="119" t="s">
        <v>68</v>
      </c>
      <c r="AF257" s="119" t="s">
        <v>68</v>
      </c>
      <c r="AG257" s="7" t="s">
        <v>68</v>
      </c>
      <c r="AH257" s="116" t="s">
        <v>68</v>
      </c>
      <c r="AI257" s="280" t="s">
        <v>827</v>
      </c>
      <c r="AJ257" s="1" t="s">
        <v>828</v>
      </c>
      <c r="AK257" s="5">
        <v>42927</v>
      </c>
      <c r="AL257" s="139" t="s">
        <v>74</v>
      </c>
      <c r="AM257" s="5"/>
      <c r="AN257" s="713" t="s">
        <v>829</v>
      </c>
      <c r="AO257" s="714">
        <v>43084</v>
      </c>
      <c r="AP257" s="306">
        <f>152237.65</f>
        <v>152237.65</v>
      </c>
      <c r="AQ257" s="37">
        <v>0</v>
      </c>
      <c r="AR257" s="1031" t="s">
        <v>830</v>
      </c>
      <c r="AS257" s="1018"/>
      <c r="AT257" s="68" t="s">
        <v>74</v>
      </c>
      <c r="AU257" s="12"/>
      <c r="AV257" s="243" t="s">
        <v>68</v>
      </c>
      <c r="AW257" s="244" t="s">
        <v>68</v>
      </c>
      <c r="AX257" s="32">
        <v>43083</v>
      </c>
      <c r="AY257" s="5">
        <v>42928</v>
      </c>
      <c r="AZ257" s="5">
        <v>43035</v>
      </c>
      <c r="BA257" s="12">
        <v>43083</v>
      </c>
      <c r="BB257" s="32">
        <v>43083</v>
      </c>
      <c r="BC257" s="341"/>
      <c r="BD257" s="5">
        <v>42928</v>
      </c>
      <c r="BE257" s="5">
        <v>43035</v>
      </c>
      <c r="BF257" s="5">
        <v>43083</v>
      </c>
      <c r="BG257" s="38">
        <v>1522375.65</v>
      </c>
      <c r="BH257" s="14"/>
      <c r="BI257" s="111"/>
      <c r="BJ257" s="5"/>
      <c r="BK257" s="5"/>
      <c r="BL257" s="54"/>
      <c r="BM257" s="54"/>
      <c r="BN257" s="54"/>
      <c r="BO257" s="54"/>
      <c r="BP257" s="54"/>
      <c r="BQ257" s="54"/>
      <c r="BR257" s="54"/>
      <c r="BS257" s="55"/>
      <c r="BT257" s="14"/>
      <c r="BU257" s="14"/>
      <c r="BV257" s="14"/>
      <c r="BW257" s="14"/>
      <c r="BX257" s="14"/>
      <c r="BY257" s="1432" t="s">
        <v>1567</v>
      </c>
      <c r="BZ257" s="356" t="s">
        <v>459</v>
      </c>
      <c r="CA257" s="582"/>
      <c r="CB257" s="2"/>
      <c r="CC257" s="2"/>
      <c r="CD257" s="2"/>
      <c r="CE257" s="2"/>
      <c r="CF257" s="2"/>
      <c r="CG257" s="2"/>
      <c r="CH257" s="16"/>
    </row>
    <row r="258" spans="1:86" ht="72.75" hidden="1" customHeight="1">
      <c r="A258"/>
      <c r="B258" s="23"/>
      <c r="C258" s="23"/>
      <c r="D258" s="23"/>
      <c r="E258" s="335" t="s">
        <v>68</v>
      </c>
      <c r="F258" s="335"/>
      <c r="G258" s="1055">
        <v>43322</v>
      </c>
      <c r="H258" s="365"/>
      <c r="I258" s="17">
        <v>2017</v>
      </c>
      <c r="J258" s="1678"/>
      <c r="K258" s="183" t="s">
        <v>77</v>
      </c>
      <c r="L258" s="35" t="s">
        <v>831</v>
      </c>
      <c r="M258" s="185" t="s">
        <v>79</v>
      </c>
      <c r="N258" s="495" t="s">
        <v>832</v>
      </c>
      <c r="O258" s="495" t="s">
        <v>1979</v>
      </c>
      <c r="P258" s="661">
        <v>275105.09999999998</v>
      </c>
      <c r="Q258" s="657">
        <v>43028</v>
      </c>
      <c r="R258" s="189">
        <v>43031</v>
      </c>
      <c r="S258" s="190">
        <v>43039</v>
      </c>
      <c r="T258" s="70">
        <v>43024</v>
      </c>
      <c r="U258" s="191" t="s">
        <v>739</v>
      </c>
      <c r="V258" s="183" t="s">
        <v>449</v>
      </c>
      <c r="W258" s="505" t="s">
        <v>74</v>
      </c>
      <c r="X258" s="1623"/>
      <c r="Y258" s="380" t="s">
        <v>778</v>
      </c>
      <c r="Z258" s="9">
        <v>43251</v>
      </c>
      <c r="AA258" s="4">
        <f>147612.83+129565.48</f>
        <v>277178.31</v>
      </c>
      <c r="AB258" s="4"/>
      <c r="AC258" s="34"/>
      <c r="AD258" s="36" t="s">
        <v>68</v>
      </c>
      <c r="AE258" s="119" t="s">
        <v>68</v>
      </c>
      <c r="AF258" s="119" t="s">
        <v>68</v>
      </c>
      <c r="AG258" s="7" t="s">
        <v>68</v>
      </c>
      <c r="AH258" s="235" t="s">
        <v>68</v>
      </c>
      <c r="AI258" s="380" t="s">
        <v>232</v>
      </c>
      <c r="AJ258" s="1" t="s">
        <v>68</v>
      </c>
      <c r="AK258" s="5"/>
      <c r="AL258" s="379">
        <v>2142386</v>
      </c>
      <c r="AM258" s="5">
        <v>43028</v>
      </c>
      <c r="AN258" s="1">
        <v>2150977</v>
      </c>
      <c r="AO258" s="5">
        <v>43068</v>
      </c>
      <c r="AP258" s="306">
        <f>27510.51+27510.51</f>
        <v>55021.02</v>
      </c>
      <c r="AQ258" s="37">
        <v>0</v>
      </c>
      <c r="AR258" s="1038">
        <v>293530.17</v>
      </c>
      <c r="AS258" s="1025"/>
      <c r="AT258" s="373" t="s">
        <v>74</v>
      </c>
      <c r="AU258" s="12"/>
      <c r="AV258" s="243" t="s">
        <v>68</v>
      </c>
      <c r="AW258" s="244" t="s">
        <v>68</v>
      </c>
      <c r="AX258" s="32">
        <v>43039</v>
      </c>
      <c r="AY258" s="5">
        <v>43031</v>
      </c>
      <c r="AZ258" s="5">
        <v>43039</v>
      </c>
      <c r="BA258" s="12">
        <v>43039</v>
      </c>
      <c r="BB258" s="375">
        <v>43039</v>
      </c>
      <c r="BC258" s="1952"/>
      <c r="BD258" s="5">
        <v>43031</v>
      </c>
      <c r="BE258" s="5">
        <v>43039</v>
      </c>
      <c r="BF258" s="5">
        <v>43039</v>
      </c>
      <c r="BG258" s="38">
        <f t="shared" si="7"/>
        <v>293530.17</v>
      </c>
      <c r="BH258" s="14"/>
      <c r="BI258" s="111"/>
      <c r="BJ258" s="5"/>
      <c r="BK258" s="5"/>
      <c r="BL258" s="54"/>
      <c r="BM258" s="54"/>
      <c r="BN258" s="54"/>
      <c r="BO258" s="54"/>
      <c r="BP258" s="54"/>
      <c r="BQ258" s="54"/>
      <c r="BR258" s="54"/>
      <c r="BS258" s="55"/>
      <c r="BT258" s="14"/>
      <c r="BU258" s="14"/>
      <c r="BV258" s="14"/>
      <c r="BW258" s="14"/>
      <c r="BX258" s="14"/>
      <c r="BY258" s="1432" t="s">
        <v>1567</v>
      </c>
      <c r="BZ258" s="356" t="s">
        <v>459</v>
      </c>
      <c r="CA258" s="582"/>
      <c r="CB258" s="2"/>
      <c r="CC258" s="2"/>
      <c r="CD258" s="2"/>
      <c r="CE258" s="2"/>
      <c r="CF258" s="2"/>
      <c r="CG258" s="2"/>
      <c r="CH258" s="16"/>
    </row>
    <row r="259" spans="1:86" ht="64.5" hidden="1" customHeight="1">
      <c r="A259"/>
      <c r="B259" s="23"/>
      <c r="C259" s="23"/>
      <c r="D259" s="23"/>
      <c r="E259" s="335" t="s">
        <v>68</v>
      </c>
      <c r="F259" s="335"/>
      <c r="G259" s="1055">
        <v>43322</v>
      </c>
      <c r="H259" s="365"/>
      <c r="I259" s="17">
        <v>2017</v>
      </c>
      <c r="J259" s="1678"/>
      <c r="K259" s="183" t="s">
        <v>77</v>
      </c>
      <c r="L259" s="35" t="s">
        <v>833</v>
      </c>
      <c r="M259" s="708" t="s">
        <v>79</v>
      </c>
      <c r="N259" s="662" t="s">
        <v>834</v>
      </c>
      <c r="O259" s="662" t="s">
        <v>1979</v>
      </c>
      <c r="P259" s="709">
        <v>185828.12</v>
      </c>
      <c r="Q259" s="656">
        <v>43028</v>
      </c>
      <c r="R259" s="686">
        <v>43035</v>
      </c>
      <c r="S259" s="687">
        <v>43041</v>
      </c>
      <c r="T259" s="70">
        <v>43024</v>
      </c>
      <c r="U259" s="191" t="s">
        <v>739</v>
      </c>
      <c r="V259" s="183" t="s">
        <v>449</v>
      </c>
      <c r="W259" s="688">
        <v>42928</v>
      </c>
      <c r="X259" s="1624"/>
      <c r="Y259" s="380" t="s">
        <v>778</v>
      </c>
      <c r="Z259" s="9">
        <v>43251</v>
      </c>
      <c r="AA259" s="4">
        <v>96702.63</v>
      </c>
      <c r="AB259" s="4"/>
      <c r="AC259" s="34"/>
      <c r="AD259" s="36" t="s">
        <v>68</v>
      </c>
      <c r="AE259" s="119" t="s">
        <v>68</v>
      </c>
      <c r="AF259" s="119" t="s">
        <v>68</v>
      </c>
      <c r="AG259" s="7" t="s">
        <v>68</v>
      </c>
      <c r="AH259" s="235" t="s">
        <v>68</v>
      </c>
      <c r="AI259" s="491" t="s">
        <v>232</v>
      </c>
      <c r="AJ259" s="1" t="s">
        <v>68</v>
      </c>
      <c r="AK259" s="5"/>
      <c r="AL259" s="71">
        <v>2142377</v>
      </c>
      <c r="AM259" s="5">
        <v>43028</v>
      </c>
      <c r="AN259" s="1">
        <v>2158687</v>
      </c>
      <c r="AO259" s="5">
        <v>43080</v>
      </c>
      <c r="AP259" s="306">
        <f>18582.81+18582.81</f>
        <v>37165.620000000003</v>
      </c>
      <c r="AQ259" s="37">
        <v>0</v>
      </c>
      <c r="AR259" s="1032">
        <v>171505.29</v>
      </c>
      <c r="AS259" s="1019"/>
      <c r="AT259" s="373" t="s">
        <v>74</v>
      </c>
      <c r="AU259" s="12"/>
      <c r="AV259" s="243" t="s">
        <v>68</v>
      </c>
      <c r="AW259" s="244" t="s">
        <v>68</v>
      </c>
      <c r="AX259" s="75">
        <v>43041</v>
      </c>
      <c r="AY259" s="5">
        <v>43035</v>
      </c>
      <c r="AZ259" s="5">
        <v>43041</v>
      </c>
      <c r="BA259" s="12">
        <v>43041</v>
      </c>
      <c r="BB259" s="375">
        <v>43041</v>
      </c>
      <c r="BC259" s="1952"/>
      <c r="BD259" s="5">
        <v>43066</v>
      </c>
      <c r="BE259" s="5">
        <v>43041</v>
      </c>
      <c r="BF259" s="5">
        <v>43041</v>
      </c>
      <c r="BG259" s="38">
        <f t="shared" si="7"/>
        <v>171505.29</v>
      </c>
      <c r="BH259" s="14"/>
      <c r="BI259" s="111"/>
      <c r="BJ259" s="5"/>
      <c r="BK259" s="5"/>
      <c r="BL259" s="54"/>
      <c r="BM259" s="54"/>
      <c r="BN259" s="54"/>
      <c r="BO259" s="54"/>
      <c r="BP259" s="54"/>
      <c r="BQ259" s="54"/>
      <c r="BR259" s="54"/>
      <c r="BS259" s="55"/>
      <c r="BT259" s="14"/>
      <c r="BU259" s="14"/>
      <c r="BV259" s="14"/>
      <c r="BW259" s="14"/>
      <c r="BX259" s="14"/>
      <c r="BY259" s="1432" t="s">
        <v>1567</v>
      </c>
      <c r="BZ259" s="356" t="s">
        <v>459</v>
      </c>
      <c r="CA259" s="582"/>
      <c r="CB259" s="2"/>
      <c r="CC259" s="2"/>
      <c r="CD259" s="2"/>
      <c r="CE259" s="2"/>
      <c r="CF259" s="2"/>
      <c r="CG259" s="2"/>
      <c r="CH259" s="16"/>
    </row>
    <row r="260" spans="1:86" ht="75.75" hidden="1" customHeight="1">
      <c r="A260"/>
      <c r="B260" s="23"/>
      <c r="C260" s="23"/>
      <c r="D260" s="23"/>
      <c r="E260" s="335" t="s">
        <v>68</v>
      </c>
      <c r="F260" s="335"/>
      <c r="G260" s="1055">
        <v>43245</v>
      </c>
      <c r="H260" s="365">
        <v>43048</v>
      </c>
      <c r="I260" s="17">
        <v>2017</v>
      </c>
      <c r="J260" s="1678"/>
      <c r="K260" s="183" t="s">
        <v>77</v>
      </c>
      <c r="L260" s="35" t="s">
        <v>835</v>
      </c>
      <c r="M260" s="185" t="s">
        <v>79</v>
      </c>
      <c r="N260" s="494" t="s">
        <v>836</v>
      </c>
      <c r="O260" s="494" t="s">
        <v>2613</v>
      </c>
      <c r="P260" s="187">
        <v>181893.05</v>
      </c>
      <c r="Q260" s="188">
        <v>42954</v>
      </c>
      <c r="R260" s="189">
        <v>42956</v>
      </c>
      <c r="S260" s="190">
        <v>42970</v>
      </c>
      <c r="T260" s="111">
        <v>42954</v>
      </c>
      <c r="U260" s="191" t="s">
        <v>739</v>
      </c>
      <c r="V260" s="183" t="s">
        <v>563</v>
      </c>
      <c r="W260" s="505" t="s">
        <v>74</v>
      </c>
      <c r="X260" s="1623"/>
      <c r="Y260" s="35" t="s">
        <v>837</v>
      </c>
      <c r="Z260" s="9">
        <v>42947</v>
      </c>
      <c r="AA260" s="4">
        <v>181893.05</v>
      </c>
      <c r="AB260" s="4"/>
      <c r="AC260" s="34"/>
      <c r="AD260" s="36" t="s">
        <v>68</v>
      </c>
      <c r="AE260" s="119" t="s">
        <v>68</v>
      </c>
      <c r="AF260" s="119" t="s">
        <v>68</v>
      </c>
      <c r="AG260" s="7" t="s">
        <v>68</v>
      </c>
      <c r="AH260" s="116" t="s">
        <v>68</v>
      </c>
      <c r="AI260" s="266" t="s">
        <v>787</v>
      </c>
      <c r="AJ260" s="1" t="s">
        <v>68</v>
      </c>
      <c r="AK260" s="5"/>
      <c r="AL260" s="379">
        <v>2119502</v>
      </c>
      <c r="AM260" s="5">
        <v>42955</v>
      </c>
      <c r="AN260" s="1">
        <v>2124584</v>
      </c>
      <c r="AO260" s="5">
        <v>42982</v>
      </c>
      <c r="AP260" s="306">
        <f>18189.3+18189.3</f>
        <v>36378.6</v>
      </c>
      <c r="AQ260" s="37">
        <v>0</v>
      </c>
      <c r="AR260" s="1031">
        <v>217256.38</v>
      </c>
      <c r="AS260" s="1018"/>
      <c r="AT260" s="75">
        <v>42956</v>
      </c>
      <c r="AU260" s="12">
        <v>42970</v>
      </c>
      <c r="AV260" s="243" t="s">
        <v>68</v>
      </c>
      <c r="AW260" s="244" t="s">
        <v>68</v>
      </c>
      <c r="AX260" s="32">
        <v>42970</v>
      </c>
      <c r="AY260" s="5">
        <v>42956</v>
      </c>
      <c r="AZ260" s="5">
        <v>42970</v>
      </c>
      <c r="BA260" s="12">
        <v>42970</v>
      </c>
      <c r="BB260" s="32">
        <v>42971</v>
      </c>
      <c r="BC260" s="341"/>
      <c r="BD260" s="5">
        <v>42956</v>
      </c>
      <c r="BE260" s="5">
        <v>42970</v>
      </c>
      <c r="BF260" s="5">
        <v>42970</v>
      </c>
      <c r="BG260" s="38">
        <f t="shared" si="7"/>
        <v>217256.38</v>
      </c>
      <c r="BH260" s="64">
        <v>42972</v>
      </c>
      <c r="BI260" s="111"/>
      <c r="BJ260" s="5"/>
      <c r="BK260" s="5"/>
      <c r="BL260" s="54"/>
      <c r="BM260" s="54"/>
      <c r="BN260" s="54"/>
      <c r="BO260" s="54"/>
      <c r="BP260" s="54"/>
      <c r="BQ260" s="54"/>
      <c r="BR260" s="54"/>
      <c r="BS260" s="55"/>
      <c r="BT260" s="14"/>
      <c r="BU260" s="14"/>
      <c r="BV260" s="14"/>
      <c r="BW260" s="14"/>
      <c r="BX260" s="14"/>
      <c r="BY260" s="1432" t="s">
        <v>1567</v>
      </c>
      <c r="BZ260" s="356" t="s">
        <v>459</v>
      </c>
      <c r="CA260" s="582"/>
      <c r="CB260" s="582"/>
      <c r="CC260" s="582"/>
      <c r="CD260" s="582"/>
      <c r="CE260" s="582"/>
      <c r="CF260" s="582"/>
      <c r="CG260" s="582"/>
      <c r="CH260" s="16"/>
    </row>
    <row r="261" spans="1:86" ht="92.25" hidden="1" customHeight="1">
      <c r="A261" t="s">
        <v>524</v>
      </c>
      <c r="B261" s="23"/>
      <c r="C261" s="23"/>
      <c r="D261" s="23"/>
      <c r="E261" s="335" t="s">
        <v>68</v>
      </c>
      <c r="F261" s="335"/>
      <c r="G261" s="1055">
        <v>43245</v>
      </c>
      <c r="H261" s="365">
        <v>43048</v>
      </c>
      <c r="I261" s="17">
        <v>2017</v>
      </c>
      <c r="J261" s="1678"/>
      <c r="K261" s="183" t="s">
        <v>77</v>
      </c>
      <c r="L261" s="35" t="s">
        <v>838</v>
      </c>
      <c r="M261" s="185" t="s">
        <v>79</v>
      </c>
      <c r="N261" s="494" t="s">
        <v>839</v>
      </c>
      <c r="O261" s="494" t="s">
        <v>2613</v>
      </c>
      <c r="P261" s="187">
        <v>237009.82</v>
      </c>
      <c r="Q261" s="188">
        <v>42968</v>
      </c>
      <c r="R261" s="189">
        <v>42970</v>
      </c>
      <c r="S261" s="190">
        <v>42985</v>
      </c>
      <c r="T261" s="111">
        <v>42968</v>
      </c>
      <c r="U261" s="191" t="s">
        <v>739</v>
      </c>
      <c r="V261" s="183" t="s">
        <v>563</v>
      </c>
      <c r="W261" s="505" t="s">
        <v>74</v>
      </c>
      <c r="X261" s="1623"/>
      <c r="Y261" s="35" t="s">
        <v>840</v>
      </c>
      <c r="Z261" s="9">
        <v>42947</v>
      </c>
      <c r="AA261" s="4">
        <v>237009.82</v>
      </c>
      <c r="AB261" s="4"/>
      <c r="AC261" s="34"/>
      <c r="AD261" s="36" t="s">
        <v>68</v>
      </c>
      <c r="AE261" s="119" t="s">
        <v>68</v>
      </c>
      <c r="AF261" s="119" t="s">
        <v>68</v>
      </c>
      <c r="AG261" s="7" t="s">
        <v>68</v>
      </c>
      <c r="AH261" s="116" t="s">
        <v>68</v>
      </c>
      <c r="AI261" s="280" t="s">
        <v>787</v>
      </c>
      <c r="AJ261" s="1" t="s">
        <v>68</v>
      </c>
      <c r="AK261" s="5"/>
      <c r="AL261" s="1">
        <v>2122703</v>
      </c>
      <c r="AM261" s="5">
        <v>42969</v>
      </c>
      <c r="AN261" s="238" t="s">
        <v>74</v>
      </c>
      <c r="AO261" s="5"/>
      <c r="AP261" s="306">
        <f>23700.98</f>
        <v>23700.98</v>
      </c>
      <c r="AQ261" s="37">
        <v>0</v>
      </c>
      <c r="AR261" s="1032">
        <v>234292.09</v>
      </c>
      <c r="AS261" s="1019"/>
      <c r="AT261" s="75">
        <v>42970</v>
      </c>
      <c r="AU261" s="12">
        <v>42985</v>
      </c>
      <c r="AV261" s="243" t="s">
        <v>68</v>
      </c>
      <c r="AW261" s="244" t="s">
        <v>68</v>
      </c>
      <c r="AX261" s="68" t="s">
        <v>74</v>
      </c>
      <c r="AY261" s="5"/>
      <c r="AZ261" s="5"/>
      <c r="BA261" s="12"/>
      <c r="BB261" s="625">
        <v>42977</v>
      </c>
      <c r="BC261" s="1954"/>
      <c r="BD261" s="5"/>
      <c r="BE261" s="5"/>
      <c r="BF261" s="5"/>
      <c r="BG261" s="38">
        <f t="shared" si="7"/>
        <v>234292.09</v>
      </c>
      <c r="BH261" s="593" t="s">
        <v>74</v>
      </c>
      <c r="BI261" s="791"/>
      <c r="BJ261" s="793"/>
      <c r="BK261" s="793"/>
      <c r="BL261" s="1013"/>
      <c r="BM261" s="1013"/>
      <c r="BN261" s="1013"/>
      <c r="BO261" s="1013"/>
      <c r="BP261" s="1013"/>
      <c r="BQ261" s="1013"/>
      <c r="BR261" s="1013"/>
      <c r="BS261" s="73"/>
      <c r="BT261" s="14"/>
      <c r="BU261" s="14"/>
      <c r="BV261" s="14"/>
      <c r="BW261" s="14"/>
      <c r="BX261" s="14"/>
      <c r="BY261" s="1432" t="s">
        <v>1567</v>
      </c>
      <c r="BZ261" s="356" t="s">
        <v>459</v>
      </c>
      <c r="CA261" s="582"/>
      <c r="CB261" s="582"/>
      <c r="CC261" s="582"/>
      <c r="CD261" s="582"/>
      <c r="CE261" s="582"/>
      <c r="CF261" s="582"/>
      <c r="CG261" s="582"/>
      <c r="CH261" s="16"/>
    </row>
    <row r="262" spans="1:86" ht="78" hidden="1" customHeight="1">
      <c r="A262"/>
      <c r="B262" s="23"/>
      <c r="C262" s="23"/>
      <c r="D262" s="23"/>
      <c r="E262" s="335" t="s">
        <v>68</v>
      </c>
      <c r="F262" s="335"/>
      <c r="G262" s="1055">
        <v>43245</v>
      </c>
      <c r="H262" s="365">
        <v>43048</v>
      </c>
      <c r="I262" s="17">
        <v>2017</v>
      </c>
      <c r="J262" s="1678"/>
      <c r="K262" s="183" t="s">
        <v>77</v>
      </c>
      <c r="L262" s="35" t="s">
        <v>841</v>
      </c>
      <c r="M262" s="185" t="s">
        <v>79</v>
      </c>
      <c r="N262" s="495" t="s">
        <v>842</v>
      </c>
      <c r="O262" s="495" t="s">
        <v>2613</v>
      </c>
      <c r="P262" s="187">
        <v>93422.64</v>
      </c>
      <c r="Q262" s="188">
        <v>42948</v>
      </c>
      <c r="R262" s="189">
        <v>42950</v>
      </c>
      <c r="S262" s="190">
        <v>42957</v>
      </c>
      <c r="T262" s="111">
        <v>42948</v>
      </c>
      <c r="U262" s="191" t="s">
        <v>739</v>
      </c>
      <c r="V262" s="183" t="s">
        <v>563</v>
      </c>
      <c r="W262" s="505" t="s">
        <v>74</v>
      </c>
      <c r="X262" s="1623"/>
      <c r="Y262" s="35" t="s">
        <v>843</v>
      </c>
      <c r="Z262" s="9">
        <v>42947</v>
      </c>
      <c r="AA262" s="4">
        <v>93422.64</v>
      </c>
      <c r="AB262" s="4"/>
      <c r="AC262" s="34"/>
      <c r="AD262" s="36" t="s">
        <v>68</v>
      </c>
      <c r="AE262" s="119" t="s">
        <v>68</v>
      </c>
      <c r="AF262" s="119" t="s">
        <v>68</v>
      </c>
      <c r="AG262" s="7" t="s">
        <v>68</v>
      </c>
      <c r="AH262" s="116" t="s">
        <v>68</v>
      </c>
      <c r="AI262" s="35" t="s">
        <v>787</v>
      </c>
      <c r="AJ262" s="1" t="s">
        <v>68</v>
      </c>
      <c r="AK262" s="5"/>
      <c r="AL262" s="1">
        <v>2119507</v>
      </c>
      <c r="AM262" s="5">
        <v>42949</v>
      </c>
      <c r="AN262" s="1">
        <v>21442268</v>
      </c>
      <c r="AO262" s="5">
        <v>43048</v>
      </c>
      <c r="AP262" s="306">
        <f>9342.26+9342.26</f>
        <v>18684.52</v>
      </c>
      <c r="AQ262" s="37">
        <v>0</v>
      </c>
      <c r="AR262" s="1031">
        <v>97471.05</v>
      </c>
      <c r="AS262" s="1018"/>
      <c r="AT262" s="75">
        <v>42950</v>
      </c>
      <c r="AU262" s="12">
        <v>42957</v>
      </c>
      <c r="AV262" s="243" t="s">
        <v>68</v>
      </c>
      <c r="AW262" s="244" t="s">
        <v>68</v>
      </c>
      <c r="AX262" s="32">
        <v>42958</v>
      </c>
      <c r="AY262" s="5">
        <v>42950</v>
      </c>
      <c r="AZ262" s="5">
        <v>42957</v>
      </c>
      <c r="BA262" s="12">
        <v>42957</v>
      </c>
      <c r="BB262" s="32">
        <v>42958</v>
      </c>
      <c r="BC262" s="341"/>
      <c r="BD262" s="5">
        <v>42950</v>
      </c>
      <c r="BE262" s="5">
        <v>42957</v>
      </c>
      <c r="BF262" s="5">
        <v>42957</v>
      </c>
      <c r="BG262" s="72">
        <v>97354.77</v>
      </c>
      <c r="BH262" s="64">
        <v>42959</v>
      </c>
      <c r="BI262" s="111"/>
      <c r="BJ262" s="5"/>
      <c r="BK262" s="5"/>
      <c r="BL262" s="54"/>
      <c r="BM262" s="54"/>
      <c r="BN262" s="54"/>
      <c r="BO262" s="54"/>
      <c r="BP262" s="54"/>
      <c r="BQ262" s="54"/>
      <c r="BR262" s="54"/>
      <c r="BS262" s="55"/>
      <c r="BT262" s="14"/>
      <c r="BU262" s="14"/>
      <c r="BV262" s="14"/>
      <c r="BW262" s="14"/>
      <c r="BX262" s="14"/>
      <c r="BY262" s="1432" t="s">
        <v>1567</v>
      </c>
      <c r="BZ262" s="356" t="s">
        <v>459</v>
      </c>
      <c r="CA262" s="582"/>
      <c r="CB262" s="582"/>
      <c r="CC262" s="582"/>
      <c r="CD262" s="582"/>
      <c r="CE262" s="582"/>
      <c r="CF262" s="582"/>
      <c r="CG262" s="582"/>
      <c r="CH262" s="16"/>
    </row>
    <row r="263" spans="1:86" ht="93.75" hidden="1" customHeight="1">
      <c r="A263"/>
      <c r="B263" s="23"/>
      <c r="C263" s="23"/>
      <c r="D263" s="23"/>
      <c r="E263" s="335" t="s">
        <v>68</v>
      </c>
      <c r="F263" s="335"/>
      <c r="G263" s="1055">
        <v>43245</v>
      </c>
      <c r="H263" s="365">
        <v>43048</v>
      </c>
      <c r="I263" s="17">
        <v>2017</v>
      </c>
      <c r="J263" s="1678"/>
      <c r="K263" s="183" t="s">
        <v>77</v>
      </c>
      <c r="L263" s="35" t="s">
        <v>844</v>
      </c>
      <c r="M263" s="185" t="s">
        <v>79</v>
      </c>
      <c r="N263" s="495" t="s">
        <v>845</v>
      </c>
      <c r="O263" s="495" t="s">
        <v>2613</v>
      </c>
      <c r="P263" s="187">
        <v>329150.28999999998</v>
      </c>
      <c r="Q263" s="188">
        <v>42983</v>
      </c>
      <c r="R263" s="189">
        <v>42985</v>
      </c>
      <c r="S263" s="190">
        <v>42995</v>
      </c>
      <c r="T263" s="111">
        <v>42983</v>
      </c>
      <c r="U263" s="191" t="s">
        <v>739</v>
      </c>
      <c r="V263" s="183" t="s">
        <v>563</v>
      </c>
      <c r="W263" s="505" t="s">
        <v>74</v>
      </c>
      <c r="X263" s="1623"/>
      <c r="Y263" s="35" t="s">
        <v>846</v>
      </c>
      <c r="Z263" s="9">
        <v>42947</v>
      </c>
      <c r="AA263" s="4">
        <v>329150.28999999998</v>
      </c>
      <c r="AB263" s="4"/>
      <c r="AC263" s="34"/>
      <c r="AD263" s="36" t="s">
        <v>68</v>
      </c>
      <c r="AE263" s="119" t="s">
        <v>68</v>
      </c>
      <c r="AF263" s="119" t="s">
        <v>68</v>
      </c>
      <c r="AG263" s="7" t="s">
        <v>68</v>
      </c>
      <c r="AH263" s="116" t="s">
        <v>68</v>
      </c>
      <c r="AI263" s="35" t="s">
        <v>787</v>
      </c>
      <c r="AJ263" s="1" t="s">
        <v>68</v>
      </c>
      <c r="AK263" s="5"/>
      <c r="AL263" s="1">
        <v>2122695</v>
      </c>
      <c r="AM263" s="5">
        <v>42984</v>
      </c>
      <c r="AN263" s="1">
        <v>2144128</v>
      </c>
      <c r="AO263" s="5">
        <v>43048</v>
      </c>
      <c r="AP263" s="306">
        <f>32915.02+32915.02</f>
        <v>65830.039999999994</v>
      </c>
      <c r="AQ263" s="37">
        <v>0</v>
      </c>
      <c r="AR263" s="1031">
        <v>372953.49</v>
      </c>
      <c r="AS263" s="1018"/>
      <c r="AT263" s="75">
        <v>42985</v>
      </c>
      <c r="AU263" s="12">
        <v>42995</v>
      </c>
      <c r="AV263" s="243" t="s">
        <v>68</v>
      </c>
      <c r="AW263" s="244" t="s">
        <v>68</v>
      </c>
      <c r="AX263" s="32">
        <v>42996</v>
      </c>
      <c r="AY263" s="5">
        <v>42985</v>
      </c>
      <c r="AZ263" s="5">
        <v>42995</v>
      </c>
      <c r="BA263" s="12">
        <v>42995</v>
      </c>
      <c r="BB263" s="32">
        <v>42996</v>
      </c>
      <c r="BC263" s="341"/>
      <c r="BD263" s="5">
        <v>42985</v>
      </c>
      <c r="BE263" s="5">
        <v>42997</v>
      </c>
      <c r="BF263" s="5">
        <v>42997</v>
      </c>
      <c r="BG263" s="38">
        <f>AQ263+AR263</f>
        <v>372953.49</v>
      </c>
      <c r="BH263" s="64">
        <v>42997</v>
      </c>
      <c r="BI263" s="111"/>
      <c r="BJ263" s="5"/>
      <c r="BK263" s="5"/>
      <c r="BL263" s="54"/>
      <c r="BM263" s="54"/>
      <c r="BN263" s="54"/>
      <c r="BO263" s="54"/>
      <c r="BP263" s="54"/>
      <c r="BQ263" s="54"/>
      <c r="BR263" s="54"/>
      <c r="BS263" s="55"/>
      <c r="BT263" s="14"/>
      <c r="BU263" s="14"/>
      <c r="BV263" s="14"/>
      <c r="BW263" s="14"/>
      <c r="BX263" s="14"/>
      <c r="BY263" s="1432" t="s">
        <v>1567</v>
      </c>
      <c r="BZ263" s="356" t="s">
        <v>459</v>
      </c>
      <c r="CA263" s="582"/>
      <c r="CB263" s="582"/>
      <c r="CC263" s="582"/>
      <c r="CD263" s="582"/>
      <c r="CE263" s="582"/>
      <c r="CF263" s="582"/>
      <c r="CG263" s="582"/>
      <c r="CH263" s="16"/>
    </row>
    <row r="264" spans="1:86" s="1241" customFormat="1" ht="69.75" hidden="1" customHeight="1">
      <c r="B264" s="1242"/>
      <c r="C264" s="1242"/>
      <c r="D264" s="1242"/>
      <c r="E264" s="1242"/>
      <c r="F264" s="1242"/>
      <c r="G264" s="610"/>
      <c r="H264" s="700"/>
      <c r="I264" s="588">
        <v>2017</v>
      </c>
      <c r="J264" s="1683"/>
      <c r="K264" s="1245"/>
      <c r="L264" s="955" t="s">
        <v>847</v>
      </c>
      <c r="M264" s="1763" t="s">
        <v>251</v>
      </c>
      <c r="N264" s="1764" t="s">
        <v>627</v>
      </c>
      <c r="O264" s="1764"/>
      <c r="P264" s="1248"/>
      <c r="Q264" s="1249"/>
      <c r="R264" s="1250"/>
      <c r="S264" s="1251"/>
      <c r="T264" s="1242"/>
      <c r="U264" s="1246"/>
      <c r="V264" s="1245"/>
      <c r="W264" s="1253"/>
      <c r="X264" s="1630"/>
      <c r="Y264" s="340"/>
      <c r="Z264" s="1254"/>
      <c r="AA264" s="1255"/>
      <c r="AB264" s="1255"/>
      <c r="AC264" s="1256"/>
      <c r="AD264" s="1257"/>
      <c r="AE264" s="1258"/>
      <c r="AF264" s="1258"/>
      <c r="AG264" s="1259"/>
      <c r="AH264" s="1260"/>
      <c r="AI264" s="340"/>
      <c r="AJ264" s="1261"/>
      <c r="AK264" s="1262"/>
      <c r="AL264" s="1261"/>
      <c r="AM264" s="1262"/>
      <c r="AN264" s="1261"/>
      <c r="AO264" s="1261"/>
      <c r="AP264" s="1263"/>
      <c r="AQ264" s="1264">
        <v>0</v>
      </c>
      <c r="AR264" s="1265"/>
      <c r="AS264" s="1266"/>
      <c r="AT264" s="1267"/>
      <c r="AU264" s="1268"/>
      <c r="AV264" s="1269" t="s">
        <v>68</v>
      </c>
      <c r="AW264" s="1761" t="s">
        <v>68</v>
      </c>
      <c r="AX264" s="955"/>
      <c r="AY264" s="1261"/>
      <c r="AZ264" s="1261"/>
      <c r="BA264" s="1271"/>
      <c r="BB264" s="955"/>
      <c r="BC264" s="1756"/>
      <c r="BD264" s="1261"/>
      <c r="BE264" s="1261"/>
      <c r="BF264" s="1261"/>
      <c r="BG264" s="1272">
        <f>AQ264+AR264</f>
        <v>0</v>
      </c>
      <c r="BH264" s="1273"/>
      <c r="BI264" s="1252"/>
      <c r="BJ264" s="1262"/>
      <c r="BK264" s="1262"/>
      <c r="BL264" s="1270"/>
      <c r="BM264" s="1270"/>
      <c r="BN264" s="1270"/>
      <c r="BO264" s="1270"/>
      <c r="BP264" s="1270"/>
      <c r="BQ264" s="1270"/>
      <c r="BR264" s="1270"/>
      <c r="BS264" s="1758"/>
      <c r="BT264" s="1273"/>
      <c r="BU264" s="1273"/>
      <c r="BV264" s="1273"/>
      <c r="BW264" s="1273"/>
      <c r="BX264" s="1273"/>
      <c r="BY264" s="1760" t="s">
        <v>1567</v>
      </c>
      <c r="BZ264" s="133" t="s">
        <v>478</v>
      </c>
      <c r="CA264" s="903"/>
      <c r="CB264" s="903"/>
      <c r="CC264" s="903"/>
      <c r="CD264" s="903"/>
      <c r="CE264" s="903"/>
      <c r="CF264" s="903"/>
      <c r="CG264" s="903"/>
      <c r="CH264" s="1277"/>
    </row>
    <row r="265" spans="1:86" ht="96" hidden="1" customHeight="1">
      <c r="A265"/>
      <c r="B265" s="23"/>
      <c r="C265" s="23"/>
      <c r="D265" s="23"/>
      <c r="E265" s="335" t="s">
        <v>68</v>
      </c>
      <c r="F265" s="335"/>
      <c r="G265" s="1055">
        <v>43251</v>
      </c>
      <c r="H265" s="365">
        <v>43048</v>
      </c>
      <c r="I265" s="17">
        <v>2017</v>
      </c>
      <c r="J265" s="1678"/>
      <c r="K265" s="183" t="s">
        <v>77</v>
      </c>
      <c r="L265" s="35" t="s">
        <v>848</v>
      </c>
      <c r="M265" s="185" t="s">
        <v>79</v>
      </c>
      <c r="N265" s="495" t="s">
        <v>849</v>
      </c>
      <c r="O265" s="495" t="s">
        <v>3664</v>
      </c>
      <c r="P265" s="187">
        <v>965876.67</v>
      </c>
      <c r="Q265" s="598">
        <v>42965</v>
      </c>
      <c r="R265" s="189">
        <v>42968</v>
      </c>
      <c r="S265" s="190">
        <v>43000</v>
      </c>
      <c r="T265" s="599">
        <v>42933</v>
      </c>
      <c r="U265" s="191" t="s">
        <v>777</v>
      </c>
      <c r="V265" s="183" t="s">
        <v>563</v>
      </c>
      <c r="W265" s="688">
        <v>42953</v>
      </c>
      <c r="X265" s="1624"/>
      <c r="Y265" s="380" t="s">
        <v>850</v>
      </c>
      <c r="Z265" s="9">
        <v>42947</v>
      </c>
      <c r="AA265" s="4">
        <v>965876.67</v>
      </c>
      <c r="AB265" s="4"/>
      <c r="AC265" s="34"/>
      <c r="AD265" s="36" t="s">
        <v>68</v>
      </c>
      <c r="AE265" s="119" t="s">
        <v>68</v>
      </c>
      <c r="AF265" s="119" t="s">
        <v>68</v>
      </c>
      <c r="AG265" s="7" t="s">
        <v>68</v>
      </c>
      <c r="AH265" s="116" t="s">
        <v>68</v>
      </c>
      <c r="AI265" s="35" t="s">
        <v>107</v>
      </c>
      <c r="AJ265" s="1" t="s">
        <v>68</v>
      </c>
      <c r="AK265" s="5"/>
      <c r="AL265" s="1" t="s">
        <v>851</v>
      </c>
      <c r="AM265" s="5">
        <v>43006</v>
      </c>
      <c r="AN265" s="135" t="s">
        <v>83</v>
      </c>
      <c r="AO265" s="1"/>
      <c r="AP265" s="306">
        <f>96587.66</f>
        <v>96587.66</v>
      </c>
      <c r="AQ265" s="37">
        <v>0</v>
      </c>
      <c r="AR265" s="1031">
        <v>965876.66</v>
      </c>
      <c r="AS265" s="1018"/>
      <c r="AT265" s="68" t="s">
        <v>74</v>
      </c>
      <c r="AU265" s="12"/>
      <c r="AV265" s="243" t="s">
        <v>68</v>
      </c>
      <c r="AW265" s="244" t="s">
        <v>68</v>
      </c>
      <c r="AX265" s="32">
        <v>43003</v>
      </c>
      <c r="AY265" s="5">
        <v>42968</v>
      </c>
      <c r="AZ265" s="5">
        <v>43000</v>
      </c>
      <c r="BA265" s="12">
        <v>42999</v>
      </c>
      <c r="BB265" s="32">
        <v>43000</v>
      </c>
      <c r="BC265" s="341"/>
      <c r="BD265" s="5">
        <v>42968</v>
      </c>
      <c r="BE265" s="5">
        <v>43000</v>
      </c>
      <c r="BF265" s="5">
        <v>42999</v>
      </c>
      <c r="BG265" s="38">
        <f>AQ265+AR265</f>
        <v>965876.66</v>
      </c>
      <c r="BH265" s="64">
        <v>43003</v>
      </c>
      <c r="BI265" s="111"/>
      <c r="BJ265" s="5"/>
      <c r="BK265" s="5"/>
      <c r="BL265" s="54"/>
      <c r="BM265" s="54"/>
      <c r="BN265" s="54"/>
      <c r="BO265" s="54"/>
      <c r="BP265" s="54"/>
      <c r="BQ265" s="54"/>
      <c r="BR265" s="54"/>
      <c r="BS265" s="55"/>
      <c r="BT265" s="14"/>
      <c r="BU265" s="14"/>
      <c r="BV265" s="14"/>
      <c r="BW265" s="14"/>
      <c r="BX265" s="14"/>
      <c r="BY265" s="1432" t="s">
        <v>1567</v>
      </c>
      <c r="BZ265" s="356" t="s">
        <v>459</v>
      </c>
      <c r="CA265" s="582"/>
      <c r="CB265" s="582"/>
      <c r="CC265" s="582"/>
      <c r="CD265" s="582"/>
      <c r="CE265" s="582"/>
      <c r="CF265" s="582"/>
      <c r="CG265" s="582"/>
      <c r="CH265" s="16"/>
    </row>
    <row r="266" spans="1:86" ht="75" hidden="1" customHeight="1">
      <c r="A266"/>
      <c r="B266" s="23"/>
      <c r="C266" s="23"/>
      <c r="D266" s="23"/>
      <c r="E266" s="335" t="s">
        <v>68</v>
      </c>
      <c r="F266" s="335"/>
      <c r="G266" s="1055">
        <v>43224</v>
      </c>
      <c r="H266" s="365">
        <v>43048</v>
      </c>
      <c r="I266" s="17">
        <v>2017</v>
      </c>
      <c r="J266" s="1678"/>
      <c r="K266" s="183" t="s">
        <v>77</v>
      </c>
      <c r="L266" s="35" t="s">
        <v>852</v>
      </c>
      <c r="M266" s="185" t="s">
        <v>79</v>
      </c>
      <c r="N266" s="186" t="s">
        <v>853</v>
      </c>
      <c r="O266" s="186" t="s">
        <v>2574</v>
      </c>
      <c r="P266" s="187">
        <v>185695.33</v>
      </c>
      <c r="Q266" s="188">
        <v>42948</v>
      </c>
      <c r="R266" s="189">
        <v>42950</v>
      </c>
      <c r="S266" s="190">
        <v>42978</v>
      </c>
      <c r="T266" s="111">
        <v>42948</v>
      </c>
      <c r="U266" s="122" t="s">
        <v>637</v>
      </c>
      <c r="V266" s="19" t="s">
        <v>3087</v>
      </c>
      <c r="W266" s="685">
        <v>42859</v>
      </c>
      <c r="X266" s="1625"/>
      <c r="Y266" s="35" t="s">
        <v>854</v>
      </c>
      <c r="Z266" s="9">
        <v>42947</v>
      </c>
      <c r="AA266" s="4">
        <v>185695.33</v>
      </c>
      <c r="AB266" s="4"/>
      <c r="AC266" s="34"/>
      <c r="AD266" s="36" t="s">
        <v>68</v>
      </c>
      <c r="AE266" s="119" t="s">
        <v>68</v>
      </c>
      <c r="AF266" s="119" t="s">
        <v>68</v>
      </c>
      <c r="AG266" s="7" t="s">
        <v>68</v>
      </c>
      <c r="AH266" s="116" t="s">
        <v>68</v>
      </c>
      <c r="AI266" s="35" t="s">
        <v>855</v>
      </c>
      <c r="AJ266" s="1" t="s">
        <v>68</v>
      </c>
      <c r="AK266" s="5"/>
      <c r="AL266" s="1">
        <v>17882</v>
      </c>
      <c r="AM266" s="5">
        <v>42954</v>
      </c>
      <c r="AN266" s="1">
        <v>17881</v>
      </c>
      <c r="AO266" s="5">
        <v>42954</v>
      </c>
      <c r="AP266" s="306">
        <f>18569.53*2</f>
        <v>37139.06</v>
      </c>
      <c r="AQ266" s="37">
        <v>0</v>
      </c>
      <c r="AR266" s="1031">
        <v>185067.76</v>
      </c>
      <c r="AS266" s="1018"/>
      <c r="AT266" s="373" t="s">
        <v>74</v>
      </c>
      <c r="AU266" s="245"/>
      <c r="AV266" s="243" t="s">
        <v>68</v>
      </c>
      <c r="AW266" s="244" t="s">
        <v>68</v>
      </c>
      <c r="AX266" s="32">
        <v>42980</v>
      </c>
      <c r="AY266" s="5">
        <v>42950</v>
      </c>
      <c r="AZ266" s="5">
        <v>42978</v>
      </c>
      <c r="BA266" s="18" t="s">
        <v>68</v>
      </c>
      <c r="BB266" s="32">
        <v>42982</v>
      </c>
      <c r="BC266" s="341"/>
      <c r="BD266" s="5">
        <v>42950</v>
      </c>
      <c r="BE266" s="5">
        <v>42978</v>
      </c>
      <c r="BF266" s="5">
        <v>42976</v>
      </c>
      <c r="BG266" s="38">
        <v>185067.96</v>
      </c>
      <c r="BH266" s="64">
        <v>42984</v>
      </c>
      <c r="BI266" s="111"/>
      <c r="BJ266" s="5"/>
      <c r="BK266" s="5"/>
      <c r="BL266" s="54"/>
      <c r="BM266" s="54"/>
      <c r="BN266" s="54"/>
      <c r="BO266" s="54"/>
      <c r="BP266" s="54"/>
      <c r="BQ266" s="54"/>
      <c r="BR266" s="54"/>
      <c r="BS266" s="55"/>
      <c r="BT266" s="14"/>
      <c r="BU266" s="14"/>
      <c r="BV266" s="14"/>
      <c r="BW266" s="14"/>
      <c r="BX266" s="14"/>
      <c r="BY266" s="1432" t="s">
        <v>1567</v>
      </c>
      <c r="BZ266" s="356" t="s">
        <v>459</v>
      </c>
      <c r="CA266" s="582"/>
      <c r="CB266" s="582"/>
      <c r="CC266" s="582"/>
      <c r="CD266" s="582"/>
      <c r="CE266" s="582"/>
      <c r="CF266" s="582"/>
      <c r="CG266" s="582"/>
      <c r="CH266" s="16"/>
    </row>
    <row r="267" spans="1:86" ht="106.5" hidden="1" customHeight="1">
      <c r="A267"/>
      <c r="B267" s="23"/>
      <c r="C267" s="23"/>
      <c r="D267" s="23"/>
      <c r="E267" s="335" t="s">
        <v>68</v>
      </c>
      <c r="F267" s="335"/>
      <c r="G267" s="1055">
        <v>43305</v>
      </c>
      <c r="H267" s="365">
        <v>43327</v>
      </c>
      <c r="I267" s="17">
        <v>-2016</v>
      </c>
      <c r="J267" s="1678"/>
      <c r="K267" s="183" t="s">
        <v>77</v>
      </c>
      <c r="L267" s="20" t="s">
        <v>856</v>
      </c>
      <c r="M267" s="185" t="s">
        <v>79</v>
      </c>
      <c r="N267" s="186" t="s">
        <v>857</v>
      </c>
      <c r="O267" s="186" t="s">
        <v>2574</v>
      </c>
      <c r="P267" s="187">
        <v>360000</v>
      </c>
      <c r="Q267" s="656">
        <v>42951</v>
      </c>
      <c r="R267" s="189">
        <v>42954</v>
      </c>
      <c r="S267" s="190">
        <v>42973</v>
      </c>
      <c r="T267" s="70">
        <v>42948</v>
      </c>
      <c r="U267" s="191" t="s">
        <v>588</v>
      </c>
      <c r="V267" s="183" t="s">
        <v>114</v>
      </c>
      <c r="W267" s="70">
        <v>42859</v>
      </c>
      <c r="X267" s="70"/>
      <c r="Y267" s="491" t="s">
        <v>858</v>
      </c>
      <c r="Z267" s="9">
        <v>42947</v>
      </c>
      <c r="AA267" s="4">
        <v>360000</v>
      </c>
      <c r="AB267" s="4"/>
      <c r="AC267" s="34"/>
      <c r="AD267" s="36" t="s">
        <v>68</v>
      </c>
      <c r="AE267" s="119" t="s">
        <v>68</v>
      </c>
      <c r="AF267" s="119" t="s">
        <v>68</v>
      </c>
      <c r="AG267" s="7" t="s">
        <v>68</v>
      </c>
      <c r="AH267" s="235" t="s">
        <v>68</v>
      </c>
      <c r="AI267" s="375" t="s">
        <v>589</v>
      </c>
      <c r="AJ267" s="1" t="s">
        <v>68</v>
      </c>
      <c r="AK267" s="5"/>
      <c r="AL267" s="1">
        <v>1860136</v>
      </c>
      <c r="AM267" s="5">
        <v>42954</v>
      </c>
      <c r="AN267" s="1">
        <v>1865608</v>
      </c>
      <c r="AO267" s="5">
        <v>42985</v>
      </c>
      <c r="AP267" s="306">
        <f>36000*2</f>
        <v>72000</v>
      </c>
      <c r="AQ267" s="37">
        <v>0</v>
      </c>
      <c r="AR267" s="1031">
        <v>359963.34</v>
      </c>
      <c r="AS267" s="1018"/>
      <c r="AT267" s="375">
        <v>42940</v>
      </c>
      <c r="AU267" s="12">
        <v>42982</v>
      </c>
      <c r="AV267" s="243" t="s">
        <v>68</v>
      </c>
      <c r="AW267" s="244" t="s">
        <v>68</v>
      </c>
      <c r="AX267" s="375">
        <v>42982</v>
      </c>
      <c r="AY267" s="5">
        <v>42940</v>
      </c>
      <c r="AZ267" s="5">
        <v>42981</v>
      </c>
      <c r="BA267" s="12">
        <v>42981</v>
      </c>
      <c r="BB267" s="375">
        <v>42985</v>
      </c>
      <c r="BC267" s="1952"/>
      <c r="BD267" s="5">
        <v>42940</v>
      </c>
      <c r="BE267" s="5">
        <v>42981</v>
      </c>
      <c r="BF267" s="5">
        <v>42981</v>
      </c>
      <c r="BG267" s="38">
        <f>AQ267+AR267</f>
        <v>359963.34</v>
      </c>
      <c r="BH267" s="64">
        <v>42985</v>
      </c>
      <c r="BI267" s="794" t="s">
        <v>68</v>
      </c>
      <c r="BJ267" s="795" t="s">
        <v>68</v>
      </c>
      <c r="BK267" s="795" t="s">
        <v>68</v>
      </c>
      <c r="BL267" s="794"/>
      <c r="BM267" s="794"/>
      <c r="BN267" s="794"/>
      <c r="BO267" s="794"/>
      <c r="BP267" s="794"/>
      <c r="BQ267" s="794"/>
      <c r="BR267" s="794"/>
      <c r="BS267" s="794" t="s">
        <v>68</v>
      </c>
      <c r="BT267" s="14"/>
      <c r="BU267" s="14"/>
      <c r="BV267" s="14"/>
      <c r="BW267" s="14"/>
      <c r="BX267" s="14"/>
      <c r="BY267" s="1432" t="s">
        <v>1567</v>
      </c>
      <c r="BZ267" s="649" t="s">
        <v>454</v>
      </c>
      <c r="CA267" s="582"/>
      <c r="CB267" s="582"/>
      <c r="CC267" s="582"/>
      <c r="CD267" s="582"/>
      <c r="CE267" s="582"/>
      <c r="CF267" s="582"/>
      <c r="CG267" s="582"/>
      <c r="CH267" s="16"/>
    </row>
    <row r="268" spans="1:86" ht="89.25" hidden="1" customHeight="1">
      <c r="A268"/>
      <c r="B268" s="23"/>
      <c r="C268" s="23"/>
      <c r="D268" s="23"/>
      <c r="E268" s="335" t="s">
        <v>68</v>
      </c>
      <c r="F268" s="335"/>
      <c r="G268" s="1369">
        <v>43362</v>
      </c>
      <c r="H268" s="365"/>
      <c r="I268" s="17">
        <v>2017</v>
      </c>
      <c r="J268" s="1678"/>
      <c r="K268" s="183" t="s">
        <v>166</v>
      </c>
      <c r="L268" s="35" t="s">
        <v>859</v>
      </c>
      <c r="M268" s="663" t="s">
        <v>79</v>
      </c>
      <c r="N268" s="495" t="s">
        <v>860</v>
      </c>
      <c r="O268" s="495" t="s">
        <v>4458</v>
      </c>
      <c r="P268" s="187">
        <v>729291.31</v>
      </c>
      <c r="Q268" s="657">
        <v>42916</v>
      </c>
      <c r="R268" s="189">
        <v>42917</v>
      </c>
      <c r="S268" s="190">
        <v>43158</v>
      </c>
      <c r="T268" s="70">
        <v>42912</v>
      </c>
      <c r="U268" s="191" t="s">
        <v>577</v>
      </c>
      <c r="V268" s="722" t="s">
        <v>70</v>
      </c>
      <c r="W268" s="505" t="s">
        <v>74</v>
      </c>
      <c r="X268" s="1623"/>
      <c r="Y268" s="491" t="s">
        <v>861</v>
      </c>
      <c r="Z268" s="9">
        <v>42643</v>
      </c>
      <c r="AA268" s="4">
        <v>646610</v>
      </c>
      <c r="AB268" s="4"/>
      <c r="AC268" s="34"/>
      <c r="AD268" s="36" t="s">
        <v>68</v>
      </c>
      <c r="AE268" s="119" t="s">
        <v>68</v>
      </c>
      <c r="AF268" s="119" t="s">
        <v>68</v>
      </c>
      <c r="AG268" s="7" t="s">
        <v>68</v>
      </c>
      <c r="AH268" s="235" t="s">
        <v>68</v>
      </c>
      <c r="AI268" s="373" t="s">
        <v>74</v>
      </c>
      <c r="AJ268" s="1"/>
      <c r="AK268" s="5"/>
      <c r="AL268" s="1"/>
      <c r="AM268" s="5"/>
      <c r="AN268" s="1"/>
      <c r="AO268" s="1"/>
      <c r="AP268" s="306"/>
      <c r="AQ268" s="37">
        <v>0</v>
      </c>
      <c r="AR268" s="1040"/>
      <c r="AS268" s="1027"/>
      <c r="AT268" s="68" t="s">
        <v>74</v>
      </c>
      <c r="AU268" s="12"/>
      <c r="AV268" s="243" t="s">
        <v>68</v>
      </c>
      <c r="AW268" s="244" t="s">
        <v>68</v>
      </c>
      <c r="AX268" s="742" t="s">
        <v>68</v>
      </c>
      <c r="AY268" s="1"/>
      <c r="AZ268" s="1"/>
      <c r="BA268" s="18"/>
      <c r="BB268" s="491" t="s">
        <v>862</v>
      </c>
      <c r="BC268" s="1960"/>
      <c r="BD268" s="5"/>
      <c r="BE268" s="5"/>
      <c r="BF268" s="5"/>
      <c r="BG268" s="38">
        <f>AQ268+AR268</f>
        <v>0</v>
      </c>
      <c r="BH268" s="14"/>
      <c r="BI268" s="111"/>
      <c r="BJ268" s="5"/>
      <c r="BK268" s="5"/>
      <c r="BL268" s="54"/>
      <c r="BM268" s="54"/>
      <c r="BN268" s="54"/>
      <c r="BO268" s="54"/>
      <c r="BP268" s="54"/>
      <c r="BQ268" s="54"/>
      <c r="BR268" s="54"/>
      <c r="BS268" s="55"/>
      <c r="BT268" s="14"/>
      <c r="BU268" s="14"/>
      <c r="BV268" s="14"/>
      <c r="BW268" s="14"/>
      <c r="BX268" s="14"/>
      <c r="BY268" s="1432" t="s">
        <v>1567</v>
      </c>
      <c r="BZ268" s="356" t="s">
        <v>459</v>
      </c>
      <c r="CA268" s="582"/>
      <c r="CB268" s="2"/>
      <c r="CC268" s="2"/>
      <c r="CD268" s="2"/>
      <c r="CE268" s="2"/>
      <c r="CF268" s="2"/>
      <c r="CG268" s="2"/>
      <c r="CH268" s="16"/>
    </row>
    <row r="269" spans="1:86" s="1241" customFormat="1" ht="27.75" hidden="1" customHeight="1">
      <c r="B269" s="1242"/>
      <c r="C269" s="1242"/>
      <c r="D269" s="1242"/>
      <c r="E269" s="1242"/>
      <c r="F269" s="1242"/>
      <c r="G269" s="610"/>
      <c r="H269" s="700"/>
      <c r="I269" s="588">
        <v>2017</v>
      </c>
      <c r="J269" s="1683"/>
      <c r="K269" s="1245"/>
      <c r="L269" s="955" t="s">
        <v>863</v>
      </c>
      <c r="M269" s="203" t="s">
        <v>251</v>
      </c>
      <c r="N269" s="1247"/>
      <c r="O269" s="1247"/>
      <c r="P269" s="1248"/>
      <c r="Q269" s="1249"/>
      <c r="R269" s="1250"/>
      <c r="S269" s="1251"/>
      <c r="T269" s="1759"/>
      <c r="U269" s="1246" t="s">
        <v>68</v>
      </c>
      <c r="V269" s="1245" t="s">
        <v>68</v>
      </c>
      <c r="W269" s="1253"/>
      <c r="X269" s="1630"/>
      <c r="Y269" s="1765"/>
      <c r="Z269" s="1254"/>
      <c r="AA269" s="1255"/>
      <c r="AB269" s="1255"/>
      <c r="AC269" s="1256"/>
      <c r="AD269" s="1257"/>
      <c r="AE269" s="1258"/>
      <c r="AF269" s="1258"/>
      <c r="AG269" s="1259"/>
      <c r="AH269" s="1260"/>
      <c r="AI269" s="1765"/>
      <c r="AJ269" s="1261"/>
      <c r="AK269" s="1262"/>
      <c r="AL269" s="1261"/>
      <c r="AM269" s="1262"/>
      <c r="AN269" s="1261"/>
      <c r="AO269" s="1261"/>
      <c r="AP269" s="1263"/>
      <c r="AQ269" s="1264">
        <v>0</v>
      </c>
      <c r="AR269" s="1265"/>
      <c r="AS269" s="1266"/>
      <c r="AT269" s="1765" t="s">
        <v>68</v>
      </c>
      <c r="AU269" s="1268"/>
      <c r="AV269" s="1269" t="s">
        <v>68</v>
      </c>
      <c r="AW269" s="1761" t="s">
        <v>68</v>
      </c>
      <c r="AX269" s="1766"/>
      <c r="AY269" s="1261"/>
      <c r="AZ269" s="1261"/>
      <c r="BA269" s="1271"/>
      <c r="BB269" s="1765"/>
      <c r="BC269" s="1961"/>
      <c r="BD269" s="1261"/>
      <c r="BE269" s="1261"/>
      <c r="BF269" s="1261"/>
      <c r="BG269" s="1272">
        <f>AQ269+AR269</f>
        <v>0</v>
      </c>
      <c r="BH269" s="1273"/>
      <c r="BI269" s="1252"/>
      <c r="BJ269" s="1262"/>
      <c r="BK269" s="1262"/>
      <c r="BL269" s="1270"/>
      <c r="BM269" s="1270"/>
      <c r="BN269" s="1270"/>
      <c r="BO269" s="1270"/>
      <c r="BP269" s="1270"/>
      <c r="BQ269" s="1270"/>
      <c r="BR269" s="1270"/>
      <c r="BS269" s="1758"/>
      <c r="BT269" s="1273"/>
      <c r="BU269" s="1273"/>
      <c r="BV269" s="1273"/>
      <c r="BW269" s="1273"/>
      <c r="BX269" s="1273"/>
      <c r="BY269" s="1760" t="s">
        <v>1567</v>
      </c>
      <c r="BZ269" s="133" t="s">
        <v>478</v>
      </c>
      <c r="CA269" s="903"/>
      <c r="CB269" s="203"/>
      <c r="CC269" s="203"/>
      <c r="CD269" s="203"/>
      <c r="CE269" s="203"/>
      <c r="CF269" s="203"/>
      <c r="CG269" s="203"/>
      <c r="CH269" s="1277"/>
    </row>
    <row r="270" spans="1:86" ht="120" hidden="1" customHeight="1">
      <c r="A270"/>
      <c r="B270" s="23"/>
      <c r="C270" s="23"/>
      <c r="D270" s="23"/>
      <c r="E270" s="335" t="s">
        <v>68</v>
      </c>
      <c r="F270" s="335"/>
      <c r="G270" s="1055">
        <v>43126</v>
      </c>
      <c r="H270" s="365">
        <v>43048</v>
      </c>
      <c r="I270" s="17">
        <v>2017</v>
      </c>
      <c r="J270" s="1678"/>
      <c r="K270" s="183" t="s">
        <v>64</v>
      </c>
      <c r="L270" s="35" t="s">
        <v>864</v>
      </c>
      <c r="M270" s="185" t="s">
        <v>66</v>
      </c>
      <c r="N270" s="186" t="s">
        <v>865</v>
      </c>
      <c r="O270" s="186"/>
      <c r="P270" s="187">
        <v>3445881.8</v>
      </c>
      <c r="Q270" s="188">
        <v>42976</v>
      </c>
      <c r="R270" s="189">
        <v>42979</v>
      </c>
      <c r="S270" s="190">
        <v>43054</v>
      </c>
      <c r="T270" s="23" t="s">
        <v>68</v>
      </c>
      <c r="U270" s="122" t="s">
        <v>637</v>
      </c>
      <c r="V270" s="183" t="s">
        <v>477</v>
      </c>
      <c r="W270" s="505" t="s">
        <v>74</v>
      </c>
      <c r="X270" s="1623"/>
      <c r="Y270" s="35" t="s">
        <v>866</v>
      </c>
      <c r="Z270" s="9">
        <v>42854</v>
      </c>
      <c r="AA270" s="4">
        <v>3448275.87</v>
      </c>
      <c r="AB270" s="4"/>
      <c r="AC270" s="34"/>
      <c r="AD270" s="645">
        <v>42970</v>
      </c>
      <c r="AE270" s="646">
        <v>42971</v>
      </c>
      <c r="AF270" s="646">
        <v>42972</v>
      </c>
      <c r="AG270" s="647">
        <v>42975</v>
      </c>
      <c r="AH270" s="644">
        <v>42976</v>
      </c>
      <c r="AI270" s="35" t="s">
        <v>855</v>
      </c>
      <c r="AJ270" s="1">
        <v>17992</v>
      </c>
      <c r="AK270" s="5">
        <v>42982</v>
      </c>
      <c r="AL270" s="1">
        <v>17993</v>
      </c>
      <c r="AM270" s="5">
        <v>42982</v>
      </c>
      <c r="AN270" s="1">
        <v>17832454</v>
      </c>
      <c r="AO270" s="5">
        <v>43054</v>
      </c>
      <c r="AP270" s="306">
        <f>861254.98+344501.99+344501.99</f>
        <v>1550258.96</v>
      </c>
      <c r="AQ270" s="37">
        <v>0</v>
      </c>
      <c r="AR270" s="1038">
        <v>3450804.48</v>
      </c>
      <c r="AS270" s="1025"/>
      <c r="AT270" s="375">
        <v>42983</v>
      </c>
      <c r="AU270" s="134">
        <v>43024</v>
      </c>
      <c r="AV270" s="243" t="s">
        <v>68</v>
      </c>
      <c r="AW270" s="244" t="s">
        <v>68</v>
      </c>
      <c r="AX270" s="32">
        <v>43068</v>
      </c>
      <c r="AY270" s="5">
        <v>42979</v>
      </c>
      <c r="AZ270" s="5">
        <v>43041</v>
      </c>
      <c r="BA270" s="18" t="s">
        <v>68</v>
      </c>
      <c r="BB270" s="359">
        <v>43069</v>
      </c>
      <c r="BC270" s="1951"/>
      <c r="BD270" s="5">
        <v>42979</v>
      </c>
      <c r="BE270" s="5">
        <v>43054</v>
      </c>
      <c r="BF270" s="5">
        <v>43066</v>
      </c>
      <c r="BG270" s="72">
        <v>3450804.46</v>
      </c>
      <c r="BH270" s="64">
        <v>43073</v>
      </c>
      <c r="BI270" s="111"/>
      <c r="BJ270" s="5"/>
      <c r="BK270" s="5"/>
      <c r="BL270" s="54"/>
      <c r="BM270" s="54"/>
      <c r="BN270" s="54"/>
      <c r="BO270" s="54"/>
      <c r="BP270" s="54"/>
      <c r="BQ270" s="54"/>
      <c r="BR270" s="54"/>
      <c r="BS270" s="55"/>
      <c r="BT270" s="14"/>
      <c r="BU270" s="14"/>
      <c r="BV270" s="14"/>
      <c r="BW270" s="14"/>
      <c r="BX270" s="14"/>
      <c r="BY270" s="1432" t="s">
        <v>1567</v>
      </c>
      <c r="BZ270" s="356" t="s">
        <v>459</v>
      </c>
      <c r="CA270" s="582"/>
      <c r="CB270" s="582"/>
      <c r="CC270" s="582"/>
      <c r="CD270" s="582"/>
      <c r="CE270" s="582"/>
      <c r="CF270" s="582"/>
      <c r="CG270" s="582"/>
      <c r="CH270" s="16"/>
    </row>
    <row r="271" spans="1:86" ht="105" hidden="1" customHeight="1">
      <c r="A271"/>
      <c r="B271" s="23"/>
      <c r="C271" s="23"/>
      <c r="D271" s="23"/>
      <c r="E271" s="335" t="s">
        <v>68</v>
      </c>
      <c r="F271" s="335"/>
      <c r="G271" s="1055">
        <v>43159</v>
      </c>
      <c r="H271" s="365">
        <v>43048</v>
      </c>
      <c r="I271" s="17">
        <v>2017</v>
      </c>
      <c r="J271" s="1678"/>
      <c r="K271" s="183" t="s">
        <v>867</v>
      </c>
      <c r="L271" s="35" t="s">
        <v>868</v>
      </c>
      <c r="M271" s="185" t="s">
        <v>66</v>
      </c>
      <c r="N271" s="186" t="s">
        <v>869</v>
      </c>
      <c r="O271" s="186"/>
      <c r="P271" s="187">
        <v>2995704.85</v>
      </c>
      <c r="Q271" s="188">
        <v>42949</v>
      </c>
      <c r="R271" s="189">
        <v>42982</v>
      </c>
      <c r="S271" s="190">
        <v>43049</v>
      </c>
      <c r="T271" s="23" t="s">
        <v>68</v>
      </c>
      <c r="U271" s="191" t="s">
        <v>870</v>
      </c>
      <c r="V271" s="183" t="s">
        <v>477</v>
      </c>
      <c r="W271" s="505" t="s">
        <v>74</v>
      </c>
      <c r="X271" s="1623"/>
      <c r="Y271" s="35" t="s">
        <v>871</v>
      </c>
      <c r="Z271" s="9">
        <v>42804</v>
      </c>
      <c r="AA271" s="4">
        <v>3000000</v>
      </c>
      <c r="AB271" s="4"/>
      <c r="AC271" s="34"/>
      <c r="AD271" s="645">
        <v>42936</v>
      </c>
      <c r="AE271" s="646">
        <v>42961</v>
      </c>
      <c r="AF271" s="646">
        <v>42963</v>
      </c>
      <c r="AG271" s="647">
        <v>42970</v>
      </c>
      <c r="AH271" s="644">
        <v>42975</v>
      </c>
      <c r="AI271" s="491" t="s">
        <v>779</v>
      </c>
      <c r="AJ271" s="71" t="s">
        <v>68</v>
      </c>
      <c r="AK271" s="255"/>
      <c r="AL271" s="71">
        <v>31800002307</v>
      </c>
      <c r="AM271" s="255">
        <v>42979</v>
      </c>
      <c r="AN271" s="71">
        <v>31800004587</v>
      </c>
      <c r="AO271" s="1"/>
      <c r="AP271" s="306">
        <f>299570.48+292370.48</f>
        <v>591940.96</v>
      </c>
      <c r="AQ271" s="37">
        <v>0</v>
      </c>
      <c r="AR271" s="1032">
        <v>2923704.83</v>
      </c>
      <c r="AS271" s="1019"/>
      <c r="AT271" s="375">
        <v>43003</v>
      </c>
      <c r="AU271" s="12">
        <v>43018</v>
      </c>
      <c r="AV271" s="243" t="s">
        <v>68</v>
      </c>
      <c r="AW271" s="244" t="s">
        <v>68</v>
      </c>
      <c r="AX271" s="375">
        <v>43082</v>
      </c>
      <c r="AY271" s="5">
        <v>42982</v>
      </c>
      <c r="AZ271" s="5">
        <v>43049</v>
      </c>
      <c r="BA271" s="18" t="s">
        <v>68</v>
      </c>
      <c r="BB271" s="375">
        <v>43083</v>
      </c>
      <c r="BC271" s="1952"/>
      <c r="BD271" s="76">
        <v>42982</v>
      </c>
      <c r="BE271" s="76">
        <v>43049</v>
      </c>
      <c r="BF271" s="76">
        <v>43082</v>
      </c>
      <c r="BG271" s="136">
        <v>2923704.82</v>
      </c>
      <c r="BH271" s="14"/>
      <c r="BI271" s="111"/>
      <c r="BJ271" s="5"/>
      <c r="BK271" s="5"/>
      <c r="BL271" s="54"/>
      <c r="BM271" s="54"/>
      <c r="BN271" s="54"/>
      <c r="BO271" s="54"/>
      <c r="BP271" s="54"/>
      <c r="BQ271" s="54"/>
      <c r="BR271" s="54"/>
      <c r="BS271" s="55"/>
      <c r="BT271" s="14"/>
      <c r="BU271" s="14"/>
      <c r="BV271" s="14"/>
      <c r="BW271" s="14"/>
      <c r="BX271" s="14"/>
      <c r="BY271" s="1432" t="s">
        <v>1567</v>
      </c>
      <c r="BZ271" s="356" t="s">
        <v>459</v>
      </c>
      <c r="CA271" s="582"/>
      <c r="CB271" s="582"/>
      <c r="CC271" s="582"/>
      <c r="CD271" s="582"/>
      <c r="CE271" s="582"/>
      <c r="CF271" s="582"/>
      <c r="CG271" s="582"/>
      <c r="CH271" s="16"/>
    </row>
    <row r="272" spans="1:86" ht="132.75" hidden="1" customHeight="1">
      <c r="A272"/>
      <c r="B272" s="23"/>
      <c r="C272" s="23"/>
      <c r="D272" s="23"/>
      <c r="E272" s="335" t="s">
        <v>68</v>
      </c>
      <c r="F272" s="335"/>
      <c r="G272" s="1055">
        <v>43222</v>
      </c>
      <c r="H272" s="365">
        <v>43229</v>
      </c>
      <c r="I272" s="17">
        <v>-2016</v>
      </c>
      <c r="J272" s="1678"/>
      <c r="K272" s="183" t="s">
        <v>465</v>
      </c>
      <c r="L272" s="20" t="s">
        <v>872</v>
      </c>
      <c r="M272" s="185" t="s">
        <v>79</v>
      </c>
      <c r="N272" s="186" t="s">
        <v>873</v>
      </c>
      <c r="O272" s="186" t="s">
        <v>4458</v>
      </c>
      <c r="P272" s="187">
        <v>440000</v>
      </c>
      <c r="Q272" s="188">
        <v>42943</v>
      </c>
      <c r="R272" s="189">
        <v>43017</v>
      </c>
      <c r="S272" s="190">
        <v>43087</v>
      </c>
      <c r="T272" s="111">
        <v>42964</v>
      </c>
      <c r="U272" s="191" t="s">
        <v>874</v>
      </c>
      <c r="V272" s="183" t="s">
        <v>472</v>
      </c>
      <c r="W272" s="688">
        <v>43017</v>
      </c>
      <c r="X272" s="1624"/>
      <c r="Y272" s="35" t="s">
        <v>875</v>
      </c>
      <c r="Z272" s="9">
        <v>42704</v>
      </c>
      <c r="AA272" s="4">
        <v>440000</v>
      </c>
      <c r="AB272" s="4"/>
      <c r="AC272" s="34"/>
      <c r="AD272" s="36" t="s">
        <v>68</v>
      </c>
      <c r="AE272" s="119" t="s">
        <v>68</v>
      </c>
      <c r="AF272" s="119" t="s">
        <v>68</v>
      </c>
      <c r="AG272" s="7" t="s">
        <v>68</v>
      </c>
      <c r="AH272" s="116" t="s">
        <v>68</v>
      </c>
      <c r="AI272" s="35" t="s">
        <v>876</v>
      </c>
      <c r="AJ272" s="1" t="s">
        <v>877</v>
      </c>
      <c r="AK272" s="5">
        <v>43005</v>
      </c>
      <c r="AL272" s="1" t="s">
        <v>878</v>
      </c>
      <c r="AM272" s="5">
        <v>42943</v>
      </c>
      <c r="AN272" s="1" t="s">
        <v>879</v>
      </c>
      <c r="AO272" s="5">
        <v>43080</v>
      </c>
      <c r="AP272" s="306">
        <f>308000+44000+44000</f>
        <v>396000</v>
      </c>
      <c r="AQ272" s="37">
        <v>0</v>
      </c>
      <c r="AR272" s="1031">
        <v>440285.77</v>
      </c>
      <c r="AS272" s="1018"/>
      <c r="AT272" s="32">
        <v>43017</v>
      </c>
      <c r="AU272" s="12">
        <v>43078</v>
      </c>
      <c r="AV272" s="243" t="s">
        <v>68</v>
      </c>
      <c r="AW272" s="244" t="s">
        <v>68</v>
      </c>
      <c r="AX272" s="32">
        <v>43077</v>
      </c>
      <c r="AY272" s="5">
        <v>43017</v>
      </c>
      <c r="AZ272" s="5">
        <v>43087</v>
      </c>
      <c r="BA272" s="12">
        <v>43077</v>
      </c>
      <c r="BB272" s="32">
        <v>43081</v>
      </c>
      <c r="BC272" s="341"/>
      <c r="BD272" s="5">
        <v>43017</v>
      </c>
      <c r="BE272" s="5">
        <v>43087</v>
      </c>
      <c r="BF272" s="5">
        <v>43077</v>
      </c>
      <c r="BG272" s="38">
        <v>440285.79</v>
      </c>
      <c r="BH272" s="64">
        <v>43081</v>
      </c>
      <c r="BI272" s="794" t="s">
        <v>68</v>
      </c>
      <c r="BJ272" s="795" t="s">
        <v>68</v>
      </c>
      <c r="BK272" s="795" t="s">
        <v>68</v>
      </c>
      <c r="BL272" s="794"/>
      <c r="BM272" s="794"/>
      <c r="BN272" s="794"/>
      <c r="BO272" s="794"/>
      <c r="BP272" s="794"/>
      <c r="BQ272" s="794"/>
      <c r="BR272" s="794"/>
      <c r="BS272" s="794" t="s">
        <v>68</v>
      </c>
      <c r="BT272" s="14"/>
      <c r="BU272" s="14"/>
      <c r="BV272" s="14"/>
      <c r="BW272" s="14"/>
      <c r="BX272" s="14"/>
      <c r="BY272" s="1432" t="s">
        <v>1567</v>
      </c>
      <c r="BZ272" s="649" t="s">
        <v>454</v>
      </c>
      <c r="CA272" s="582"/>
      <c r="CB272" s="582"/>
      <c r="CC272" s="582"/>
      <c r="CD272" s="582"/>
      <c r="CE272" s="582"/>
      <c r="CF272" s="582"/>
      <c r="CG272" s="582"/>
      <c r="CH272" s="16"/>
    </row>
    <row r="273" spans="2:86" customFormat="1" ht="75.75" hidden="1" customHeight="1">
      <c r="B273" s="23"/>
      <c r="C273" s="23"/>
      <c r="D273" s="23"/>
      <c r="E273" s="335" t="s">
        <v>68</v>
      </c>
      <c r="F273" s="335"/>
      <c r="G273" s="1055">
        <v>43152</v>
      </c>
      <c r="H273" s="365"/>
      <c r="I273" s="17">
        <v>2017</v>
      </c>
      <c r="J273" s="1678"/>
      <c r="K273" s="183" t="s">
        <v>166</v>
      </c>
      <c r="L273" s="35" t="s">
        <v>880</v>
      </c>
      <c r="M273" s="663" t="s">
        <v>79</v>
      </c>
      <c r="N273" s="662" t="s">
        <v>881</v>
      </c>
      <c r="O273" s="662" t="s">
        <v>3664</v>
      </c>
      <c r="P273" s="661">
        <v>1254850.92</v>
      </c>
      <c r="Q273" s="657">
        <v>42977</v>
      </c>
      <c r="R273" s="664">
        <v>42977</v>
      </c>
      <c r="S273" s="665">
        <v>43008</v>
      </c>
      <c r="T273" s="111">
        <v>42977</v>
      </c>
      <c r="U273" s="191" t="s">
        <v>733</v>
      </c>
      <c r="V273" s="19" t="s">
        <v>563</v>
      </c>
      <c r="W273" s="220" t="s">
        <v>68</v>
      </c>
      <c r="X273" s="406"/>
      <c r="Y273" s="35" t="s">
        <v>882</v>
      </c>
      <c r="Z273" s="9">
        <v>42977</v>
      </c>
      <c r="AA273" s="4">
        <v>4594338.3</v>
      </c>
      <c r="AB273" s="4"/>
      <c r="AC273" s="34"/>
      <c r="AD273" s="36" t="s">
        <v>68</v>
      </c>
      <c r="AE273" s="119" t="s">
        <v>68</v>
      </c>
      <c r="AF273" s="119" t="s">
        <v>68</v>
      </c>
      <c r="AG273" s="7" t="s">
        <v>68</v>
      </c>
      <c r="AH273" s="116" t="s">
        <v>68</v>
      </c>
      <c r="AI273" s="375" t="s">
        <v>589</v>
      </c>
      <c r="AJ273" s="1" t="s">
        <v>68</v>
      </c>
      <c r="AK273" s="5"/>
      <c r="AL273" s="1">
        <v>1851191</v>
      </c>
      <c r="AM273" s="5">
        <v>42977</v>
      </c>
      <c r="AN273" s="1">
        <v>1851193</v>
      </c>
      <c r="AO273" s="5">
        <v>43008</v>
      </c>
      <c r="AP273" s="306">
        <f>125485.09*2</f>
        <v>250970.18</v>
      </c>
      <c r="AQ273" s="37">
        <v>0</v>
      </c>
      <c r="AR273" s="1031">
        <v>1254850.9099999999</v>
      </c>
      <c r="AS273" s="1018"/>
      <c r="AT273" s="68" t="s">
        <v>74</v>
      </c>
      <c r="AU273" s="12"/>
      <c r="AV273" s="243" t="s">
        <v>68</v>
      </c>
      <c r="AW273" s="244" t="s">
        <v>68</v>
      </c>
      <c r="AX273" s="32">
        <v>43009</v>
      </c>
      <c r="AY273" s="5">
        <v>42977</v>
      </c>
      <c r="AZ273" s="5">
        <v>43008</v>
      </c>
      <c r="BA273" s="12">
        <v>43008</v>
      </c>
      <c r="BB273" s="32">
        <v>43009</v>
      </c>
      <c r="BC273" s="341"/>
      <c r="BD273" s="5">
        <v>42977</v>
      </c>
      <c r="BE273" s="5">
        <v>43008</v>
      </c>
      <c r="BF273" s="5">
        <v>43008</v>
      </c>
      <c r="BG273" s="38">
        <v>1254850.92</v>
      </c>
      <c r="BH273" s="64">
        <v>43010</v>
      </c>
      <c r="BI273" s="111"/>
      <c r="BJ273" s="5"/>
      <c r="BK273" s="5"/>
      <c r="BL273" s="54"/>
      <c r="BM273" s="54"/>
      <c r="BN273" s="54"/>
      <c r="BO273" s="54"/>
      <c r="BP273" s="54"/>
      <c r="BQ273" s="54"/>
      <c r="BR273" s="54"/>
      <c r="BS273" s="55"/>
      <c r="BT273" s="14"/>
      <c r="BU273" s="14"/>
      <c r="BV273" s="14"/>
      <c r="BW273" s="14"/>
      <c r="BX273" s="14"/>
      <c r="BY273" s="1432" t="s">
        <v>1567</v>
      </c>
      <c r="BZ273" s="356" t="s">
        <v>459</v>
      </c>
      <c r="CA273" s="582"/>
      <c r="CB273" s="582"/>
      <c r="CC273" s="582"/>
      <c r="CD273" s="582"/>
      <c r="CE273" s="582"/>
      <c r="CF273" s="582"/>
      <c r="CG273" s="582"/>
      <c r="CH273" s="16"/>
    </row>
    <row r="274" spans="2:86" customFormat="1" ht="78" hidden="1" customHeight="1">
      <c r="B274" s="23"/>
      <c r="C274" s="23"/>
      <c r="D274" s="23"/>
      <c r="E274" s="335" t="s">
        <v>68</v>
      </c>
      <c r="F274" s="335"/>
      <c r="G274" s="1055">
        <v>43152</v>
      </c>
      <c r="H274" s="365"/>
      <c r="I274" s="17">
        <v>2017</v>
      </c>
      <c r="J274" s="1678"/>
      <c r="K274" s="183" t="s">
        <v>166</v>
      </c>
      <c r="L274" s="35" t="s">
        <v>883</v>
      </c>
      <c r="M274" s="185" t="s">
        <v>79</v>
      </c>
      <c r="N274" s="186" t="s">
        <v>884</v>
      </c>
      <c r="O274" s="186" t="s">
        <v>1979</v>
      </c>
      <c r="P274" s="187">
        <v>1053156.1299999999</v>
      </c>
      <c r="Q274" s="188">
        <v>42977</v>
      </c>
      <c r="R274" s="189">
        <v>42977</v>
      </c>
      <c r="S274" s="190">
        <v>43053</v>
      </c>
      <c r="T274" s="111">
        <v>42977</v>
      </c>
      <c r="U274" s="191" t="s">
        <v>733</v>
      </c>
      <c r="V274" s="186" t="s">
        <v>563</v>
      </c>
      <c r="W274" s="220" t="s">
        <v>68</v>
      </c>
      <c r="X274" s="406"/>
      <c r="Y274" s="35" t="s">
        <v>487</v>
      </c>
      <c r="Z274" s="9">
        <v>42977</v>
      </c>
      <c r="AA274" s="4">
        <v>4594338.3</v>
      </c>
      <c r="AB274" s="4"/>
      <c r="AC274" s="34"/>
      <c r="AD274" s="36" t="s">
        <v>68</v>
      </c>
      <c r="AE274" s="119" t="s">
        <v>68</v>
      </c>
      <c r="AF274" s="119" t="s">
        <v>68</v>
      </c>
      <c r="AG274" s="7" t="s">
        <v>68</v>
      </c>
      <c r="AH274" s="116" t="s">
        <v>68</v>
      </c>
      <c r="AI274" s="375" t="s">
        <v>589</v>
      </c>
      <c r="AJ274" s="1" t="s">
        <v>68</v>
      </c>
      <c r="AK274" s="5"/>
      <c r="AL274" s="1">
        <v>1859616</v>
      </c>
      <c r="AM274" s="5">
        <v>42977</v>
      </c>
      <c r="AN274" s="1">
        <v>1874882</v>
      </c>
      <c r="AO274" s="5">
        <v>43053</v>
      </c>
      <c r="AP274" s="306">
        <f>105315.61*2</f>
        <v>210631.22</v>
      </c>
      <c r="AQ274" s="37">
        <v>0</v>
      </c>
      <c r="AR274" s="1031">
        <v>1053156.97</v>
      </c>
      <c r="AS274" s="1018"/>
      <c r="AT274" s="68" t="s">
        <v>74</v>
      </c>
      <c r="AU274" s="12"/>
      <c r="AV274" s="243" t="s">
        <v>68</v>
      </c>
      <c r="AW274" s="244" t="s">
        <v>68</v>
      </c>
      <c r="AX274" s="32">
        <v>43054</v>
      </c>
      <c r="AY274" s="5">
        <v>42977</v>
      </c>
      <c r="AZ274" s="5">
        <v>43053</v>
      </c>
      <c r="BA274" s="12">
        <v>43053</v>
      </c>
      <c r="BB274" s="32">
        <v>43054</v>
      </c>
      <c r="BC274" s="341"/>
      <c r="BD274" s="5">
        <v>42977</v>
      </c>
      <c r="BE274" s="5">
        <v>43053</v>
      </c>
      <c r="BF274" s="5">
        <v>43053</v>
      </c>
      <c r="BG274" s="666">
        <v>1053156.05</v>
      </c>
      <c r="BH274" s="64">
        <v>43055</v>
      </c>
      <c r="BI274" s="111"/>
      <c r="BJ274" s="5"/>
      <c r="BK274" s="5"/>
      <c r="BL274" s="54"/>
      <c r="BM274" s="54"/>
      <c r="BN274" s="54"/>
      <c r="BO274" s="54"/>
      <c r="BP274" s="54"/>
      <c r="BQ274" s="54"/>
      <c r="BR274" s="54"/>
      <c r="BS274" s="55"/>
      <c r="BT274" s="14"/>
      <c r="BU274" s="14"/>
      <c r="BV274" s="14"/>
      <c r="BW274" s="14"/>
      <c r="BX274" s="14"/>
      <c r="BY274" s="1432" t="s">
        <v>1567</v>
      </c>
      <c r="BZ274" s="356" t="s">
        <v>459</v>
      </c>
      <c r="CA274" s="582"/>
      <c r="CB274" s="582"/>
      <c r="CC274" s="582"/>
      <c r="CD274" s="582"/>
      <c r="CE274" s="582"/>
      <c r="CF274" s="582"/>
      <c r="CG274" s="582"/>
      <c r="CH274" s="16"/>
    </row>
    <row r="275" spans="2:86" customFormat="1" ht="81" hidden="1" customHeight="1">
      <c r="B275" s="23"/>
      <c r="C275" s="23"/>
      <c r="D275" s="23"/>
      <c r="E275" s="335" t="s">
        <v>68</v>
      </c>
      <c r="F275" s="335"/>
      <c r="G275" s="1055">
        <v>43332</v>
      </c>
      <c r="H275" s="365">
        <v>43322</v>
      </c>
      <c r="I275" s="17">
        <v>2017</v>
      </c>
      <c r="J275" s="1678"/>
      <c r="K275" s="183" t="s">
        <v>166</v>
      </c>
      <c r="L275" s="35" t="s">
        <v>885</v>
      </c>
      <c r="M275" s="663" t="s">
        <v>79</v>
      </c>
      <c r="N275" s="495" t="s">
        <v>886</v>
      </c>
      <c r="O275" s="495" t="s">
        <v>4877</v>
      </c>
      <c r="P275" s="661">
        <v>614358.76</v>
      </c>
      <c r="Q275" s="657">
        <v>43007</v>
      </c>
      <c r="R275" s="664">
        <v>43010</v>
      </c>
      <c r="S275" s="665">
        <v>43017</v>
      </c>
      <c r="T275" s="70">
        <v>42977</v>
      </c>
      <c r="U275" s="35" t="s">
        <v>733</v>
      </c>
      <c r="V275" s="586" t="s">
        <v>563</v>
      </c>
      <c r="W275" s="220" t="s">
        <v>68</v>
      </c>
      <c r="X275" s="406"/>
      <c r="Y275" s="35" t="s">
        <v>487</v>
      </c>
      <c r="Z275" s="9">
        <v>42977</v>
      </c>
      <c r="AA275" s="4">
        <v>4594338.3</v>
      </c>
      <c r="AB275" s="4"/>
      <c r="AC275" s="34"/>
      <c r="AD275" s="36" t="s">
        <v>68</v>
      </c>
      <c r="AE275" s="119" t="s">
        <v>68</v>
      </c>
      <c r="AF275" s="119" t="s">
        <v>68</v>
      </c>
      <c r="AG275" s="7" t="s">
        <v>68</v>
      </c>
      <c r="AH275" s="116" t="s">
        <v>68</v>
      </c>
      <c r="AI275" s="375" t="s">
        <v>589</v>
      </c>
      <c r="AJ275" s="1" t="s">
        <v>68</v>
      </c>
      <c r="AK275" s="5"/>
      <c r="AL275" s="1">
        <v>1851195</v>
      </c>
      <c r="AM275" s="5">
        <v>43007</v>
      </c>
      <c r="AN275" s="1">
        <v>1851203</v>
      </c>
      <c r="AO275" s="5">
        <v>43017</v>
      </c>
      <c r="AP275" s="306">
        <f>61435.88+61435.88</f>
        <v>122871.76</v>
      </c>
      <c r="AQ275" s="37">
        <v>0</v>
      </c>
      <c r="AR275" s="1031">
        <v>614358.76</v>
      </c>
      <c r="AS275" s="1018"/>
      <c r="AT275" s="75">
        <v>43010</v>
      </c>
      <c r="AU275" s="12">
        <v>43017</v>
      </c>
      <c r="AV275" s="243" t="s">
        <v>68</v>
      </c>
      <c r="AW275" s="244" t="s">
        <v>68</v>
      </c>
      <c r="AX275" s="32">
        <v>43018</v>
      </c>
      <c r="AY275" s="5">
        <v>43010</v>
      </c>
      <c r="AZ275" s="5">
        <v>43017</v>
      </c>
      <c r="BA275" s="12">
        <v>43017</v>
      </c>
      <c r="BB275" s="32">
        <v>43018</v>
      </c>
      <c r="BC275" s="341"/>
      <c r="BD275" s="5">
        <v>43010</v>
      </c>
      <c r="BE275" s="5">
        <v>43017</v>
      </c>
      <c r="BF275" s="5">
        <v>43017</v>
      </c>
      <c r="BG275" s="38">
        <v>614358.76</v>
      </c>
      <c r="BH275" s="64">
        <v>43019</v>
      </c>
      <c r="BI275" s="111"/>
      <c r="BJ275" s="5"/>
      <c r="BK275" s="5"/>
      <c r="BL275" s="54"/>
      <c r="BM275" s="54"/>
      <c r="BN275" s="54"/>
      <c r="BO275" s="54"/>
      <c r="BP275" s="54"/>
      <c r="BQ275" s="54"/>
      <c r="BR275" s="54"/>
      <c r="BS275" s="55"/>
      <c r="BT275" s="14"/>
      <c r="BU275" s="14"/>
      <c r="BV275" s="14"/>
      <c r="BW275" s="14"/>
      <c r="BX275" s="14"/>
      <c r="BY275" s="1432" t="s">
        <v>1567</v>
      </c>
      <c r="BZ275" s="649" t="s">
        <v>454</v>
      </c>
      <c r="CA275" s="582"/>
      <c r="CB275" s="582"/>
      <c r="CC275" s="582"/>
      <c r="CD275" s="582"/>
      <c r="CE275" s="582"/>
      <c r="CF275" s="582"/>
      <c r="CG275" s="582"/>
      <c r="CH275" s="16"/>
    </row>
    <row r="276" spans="2:86" customFormat="1" ht="119.25" hidden="1" customHeight="1">
      <c r="B276" s="23"/>
      <c r="C276" s="23"/>
      <c r="D276" s="23"/>
      <c r="E276" s="335" t="s">
        <v>68</v>
      </c>
      <c r="F276" s="335"/>
      <c r="G276" s="1055">
        <v>43271</v>
      </c>
      <c r="H276" s="365">
        <v>43048</v>
      </c>
      <c r="I276" s="17">
        <v>2017</v>
      </c>
      <c r="J276" s="1678"/>
      <c r="K276" s="183" t="s">
        <v>808</v>
      </c>
      <c r="L276" s="35" t="s">
        <v>887</v>
      </c>
      <c r="M276" s="185" t="s">
        <v>79</v>
      </c>
      <c r="N276" s="186" t="s">
        <v>888</v>
      </c>
      <c r="O276" s="186" t="s">
        <v>1979</v>
      </c>
      <c r="P276" s="187">
        <v>607706.15</v>
      </c>
      <c r="Q276" s="656">
        <v>42992</v>
      </c>
      <c r="R276" s="189">
        <v>43059</v>
      </c>
      <c r="S276" s="190">
        <v>43084</v>
      </c>
      <c r="T276" s="111">
        <v>42989</v>
      </c>
      <c r="U276" s="191" t="s">
        <v>739</v>
      </c>
      <c r="V276" s="183" t="s">
        <v>449</v>
      </c>
      <c r="W276" s="688">
        <v>42934</v>
      </c>
      <c r="X276" s="1624"/>
      <c r="Y276" s="35" t="s">
        <v>811</v>
      </c>
      <c r="Z276" s="9">
        <v>42804</v>
      </c>
      <c r="AA276" s="4">
        <v>6000000</v>
      </c>
      <c r="AB276" s="4"/>
      <c r="AC276" s="34"/>
      <c r="AD276" s="36" t="s">
        <v>68</v>
      </c>
      <c r="AE276" s="119" t="s">
        <v>68</v>
      </c>
      <c r="AF276" s="119" t="s">
        <v>68</v>
      </c>
      <c r="AG276" s="7" t="s">
        <v>68</v>
      </c>
      <c r="AH276" s="116" t="s">
        <v>68</v>
      </c>
      <c r="AI276" s="35" t="s">
        <v>787</v>
      </c>
      <c r="AJ276" s="1" t="s">
        <v>68</v>
      </c>
      <c r="AK276" s="5"/>
      <c r="AL276" s="1">
        <v>2149306</v>
      </c>
      <c r="AM276" s="5">
        <v>42992</v>
      </c>
      <c r="AN276" s="1">
        <v>2159903</v>
      </c>
      <c r="AO276" s="5">
        <v>43082</v>
      </c>
      <c r="AP276" s="306">
        <f>60770.61+60770.61</f>
        <v>121541.22</v>
      </c>
      <c r="AQ276" s="37">
        <v>0</v>
      </c>
      <c r="AR276" s="1031">
        <v>607430.92000000004</v>
      </c>
      <c r="AS276" s="1018"/>
      <c r="AT276" s="68" t="s">
        <v>74</v>
      </c>
      <c r="AU276" s="12"/>
      <c r="AV276" s="243"/>
      <c r="AW276" s="54"/>
      <c r="AX276" s="32">
        <v>43084</v>
      </c>
      <c r="AY276" s="5">
        <v>43059</v>
      </c>
      <c r="AZ276" s="5">
        <v>43084</v>
      </c>
      <c r="BA276" s="12">
        <v>43084</v>
      </c>
      <c r="BB276" s="32">
        <v>43084</v>
      </c>
      <c r="BC276" s="341"/>
      <c r="BD276" s="5">
        <v>43059</v>
      </c>
      <c r="BE276" s="5">
        <v>43084</v>
      </c>
      <c r="BF276" s="521">
        <v>43084</v>
      </c>
      <c r="BG276" s="38">
        <f>AQ276+AR276-0.01</f>
        <v>607430.91</v>
      </c>
      <c r="BH276" s="64">
        <v>43084</v>
      </c>
      <c r="BI276" s="111"/>
      <c r="BJ276" s="5"/>
      <c r="BK276" s="5"/>
      <c r="BL276" s="54"/>
      <c r="BM276" s="54"/>
      <c r="BN276" s="54"/>
      <c r="BO276" s="54"/>
      <c r="BP276" s="54"/>
      <c r="BQ276" s="54"/>
      <c r="BR276" s="54"/>
      <c r="BS276" s="55"/>
      <c r="BT276" s="14"/>
      <c r="BU276" s="14"/>
      <c r="BV276" s="14"/>
      <c r="BW276" s="14"/>
      <c r="BX276" s="14"/>
      <c r="BY276" s="1432" t="s">
        <v>1567</v>
      </c>
      <c r="BZ276" s="356" t="s">
        <v>459</v>
      </c>
      <c r="CA276" s="582"/>
      <c r="CB276" s="2"/>
      <c r="CC276" s="2"/>
      <c r="CD276" s="2"/>
      <c r="CE276" s="2"/>
      <c r="CF276" s="2"/>
      <c r="CG276" s="2"/>
      <c r="CH276" s="16"/>
    </row>
    <row r="277" spans="2:86" s="1241" customFormat="1" ht="26.25" hidden="1" customHeight="1">
      <c r="B277" s="1242"/>
      <c r="C277" s="1242"/>
      <c r="D277" s="1242"/>
      <c r="E277" s="1242"/>
      <c r="F277" s="1242"/>
      <c r="G277" s="610"/>
      <c r="H277" s="700"/>
      <c r="I277" s="588">
        <v>2017</v>
      </c>
      <c r="J277" s="1683"/>
      <c r="K277" s="1245"/>
      <c r="L277" s="955" t="s">
        <v>889</v>
      </c>
      <c r="M277" s="1763" t="s">
        <v>251</v>
      </c>
      <c r="N277" s="1764" t="s">
        <v>627</v>
      </c>
      <c r="O277" s="1764"/>
      <c r="P277" s="1248"/>
      <c r="Q277" s="1249"/>
      <c r="R277" s="1250"/>
      <c r="S277" s="1251"/>
      <c r="T277" s="1242"/>
      <c r="U277" s="1246"/>
      <c r="V277" s="1245"/>
      <c r="W277" s="1278"/>
      <c r="X277" s="1631"/>
      <c r="Y277" s="340"/>
      <c r="Z277" s="1254"/>
      <c r="AA277" s="1255"/>
      <c r="AB277" s="1255"/>
      <c r="AC277" s="1256"/>
      <c r="AD277" s="1257"/>
      <c r="AE277" s="1258"/>
      <c r="AF277" s="1258"/>
      <c r="AG277" s="1259"/>
      <c r="AH277" s="1260"/>
      <c r="AI277" s="340"/>
      <c r="AJ277" s="1261"/>
      <c r="AK277" s="1262"/>
      <c r="AL277" s="1261"/>
      <c r="AM277" s="1262"/>
      <c r="AN277" s="1261"/>
      <c r="AO277" s="1261"/>
      <c r="AP277" s="1263"/>
      <c r="AQ277" s="1264">
        <v>0</v>
      </c>
      <c r="AR277" s="1265"/>
      <c r="AS277" s="1266"/>
      <c r="AT277" s="1267"/>
      <c r="AU277" s="1268"/>
      <c r="AV277" s="1269"/>
      <c r="AW277" s="1270"/>
      <c r="AX277" s="955"/>
      <c r="AY277" s="1261"/>
      <c r="AZ277" s="1261"/>
      <c r="BA277" s="1271"/>
      <c r="BB277" s="955"/>
      <c r="BC277" s="1756"/>
      <c r="BD277" s="1261"/>
      <c r="BE277" s="1261"/>
      <c r="BF277" s="1261"/>
      <c r="BG277" s="1272">
        <f>AQ277+AR277</f>
        <v>0</v>
      </c>
      <c r="BH277" s="1273"/>
      <c r="BI277" s="1252"/>
      <c r="BJ277" s="1262"/>
      <c r="BK277" s="1262"/>
      <c r="BL277" s="1270"/>
      <c r="BM277" s="1270"/>
      <c r="BN277" s="1270"/>
      <c r="BO277" s="1270"/>
      <c r="BP277" s="1270"/>
      <c r="BQ277" s="1270"/>
      <c r="BR277" s="1270"/>
      <c r="BS277" s="1758"/>
      <c r="BT277" s="1273"/>
      <c r="BU277" s="1273"/>
      <c r="BV277" s="1273"/>
      <c r="BW277" s="1273"/>
      <c r="BX277" s="1273"/>
      <c r="BY277" s="1760" t="s">
        <v>1567</v>
      </c>
      <c r="BZ277" s="133" t="s">
        <v>478</v>
      </c>
      <c r="CA277" s="903"/>
      <c r="CB277" s="903"/>
      <c r="CC277" s="903"/>
      <c r="CD277" s="903"/>
      <c r="CE277" s="903"/>
      <c r="CF277" s="903"/>
      <c r="CG277" s="903"/>
      <c r="CH277" s="1277"/>
    </row>
    <row r="278" spans="2:86" customFormat="1" ht="83.25" hidden="1" customHeight="1">
      <c r="B278" s="23"/>
      <c r="C278" s="23"/>
      <c r="D278" s="23"/>
      <c r="E278" s="335" t="s">
        <v>68</v>
      </c>
      <c r="F278" s="335"/>
      <c r="G278" s="1055">
        <v>43304</v>
      </c>
      <c r="H278" s="365">
        <v>43327</v>
      </c>
      <c r="I278" s="17">
        <v>-2016</v>
      </c>
      <c r="J278" s="1678"/>
      <c r="K278" s="183" t="s">
        <v>77</v>
      </c>
      <c r="L278" s="20" t="s">
        <v>890</v>
      </c>
      <c r="M278" s="185" t="s">
        <v>79</v>
      </c>
      <c r="N278" s="186" t="s">
        <v>891</v>
      </c>
      <c r="O278" s="186" t="s">
        <v>2574</v>
      </c>
      <c r="P278" s="187">
        <v>335569.36</v>
      </c>
      <c r="Q278" s="656">
        <v>43000</v>
      </c>
      <c r="R278" s="189">
        <v>43003</v>
      </c>
      <c r="S278" s="190">
        <v>43023</v>
      </c>
      <c r="T278" s="70">
        <v>42999</v>
      </c>
      <c r="U278" s="191" t="s">
        <v>892</v>
      </c>
      <c r="V278" s="183" t="s">
        <v>114</v>
      </c>
      <c r="W278" s="732" t="s">
        <v>74</v>
      </c>
      <c r="X278" s="732"/>
      <c r="Y278" s="491" t="s">
        <v>893</v>
      </c>
      <c r="Z278" s="9">
        <v>42674</v>
      </c>
      <c r="AA278" s="4">
        <v>335569.36</v>
      </c>
      <c r="AB278" s="4"/>
      <c r="AC278" s="34"/>
      <c r="AD278" s="36" t="s">
        <v>68</v>
      </c>
      <c r="AE278" s="119" t="s">
        <v>68</v>
      </c>
      <c r="AF278" s="119" t="s">
        <v>68</v>
      </c>
      <c r="AG278" s="7" t="s">
        <v>68</v>
      </c>
      <c r="AH278" s="235" t="s">
        <v>68</v>
      </c>
      <c r="AI278" s="491" t="s">
        <v>894</v>
      </c>
      <c r="AJ278" s="1" t="s">
        <v>895</v>
      </c>
      <c r="AK278" s="5">
        <v>43000</v>
      </c>
      <c r="AL278" s="1" t="s">
        <v>896</v>
      </c>
      <c r="AM278" s="5">
        <v>43000</v>
      </c>
      <c r="AN278" s="1" t="s">
        <v>83</v>
      </c>
      <c r="AO278" s="1"/>
      <c r="AP278" s="306">
        <f>8392.34+33556.93</f>
        <v>41949.270000000004</v>
      </c>
      <c r="AQ278" s="37">
        <v>0</v>
      </c>
      <c r="AR278" s="1031">
        <v>335569.36</v>
      </c>
      <c r="AS278" s="1018"/>
      <c r="AT278" s="373" t="s">
        <v>74</v>
      </c>
      <c r="AU278" s="12"/>
      <c r="AV278" s="243" t="s">
        <v>68</v>
      </c>
      <c r="AW278" s="244" t="s">
        <v>68</v>
      </c>
      <c r="AX278" s="381">
        <v>43071</v>
      </c>
      <c r="AY278" s="5">
        <v>43052</v>
      </c>
      <c r="AZ278" s="5">
        <v>43072</v>
      </c>
      <c r="BA278" s="12">
        <v>43071</v>
      </c>
      <c r="BB278" s="381">
        <v>43076</v>
      </c>
      <c r="BC278" s="1953"/>
      <c r="BD278" s="5">
        <v>43052</v>
      </c>
      <c r="BE278" s="5">
        <v>43072</v>
      </c>
      <c r="BF278" s="5">
        <v>43071</v>
      </c>
      <c r="BG278" s="38">
        <f>AQ278+AR278</f>
        <v>335569.36</v>
      </c>
      <c r="BH278" s="14"/>
      <c r="BI278" s="794" t="s">
        <v>68</v>
      </c>
      <c r="BJ278" s="795" t="s">
        <v>68</v>
      </c>
      <c r="BK278" s="795" t="s">
        <v>68</v>
      </c>
      <c r="BL278" s="794"/>
      <c r="BM278" s="794"/>
      <c r="BN278" s="794"/>
      <c r="BO278" s="794"/>
      <c r="BP278" s="794"/>
      <c r="BQ278" s="794"/>
      <c r="BR278" s="794"/>
      <c r="BS278" s="794" t="s">
        <v>68</v>
      </c>
      <c r="BT278" s="14"/>
      <c r="BU278" s="14"/>
      <c r="BV278" s="14"/>
      <c r="BW278" s="14"/>
      <c r="BX278" s="14"/>
      <c r="BY278" s="1432" t="s">
        <v>1567</v>
      </c>
      <c r="BZ278" s="356" t="s">
        <v>459</v>
      </c>
      <c r="CA278" s="582"/>
      <c r="CB278" s="582"/>
      <c r="CC278" s="582"/>
      <c r="CD278" s="582"/>
      <c r="CE278" s="582"/>
      <c r="CF278" s="582"/>
      <c r="CG278" s="582"/>
      <c r="CH278" s="16"/>
    </row>
    <row r="279" spans="2:86" customFormat="1" ht="109.5" hidden="1" customHeight="1">
      <c r="B279" s="23"/>
      <c r="C279" s="23"/>
      <c r="D279" s="23"/>
      <c r="E279" s="335" t="s">
        <v>68</v>
      </c>
      <c r="F279" s="335"/>
      <c r="G279" s="1055">
        <v>43132</v>
      </c>
      <c r="H279" s="365"/>
      <c r="I279" s="17">
        <v>2017</v>
      </c>
      <c r="J279" s="1678"/>
      <c r="K279" s="183" t="s">
        <v>166</v>
      </c>
      <c r="L279" s="35" t="s">
        <v>897</v>
      </c>
      <c r="M279" s="185" t="s">
        <v>79</v>
      </c>
      <c r="N279" s="186" t="s">
        <v>898</v>
      </c>
      <c r="O279" s="186" t="s">
        <v>2613</v>
      </c>
      <c r="P279" s="187">
        <v>240397.92</v>
      </c>
      <c r="Q279" s="188">
        <v>42979</v>
      </c>
      <c r="R279" s="189">
        <v>42980</v>
      </c>
      <c r="S279" s="190">
        <v>43007</v>
      </c>
      <c r="T279" s="111">
        <v>42978</v>
      </c>
      <c r="U279" s="191" t="s">
        <v>899</v>
      </c>
      <c r="V279" s="726" t="s">
        <v>563</v>
      </c>
      <c r="W279" s="505" t="s">
        <v>74</v>
      </c>
      <c r="X279" s="1623"/>
      <c r="Y279" s="35" t="s">
        <v>900</v>
      </c>
      <c r="Z279" s="9">
        <v>42977</v>
      </c>
      <c r="AA279" s="4">
        <v>44815.73</v>
      </c>
      <c r="AB279" s="4"/>
      <c r="AC279" s="34">
        <v>240398.92</v>
      </c>
      <c r="AD279" s="36" t="s">
        <v>68</v>
      </c>
      <c r="AE279" s="119" t="s">
        <v>68</v>
      </c>
      <c r="AF279" s="119" t="s">
        <v>68</v>
      </c>
      <c r="AG279" s="7" t="s">
        <v>68</v>
      </c>
      <c r="AH279" s="116" t="s">
        <v>68</v>
      </c>
      <c r="AI279" s="35" t="s">
        <v>787</v>
      </c>
      <c r="AJ279" s="1" t="s">
        <v>68</v>
      </c>
      <c r="AK279" s="5"/>
      <c r="AL279" s="1">
        <v>2138763</v>
      </c>
      <c r="AM279" s="5">
        <v>42979</v>
      </c>
      <c r="AN279" s="1">
        <v>2138766</v>
      </c>
      <c r="AO279" s="5">
        <v>43007</v>
      </c>
      <c r="AP279" s="306">
        <f>27886.15+27886.15</f>
        <v>55772.3</v>
      </c>
      <c r="AQ279" s="37">
        <v>0</v>
      </c>
      <c r="AR279" s="1031"/>
      <c r="AS279" s="1018"/>
      <c r="AT279" s="68" t="s">
        <v>74</v>
      </c>
      <c r="AU279" s="559"/>
      <c r="AV279" s="243" t="s">
        <v>68</v>
      </c>
      <c r="AW279" s="54" t="s">
        <v>68</v>
      </c>
      <c r="AX279" s="32">
        <v>43010</v>
      </c>
      <c r="AY279" s="5">
        <v>42980</v>
      </c>
      <c r="AZ279" s="5">
        <v>43007</v>
      </c>
      <c r="BA279" s="12">
        <v>43007</v>
      </c>
      <c r="BB279" s="32">
        <v>43010</v>
      </c>
      <c r="BC279" s="341"/>
      <c r="BD279" s="5">
        <v>42980</v>
      </c>
      <c r="BE279" s="5">
        <v>43007</v>
      </c>
      <c r="BF279" s="5">
        <v>43007</v>
      </c>
      <c r="BG279" s="38">
        <v>305846.5</v>
      </c>
      <c r="BH279" s="64">
        <v>43011</v>
      </c>
      <c r="BI279" s="111"/>
      <c r="BJ279" s="5"/>
      <c r="BK279" s="5"/>
      <c r="BL279" s="54"/>
      <c r="BM279" s="54"/>
      <c r="BN279" s="54"/>
      <c r="BO279" s="54"/>
      <c r="BP279" s="54"/>
      <c r="BQ279" s="54"/>
      <c r="BR279" s="54"/>
      <c r="BS279" s="55"/>
      <c r="BT279" s="14"/>
      <c r="BU279" s="14"/>
      <c r="BV279" s="14"/>
      <c r="BW279" s="14"/>
      <c r="BX279" s="14"/>
      <c r="BY279" s="1432" t="s">
        <v>1567</v>
      </c>
      <c r="BZ279" s="356" t="s">
        <v>459</v>
      </c>
      <c r="CA279" s="582"/>
      <c r="CB279" s="582"/>
      <c r="CC279" s="582"/>
      <c r="CD279" s="582"/>
      <c r="CE279" s="582"/>
      <c r="CF279" s="582"/>
      <c r="CG279" s="582"/>
      <c r="CH279" s="16"/>
    </row>
    <row r="280" spans="2:86" customFormat="1" ht="126" hidden="1" customHeight="1">
      <c r="B280" s="23"/>
      <c r="C280" s="23"/>
      <c r="D280" s="23"/>
      <c r="E280" s="335" t="s">
        <v>68</v>
      </c>
      <c r="F280" s="335"/>
      <c r="G280" s="1055">
        <v>43213</v>
      </c>
      <c r="H280" s="365"/>
      <c r="I280" s="17">
        <v>2017</v>
      </c>
      <c r="J280" s="1678"/>
      <c r="K280" s="183" t="s">
        <v>166</v>
      </c>
      <c r="L280" s="35" t="s">
        <v>901</v>
      </c>
      <c r="M280" s="185" t="s">
        <v>79</v>
      </c>
      <c r="N280" s="186" t="s">
        <v>902</v>
      </c>
      <c r="O280" s="186" t="s">
        <v>1979</v>
      </c>
      <c r="P280" s="187">
        <v>743056.9</v>
      </c>
      <c r="Q280" s="656">
        <v>43052</v>
      </c>
      <c r="R280" s="686">
        <v>43061</v>
      </c>
      <c r="S280" s="687">
        <v>43084</v>
      </c>
      <c r="T280" s="70">
        <v>43049</v>
      </c>
      <c r="U280" s="191" t="s">
        <v>903</v>
      </c>
      <c r="V280" s="183" t="s">
        <v>709</v>
      </c>
      <c r="W280" s="659" t="s">
        <v>68</v>
      </c>
      <c r="X280" s="1626"/>
      <c r="Y280" s="491" t="s">
        <v>904</v>
      </c>
      <c r="Z280" s="9">
        <v>42977</v>
      </c>
      <c r="AA280" s="4">
        <v>675506.28</v>
      </c>
      <c r="AB280" s="4"/>
      <c r="AC280" s="34"/>
      <c r="AD280" s="36" t="s">
        <v>68</v>
      </c>
      <c r="AE280" s="119" t="s">
        <v>68</v>
      </c>
      <c r="AF280" s="119" t="s">
        <v>68</v>
      </c>
      <c r="AG280" s="7" t="s">
        <v>68</v>
      </c>
      <c r="AH280" s="235" t="s">
        <v>68</v>
      </c>
      <c r="AI280" s="375" t="s">
        <v>589</v>
      </c>
      <c r="AJ280" s="1">
        <v>1871663</v>
      </c>
      <c r="AK280" s="5">
        <v>43056</v>
      </c>
      <c r="AL280" s="1">
        <v>1871692</v>
      </c>
      <c r="AM280" s="5">
        <v>43056</v>
      </c>
      <c r="AN280" s="1">
        <v>1881383</v>
      </c>
      <c r="AO280" s="5">
        <v>43137</v>
      </c>
      <c r="AP280" s="306">
        <f>371528.45+74305.69+74305.69</f>
        <v>520139.83</v>
      </c>
      <c r="AQ280" s="37">
        <v>0</v>
      </c>
      <c r="AR280" s="1032">
        <v>743056.9</v>
      </c>
      <c r="AS280" s="1019"/>
      <c r="AT280" s="373" t="s">
        <v>74</v>
      </c>
      <c r="AU280" s="12"/>
      <c r="AV280" s="243" t="s">
        <v>68</v>
      </c>
      <c r="AW280" s="244" t="s">
        <v>68</v>
      </c>
      <c r="AX280" s="75">
        <v>43126</v>
      </c>
      <c r="AY280" s="5">
        <v>43085</v>
      </c>
      <c r="AZ280" s="259">
        <v>43126</v>
      </c>
      <c r="BA280" s="12">
        <v>43126</v>
      </c>
      <c r="BB280" s="375">
        <v>43126</v>
      </c>
      <c r="BC280" s="1952"/>
      <c r="BD280" s="5">
        <v>43085</v>
      </c>
      <c r="BE280" s="259">
        <v>43126</v>
      </c>
      <c r="BF280" s="5">
        <v>43126</v>
      </c>
      <c r="BG280" s="38">
        <v>743056.9</v>
      </c>
      <c r="BH280" s="64">
        <v>43126</v>
      </c>
      <c r="BI280" s="111"/>
      <c r="BJ280" s="5"/>
      <c r="BK280" s="5"/>
      <c r="BL280" s="54"/>
      <c r="BM280" s="54"/>
      <c r="BN280" s="54"/>
      <c r="BO280" s="54"/>
      <c r="BP280" s="54"/>
      <c r="BQ280" s="54"/>
      <c r="BR280" s="54"/>
      <c r="BS280" s="55"/>
      <c r="BT280" s="14"/>
      <c r="BU280" s="14"/>
      <c r="BV280" s="14"/>
      <c r="BW280" s="14"/>
      <c r="BX280" s="14"/>
      <c r="BY280" s="1432" t="s">
        <v>1567</v>
      </c>
      <c r="BZ280" s="356" t="s">
        <v>459</v>
      </c>
      <c r="CA280" s="582"/>
      <c r="CB280" s="582"/>
      <c r="CC280" s="582"/>
      <c r="CD280" s="582"/>
      <c r="CE280" s="582"/>
      <c r="CF280" s="582"/>
      <c r="CG280" s="582"/>
      <c r="CH280" s="16"/>
    </row>
    <row r="281" spans="2:86" customFormat="1" ht="124.5" hidden="1" customHeight="1">
      <c r="B281" s="23"/>
      <c r="C281" s="23"/>
      <c r="D281" s="23"/>
      <c r="E281" s="335" t="s">
        <v>68</v>
      </c>
      <c r="F281" s="335"/>
      <c r="G281" s="1055">
        <v>43355</v>
      </c>
      <c r="H281" s="365">
        <v>43439</v>
      </c>
      <c r="I281" s="17">
        <v>2017</v>
      </c>
      <c r="J281" s="1678"/>
      <c r="K281" s="183" t="s">
        <v>77</v>
      </c>
      <c r="L281" s="35" t="s">
        <v>905</v>
      </c>
      <c r="M281" s="185" t="s">
        <v>79</v>
      </c>
      <c r="N281" s="495" t="s">
        <v>906</v>
      </c>
      <c r="O281" s="495" t="s">
        <v>4458</v>
      </c>
      <c r="P281" s="187">
        <v>493878.63</v>
      </c>
      <c r="Q281" s="656">
        <v>43047</v>
      </c>
      <c r="R281" s="189">
        <v>43048</v>
      </c>
      <c r="S281" s="190">
        <v>43086</v>
      </c>
      <c r="T281" s="70">
        <v>43046</v>
      </c>
      <c r="U281" s="123" t="s">
        <v>199</v>
      </c>
      <c r="V281" s="183" t="s">
        <v>213</v>
      </c>
      <c r="W281" s="781" t="s">
        <v>907</v>
      </c>
      <c r="X281" s="1627"/>
      <c r="Y281" s="491" t="s">
        <v>908</v>
      </c>
      <c r="Z281" s="9">
        <v>43045</v>
      </c>
      <c r="AA281" s="4">
        <v>1009625.88</v>
      </c>
      <c r="AB281" s="4"/>
      <c r="AC281" s="34"/>
      <c r="AD281" s="36" t="s">
        <v>68</v>
      </c>
      <c r="AE281" s="119" t="s">
        <v>68</v>
      </c>
      <c r="AF281" s="119" t="s">
        <v>68</v>
      </c>
      <c r="AG281" s="7" t="s">
        <v>68</v>
      </c>
      <c r="AH281" s="235" t="s">
        <v>68</v>
      </c>
      <c r="AI281" s="380" t="s">
        <v>107</v>
      </c>
      <c r="AJ281" s="379" t="s">
        <v>68</v>
      </c>
      <c r="AK281" s="360"/>
      <c r="AL281" s="379" t="s">
        <v>909</v>
      </c>
      <c r="AM281" s="5">
        <v>43083</v>
      </c>
      <c r="AN281" s="1" t="s">
        <v>910</v>
      </c>
      <c r="AO281" s="5">
        <v>43091</v>
      </c>
      <c r="AP281" s="306">
        <f>5163.54+49387.86</f>
        <v>54551.4</v>
      </c>
      <c r="AQ281" s="37">
        <v>0</v>
      </c>
      <c r="AR281" s="1040"/>
      <c r="AS281" s="1019">
        <v>493878.63</v>
      </c>
      <c r="AT281" s="373" t="s">
        <v>74</v>
      </c>
      <c r="AU281" s="12"/>
      <c r="AV281" s="243" t="s">
        <v>68</v>
      </c>
      <c r="AW281" s="244" t="s">
        <v>68</v>
      </c>
      <c r="AX281" s="124" t="s">
        <v>74</v>
      </c>
      <c r="AY281" s="1"/>
      <c r="AZ281" s="1"/>
      <c r="BA281" s="18"/>
      <c r="BB281" s="373" t="s">
        <v>74</v>
      </c>
      <c r="BC281" s="1956"/>
      <c r="BD281" s="5"/>
      <c r="BE281" s="5"/>
      <c r="BF281" s="5"/>
      <c r="BG281" s="38">
        <f>AQ281+AR281</f>
        <v>0</v>
      </c>
      <c r="BH281" s="14"/>
      <c r="BI281" s="773"/>
      <c r="BJ281" s="521"/>
      <c r="BK281" s="521"/>
      <c r="BL281" s="521"/>
      <c r="BM281" s="521"/>
      <c r="BN281" s="521"/>
      <c r="BO281" s="521"/>
      <c r="BP281" s="521"/>
      <c r="BQ281" s="1014"/>
      <c r="BR281" s="1014"/>
      <c r="BS281" s="792"/>
      <c r="BT281" s="14"/>
      <c r="BU281" s="14"/>
      <c r="BV281" s="14"/>
      <c r="BW281" s="14"/>
      <c r="BX281" s="14"/>
      <c r="BY281" s="1432" t="s">
        <v>1567</v>
      </c>
      <c r="BZ281" s="356" t="s">
        <v>459</v>
      </c>
      <c r="CA281" s="582"/>
      <c r="CB281" s="582"/>
      <c r="CC281" s="582"/>
      <c r="CD281" s="582"/>
      <c r="CE281" s="582"/>
      <c r="CF281" s="582"/>
      <c r="CG281" s="582"/>
      <c r="CH281" s="16"/>
    </row>
    <row r="282" spans="2:86" customFormat="1" ht="126" hidden="1" customHeight="1">
      <c r="B282" s="23"/>
      <c r="C282" s="23"/>
      <c r="D282" s="23"/>
      <c r="E282" s="335" t="s">
        <v>68</v>
      </c>
      <c r="F282" s="335"/>
      <c r="G282" s="1055">
        <v>43355</v>
      </c>
      <c r="H282" s="365">
        <v>43439</v>
      </c>
      <c r="I282" s="17">
        <v>2017</v>
      </c>
      <c r="J282" s="1678"/>
      <c r="K282" s="183" t="s">
        <v>77</v>
      </c>
      <c r="L282" s="35" t="s">
        <v>911</v>
      </c>
      <c r="M282" s="185" t="s">
        <v>79</v>
      </c>
      <c r="N282" s="495" t="s">
        <v>912</v>
      </c>
      <c r="O282" s="495" t="s">
        <v>4458</v>
      </c>
      <c r="P282" s="187">
        <v>515747.25</v>
      </c>
      <c r="Q282" s="656">
        <v>43047</v>
      </c>
      <c r="R282" s="189">
        <v>43048</v>
      </c>
      <c r="S282" s="190">
        <v>43081</v>
      </c>
      <c r="T282" s="70">
        <v>43046</v>
      </c>
      <c r="U282" s="123" t="s">
        <v>199</v>
      </c>
      <c r="V282" s="183" t="s">
        <v>213</v>
      </c>
      <c r="W282" s="505" t="s">
        <v>74</v>
      </c>
      <c r="X282" s="1623"/>
      <c r="Y282" s="491" t="s">
        <v>908</v>
      </c>
      <c r="Z282" s="9">
        <v>43045</v>
      </c>
      <c r="AA282" s="4">
        <v>1009625.88</v>
      </c>
      <c r="AB282" s="4"/>
      <c r="AC282" s="34"/>
      <c r="AD282" s="36" t="s">
        <v>68</v>
      </c>
      <c r="AE282" s="119" t="s">
        <v>68</v>
      </c>
      <c r="AF282" s="119" t="s">
        <v>68</v>
      </c>
      <c r="AG282" s="7" t="s">
        <v>68</v>
      </c>
      <c r="AH282" s="235" t="s">
        <v>68</v>
      </c>
      <c r="AI282" s="380" t="s">
        <v>107</v>
      </c>
      <c r="AJ282" s="1" t="s">
        <v>68</v>
      </c>
      <c r="AK282" s="5"/>
      <c r="AL282" s="379" t="s">
        <v>913</v>
      </c>
      <c r="AM282" s="5">
        <v>43080</v>
      </c>
      <c r="AN282" s="1" t="s">
        <v>914</v>
      </c>
      <c r="AO282" s="5">
        <v>43084</v>
      </c>
      <c r="AP282" s="306">
        <f>512818.87+1574.72</f>
        <v>514393.58999999997</v>
      </c>
      <c r="AQ282" s="37">
        <v>0</v>
      </c>
      <c r="AR282" s="1040"/>
      <c r="AS282" s="1019">
        <v>515747.25</v>
      </c>
      <c r="AT282" s="373" t="s">
        <v>74</v>
      </c>
      <c r="AU282" s="12"/>
      <c r="AV282" s="243" t="s">
        <v>68</v>
      </c>
      <c r="AW282" s="244" t="s">
        <v>68</v>
      </c>
      <c r="AX282" s="124" t="s">
        <v>74</v>
      </c>
      <c r="AY282" s="1"/>
      <c r="AZ282" s="1"/>
      <c r="BA282" s="18"/>
      <c r="BB282" s="373" t="s">
        <v>74</v>
      </c>
      <c r="BC282" s="1956"/>
      <c r="BD282" s="5"/>
      <c r="BE282" s="5"/>
      <c r="BF282" s="5"/>
      <c r="BG282" s="38">
        <f>AQ282+AR282</f>
        <v>0</v>
      </c>
      <c r="BH282" s="14"/>
      <c r="BI282" s="773"/>
      <c r="BJ282" s="521"/>
      <c r="BK282" s="521"/>
      <c r="BL282" s="521"/>
      <c r="BM282" s="521"/>
      <c r="BN282" s="521"/>
      <c r="BO282" s="521"/>
      <c r="BP282" s="521"/>
      <c r="BQ282" s="1014"/>
      <c r="BR282" s="1014"/>
      <c r="BS282" s="792"/>
      <c r="BT282" s="14"/>
      <c r="BU282" s="14"/>
      <c r="BV282" s="14"/>
      <c r="BW282" s="14"/>
      <c r="BX282" s="14"/>
      <c r="BY282" s="1432" t="s">
        <v>1567</v>
      </c>
      <c r="BZ282" s="356" t="s">
        <v>459</v>
      </c>
      <c r="CA282" s="582"/>
      <c r="CB282" s="582"/>
      <c r="CC282" s="582"/>
      <c r="CD282" s="582"/>
      <c r="CE282" s="582"/>
      <c r="CF282" s="582"/>
      <c r="CG282" s="582"/>
      <c r="CH282" s="16"/>
    </row>
    <row r="283" spans="2:86" customFormat="1" ht="75" hidden="1" customHeight="1">
      <c r="B283" s="23"/>
      <c r="C283" s="23"/>
      <c r="D283" s="23"/>
      <c r="E283" s="335" t="s">
        <v>68</v>
      </c>
      <c r="F283" s="335"/>
      <c r="G283" s="1055">
        <v>43269</v>
      </c>
      <c r="H283" s="365">
        <v>43271</v>
      </c>
      <c r="I283" s="17">
        <v>2017</v>
      </c>
      <c r="J283" s="1678"/>
      <c r="K283" s="183" t="s">
        <v>77</v>
      </c>
      <c r="L283" s="35" t="s">
        <v>915</v>
      </c>
      <c r="M283" s="185" t="s">
        <v>79</v>
      </c>
      <c r="N283" s="495" t="s">
        <v>916</v>
      </c>
      <c r="O283" s="495" t="s">
        <v>2548</v>
      </c>
      <c r="P283" s="187">
        <v>392640.25</v>
      </c>
      <c r="Q283" s="188">
        <v>43046</v>
      </c>
      <c r="R283" s="189">
        <v>43047</v>
      </c>
      <c r="S283" s="190">
        <v>43078</v>
      </c>
      <c r="T283" s="111">
        <v>43045</v>
      </c>
      <c r="U283" s="191" t="s">
        <v>917</v>
      </c>
      <c r="V283" s="183" t="s">
        <v>563</v>
      </c>
      <c r="W283" s="688">
        <v>43042</v>
      </c>
      <c r="X283" s="1624"/>
      <c r="Y283" s="35" t="s">
        <v>918</v>
      </c>
      <c r="Z283" s="9">
        <v>43045</v>
      </c>
      <c r="AA283" s="4">
        <v>392792.05</v>
      </c>
      <c r="AB283" s="4"/>
      <c r="AC283" s="34"/>
      <c r="AD283" s="36" t="s">
        <v>68</v>
      </c>
      <c r="AE283" s="119" t="s">
        <v>68</v>
      </c>
      <c r="AF283" s="119" t="s">
        <v>68</v>
      </c>
      <c r="AG283" s="7" t="s">
        <v>68</v>
      </c>
      <c r="AH283" s="116" t="s">
        <v>68</v>
      </c>
      <c r="AI283" s="375" t="s">
        <v>589</v>
      </c>
      <c r="AJ283" s="1">
        <v>1851937</v>
      </c>
      <c r="AK283" s="5">
        <v>43046</v>
      </c>
      <c r="AL283" s="1">
        <v>1851939</v>
      </c>
      <c r="AM283" s="5">
        <v>43046</v>
      </c>
      <c r="AN283" s="135">
        <v>1885357</v>
      </c>
      <c r="AO283" s="5">
        <v>43150</v>
      </c>
      <c r="AP283" s="306">
        <f>98160.06+39264.03+42819.7</f>
        <v>180243.78999999998</v>
      </c>
      <c r="AQ283" s="37">
        <v>0</v>
      </c>
      <c r="AR283" s="1031">
        <v>430050.61</v>
      </c>
      <c r="AS283" s="1018"/>
      <c r="AT283" s="75">
        <v>42986</v>
      </c>
      <c r="AU283" s="12">
        <v>43077</v>
      </c>
      <c r="AV283" s="243" t="s">
        <v>68</v>
      </c>
      <c r="AW283" s="54" t="s">
        <v>68</v>
      </c>
      <c r="AX283" s="75">
        <v>43115</v>
      </c>
      <c r="AY283" s="5">
        <v>43047</v>
      </c>
      <c r="AZ283" s="5">
        <v>43078</v>
      </c>
      <c r="BA283" s="12">
        <v>43078</v>
      </c>
      <c r="BB283" s="75">
        <v>43150</v>
      </c>
      <c r="BC283" s="1950"/>
      <c r="BD283" s="76">
        <v>43048</v>
      </c>
      <c r="BE283" s="76">
        <v>43078</v>
      </c>
      <c r="BF283" s="76">
        <v>43078</v>
      </c>
      <c r="BG283" s="136">
        <f>AQ283+AR283</f>
        <v>430050.61</v>
      </c>
      <c r="BH283" s="64">
        <v>43157</v>
      </c>
      <c r="BI283" s="111"/>
      <c r="BJ283" s="5"/>
      <c r="BK283" s="5"/>
      <c r="BL283" s="54"/>
      <c r="BM283" s="54"/>
      <c r="BN283" s="54"/>
      <c r="BO283" s="54"/>
      <c r="BP283" s="54"/>
      <c r="BQ283" s="54"/>
      <c r="BR283" s="54"/>
      <c r="BS283" s="55"/>
      <c r="BT283" s="14"/>
      <c r="BU283" s="14"/>
      <c r="BV283" s="14"/>
      <c r="BW283" s="14"/>
      <c r="BX283" s="14"/>
      <c r="BY283" s="1432" t="s">
        <v>1567</v>
      </c>
      <c r="BZ283" s="649" t="s">
        <v>454</v>
      </c>
      <c r="CA283" s="582"/>
      <c r="CB283" s="582"/>
      <c r="CC283" s="582"/>
      <c r="CD283" s="582"/>
      <c r="CE283" s="582"/>
      <c r="CF283" s="582"/>
      <c r="CG283" s="582"/>
      <c r="CH283" s="16"/>
    </row>
    <row r="284" spans="2:86" customFormat="1" ht="213" hidden="1" customHeight="1">
      <c r="B284" s="23"/>
      <c r="C284" s="23"/>
      <c r="D284" s="23"/>
      <c r="E284" s="335" t="s">
        <v>68</v>
      </c>
      <c r="F284" s="335"/>
      <c r="G284" s="1055">
        <v>43200</v>
      </c>
      <c r="H284" s="365">
        <v>43203</v>
      </c>
      <c r="I284" s="17">
        <v>2017</v>
      </c>
      <c r="J284" s="1678"/>
      <c r="K284" s="183" t="s">
        <v>808</v>
      </c>
      <c r="L284" s="35" t="s">
        <v>919</v>
      </c>
      <c r="M284" s="185" t="s">
        <v>79</v>
      </c>
      <c r="N284" s="495" t="s">
        <v>920</v>
      </c>
      <c r="O284" s="495" t="s">
        <v>1979</v>
      </c>
      <c r="P284" s="661">
        <v>794788.72</v>
      </c>
      <c r="Q284" s="657">
        <v>43038</v>
      </c>
      <c r="R284" s="189">
        <v>43061</v>
      </c>
      <c r="S284" s="190">
        <v>43084</v>
      </c>
      <c r="T284" s="111">
        <v>43031</v>
      </c>
      <c r="U284" s="191" t="s">
        <v>739</v>
      </c>
      <c r="V284" s="183" t="s">
        <v>449</v>
      </c>
      <c r="W284" s="776">
        <v>42934</v>
      </c>
      <c r="X284" s="1628"/>
      <c r="Y284" s="35" t="s">
        <v>811</v>
      </c>
      <c r="Z284" s="9">
        <v>42804</v>
      </c>
      <c r="AA284" s="4">
        <v>6000000</v>
      </c>
      <c r="AB284" s="4"/>
      <c r="AC284" s="34"/>
      <c r="AD284" s="36" t="s">
        <v>68</v>
      </c>
      <c r="AE284" s="119" t="s">
        <v>68</v>
      </c>
      <c r="AF284" s="119" t="s">
        <v>68</v>
      </c>
      <c r="AG284" s="7" t="s">
        <v>68</v>
      </c>
      <c r="AH284" s="116" t="s">
        <v>68</v>
      </c>
      <c r="AI284" s="35" t="s">
        <v>787</v>
      </c>
      <c r="AJ284" s="1" t="s">
        <v>68</v>
      </c>
      <c r="AK284" s="5"/>
      <c r="AL284" s="1">
        <v>2149360</v>
      </c>
      <c r="AM284" s="5">
        <v>43038</v>
      </c>
      <c r="AN284" s="1">
        <v>2159874</v>
      </c>
      <c r="AO284" s="5">
        <v>43082</v>
      </c>
      <c r="AP284" s="306">
        <f>79478.87*2</f>
        <v>158957.74</v>
      </c>
      <c r="AQ284" s="37">
        <v>0</v>
      </c>
      <c r="AR284" s="1031">
        <v>794762.56</v>
      </c>
      <c r="AS284" s="1018"/>
      <c r="AT284" s="68" t="s">
        <v>74</v>
      </c>
      <c r="AU284" s="12"/>
      <c r="AV284" s="243" t="s">
        <v>68</v>
      </c>
      <c r="AW284" s="54" t="s">
        <v>68</v>
      </c>
      <c r="AX284" s="32">
        <v>43084</v>
      </c>
      <c r="AY284" s="5">
        <v>43059</v>
      </c>
      <c r="AZ284" s="5">
        <v>43084</v>
      </c>
      <c r="BA284" s="12">
        <v>43084</v>
      </c>
      <c r="BB284" s="32">
        <v>43084</v>
      </c>
      <c r="BC284" s="341"/>
      <c r="BD284" s="5">
        <v>43059</v>
      </c>
      <c r="BE284" s="5">
        <v>43084</v>
      </c>
      <c r="BF284" s="5">
        <v>42995</v>
      </c>
      <c r="BG284" s="38">
        <f>AQ284+AR284</f>
        <v>794762.56</v>
      </c>
      <c r="BH284" s="64">
        <v>43084</v>
      </c>
      <c r="BI284" s="111"/>
      <c r="BJ284" s="5"/>
      <c r="BK284" s="5"/>
      <c r="BL284" s="54"/>
      <c r="BM284" s="54"/>
      <c r="BN284" s="54"/>
      <c r="BO284" s="54"/>
      <c r="BP284" s="54"/>
      <c r="BQ284" s="54"/>
      <c r="BR284" s="54"/>
      <c r="BS284" s="55"/>
      <c r="BT284" s="14"/>
      <c r="BU284" s="14"/>
      <c r="BV284" s="14"/>
      <c r="BW284" s="14"/>
      <c r="BX284" s="14"/>
      <c r="BY284" s="1432" t="s">
        <v>1567</v>
      </c>
      <c r="BZ284" s="356" t="s">
        <v>459</v>
      </c>
      <c r="CA284" s="582"/>
      <c r="CB284" s="2"/>
      <c r="CC284" s="2"/>
      <c r="CD284" s="2"/>
      <c r="CE284" s="2"/>
      <c r="CF284" s="2"/>
      <c r="CG284" s="2"/>
      <c r="CH284" s="16"/>
    </row>
    <row r="285" spans="2:86" customFormat="1" ht="79.5" hidden="1" customHeight="1">
      <c r="B285" s="23"/>
      <c r="C285" s="23"/>
      <c r="D285" s="23"/>
      <c r="E285" s="335" t="s">
        <v>68</v>
      </c>
      <c r="F285" s="335"/>
      <c r="G285" s="1055">
        <v>43213</v>
      </c>
      <c r="H285" s="365">
        <v>43229</v>
      </c>
      <c r="I285" s="17">
        <v>2017</v>
      </c>
      <c r="J285" s="1678"/>
      <c r="K285" s="183" t="s">
        <v>166</v>
      </c>
      <c r="L285" s="35" t="s">
        <v>921</v>
      </c>
      <c r="M285" s="185" t="s">
        <v>79</v>
      </c>
      <c r="N285" s="186" t="s">
        <v>922</v>
      </c>
      <c r="O285" s="186" t="s">
        <v>1979</v>
      </c>
      <c r="P285" s="187">
        <v>773560.6</v>
      </c>
      <c r="Q285" s="188">
        <v>43059</v>
      </c>
      <c r="R285" s="189">
        <v>43059</v>
      </c>
      <c r="S285" s="190">
        <v>43075</v>
      </c>
      <c r="T285" s="111">
        <v>43003</v>
      </c>
      <c r="U285" s="191" t="s">
        <v>733</v>
      </c>
      <c r="V285" s="183" t="s">
        <v>563</v>
      </c>
      <c r="W285" s="505" t="s">
        <v>74</v>
      </c>
      <c r="X285" s="1623"/>
      <c r="Y285" s="35" t="s">
        <v>882</v>
      </c>
      <c r="Z285" s="9">
        <v>42977</v>
      </c>
      <c r="AA285" s="4">
        <v>4594338.3</v>
      </c>
      <c r="AB285" s="4"/>
      <c r="AC285" s="34"/>
      <c r="AD285" s="36" t="s">
        <v>68</v>
      </c>
      <c r="AE285" s="119" t="s">
        <v>68</v>
      </c>
      <c r="AF285" s="119" t="s">
        <v>68</v>
      </c>
      <c r="AG285" s="7" t="s">
        <v>68</v>
      </c>
      <c r="AH285" s="116" t="s">
        <v>68</v>
      </c>
      <c r="AI285" s="375" t="s">
        <v>589</v>
      </c>
      <c r="AJ285" s="1" t="s">
        <v>68</v>
      </c>
      <c r="AK285" s="5"/>
      <c r="AL285" s="1">
        <v>1878776</v>
      </c>
      <c r="AM285" s="5">
        <v>43066</v>
      </c>
      <c r="AN285" s="71">
        <v>1878770</v>
      </c>
      <c r="AO285" s="5">
        <v>43075</v>
      </c>
      <c r="AP285" s="306">
        <f>77356.06+77356.06</f>
        <v>154712.12</v>
      </c>
      <c r="AQ285" s="37">
        <v>0</v>
      </c>
      <c r="AR285" s="1031">
        <v>773560.6</v>
      </c>
      <c r="AS285" s="1018"/>
      <c r="AT285" s="32">
        <v>43066</v>
      </c>
      <c r="AU285" s="12">
        <v>43075</v>
      </c>
      <c r="AV285" s="243" t="s">
        <v>68</v>
      </c>
      <c r="AW285" s="54" t="s">
        <v>68</v>
      </c>
      <c r="AX285" s="32">
        <v>43076</v>
      </c>
      <c r="AY285" s="5">
        <v>43066</v>
      </c>
      <c r="AZ285" s="5">
        <v>43075</v>
      </c>
      <c r="BA285" s="12">
        <v>43075</v>
      </c>
      <c r="BB285" s="32">
        <v>43076</v>
      </c>
      <c r="BC285" s="341"/>
      <c r="BD285" s="5">
        <v>43066</v>
      </c>
      <c r="BE285" s="5">
        <v>43075</v>
      </c>
      <c r="BF285" s="5">
        <v>43075</v>
      </c>
      <c r="BG285" s="38">
        <f>AQ285+AR285</f>
        <v>773560.6</v>
      </c>
      <c r="BH285" s="64">
        <v>43077</v>
      </c>
      <c r="BI285" s="111"/>
      <c r="BJ285" s="5"/>
      <c r="BK285" s="5"/>
      <c r="BL285" s="54"/>
      <c r="BM285" s="54"/>
      <c r="BN285" s="54"/>
      <c r="BO285" s="54"/>
      <c r="BP285" s="54"/>
      <c r="BQ285" s="54"/>
      <c r="BR285" s="54"/>
      <c r="BS285" s="55"/>
      <c r="BT285" s="649"/>
      <c r="BU285" s="649"/>
      <c r="BV285" s="649"/>
      <c r="BW285" s="649"/>
      <c r="BX285" s="649"/>
      <c r="BY285" s="1432" t="s">
        <v>1567</v>
      </c>
      <c r="BZ285" s="649" t="s">
        <v>454</v>
      </c>
      <c r="CA285" s="582"/>
      <c r="CB285" s="582"/>
      <c r="CC285" s="582"/>
      <c r="CD285" s="582"/>
      <c r="CE285" s="582"/>
      <c r="CF285" s="582"/>
      <c r="CG285" s="582"/>
      <c r="CH285" s="16"/>
    </row>
    <row r="286" spans="2:86" customFormat="1" ht="122.25" hidden="1" customHeight="1">
      <c r="B286" s="23"/>
      <c r="C286" s="23"/>
      <c r="D286" s="23"/>
      <c r="E286" s="335" t="s">
        <v>68</v>
      </c>
      <c r="F286" s="335"/>
      <c r="G286" s="1055">
        <v>43305</v>
      </c>
      <c r="H286" s="365">
        <v>43322</v>
      </c>
      <c r="I286" s="17">
        <v>2017</v>
      </c>
      <c r="J286" s="1678"/>
      <c r="K286" s="183" t="s">
        <v>77</v>
      </c>
      <c r="L286" s="35" t="s">
        <v>923</v>
      </c>
      <c r="M286" s="185" t="s">
        <v>79</v>
      </c>
      <c r="N286" s="495" t="s">
        <v>924</v>
      </c>
      <c r="O286" s="495" t="s">
        <v>1979</v>
      </c>
      <c r="P286" s="187">
        <v>928575.62</v>
      </c>
      <c r="Q286" s="656">
        <v>43078</v>
      </c>
      <c r="R286" s="189">
        <v>43078</v>
      </c>
      <c r="S286" s="190">
        <v>43099</v>
      </c>
      <c r="T286" s="111">
        <v>43078</v>
      </c>
      <c r="U286" s="191" t="s">
        <v>925</v>
      </c>
      <c r="V286" s="183" t="s">
        <v>709</v>
      </c>
      <c r="W286" s="688">
        <v>43069</v>
      </c>
      <c r="X286" s="1624"/>
      <c r="Y286" s="35" t="s">
        <v>926</v>
      </c>
      <c r="Z286" s="9">
        <v>43077</v>
      </c>
      <c r="AA286" s="4">
        <v>920855.43</v>
      </c>
      <c r="AB286" s="4"/>
      <c r="AC286" s="34"/>
      <c r="AD286" s="36" t="s">
        <v>68</v>
      </c>
      <c r="AE286" s="119" t="s">
        <v>68</v>
      </c>
      <c r="AF286" s="119" t="s">
        <v>68</v>
      </c>
      <c r="AG286" s="7" t="s">
        <v>68</v>
      </c>
      <c r="AH286" s="116" t="s">
        <v>68</v>
      </c>
      <c r="AI286" s="491" t="s">
        <v>186</v>
      </c>
      <c r="AJ286" s="135" t="s">
        <v>927</v>
      </c>
      <c r="AK286" s="76">
        <v>43078</v>
      </c>
      <c r="AL286" s="135" t="s">
        <v>928</v>
      </c>
      <c r="AM286" s="76">
        <v>92857.56</v>
      </c>
      <c r="AN286" s="135" t="s">
        <v>929</v>
      </c>
      <c r="AO286" s="5">
        <v>43103</v>
      </c>
      <c r="AP286" s="306">
        <f>232143.9+92857.56+92857.56</f>
        <v>417859.01999999996</v>
      </c>
      <c r="AQ286" s="37">
        <v>0</v>
      </c>
      <c r="AR286" s="1031">
        <v>928575.62</v>
      </c>
      <c r="AS286" s="1018"/>
      <c r="AT286" s="75">
        <v>43080</v>
      </c>
      <c r="AU286" s="134">
        <v>43102</v>
      </c>
      <c r="AV286" s="243"/>
      <c r="AW286" s="54"/>
      <c r="AX286" s="75">
        <v>43102</v>
      </c>
      <c r="AY286" s="76">
        <v>43078</v>
      </c>
      <c r="AZ286" s="76">
        <v>43099</v>
      </c>
      <c r="BA286" s="134">
        <v>43099</v>
      </c>
      <c r="BB286" s="75">
        <v>43105</v>
      </c>
      <c r="BC286" s="1950"/>
      <c r="BD286" s="76">
        <v>43078</v>
      </c>
      <c r="BE286" s="76">
        <v>43099</v>
      </c>
      <c r="BF286" s="76">
        <v>43099</v>
      </c>
      <c r="BG286" s="136">
        <v>928575.67</v>
      </c>
      <c r="BH286" s="711">
        <v>43109</v>
      </c>
      <c r="BI286" s="70"/>
      <c r="BJ286" s="76"/>
      <c r="BK286" s="76"/>
      <c r="BL286" s="378"/>
      <c r="BM286" s="378"/>
      <c r="BN286" s="378"/>
      <c r="BO286" s="378"/>
      <c r="BP286" s="378"/>
      <c r="BQ286" s="378"/>
      <c r="BR286" s="378"/>
      <c r="BS286" s="383"/>
      <c r="BT286" s="14"/>
      <c r="BU286" s="14"/>
      <c r="BV286" s="14"/>
      <c r="BW286" s="14"/>
      <c r="BX286" s="14"/>
      <c r="BY286" s="1432" t="s">
        <v>1567</v>
      </c>
      <c r="BZ286" s="649" t="s">
        <v>454</v>
      </c>
      <c r="CA286" s="582"/>
      <c r="CB286" s="582"/>
      <c r="CC286" s="582"/>
      <c r="CD286" s="582"/>
      <c r="CE286" s="582"/>
      <c r="CF286" s="582"/>
      <c r="CG286" s="582"/>
      <c r="CH286" s="16"/>
    </row>
    <row r="287" spans="2:86" customFormat="1" ht="118.5" hidden="1" customHeight="1">
      <c r="B287" s="23"/>
      <c r="C287" s="23"/>
      <c r="D287" s="23"/>
      <c r="E287" s="335" t="s">
        <v>68</v>
      </c>
      <c r="F287" s="335"/>
      <c r="G287" s="1055">
        <v>43305</v>
      </c>
      <c r="H287" s="365">
        <v>43325</v>
      </c>
      <c r="I287" s="17">
        <v>2017</v>
      </c>
      <c r="J287" s="1678"/>
      <c r="K287" s="183" t="s">
        <v>77</v>
      </c>
      <c r="L287" s="35" t="s">
        <v>930</v>
      </c>
      <c r="M287" s="185" t="s">
        <v>79</v>
      </c>
      <c r="N287" s="495" t="s">
        <v>931</v>
      </c>
      <c r="O287" s="495" t="s">
        <v>1979</v>
      </c>
      <c r="P287" s="187">
        <v>831598.75</v>
      </c>
      <c r="Q287" s="656">
        <v>43078</v>
      </c>
      <c r="R287" s="189">
        <v>43078</v>
      </c>
      <c r="S287" s="190">
        <v>43099</v>
      </c>
      <c r="T287" s="111">
        <v>43078</v>
      </c>
      <c r="U287" s="191" t="s">
        <v>925</v>
      </c>
      <c r="V287" s="183" t="s">
        <v>709</v>
      </c>
      <c r="W287" s="688">
        <v>43069</v>
      </c>
      <c r="X287" s="1624"/>
      <c r="Y287" s="35" t="s">
        <v>932</v>
      </c>
      <c r="Z287" s="9">
        <v>43077</v>
      </c>
      <c r="AA287" s="4">
        <v>819334.77</v>
      </c>
      <c r="AB287" s="4"/>
      <c r="AC287" s="34"/>
      <c r="AD287" s="36" t="s">
        <v>68</v>
      </c>
      <c r="AE287" s="119" t="s">
        <v>68</v>
      </c>
      <c r="AF287" s="119" t="s">
        <v>68</v>
      </c>
      <c r="AG287" s="7" t="s">
        <v>68</v>
      </c>
      <c r="AH287" s="116" t="s">
        <v>68</v>
      </c>
      <c r="AI287" s="491" t="s">
        <v>186</v>
      </c>
      <c r="AJ287" s="135" t="s">
        <v>933</v>
      </c>
      <c r="AK287" s="76">
        <v>43078</v>
      </c>
      <c r="AL287" s="135" t="s">
        <v>934</v>
      </c>
      <c r="AM287" s="76">
        <v>43078</v>
      </c>
      <c r="AN287" s="135" t="s">
        <v>935</v>
      </c>
      <c r="AO287" s="5">
        <v>43103</v>
      </c>
      <c r="AP287" s="306">
        <f>207899.68+83159.87+83159.87</f>
        <v>374219.42</v>
      </c>
      <c r="AQ287" s="37">
        <v>0</v>
      </c>
      <c r="AR287" s="1031">
        <v>831598.76</v>
      </c>
      <c r="AS287" s="1018"/>
      <c r="AT287" s="75">
        <v>43080</v>
      </c>
      <c r="AU287" s="134">
        <v>43099</v>
      </c>
      <c r="AV287" s="243" t="s">
        <v>68</v>
      </c>
      <c r="AW287" s="54" t="s">
        <v>68</v>
      </c>
      <c r="AX287" s="75">
        <v>43102</v>
      </c>
      <c r="AY287" s="76">
        <v>43078</v>
      </c>
      <c r="AZ287" s="76">
        <v>43099</v>
      </c>
      <c r="BA287" s="134">
        <v>43099</v>
      </c>
      <c r="BB287" s="75">
        <v>43105</v>
      </c>
      <c r="BC287" s="1950"/>
      <c r="BD287" s="76">
        <v>43078</v>
      </c>
      <c r="BE287" s="76">
        <v>43099</v>
      </c>
      <c r="BF287" s="76">
        <v>43099</v>
      </c>
      <c r="BG287" s="136">
        <v>831598.78</v>
      </c>
      <c r="BH287" s="711">
        <v>43109</v>
      </c>
      <c r="BI287" s="70"/>
      <c r="BJ287" s="76"/>
      <c r="BK287" s="76"/>
      <c r="BL287" s="378"/>
      <c r="BM287" s="378"/>
      <c r="BN287" s="378"/>
      <c r="BO287" s="378"/>
      <c r="BP287" s="378"/>
      <c r="BQ287" s="378"/>
      <c r="BR287" s="378"/>
      <c r="BS287" s="383"/>
      <c r="BT287" s="14"/>
      <c r="BU287" s="14"/>
      <c r="BV287" s="14"/>
      <c r="BW287" s="14"/>
      <c r="BX287" s="14"/>
      <c r="BY287" s="1432" t="s">
        <v>1567</v>
      </c>
      <c r="BZ287" s="649" t="s">
        <v>454</v>
      </c>
      <c r="CA287" s="582"/>
      <c r="CB287" s="582"/>
      <c r="CC287" s="582"/>
      <c r="CD287" s="582"/>
      <c r="CE287" s="582"/>
      <c r="CF287" s="582"/>
      <c r="CG287" s="582"/>
      <c r="CH287" s="16"/>
    </row>
    <row r="288" spans="2:86" customFormat="1" ht="105.75" hidden="1" customHeight="1">
      <c r="B288" s="23"/>
      <c r="C288" s="23"/>
      <c r="D288" s="23"/>
      <c r="E288" s="335" t="s">
        <v>68</v>
      </c>
      <c r="F288" s="335"/>
      <c r="G288" s="1055">
        <v>43269</v>
      </c>
      <c r="H288" s="365">
        <v>43272</v>
      </c>
      <c r="I288" s="17">
        <v>2017</v>
      </c>
      <c r="J288" s="1678"/>
      <c r="K288" s="183" t="s">
        <v>77</v>
      </c>
      <c r="L288" s="35" t="s">
        <v>936</v>
      </c>
      <c r="M288" s="185" t="s">
        <v>79</v>
      </c>
      <c r="N288" s="495" t="s">
        <v>937</v>
      </c>
      <c r="O288" s="495" t="s">
        <v>2548</v>
      </c>
      <c r="P288" s="661">
        <v>394058.8</v>
      </c>
      <c r="Q288" s="656">
        <v>43078</v>
      </c>
      <c r="R288" s="189">
        <v>43078</v>
      </c>
      <c r="S288" s="190">
        <v>43099</v>
      </c>
      <c r="T288" s="685">
        <v>43078</v>
      </c>
      <c r="U288" s="191" t="s">
        <v>917</v>
      </c>
      <c r="V288" s="183" t="s">
        <v>563</v>
      </c>
      <c r="W288" s="688">
        <v>43042</v>
      </c>
      <c r="X288" s="1624"/>
      <c r="Y288" s="35" t="s">
        <v>938</v>
      </c>
      <c r="Z288" s="9">
        <v>43077</v>
      </c>
      <c r="AA288" s="4">
        <v>394058.8</v>
      </c>
      <c r="AB288" s="4"/>
      <c r="AC288" s="34"/>
      <c r="AD288" s="36" t="s">
        <v>68</v>
      </c>
      <c r="AE288" s="119" t="s">
        <v>68</v>
      </c>
      <c r="AF288" s="119" t="s">
        <v>68</v>
      </c>
      <c r="AG288" s="7" t="s">
        <v>68</v>
      </c>
      <c r="AH288" s="116" t="s">
        <v>68</v>
      </c>
      <c r="AI288" s="375" t="s">
        <v>589</v>
      </c>
      <c r="AJ288" s="1">
        <v>1864101</v>
      </c>
      <c r="AK288" s="5">
        <v>43078</v>
      </c>
      <c r="AL288" s="1">
        <v>1864098</v>
      </c>
      <c r="AM288" s="5">
        <v>43078</v>
      </c>
      <c r="AN288" s="135">
        <v>1885359</v>
      </c>
      <c r="AO288" s="5">
        <v>42789</v>
      </c>
      <c r="AP288" s="306">
        <f>98514.7+39405.88+39067.63</f>
        <v>176988.21</v>
      </c>
      <c r="AQ288" s="37">
        <v>0</v>
      </c>
      <c r="AR288" s="1031">
        <v>392367.57</v>
      </c>
      <c r="AS288" s="1018"/>
      <c r="AT288" s="75">
        <v>43078</v>
      </c>
      <c r="AU288" s="12">
        <v>43098</v>
      </c>
      <c r="AV288" s="243" t="s">
        <v>68</v>
      </c>
      <c r="AW288" s="54" t="s">
        <v>68</v>
      </c>
      <c r="AX288" s="75">
        <v>43129</v>
      </c>
      <c r="AY288" s="5">
        <v>43078</v>
      </c>
      <c r="AZ288" s="5">
        <v>43099</v>
      </c>
      <c r="BA288" s="12">
        <v>43092</v>
      </c>
      <c r="BB288" s="75">
        <v>43154</v>
      </c>
      <c r="BC288" s="1950"/>
      <c r="BD288" s="76">
        <v>43078</v>
      </c>
      <c r="BE288" s="76">
        <v>43099</v>
      </c>
      <c r="BF288" s="76">
        <v>43099</v>
      </c>
      <c r="BG288" s="136">
        <f>AQ288+AR288</f>
        <v>392367.57</v>
      </c>
      <c r="BH288" s="64">
        <v>43158</v>
      </c>
      <c r="BI288" s="111"/>
      <c r="BJ288" s="5"/>
      <c r="BK288" s="5"/>
      <c r="BL288" s="54"/>
      <c r="BM288" s="54"/>
      <c r="BN288" s="54"/>
      <c r="BO288" s="54"/>
      <c r="BP288" s="54"/>
      <c r="BQ288" s="54"/>
      <c r="BR288" s="54"/>
      <c r="BS288" s="55"/>
      <c r="BT288" s="14"/>
      <c r="BU288" s="14"/>
      <c r="BV288" s="14"/>
      <c r="BW288" s="14"/>
      <c r="BX288" s="14"/>
      <c r="BY288" s="1432" t="s">
        <v>1567</v>
      </c>
      <c r="BZ288" s="649" t="s">
        <v>454</v>
      </c>
      <c r="CA288" s="582"/>
      <c r="CB288" s="582"/>
      <c r="CC288" s="582"/>
      <c r="CD288" s="582"/>
      <c r="CE288" s="582"/>
      <c r="CF288" s="582"/>
      <c r="CG288" s="582"/>
      <c r="CH288" s="16"/>
    </row>
    <row r="289" spans="2:86" customFormat="1" ht="105" hidden="1" customHeight="1">
      <c r="B289" s="23"/>
      <c r="C289" s="23"/>
      <c r="D289" s="23"/>
      <c r="E289" s="335" t="s">
        <v>68</v>
      </c>
      <c r="F289" s="335"/>
      <c r="G289" s="1055">
        <v>43251</v>
      </c>
      <c r="H289" s="365">
        <v>43220</v>
      </c>
      <c r="I289" s="17">
        <v>2017</v>
      </c>
      <c r="J289" s="1678"/>
      <c r="K289" s="183" t="s">
        <v>77</v>
      </c>
      <c r="L289" s="35" t="s">
        <v>939</v>
      </c>
      <c r="M289" s="185" t="s">
        <v>79</v>
      </c>
      <c r="N289" s="495" t="s">
        <v>940</v>
      </c>
      <c r="O289" s="495" t="s">
        <v>4458</v>
      </c>
      <c r="P289" s="187">
        <v>46522.28</v>
      </c>
      <c r="Q289" s="656">
        <v>43077</v>
      </c>
      <c r="R289" s="189">
        <v>43078</v>
      </c>
      <c r="S289" s="190">
        <v>43099</v>
      </c>
      <c r="T289" s="70">
        <v>43073</v>
      </c>
      <c r="U289" s="123" t="s">
        <v>199</v>
      </c>
      <c r="V289" s="19" t="s">
        <v>3087</v>
      </c>
      <c r="W289" s="685">
        <v>43073</v>
      </c>
      <c r="X289" s="1625"/>
      <c r="Y289" s="491" t="s">
        <v>941</v>
      </c>
      <c r="Z289" s="9">
        <v>43045</v>
      </c>
      <c r="AA289" s="4">
        <v>154067.49</v>
      </c>
      <c r="AB289" s="4"/>
      <c r="AC289" s="34"/>
      <c r="AD289" s="36" t="s">
        <v>68</v>
      </c>
      <c r="AE289" s="119" t="s">
        <v>68</v>
      </c>
      <c r="AF289" s="119" t="s">
        <v>68</v>
      </c>
      <c r="AG289" s="7" t="s">
        <v>68</v>
      </c>
      <c r="AH289" s="235" t="s">
        <v>68</v>
      </c>
      <c r="AI289" s="491" t="s">
        <v>107</v>
      </c>
      <c r="AJ289" s="1" t="s">
        <v>68</v>
      </c>
      <c r="AK289" s="5"/>
      <c r="AL289" s="1" t="s">
        <v>942</v>
      </c>
      <c r="AM289" s="5">
        <v>43077</v>
      </c>
      <c r="AN289" s="1" t="s">
        <v>943</v>
      </c>
      <c r="AO289" s="5">
        <v>43100</v>
      </c>
      <c r="AP289" s="306">
        <f>4652.26*2</f>
        <v>9304.52</v>
      </c>
      <c r="AQ289" s="37">
        <v>0</v>
      </c>
      <c r="AR289" s="1032">
        <v>46522.58</v>
      </c>
      <c r="AS289" s="1019"/>
      <c r="AT289" s="373" t="s">
        <v>74</v>
      </c>
      <c r="AU289" s="12"/>
      <c r="AV289" s="243" t="s">
        <v>68</v>
      </c>
      <c r="AW289" s="244" t="s">
        <v>68</v>
      </c>
      <c r="AX289" s="75">
        <v>43008</v>
      </c>
      <c r="AY289" s="5">
        <v>43078</v>
      </c>
      <c r="AZ289" s="5">
        <v>43099</v>
      </c>
      <c r="BA289" s="18"/>
      <c r="BB289" s="375">
        <v>43100</v>
      </c>
      <c r="BC289" s="1952"/>
      <c r="BD289" s="76">
        <v>43078</v>
      </c>
      <c r="BE289" s="76">
        <v>43099</v>
      </c>
      <c r="BF289" s="76">
        <v>43098</v>
      </c>
      <c r="BG289" s="136">
        <f>AQ289+AR289</f>
        <v>46522.58</v>
      </c>
      <c r="BH289" s="64">
        <v>43100</v>
      </c>
      <c r="BI289" s="111"/>
      <c r="BJ289" s="5"/>
      <c r="BK289" s="5"/>
      <c r="BL289" s="54"/>
      <c r="BM289" s="54"/>
      <c r="BN289" s="54"/>
      <c r="BO289" s="54"/>
      <c r="BP289" s="54"/>
      <c r="BQ289" s="54"/>
      <c r="BR289" s="54"/>
      <c r="BS289" s="55"/>
      <c r="BT289" s="14"/>
      <c r="BU289" s="14"/>
      <c r="BV289" s="14"/>
      <c r="BW289" s="14"/>
      <c r="BX289" s="14"/>
      <c r="BY289" s="1432" t="s">
        <v>1567</v>
      </c>
      <c r="BZ289" s="356" t="s">
        <v>459</v>
      </c>
      <c r="CA289" s="582"/>
      <c r="CB289" s="582"/>
      <c r="CC289" s="582"/>
      <c r="CD289" s="582"/>
      <c r="CE289" s="582"/>
      <c r="CF289" s="582"/>
      <c r="CG289" s="582"/>
      <c r="CH289" s="16"/>
    </row>
    <row r="290" spans="2:86" customFormat="1" ht="99.75" hidden="1" customHeight="1">
      <c r="B290" s="23"/>
      <c r="C290" s="23"/>
      <c r="D290" s="23"/>
      <c r="E290" s="335" t="s">
        <v>68</v>
      </c>
      <c r="F290" s="335"/>
      <c r="G290" s="1055">
        <v>43251</v>
      </c>
      <c r="H290" s="365">
        <v>43220</v>
      </c>
      <c r="I290" s="17">
        <v>2017</v>
      </c>
      <c r="J290" s="1678"/>
      <c r="K290" s="183" t="s">
        <v>77</v>
      </c>
      <c r="L290" s="35" t="s">
        <v>944</v>
      </c>
      <c r="M290" s="185" t="s">
        <v>79</v>
      </c>
      <c r="N290" s="186" t="s">
        <v>945</v>
      </c>
      <c r="O290" s="186" t="s">
        <v>4458</v>
      </c>
      <c r="P290" s="187">
        <v>107544.91</v>
      </c>
      <c r="Q290" s="656">
        <v>43077</v>
      </c>
      <c r="R290" s="189">
        <v>43078</v>
      </c>
      <c r="S290" s="190">
        <v>43099</v>
      </c>
      <c r="T290" s="70">
        <v>43073</v>
      </c>
      <c r="U290" s="123" t="s">
        <v>199</v>
      </c>
      <c r="V290" s="19" t="s">
        <v>3087</v>
      </c>
      <c r="W290" s="685">
        <v>43073</v>
      </c>
      <c r="X290" s="1625"/>
      <c r="Y290" s="491" t="s">
        <v>941</v>
      </c>
      <c r="Z290" s="9">
        <v>43045</v>
      </c>
      <c r="AA290" s="4">
        <v>154067.49</v>
      </c>
      <c r="AB290" s="4"/>
      <c r="AC290" s="34"/>
      <c r="AD290" s="36" t="s">
        <v>68</v>
      </c>
      <c r="AE290" s="119" t="s">
        <v>68</v>
      </c>
      <c r="AF290" s="119" t="s">
        <v>68</v>
      </c>
      <c r="AG290" s="7" t="s">
        <v>68</v>
      </c>
      <c r="AH290" s="235" t="s">
        <v>68</v>
      </c>
      <c r="AI290" s="491" t="s">
        <v>107</v>
      </c>
      <c r="AJ290" s="1" t="s">
        <v>68</v>
      </c>
      <c r="AK290" s="5"/>
      <c r="AL290" s="1" t="s">
        <v>946</v>
      </c>
      <c r="AM290" s="5">
        <v>43077</v>
      </c>
      <c r="AN290" s="1" t="s">
        <v>947</v>
      </c>
      <c r="AO290" s="5">
        <v>43100</v>
      </c>
      <c r="AP290" s="306">
        <f>10754.49+10754.49</f>
        <v>21508.98</v>
      </c>
      <c r="AQ290" s="37">
        <v>0</v>
      </c>
      <c r="AR290" s="1032">
        <v>107544.91</v>
      </c>
      <c r="AS290" s="1019"/>
      <c r="AT290" s="373" t="s">
        <v>74</v>
      </c>
      <c r="AU290" s="12"/>
      <c r="AV290" s="243" t="s">
        <v>68</v>
      </c>
      <c r="AW290" s="244" t="s">
        <v>68</v>
      </c>
      <c r="AX290" s="75">
        <v>43008</v>
      </c>
      <c r="AY290" s="5">
        <v>43078</v>
      </c>
      <c r="AZ290" s="5">
        <v>43099</v>
      </c>
      <c r="BA290" s="18"/>
      <c r="BB290" s="375">
        <v>43100</v>
      </c>
      <c r="BC290" s="1952"/>
      <c r="BD290" s="76">
        <v>43078</v>
      </c>
      <c r="BE290" s="76">
        <v>43099</v>
      </c>
      <c r="BF290" s="76">
        <v>43098</v>
      </c>
      <c r="BG290" s="136">
        <f>AQ290+AR290</f>
        <v>107544.91</v>
      </c>
      <c r="BH290" s="64">
        <v>43100</v>
      </c>
      <c r="BI290" s="111"/>
      <c r="BJ290" s="5"/>
      <c r="BK290" s="5"/>
      <c r="BL290" s="54"/>
      <c r="BM290" s="54"/>
      <c r="BN290" s="54"/>
      <c r="BO290" s="54"/>
      <c r="BP290" s="54"/>
      <c r="BQ290" s="54"/>
      <c r="BR290" s="54"/>
      <c r="BS290" s="55"/>
      <c r="BT290" s="14"/>
      <c r="BU290" s="14"/>
      <c r="BV290" s="14"/>
      <c r="BW290" s="14"/>
      <c r="BX290" s="14"/>
      <c r="BY290" s="1432" t="s">
        <v>1567</v>
      </c>
      <c r="BZ290" s="356" t="s">
        <v>459</v>
      </c>
      <c r="CA290" s="582"/>
      <c r="CB290" s="582"/>
      <c r="CC290" s="582"/>
      <c r="CD290" s="582"/>
      <c r="CE290" s="582"/>
      <c r="CF290" s="582"/>
      <c r="CG290" s="582"/>
      <c r="CH290" s="16"/>
    </row>
    <row r="291" spans="2:86" customFormat="1" ht="102.75" hidden="1" customHeight="1">
      <c r="B291" s="23"/>
      <c r="C291" s="23"/>
      <c r="D291" s="23"/>
      <c r="E291" s="335"/>
      <c r="F291" s="335"/>
      <c r="G291" s="1055"/>
      <c r="H291" s="365"/>
      <c r="I291" s="17">
        <v>2018</v>
      </c>
      <c r="J291" s="1678">
        <v>180.1</v>
      </c>
      <c r="K291" s="183" t="s">
        <v>64</v>
      </c>
      <c r="L291" s="191" t="s">
        <v>3267</v>
      </c>
      <c r="M291" s="185" t="s">
        <v>467</v>
      </c>
      <c r="N291" s="186" t="s">
        <v>3269</v>
      </c>
      <c r="O291" s="186" t="s">
        <v>1979</v>
      </c>
      <c r="P291" s="187">
        <v>1634531.02</v>
      </c>
      <c r="Q291" s="656">
        <v>43223</v>
      </c>
      <c r="R291" s="189" t="s">
        <v>68</v>
      </c>
      <c r="S291" s="190" t="s">
        <v>68</v>
      </c>
      <c r="T291" s="70" t="s">
        <v>68</v>
      </c>
      <c r="U291" s="1399" t="s">
        <v>1177</v>
      </c>
      <c r="V291" s="183" t="s">
        <v>68</v>
      </c>
      <c r="W291" s="685" t="s">
        <v>68</v>
      </c>
      <c r="X291" s="1625"/>
      <c r="Y291" s="697"/>
      <c r="Z291" s="9"/>
      <c r="AA291" s="4"/>
      <c r="AB291" s="4"/>
      <c r="AC291" s="34"/>
      <c r="AD291" s="36" t="s">
        <v>68</v>
      </c>
      <c r="AE291" s="119" t="s">
        <v>68</v>
      </c>
      <c r="AF291" s="119" t="s">
        <v>68</v>
      </c>
      <c r="AG291" s="7" t="s">
        <v>68</v>
      </c>
      <c r="AH291" s="116" t="s">
        <v>68</v>
      </c>
      <c r="AI291" s="491" t="s">
        <v>68</v>
      </c>
      <c r="AJ291" s="1" t="s">
        <v>68</v>
      </c>
      <c r="AK291" s="5"/>
      <c r="AL291" s="1" t="s">
        <v>68</v>
      </c>
      <c r="AM291" s="5"/>
      <c r="AN291" s="1" t="s">
        <v>68</v>
      </c>
      <c r="AO291" s="5"/>
      <c r="AP291" s="306">
        <v>0</v>
      </c>
      <c r="AQ291" s="37">
        <v>0</v>
      </c>
      <c r="AR291" s="1032">
        <v>0</v>
      </c>
      <c r="AS291" s="1019">
        <v>0</v>
      </c>
      <c r="AT291" s="373" t="s">
        <v>68</v>
      </c>
      <c r="AU291" s="12" t="s">
        <v>68</v>
      </c>
      <c r="AV291" s="243" t="s">
        <v>68</v>
      </c>
      <c r="AW291" s="244" t="s">
        <v>68</v>
      </c>
      <c r="AX291" s="75" t="s">
        <v>68</v>
      </c>
      <c r="AY291" s="5" t="s">
        <v>68</v>
      </c>
      <c r="AZ291" s="5" t="s">
        <v>68</v>
      </c>
      <c r="BA291" s="18" t="s">
        <v>68</v>
      </c>
      <c r="BB291" s="375" t="s">
        <v>68</v>
      </c>
      <c r="BC291" s="1952"/>
      <c r="BD291" s="76" t="s">
        <v>68</v>
      </c>
      <c r="BE291" s="76" t="s">
        <v>68</v>
      </c>
      <c r="BF291" s="76" t="s">
        <v>68</v>
      </c>
      <c r="BG291" s="136">
        <v>0</v>
      </c>
      <c r="BH291" s="64" t="s">
        <v>68</v>
      </c>
      <c r="BI291" s="111"/>
      <c r="BJ291" s="5"/>
      <c r="BK291" s="5"/>
      <c r="BL291" s="54"/>
      <c r="BM291" s="54"/>
      <c r="BN291" s="54"/>
      <c r="BO291" s="54"/>
      <c r="BP291" s="54"/>
      <c r="BQ291" s="54"/>
      <c r="BR291" s="54"/>
      <c r="BS291" s="55"/>
      <c r="BT291" s="14"/>
      <c r="BU291" s="14"/>
      <c r="BV291" s="14"/>
      <c r="BW291" s="14"/>
      <c r="BX291" s="14"/>
      <c r="BY291" s="1432" t="s">
        <v>1567</v>
      </c>
      <c r="BZ291" s="649" t="s">
        <v>454</v>
      </c>
      <c r="CA291" s="582"/>
      <c r="CB291" s="582"/>
      <c r="CC291" s="582"/>
      <c r="CD291" s="582"/>
      <c r="CE291" s="582"/>
      <c r="CF291" s="582"/>
      <c r="CG291" s="582"/>
      <c r="CH291" s="16"/>
    </row>
    <row r="292" spans="2:86" customFormat="1" ht="99" hidden="1" customHeight="1">
      <c r="B292" s="23"/>
      <c r="C292" s="23"/>
      <c r="D292" s="23"/>
      <c r="E292" s="335"/>
      <c r="F292" s="335"/>
      <c r="G292" s="1055"/>
      <c r="H292" s="365"/>
      <c r="I292" s="17">
        <v>2018</v>
      </c>
      <c r="J292" s="1678">
        <v>180.2</v>
      </c>
      <c r="K292" s="183" t="s">
        <v>64</v>
      </c>
      <c r="L292" s="191" t="s">
        <v>3268</v>
      </c>
      <c r="M292" s="185" t="s">
        <v>467</v>
      </c>
      <c r="N292" s="186" t="s">
        <v>3271</v>
      </c>
      <c r="O292" s="186" t="s">
        <v>2574</v>
      </c>
      <c r="P292" s="187">
        <v>724057.5</v>
      </c>
      <c r="Q292" s="656">
        <v>43223</v>
      </c>
      <c r="R292" s="189" t="s">
        <v>68</v>
      </c>
      <c r="S292" s="190" t="s">
        <v>68</v>
      </c>
      <c r="T292" s="70"/>
      <c r="U292" s="1399" t="s">
        <v>1177</v>
      </c>
      <c r="V292" s="183" t="s">
        <v>68</v>
      </c>
      <c r="W292" s="685" t="s">
        <v>68</v>
      </c>
      <c r="X292" s="1625"/>
      <c r="Y292" s="697"/>
      <c r="Z292" s="9"/>
      <c r="AA292" s="4"/>
      <c r="AB292" s="4"/>
      <c r="AC292" s="34"/>
      <c r="AD292" s="36" t="s">
        <v>68</v>
      </c>
      <c r="AE292" s="119" t="s">
        <v>68</v>
      </c>
      <c r="AF292" s="119" t="s">
        <v>68</v>
      </c>
      <c r="AG292" s="7" t="s">
        <v>68</v>
      </c>
      <c r="AH292" s="116" t="s">
        <v>68</v>
      </c>
      <c r="AI292" s="491" t="s">
        <v>68</v>
      </c>
      <c r="AJ292" s="1" t="s">
        <v>68</v>
      </c>
      <c r="AK292" s="5"/>
      <c r="AL292" s="1" t="s">
        <v>68</v>
      </c>
      <c r="AM292" s="5"/>
      <c r="AN292" s="1" t="s">
        <v>68</v>
      </c>
      <c r="AO292" s="5"/>
      <c r="AP292" s="306">
        <v>0</v>
      </c>
      <c r="AQ292" s="37">
        <v>0</v>
      </c>
      <c r="AR292" s="1032">
        <v>0</v>
      </c>
      <c r="AS292" s="1019">
        <v>0</v>
      </c>
      <c r="AT292" s="373" t="s">
        <v>68</v>
      </c>
      <c r="AU292" s="12" t="s">
        <v>68</v>
      </c>
      <c r="AV292" s="243" t="s">
        <v>68</v>
      </c>
      <c r="AW292" s="244" t="s">
        <v>68</v>
      </c>
      <c r="AX292" s="75" t="s">
        <v>68</v>
      </c>
      <c r="AY292" s="5" t="s">
        <v>68</v>
      </c>
      <c r="AZ292" s="5" t="s">
        <v>68</v>
      </c>
      <c r="BA292" s="18" t="s">
        <v>68</v>
      </c>
      <c r="BB292" s="375" t="s">
        <v>68</v>
      </c>
      <c r="BC292" s="1952"/>
      <c r="BD292" s="76" t="s">
        <v>68</v>
      </c>
      <c r="BE292" s="76" t="s">
        <v>68</v>
      </c>
      <c r="BF292" s="76" t="s">
        <v>68</v>
      </c>
      <c r="BG292" s="136">
        <v>0</v>
      </c>
      <c r="BH292" s="64" t="s">
        <v>68</v>
      </c>
      <c r="BI292" s="111"/>
      <c r="BJ292" s="5"/>
      <c r="BK292" s="5"/>
      <c r="BL292" s="54"/>
      <c r="BM292" s="54"/>
      <c r="BN292" s="54"/>
      <c r="BO292" s="54"/>
      <c r="BP292" s="54"/>
      <c r="BQ292" s="54"/>
      <c r="BR292" s="54"/>
      <c r="BS292" s="55"/>
      <c r="BT292" s="14"/>
      <c r="BU292" s="14"/>
      <c r="BV292" s="14"/>
      <c r="BW292" s="14"/>
      <c r="BX292" s="14"/>
      <c r="BY292" s="1432" t="s">
        <v>1567</v>
      </c>
      <c r="BZ292" s="649" t="s">
        <v>454</v>
      </c>
      <c r="CA292" s="582"/>
      <c r="CB292" s="582"/>
      <c r="CC292" s="582"/>
      <c r="CD292" s="582"/>
      <c r="CE292" s="582"/>
      <c r="CF292" s="582"/>
      <c r="CG292" s="582"/>
      <c r="CH292" s="16"/>
    </row>
    <row r="293" spans="2:86" customFormat="1" ht="306.75" hidden="1" customHeight="1">
      <c r="B293" s="23"/>
      <c r="C293" s="23"/>
      <c r="D293" s="23"/>
      <c r="E293" s="335"/>
      <c r="F293" s="335"/>
      <c r="G293" s="1055"/>
      <c r="H293" s="365"/>
      <c r="I293" s="17">
        <v>2018</v>
      </c>
      <c r="J293" s="1678">
        <v>180.3</v>
      </c>
      <c r="K293" s="183" t="s">
        <v>3261</v>
      </c>
      <c r="L293" s="191" t="s">
        <v>68</v>
      </c>
      <c r="M293" s="185" t="s">
        <v>467</v>
      </c>
      <c r="N293" s="186" t="s">
        <v>3275</v>
      </c>
      <c r="O293" s="186" t="s">
        <v>2611</v>
      </c>
      <c r="P293" s="187">
        <v>2900000</v>
      </c>
      <c r="Q293" s="656">
        <v>43199</v>
      </c>
      <c r="R293" s="189" t="s">
        <v>68</v>
      </c>
      <c r="S293" s="190" t="s">
        <v>68</v>
      </c>
      <c r="T293" s="70"/>
      <c r="U293" s="1399" t="s">
        <v>1177</v>
      </c>
      <c r="V293" s="183" t="s">
        <v>68</v>
      </c>
      <c r="W293" s="685" t="s">
        <v>68</v>
      </c>
      <c r="X293" s="1625"/>
      <c r="Y293" s="697"/>
      <c r="Z293" s="9"/>
      <c r="AA293" s="4"/>
      <c r="AB293" s="4"/>
      <c r="AC293" s="34"/>
      <c r="AD293" s="36" t="s">
        <v>68</v>
      </c>
      <c r="AE293" s="119" t="s">
        <v>68</v>
      </c>
      <c r="AF293" s="119" t="s">
        <v>68</v>
      </c>
      <c r="AG293" s="7" t="s">
        <v>68</v>
      </c>
      <c r="AH293" s="116" t="s">
        <v>68</v>
      </c>
      <c r="AI293" s="491" t="s">
        <v>68</v>
      </c>
      <c r="AJ293" s="1" t="s">
        <v>68</v>
      </c>
      <c r="AK293" s="5"/>
      <c r="AL293" s="1" t="s">
        <v>68</v>
      </c>
      <c r="AM293" s="5"/>
      <c r="AN293" s="1" t="s">
        <v>68</v>
      </c>
      <c r="AO293" s="5"/>
      <c r="AP293" s="306">
        <v>0</v>
      </c>
      <c r="AQ293" s="37">
        <v>0</v>
      </c>
      <c r="AR293" s="1032">
        <v>0</v>
      </c>
      <c r="AS293" s="1019">
        <v>0</v>
      </c>
      <c r="AT293" s="373" t="s">
        <v>68</v>
      </c>
      <c r="AU293" s="12" t="s">
        <v>68</v>
      </c>
      <c r="AV293" s="243" t="s">
        <v>68</v>
      </c>
      <c r="AW293" s="244" t="s">
        <v>68</v>
      </c>
      <c r="AX293" s="75" t="s">
        <v>68</v>
      </c>
      <c r="AY293" s="5" t="s">
        <v>68</v>
      </c>
      <c r="AZ293" s="5" t="s">
        <v>68</v>
      </c>
      <c r="BA293" s="18" t="s">
        <v>68</v>
      </c>
      <c r="BB293" s="375" t="s">
        <v>68</v>
      </c>
      <c r="BC293" s="1952"/>
      <c r="BD293" s="76" t="s">
        <v>68</v>
      </c>
      <c r="BE293" s="76" t="s">
        <v>68</v>
      </c>
      <c r="BF293" s="76" t="s">
        <v>68</v>
      </c>
      <c r="BG293" s="136">
        <v>0</v>
      </c>
      <c r="BH293" s="64" t="s">
        <v>68</v>
      </c>
      <c r="BI293" s="111"/>
      <c r="BJ293" s="5"/>
      <c r="BK293" s="5"/>
      <c r="BL293" s="54"/>
      <c r="BM293" s="54"/>
      <c r="BN293" s="54"/>
      <c r="BO293" s="54"/>
      <c r="BP293" s="54"/>
      <c r="BQ293" s="54"/>
      <c r="BR293" s="54"/>
      <c r="BS293" s="55"/>
      <c r="BT293" s="14"/>
      <c r="BU293" s="14"/>
      <c r="BV293" s="14"/>
      <c r="BW293" s="14"/>
      <c r="BX293" s="14"/>
      <c r="BY293" s="1432" t="s">
        <v>1567</v>
      </c>
      <c r="BZ293" s="649" t="s">
        <v>454</v>
      </c>
      <c r="CA293" s="582"/>
      <c r="CB293" s="582"/>
      <c r="CC293" s="582"/>
      <c r="CD293" s="582"/>
      <c r="CE293" s="582"/>
      <c r="CF293" s="582"/>
      <c r="CG293" s="582"/>
      <c r="CH293" s="16"/>
    </row>
    <row r="294" spans="2:86" customFormat="1" ht="138" hidden="1" customHeight="1">
      <c r="B294" s="23"/>
      <c r="C294" s="23"/>
      <c r="D294" s="23"/>
      <c r="E294" s="129" t="s">
        <v>68</v>
      </c>
      <c r="F294" s="129"/>
      <c r="G294" s="1055">
        <v>43352</v>
      </c>
      <c r="H294" s="365">
        <v>43389</v>
      </c>
      <c r="I294" s="17">
        <v>2018</v>
      </c>
      <c r="J294" s="1678">
        <v>181.01</v>
      </c>
      <c r="K294" s="183" t="s">
        <v>166</v>
      </c>
      <c r="L294" s="191" t="s">
        <v>948</v>
      </c>
      <c r="M294" s="2" t="s">
        <v>4077</v>
      </c>
      <c r="N294" s="186" t="s">
        <v>949</v>
      </c>
      <c r="O294" s="186" t="s">
        <v>1979</v>
      </c>
      <c r="P294" s="187">
        <v>89200</v>
      </c>
      <c r="Q294" s="656">
        <v>43133</v>
      </c>
      <c r="R294" s="189">
        <v>43143</v>
      </c>
      <c r="S294" s="190">
        <v>43210</v>
      </c>
      <c r="T294" s="23" t="s">
        <v>68</v>
      </c>
      <c r="U294" s="191" t="s">
        <v>1177</v>
      </c>
      <c r="V294" s="183" t="s">
        <v>709</v>
      </c>
      <c r="W294" s="220" t="s">
        <v>68</v>
      </c>
      <c r="X294" s="406"/>
      <c r="Y294" s="35" t="s">
        <v>950</v>
      </c>
      <c r="Z294" s="9">
        <v>43130</v>
      </c>
      <c r="AA294" s="4">
        <v>89200</v>
      </c>
      <c r="AB294" s="4"/>
      <c r="AC294" s="34"/>
      <c r="AD294" s="36" t="s">
        <v>68</v>
      </c>
      <c r="AE294" s="119" t="s">
        <v>68</v>
      </c>
      <c r="AF294" s="119" t="s">
        <v>68</v>
      </c>
      <c r="AG294" s="7" t="s">
        <v>68</v>
      </c>
      <c r="AH294" s="116" t="s">
        <v>68</v>
      </c>
      <c r="AI294" s="35" t="s">
        <v>68</v>
      </c>
      <c r="AJ294" s="1" t="s">
        <v>68</v>
      </c>
      <c r="AK294" s="5"/>
      <c r="AL294" s="1" t="s">
        <v>68</v>
      </c>
      <c r="AM294" s="5"/>
      <c r="AN294" s="1" t="s">
        <v>68</v>
      </c>
      <c r="AO294" s="1"/>
      <c r="AP294" s="306">
        <v>0</v>
      </c>
      <c r="AQ294" s="771"/>
      <c r="AR294" s="1040"/>
      <c r="AS294" s="1027"/>
      <c r="AT294" s="386" t="s">
        <v>68</v>
      </c>
      <c r="AU294" s="12"/>
      <c r="AV294" s="243"/>
      <c r="AW294" s="54"/>
      <c r="AX294" s="124" t="s">
        <v>692</v>
      </c>
      <c r="AY294" s="5">
        <v>43143</v>
      </c>
      <c r="AZ294" s="5">
        <v>43210</v>
      </c>
      <c r="BA294" s="559"/>
      <c r="BB294" s="124" t="s">
        <v>692</v>
      </c>
      <c r="BC294" s="1959"/>
      <c r="BD294" s="5">
        <v>43143</v>
      </c>
      <c r="BE294" s="5">
        <v>43210</v>
      </c>
      <c r="BF294" s="521"/>
      <c r="BG294" s="38">
        <f t="shared" ref="BG294:BG302" si="8">AQ294+AR294</f>
        <v>0</v>
      </c>
      <c r="BH294" s="14" t="s">
        <v>68</v>
      </c>
      <c r="BI294" s="111"/>
      <c r="BJ294" s="5"/>
      <c r="BK294" s="5"/>
      <c r="BL294" s="54"/>
      <c r="BM294" s="54"/>
      <c r="BN294" s="54"/>
      <c r="BO294" s="54"/>
      <c r="BP294" s="54"/>
      <c r="BQ294" s="54"/>
      <c r="BR294" s="54"/>
      <c r="BS294" s="55"/>
      <c r="BT294" s="14"/>
      <c r="BU294" s="14"/>
      <c r="BV294" s="14"/>
      <c r="BW294" s="14"/>
      <c r="BX294" s="14"/>
      <c r="BY294" s="1432" t="s">
        <v>1567</v>
      </c>
      <c r="BZ294" s="356" t="s">
        <v>459</v>
      </c>
      <c r="CA294" s="582"/>
      <c r="CB294" s="582"/>
      <c r="CC294" s="582"/>
      <c r="CD294" s="582"/>
      <c r="CE294" s="582"/>
      <c r="CF294" s="582"/>
      <c r="CG294" s="582"/>
      <c r="CH294" s="16"/>
    </row>
    <row r="295" spans="2:86" customFormat="1" ht="84" hidden="1" customHeight="1">
      <c r="B295" s="23"/>
      <c r="C295" s="23"/>
      <c r="D295" s="23"/>
      <c r="E295" s="129" t="s">
        <v>68</v>
      </c>
      <c r="F295" s="129"/>
      <c r="G295" s="1055">
        <v>43306</v>
      </c>
      <c r="H295" s="365">
        <v>43319</v>
      </c>
      <c r="I295" s="17">
        <v>2018</v>
      </c>
      <c r="J295" s="1678">
        <v>181.02</v>
      </c>
      <c r="K295" s="183" t="s">
        <v>166</v>
      </c>
      <c r="L295" s="191" t="s">
        <v>951</v>
      </c>
      <c r="M295" s="2" t="s">
        <v>4077</v>
      </c>
      <c r="N295" s="186" t="s">
        <v>952</v>
      </c>
      <c r="O295" s="186" t="s">
        <v>4560</v>
      </c>
      <c r="P295" s="187">
        <v>187043.52</v>
      </c>
      <c r="Q295" s="188">
        <v>43133</v>
      </c>
      <c r="R295" s="189">
        <v>43137</v>
      </c>
      <c r="S295" s="190">
        <v>43210</v>
      </c>
      <c r="T295" s="23" t="s">
        <v>68</v>
      </c>
      <c r="U295" s="191" t="s">
        <v>1177</v>
      </c>
      <c r="V295" s="183" t="s">
        <v>709</v>
      </c>
      <c r="W295" s="505" t="s">
        <v>74</v>
      </c>
      <c r="X295" s="1623"/>
      <c r="Y295" s="35" t="s">
        <v>953</v>
      </c>
      <c r="Z295" s="9">
        <v>43130</v>
      </c>
      <c r="AA295" s="4">
        <v>187043.52</v>
      </c>
      <c r="AB295" s="4"/>
      <c r="AC295" s="34"/>
      <c r="AD295" s="36" t="s">
        <v>68</v>
      </c>
      <c r="AE295" s="119" t="s">
        <v>68</v>
      </c>
      <c r="AF295" s="119" t="s">
        <v>68</v>
      </c>
      <c r="AG295" s="7" t="s">
        <v>68</v>
      </c>
      <c r="AH295" s="116" t="s">
        <v>68</v>
      </c>
      <c r="AI295" s="386" t="s">
        <v>68</v>
      </c>
      <c r="AJ295" s="1" t="s">
        <v>68</v>
      </c>
      <c r="AK295" s="5"/>
      <c r="AL295" s="1" t="s">
        <v>68</v>
      </c>
      <c r="AM295" s="5"/>
      <c r="AN295" s="710" t="s">
        <v>68</v>
      </c>
      <c r="AO295" s="1"/>
      <c r="AP295" s="306">
        <v>0</v>
      </c>
      <c r="AQ295" s="771"/>
      <c r="AR295" s="1040"/>
      <c r="AS295" s="1027"/>
      <c r="AT295" s="386" t="s">
        <v>68</v>
      </c>
      <c r="AU295" s="12"/>
      <c r="AV295" s="243"/>
      <c r="AW295" s="54"/>
      <c r="AX295" s="124" t="s">
        <v>692</v>
      </c>
      <c r="AY295" s="5">
        <v>43137</v>
      </c>
      <c r="AZ295" s="5">
        <v>43210</v>
      </c>
      <c r="BA295" s="559"/>
      <c r="BB295" s="124" t="s">
        <v>692</v>
      </c>
      <c r="BC295" s="1959"/>
      <c r="BD295" s="5">
        <v>43137</v>
      </c>
      <c r="BE295" s="5">
        <v>43210</v>
      </c>
      <c r="BF295" s="521"/>
      <c r="BG295" s="66">
        <f t="shared" si="8"/>
        <v>0</v>
      </c>
      <c r="BH295" s="282" t="s">
        <v>68</v>
      </c>
      <c r="BI295" s="578"/>
      <c r="BJ295" s="255"/>
      <c r="BK295" s="255"/>
      <c r="BL295" s="246"/>
      <c r="BM295" s="246"/>
      <c r="BN295" s="246"/>
      <c r="BO295" s="246"/>
      <c r="BP295" s="246"/>
      <c r="BQ295" s="246"/>
      <c r="BR295" s="246"/>
      <c r="BS295" s="758"/>
      <c r="BT295" s="14"/>
      <c r="BU295" s="14"/>
      <c r="BV295" s="14"/>
      <c r="BW295" s="14"/>
      <c r="BX295" s="14"/>
      <c r="BY295" s="1432" t="s">
        <v>1567</v>
      </c>
      <c r="BZ295" s="356" t="s">
        <v>459</v>
      </c>
      <c r="CA295" s="582"/>
      <c r="CB295" s="582"/>
      <c r="CC295" s="582"/>
      <c r="CD295" s="582"/>
      <c r="CE295" s="582"/>
      <c r="CF295" s="582"/>
      <c r="CG295" s="582"/>
      <c r="CH295" s="16"/>
    </row>
    <row r="296" spans="2:86" customFormat="1" ht="117" hidden="1" customHeight="1">
      <c r="B296" s="23"/>
      <c r="C296" s="23"/>
      <c r="D296" s="23"/>
      <c r="E296" s="335" t="s">
        <v>68</v>
      </c>
      <c r="F296" s="335"/>
      <c r="G296" s="1055"/>
      <c r="H296" s="365">
        <v>43389</v>
      </c>
      <c r="I296" s="17">
        <v>2018</v>
      </c>
      <c r="J296" s="1678">
        <v>181.03</v>
      </c>
      <c r="K296" s="183" t="s">
        <v>166</v>
      </c>
      <c r="L296" s="191" t="s">
        <v>954</v>
      </c>
      <c r="M296" s="2" t="s">
        <v>4077</v>
      </c>
      <c r="N296" s="186" t="s">
        <v>955</v>
      </c>
      <c r="O296" s="186" t="s">
        <v>2548</v>
      </c>
      <c r="P296" s="187">
        <v>22000</v>
      </c>
      <c r="Q296" s="738">
        <v>43130</v>
      </c>
      <c r="R296" s="189">
        <v>43131</v>
      </c>
      <c r="S296" s="190">
        <v>43159</v>
      </c>
      <c r="T296" s="23" t="s">
        <v>68</v>
      </c>
      <c r="U296" s="191" t="s">
        <v>1177</v>
      </c>
      <c r="V296" s="183" t="s">
        <v>709</v>
      </c>
      <c r="W296" s="505" t="s">
        <v>74</v>
      </c>
      <c r="X296" s="1623"/>
      <c r="Y296" s="697" t="s">
        <v>956</v>
      </c>
      <c r="Z296" s="9">
        <v>43130</v>
      </c>
      <c r="AA296" s="4">
        <v>22000</v>
      </c>
      <c r="AB296" s="4"/>
      <c r="AC296" s="34"/>
      <c r="AD296" s="36" t="s">
        <v>68</v>
      </c>
      <c r="AE296" s="119" t="s">
        <v>68</v>
      </c>
      <c r="AF296" s="119" t="s">
        <v>68</v>
      </c>
      <c r="AG296" s="7" t="s">
        <v>68</v>
      </c>
      <c r="AH296" s="116" t="s">
        <v>68</v>
      </c>
      <c r="AI296" s="386" t="s">
        <v>68</v>
      </c>
      <c r="AJ296" s="1" t="s">
        <v>68</v>
      </c>
      <c r="AK296" s="5"/>
      <c r="AL296" s="1" t="s">
        <v>68</v>
      </c>
      <c r="AM296" s="5"/>
      <c r="AN296" s="710" t="s">
        <v>68</v>
      </c>
      <c r="AO296" s="1"/>
      <c r="AP296" s="306">
        <v>0</v>
      </c>
      <c r="AQ296" s="771"/>
      <c r="AR296" s="1040"/>
      <c r="AS296" s="1027"/>
      <c r="AT296" s="386" t="s">
        <v>68</v>
      </c>
      <c r="AU296" s="12"/>
      <c r="AV296" s="243"/>
      <c r="AW296" s="54"/>
      <c r="AX296" s="124" t="s">
        <v>692</v>
      </c>
      <c r="AY296" s="5">
        <v>43131</v>
      </c>
      <c r="AZ296" s="5">
        <v>43159</v>
      </c>
      <c r="BA296" s="559"/>
      <c r="BB296" s="124" t="s">
        <v>692</v>
      </c>
      <c r="BC296" s="1959"/>
      <c r="BD296" s="5">
        <v>43131</v>
      </c>
      <c r="BE296" s="5">
        <v>43159</v>
      </c>
      <c r="BF296" s="521"/>
      <c r="BG296" s="66">
        <f t="shared" si="8"/>
        <v>0</v>
      </c>
      <c r="BH296" s="282" t="s">
        <v>68</v>
      </c>
      <c r="BI296" s="578"/>
      <c r="BJ296" s="255"/>
      <c r="BK296" s="255"/>
      <c r="BL296" s="246"/>
      <c r="BM296" s="246"/>
      <c r="BN296" s="246"/>
      <c r="BO296" s="246"/>
      <c r="BP296" s="246"/>
      <c r="BQ296" s="246"/>
      <c r="BR296" s="246"/>
      <c r="BS296" s="758"/>
      <c r="BT296" s="14"/>
      <c r="BU296" s="14"/>
      <c r="BV296" s="14"/>
      <c r="BW296" s="14"/>
      <c r="BX296" s="14"/>
      <c r="BY296" s="1432" t="s">
        <v>1567</v>
      </c>
      <c r="BZ296" s="356" t="s">
        <v>459</v>
      </c>
      <c r="CA296" s="582"/>
      <c r="CB296" s="582"/>
      <c r="CC296" s="582"/>
      <c r="CD296" s="582"/>
      <c r="CE296" s="582"/>
      <c r="CF296" s="582"/>
      <c r="CG296" s="582"/>
      <c r="CH296" s="16"/>
    </row>
    <row r="297" spans="2:86" customFormat="1" ht="75" hidden="1" customHeight="1">
      <c r="B297" s="23"/>
      <c r="C297" s="23"/>
      <c r="D297" s="23"/>
      <c r="E297" s="335" t="s">
        <v>68</v>
      </c>
      <c r="F297" s="335"/>
      <c r="G297" s="1055">
        <v>43339</v>
      </c>
      <c r="H297" s="364">
        <v>43350</v>
      </c>
      <c r="I297" s="17">
        <v>2018</v>
      </c>
      <c r="J297" s="1678">
        <v>181.04</v>
      </c>
      <c r="K297" s="183" t="s">
        <v>166</v>
      </c>
      <c r="L297" s="191" t="s">
        <v>957</v>
      </c>
      <c r="M297" s="2" t="s">
        <v>4077</v>
      </c>
      <c r="N297" s="186" t="s">
        <v>958</v>
      </c>
      <c r="O297" s="186" t="s">
        <v>1979</v>
      </c>
      <c r="P297" s="187">
        <v>187044.63</v>
      </c>
      <c r="Q297" s="746">
        <v>43140</v>
      </c>
      <c r="R297" s="189">
        <v>43143</v>
      </c>
      <c r="S297" s="190">
        <v>43245</v>
      </c>
      <c r="T297" s="23" t="s">
        <v>68</v>
      </c>
      <c r="U297" s="191" t="s">
        <v>1177</v>
      </c>
      <c r="V297" s="19" t="s">
        <v>213</v>
      </c>
      <c r="W297" s="505" t="s">
        <v>74</v>
      </c>
      <c r="X297" s="1623"/>
      <c r="Y297" s="380" t="s">
        <v>959</v>
      </c>
      <c r="Z297" s="9">
        <v>43130</v>
      </c>
      <c r="AA297" s="4">
        <v>187044.63</v>
      </c>
      <c r="AB297" s="4"/>
      <c r="AC297" s="34"/>
      <c r="AD297" s="36" t="s">
        <v>68</v>
      </c>
      <c r="AE297" s="119" t="s">
        <v>68</v>
      </c>
      <c r="AF297" s="119" t="s">
        <v>68</v>
      </c>
      <c r="AG297" s="7" t="s">
        <v>68</v>
      </c>
      <c r="AH297" s="116" t="s">
        <v>68</v>
      </c>
      <c r="AI297" s="386" t="s">
        <v>68</v>
      </c>
      <c r="AJ297" s="1" t="s">
        <v>68</v>
      </c>
      <c r="AK297" s="5"/>
      <c r="AL297" s="1" t="s">
        <v>68</v>
      </c>
      <c r="AM297" s="5"/>
      <c r="AN297" s="710" t="s">
        <v>68</v>
      </c>
      <c r="AO297" s="1"/>
      <c r="AP297" s="306">
        <v>0</v>
      </c>
      <c r="AQ297" s="74">
        <v>40450</v>
      </c>
      <c r="AR297" s="1040"/>
      <c r="AS297" s="1027"/>
      <c r="AT297" s="386" t="s">
        <v>68</v>
      </c>
      <c r="AU297" s="12"/>
      <c r="AV297" s="243" t="s">
        <v>68</v>
      </c>
      <c r="AW297" s="54"/>
      <c r="AX297" s="124" t="s">
        <v>692</v>
      </c>
      <c r="AY297" s="5">
        <v>43143</v>
      </c>
      <c r="AZ297" s="5">
        <v>43245</v>
      </c>
      <c r="BA297" s="559"/>
      <c r="BB297" s="124" t="s">
        <v>692</v>
      </c>
      <c r="BC297" s="1959"/>
      <c r="BD297" s="5">
        <v>43143</v>
      </c>
      <c r="BE297" s="5">
        <v>43245</v>
      </c>
      <c r="BF297" s="521"/>
      <c r="BG297" s="66">
        <f t="shared" si="8"/>
        <v>40450</v>
      </c>
      <c r="BH297" s="282" t="s">
        <v>68</v>
      </c>
      <c r="BI297" s="578"/>
      <c r="BJ297" s="255"/>
      <c r="BK297" s="255"/>
      <c r="BL297" s="246"/>
      <c r="BM297" s="246"/>
      <c r="BN297" s="246"/>
      <c r="BO297" s="246"/>
      <c r="BP297" s="246"/>
      <c r="BQ297" s="246"/>
      <c r="BR297" s="246"/>
      <c r="BS297" s="758"/>
      <c r="BT297" s="14"/>
      <c r="BU297" s="14"/>
      <c r="BV297" s="14"/>
      <c r="BW297" s="14"/>
      <c r="BX297" s="14"/>
      <c r="BY297" s="1432" t="s">
        <v>1567</v>
      </c>
      <c r="BZ297" s="356" t="s">
        <v>459</v>
      </c>
      <c r="CA297" s="582"/>
      <c r="CB297" s="582"/>
      <c r="CC297" s="582"/>
      <c r="CD297" s="582"/>
      <c r="CE297" s="582"/>
      <c r="CF297" s="582"/>
      <c r="CG297" s="582"/>
      <c r="CH297" s="16"/>
    </row>
    <row r="298" spans="2:86" s="1241" customFormat="1" ht="15" hidden="1" customHeight="1">
      <c r="B298" s="1242"/>
      <c r="C298" s="1242"/>
      <c r="D298" s="1242"/>
      <c r="E298" s="1242"/>
      <c r="F298" s="1242"/>
      <c r="G298" s="610"/>
      <c r="H298" s="700"/>
      <c r="I298" s="588">
        <v>2018</v>
      </c>
      <c r="J298" s="1683">
        <v>181.05</v>
      </c>
      <c r="K298" s="1245"/>
      <c r="L298" s="1767" t="s">
        <v>960</v>
      </c>
      <c r="M298" s="904" t="s">
        <v>251</v>
      </c>
      <c r="N298" s="1247"/>
      <c r="O298" s="1247"/>
      <c r="P298" s="1248"/>
      <c r="Q298" s="1249"/>
      <c r="R298" s="1250"/>
      <c r="S298" s="1251"/>
      <c r="T298" s="1242" t="s">
        <v>68</v>
      </c>
      <c r="U298" s="1246" t="s">
        <v>68</v>
      </c>
      <c r="V298" s="1747"/>
      <c r="W298" s="1278"/>
      <c r="X298" s="1631"/>
      <c r="Y298" s="340"/>
      <c r="Z298" s="1254"/>
      <c r="AA298" s="1255"/>
      <c r="AB298" s="1255"/>
      <c r="AC298" s="1256"/>
      <c r="AD298" s="1257" t="s">
        <v>68</v>
      </c>
      <c r="AE298" s="1258" t="s">
        <v>68</v>
      </c>
      <c r="AF298" s="1258" t="s">
        <v>68</v>
      </c>
      <c r="AG298" s="1259" t="s">
        <v>68</v>
      </c>
      <c r="AH298" s="1260" t="s">
        <v>68</v>
      </c>
      <c r="AI298" s="1762" t="s">
        <v>68</v>
      </c>
      <c r="AJ298" s="1261" t="s">
        <v>68</v>
      </c>
      <c r="AK298" s="1262"/>
      <c r="AL298" s="1261" t="s">
        <v>68</v>
      </c>
      <c r="AM298" s="1262"/>
      <c r="AN298" s="1754" t="s">
        <v>68</v>
      </c>
      <c r="AO298" s="1261"/>
      <c r="AP298" s="1263">
        <v>0</v>
      </c>
      <c r="AQ298" s="1264"/>
      <c r="AR298" s="1265"/>
      <c r="AS298" s="1266"/>
      <c r="AT298" s="1762"/>
      <c r="AU298" s="1268"/>
      <c r="AV298" s="1269"/>
      <c r="AW298" s="1270"/>
      <c r="AX298" s="1766"/>
      <c r="AY298" s="1261"/>
      <c r="AZ298" s="1261"/>
      <c r="BA298" s="1271"/>
      <c r="BB298" s="1766"/>
      <c r="BC298" s="1962"/>
      <c r="BD298" s="1261"/>
      <c r="BE298" s="1261"/>
      <c r="BF298" s="1261"/>
      <c r="BG298" s="1272">
        <f t="shared" si="8"/>
        <v>0</v>
      </c>
      <c r="BH298" s="1273" t="s">
        <v>68</v>
      </c>
      <c r="BI298" s="1252"/>
      <c r="BJ298" s="1262"/>
      <c r="BK298" s="1262"/>
      <c r="BL298" s="1270"/>
      <c r="BM298" s="1270"/>
      <c r="BN298" s="1270"/>
      <c r="BO298" s="1270"/>
      <c r="BP298" s="1270"/>
      <c r="BQ298" s="1270"/>
      <c r="BR298" s="1270"/>
      <c r="BS298" s="1758"/>
      <c r="BT298" s="1273"/>
      <c r="BU298" s="1273"/>
      <c r="BV298" s="1273"/>
      <c r="BW298" s="1273"/>
      <c r="BX298" s="1273"/>
      <c r="BY298" s="1760" t="s">
        <v>1567</v>
      </c>
      <c r="BZ298" s="133" t="s">
        <v>478</v>
      </c>
      <c r="CA298" s="903"/>
      <c r="CB298" s="903"/>
      <c r="CC298" s="903"/>
      <c r="CD298" s="903"/>
      <c r="CE298" s="903"/>
      <c r="CF298" s="903"/>
      <c r="CG298" s="903"/>
      <c r="CH298" s="1277"/>
    </row>
    <row r="299" spans="2:86" s="197" customFormat="1" ht="66.75" hidden="1" customHeight="1">
      <c r="B299" s="335"/>
      <c r="C299" s="335"/>
      <c r="D299" s="335"/>
      <c r="E299" s="335" t="s">
        <v>68</v>
      </c>
      <c r="F299" s="335"/>
      <c r="G299" s="1055"/>
      <c r="H299" s="365"/>
      <c r="I299" s="327">
        <v>2018</v>
      </c>
      <c r="J299" s="1682">
        <v>181.06</v>
      </c>
      <c r="K299" s="716" t="s">
        <v>166</v>
      </c>
      <c r="L299" s="739" t="s">
        <v>961</v>
      </c>
      <c r="M299" s="2" t="s">
        <v>4077</v>
      </c>
      <c r="N299" s="495" t="s">
        <v>962</v>
      </c>
      <c r="O299" s="495" t="s">
        <v>4459</v>
      </c>
      <c r="P299" s="661">
        <v>2900000</v>
      </c>
      <c r="Q299" s="657">
        <v>43199</v>
      </c>
      <c r="R299" s="664" t="s">
        <v>68</v>
      </c>
      <c r="S299" s="665" t="s">
        <v>68</v>
      </c>
      <c r="T299" s="335" t="s">
        <v>68</v>
      </c>
      <c r="U299" s="739" t="s">
        <v>1177</v>
      </c>
      <c r="V299" s="716" t="s">
        <v>68</v>
      </c>
      <c r="W299" s="740" t="s">
        <v>68</v>
      </c>
      <c r="X299" s="1629"/>
      <c r="Y299" s="180" t="s">
        <v>963</v>
      </c>
      <c r="Z299" s="137">
        <v>43207</v>
      </c>
      <c r="AA299" s="85">
        <v>120000</v>
      </c>
      <c r="AB299" s="85"/>
      <c r="AC299" s="741"/>
      <c r="AD299" s="645" t="s">
        <v>68</v>
      </c>
      <c r="AE299" s="646" t="s">
        <v>68</v>
      </c>
      <c r="AF299" s="646" t="s">
        <v>68</v>
      </c>
      <c r="AG299" s="647" t="s">
        <v>68</v>
      </c>
      <c r="AH299" s="644" t="s">
        <v>68</v>
      </c>
      <c r="AI299" s="386" t="s">
        <v>68</v>
      </c>
      <c r="AJ299" s="71" t="s">
        <v>68</v>
      </c>
      <c r="AK299" s="255"/>
      <c r="AL299" s="71" t="s">
        <v>68</v>
      </c>
      <c r="AM299" s="255"/>
      <c r="AN299" s="710" t="s">
        <v>68</v>
      </c>
      <c r="AO299" s="71"/>
      <c r="AP299" s="601">
        <v>0</v>
      </c>
      <c r="AQ299" s="74"/>
      <c r="AR299" s="1032"/>
      <c r="AS299" s="1019"/>
      <c r="AT299" s="386"/>
      <c r="AU299" s="245"/>
      <c r="AV299" s="387"/>
      <c r="AW299" s="246"/>
      <c r="AX299" s="742"/>
      <c r="AY299" s="71"/>
      <c r="AZ299" s="71"/>
      <c r="BA299" s="532"/>
      <c r="BB299" s="742"/>
      <c r="BC299" s="1963"/>
      <c r="BD299" s="71"/>
      <c r="BE299" s="71"/>
      <c r="BF299" s="71"/>
      <c r="BG299" s="72">
        <f t="shared" si="8"/>
        <v>0</v>
      </c>
      <c r="BH299" s="282" t="s">
        <v>68</v>
      </c>
      <c r="BI299" s="578"/>
      <c r="BJ299" s="255"/>
      <c r="BK299" s="255"/>
      <c r="BL299" s="246"/>
      <c r="BM299" s="246"/>
      <c r="BN299" s="246"/>
      <c r="BO299" s="246"/>
      <c r="BP299" s="246"/>
      <c r="BQ299" s="246"/>
      <c r="BR299" s="246"/>
      <c r="BS299" s="758"/>
      <c r="BT299" s="282"/>
      <c r="BU299" s="282"/>
      <c r="BV299" s="282"/>
      <c r="BW299" s="282"/>
      <c r="BX299" s="282"/>
      <c r="BY299" s="1432" t="s">
        <v>1567</v>
      </c>
      <c r="BZ299" s="356" t="s">
        <v>459</v>
      </c>
      <c r="CA299" s="743"/>
      <c r="CB299" s="743"/>
      <c r="CC299" s="743"/>
      <c r="CD299" s="743"/>
      <c r="CE299" s="743"/>
      <c r="CF299" s="743"/>
      <c r="CG299" s="743"/>
      <c r="CH299" s="744"/>
    </row>
    <row r="300" spans="2:86" s="1241" customFormat="1" ht="15" hidden="1" customHeight="1">
      <c r="B300" s="1242"/>
      <c r="C300" s="1242"/>
      <c r="D300" s="1242"/>
      <c r="E300" s="1242"/>
      <c r="F300" s="1242"/>
      <c r="G300" s="610">
        <v>43304</v>
      </c>
      <c r="H300" s="700"/>
      <c r="I300" s="588">
        <v>2018</v>
      </c>
      <c r="J300" s="1683">
        <v>181.07</v>
      </c>
      <c r="K300" s="1245" t="s">
        <v>77</v>
      </c>
      <c r="L300" s="1767" t="s">
        <v>964</v>
      </c>
      <c r="M300" s="1763" t="s">
        <v>251</v>
      </c>
      <c r="N300" s="1247" t="s">
        <v>965</v>
      </c>
      <c r="O300" s="1247"/>
      <c r="P300" s="1248"/>
      <c r="Q300" s="1249"/>
      <c r="R300" s="1250"/>
      <c r="S300" s="1251"/>
      <c r="T300" s="1242" t="s">
        <v>68</v>
      </c>
      <c r="U300" s="1246" t="s">
        <v>68</v>
      </c>
      <c r="V300" s="1747" t="s">
        <v>449</v>
      </c>
      <c r="W300" s="1278"/>
      <c r="X300" s="1631"/>
      <c r="Y300" s="340" t="s">
        <v>966</v>
      </c>
      <c r="Z300" s="1254">
        <v>43185</v>
      </c>
      <c r="AA300" s="1255">
        <v>500000</v>
      </c>
      <c r="AB300" s="1255"/>
      <c r="AC300" s="1256"/>
      <c r="AD300" s="1257"/>
      <c r="AE300" s="1258"/>
      <c r="AF300" s="1258"/>
      <c r="AG300" s="1259"/>
      <c r="AH300" s="1260"/>
      <c r="AI300" s="340"/>
      <c r="AJ300" s="1261"/>
      <c r="AK300" s="1262"/>
      <c r="AL300" s="1261"/>
      <c r="AM300" s="1262"/>
      <c r="AN300" s="1261"/>
      <c r="AO300" s="1261"/>
      <c r="AP300" s="1263"/>
      <c r="AQ300" s="1264">
        <v>0</v>
      </c>
      <c r="AR300" s="1265"/>
      <c r="AS300" s="1266"/>
      <c r="AT300" s="1267"/>
      <c r="AU300" s="1268"/>
      <c r="AV300" s="1269"/>
      <c r="AW300" s="1270"/>
      <c r="AX300" s="955"/>
      <c r="AY300" s="1261"/>
      <c r="AZ300" s="1261"/>
      <c r="BA300" s="1271"/>
      <c r="BB300" s="955"/>
      <c r="BC300" s="1756"/>
      <c r="BD300" s="1261"/>
      <c r="BE300" s="1261"/>
      <c r="BF300" s="1261"/>
      <c r="BG300" s="1272">
        <f t="shared" si="8"/>
        <v>0</v>
      </c>
      <c r="BH300" s="1273"/>
      <c r="BI300" s="1252"/>
      <c r="BJ300" s="1262"/>
      <c r="BK300" s="1262"/>
      <c r="BL300" s="1270"/>
      <c r="BM300" s="1270"/>
      <c r="BN300" s="1270"/>
      <c r="BO300" s="1270"/>
      <c r="BP300" s="1270"/>
      <c r="BQ300" s="1270"/>
      <c r="BR300" s="1270"/>
      <c r="BS300" s="1758"/>
      <c r="BT300" s="1273"/>
      <c r="BU300" s="1273"/>
      <c r="BV300" s="1273"/>
      <c r="BW300" s="1273"/>
      <c r="BX300" s="1273"/>
      <c r="BY300" s="1760" t="s">
        <v>1567</v>
      </c>
      <c r="BZ300" s="133" t="s">
        <v>478</v>
      </c>
      <c r="CA300" s="903"/>
      <c r="CB300" s="903"/>
      <c r="CC300" s="903"/>
      <c r="CD300" s="903"/>
      <c r="CE300" s="903"/>
      <c r="CF300" s="903"/>
      <c r="CG300" s="903"/>
      <c r="CH300" s="1277"/>
    </row>
    <row r="301" spans="2:86" s="1241" customFormat="1" ht="15" hidden="1" customHeight="1">
      <c r="B301" s="1242"/>
      <c r="C301" s="1242"/>
      <c r="D301" s="1242"/>
      <c r="E301" s="1242"/>
      <c r="F301" s="1242"/>
      <c r="G301" s="610"/>
      <c r="H301" s="700"/>
      <c r="I301" s="588">
        <v>2018</v>
      </c>
      <c r="J301" s="1683">
        <v>181.08</v>
      </c>
      <c r="K301" s="1245"/>
      <c r="L301" s="1767" t="s">
        <v>967</v>
      </c>
      <c r="M301" s="904" t="s">
        <v>251</v>
      </c>
      <c r="N301" s="1247"/>
      <c r="O301" s="1247"/>
      <c r="P301" s="1248"/>
      <c r="Q301" s="1249"/>
      <c r="R301" s="1250"/>
      <c r="S301" s="1251"/>
      <c r="T301" s="1242" t="s">
        <v>68</v>
      </c>
      <c r="U301" s="1246" t="s">
        <v>68</v>
      </c>
      <c r="V301" s="1245"/>
      <c r="W301" s="1278"/>
      <c r="X301" s="1631"/>
      <c r="Y301" s="340"/>
      <c r="Z301" s="1254"/>
      <c r="AA301" s="1255"/>
      <c r="AB301" s="1255"/>
      <c r="AC301" s="1256"/>
      <c r="AD301" s="1257" t="s">
        <v>68</v>
      </c>
      <c r="AE301" s="1258" t="s">
        <v>68</v>
      </c>
      <c r="AF301" s="1258" t="s">
        <v>68</v>
      </c>
      <c r="AG301" s="1259" t="s">
        <v>68</v>
      </c>
      <c r="AH301" s="1260" t="s">
        <v>68</v>
      </c>
      <c r="AI301" s="1762" t="s">
        <v>68</v>
      </c>
      <c r="AJ301" s="1261" t="s">
        <v>68</v>
      </c>
      <c r="AK301" s="1262"/>
      <c r="AL301" s="1261" t="s">
        <v>68</v>
      </c>
      <c r="AM301" s="1262"/>
      <c r="AN301" s="1754" t="s">
        <v>68</v>
      </c>
      <c r="AO301" s="1261"/>
      <c r="AP301" s="1263">
        <v>0</v>
      </c>
      <c r="AQ301" s="1264"/>
      <c r="AR301" s="1265"/>
      <c r="AS301" s="1266"/>
      <c r="AT301" s="1762"/>
      <c r="AU301" s="1268"/>
      <c r="AV301" s="1269"/>
      <c r="AW301" s="1270"/>
      <c r="AX301" s="1766"/>
      <c r="AY301" s="1261"/>
      <c r="AZ301" s="1261"/>
      <c r="BA301" s="1271"/>
      <c r="BB301" s="1766"/>
      <c r="BC301" s="1962"/>
      <c r="BD301" s="1261"/>
      <c r="BE301" s="1261"/>
      <c r="BF301" s="1261"/>
      <c r="BG301" s="1272">
        <f t="shared" si="8"/>
        <v>0</v>
      </c>
      <c r="BH301" s="1273" t="s">
        <v>68</v>
      </c>
      <c r="BI301" s="1252"/>
      <c r="BJ301" s="1262"/>
      <c r="BK301" s="1262"/>
      <c r="BL301" s="1270"/>
      <c r="BM301" s="1270"/>
      <c r="BN301" s="1270"/>
      <c r="BO301" s="1270"/>
      <c r="BP301" s="1270"/>
      <c r="BQ301" s="1270"/>
      <c r="BR301" s="1270"/>
      <c r="BS301" s="1758"/>
      <c r="BT301" s="1273"/>
      <c r="BU301" s="1273"/>
      <c r="BV301" s="1273"/>
      <c r="BW301" s="1273"/>
      <c r="BX301" s="1273"/>
      <c r="BY301" s="1760" t="s">
        <v>1567</v>
      </c>
      <c r="BZ301" s="133" t="s">
        <v>478</v>
      </c>
      <c r="CA301" s="903"/>
      <c r="CB301" s="903"/>
      <c r="CC301" s="903"/>
      <c r="CD301" s="903"/>
      <c r="CE301" s="903"/>
      <c r="CF301" s="903"/>
      <c r="CG301" s="903"/>
      <c r="CH301" s="1277"/>
    </row>
    <row r="302" spans="2:86" s="1241" customFormat="1" ht="15" hidden="1" customHeight="1">
      <c r="B302" s="1242"/>
      <c r="C302" s="1242"/>
      <c r="D302" s="1242"/>
      <c r="E302" s="1242"/>
      <c r="F302" s="1242"/>
      <c r="G302" s="610"/>
      <c r="H302" s="700"/>
      <c r="I302" s="588">
        <v>2018</v>
      </c>
      <c r="J302" s="1683">
        <v>181.09</v>
      </c>
      <c r="K302" s="1245"/>
      <c r="L302" s="1767" t="s">
        <v>968</v>
      </c>
      <c r="M302" s="904" t="s">
        <v>251</v>
      </c>
      <c r="N302" s="1247"/>
      <c r="O302" s="1247"/>
      <c r="P302" s="1248"/>
      <c r="Q302" s="1249"/>
      <c r="R302" s="1250"/>
      <c r="S302" s="1251"/>
      <c r="T302" s="1242" t="s">
        <v>68</v>
      </c>
      <c r="U302" s="1246" t="s">
        <v>68</v>
      </c>
      <c r="V302" s="1245"/>
      <c r="W302" s="1278"/>
      <c r="X302" s="1631"/>
      <c r="Y302" s="340"/>
      <c r="Z302" s="1254"/>
      <c r="AA302" s="1255"/>
      <c r="AB302" s="1255"/>
      <c r="AC302" s="1256"/>
      <c r="AD302" s="1257" t="s">
        <v>68</v>
      </c>
      <c r="AE302" s="1258" t="s">
        <v>68</v>
      </c>
      <c r="AF302" s="1258" t="s">
        <v>68</v>
      </c>
      <c r="AG302" s="1259" t="s">
        <v>68</v>
      </c>
      <c r="AH302" s="1260" t="s">
        <v>68</v>
      </c>
      <c r="AI302" s="1762" t="s">
        <v>68</v>
      </c>
      <c r="AJ302" s="1261" t="s">
        <v>68</v>
      </c>
      <c r="AK302" s="1262"/>
      <c r="AL302" s="1261" t="s">
        <v>68</v>
      </c>
      <c r="AM302" s="1262"/>
      <c r="AN302" s="1754" t="s">
        <v>68</v>
      </c>
      <c r="AO302" s="1261"/>
      <c r="AP302" s="1263">
        <v>0</v>
      </c>
      <c r="AQ302" s="1264"/>
      <c r="AR302" s="1265"/>
      <c r="AS302" s="1266"/>
      <c r="AT302" s="1762"/>
      <c r="AU302" s="1268"/>
      <c r="AV302" s="1269"/>
      <c r="AW302" s="1270"/>
      <c r="AX302" s="1766"/>
      <c r="AY302" s="1261"/>
      <c r="AZ302" s="1261"/>
      <c r="BA302" s="1271"/>
      <c r="BB302" s="1766"/>
      <c r="BC302" s="1962"/>
      <c r="BD302" s="1261"/>
      <c r="BE302" s="1261"/>
      <c r="BF302" s="1261"/>
      <c r="BG302" s="1272">
        <f t="shared" si="8"/>
        <v>0</v>
      </c>
      <c r="BH302" s="1273" t="s">
        <v>68</v>
      </c>
      <c r="BI302" s="1252"/>
      <c r="BJ302" s="1262"/>
      <c r="BK302" s="1262"/>
      <c r="BL302" s="1270"/>
      <c r="BM302" s="1270"/>
      <c r="BN302" s="1270"/>
      <c r="BO302" s="1270"/>
      <c r="BP302" s="1270"/>
      <c r="BQ302" s="1270"/>
      <c r="BR302" s="1270"/>
      <c r="BS302" s="1758"/>
      <c r="BT302" s="1273"/>
      <c r="BU302" s="1273"/>
      <c r="BV302" s="1273"/>
      <c r="BW302" s="1273"/>
      <c r="BX302" s="1273"/>
      <c r="BY302" s="1760" t="s">
        <v>1567</v>
      </c>
      <c r="BZ302" s="133" t="s">
        <v>478</v>
      </c>
      <c r="CA302" s="903"/>
      <c r="CB302" s="903"/>
      <c r="CC302" s="903"/>
      <c r="CD302" s="903"/>
      <c r="CE302" s="903"/>
      <c r="CF302" s="903"/>
      <c r="CG302" s="903"/>
      <c r="CH302" s="1277"/>
    </row>
    <row r="303" spans="2:86" customFormat="1" ht="86.25" hidden="1" customHeight="1">
      <c r="B303" s="23"/>
      <c r="C303" s="23" t="s">
        <v>969</v>
      </c>
      <c r="D303" s="23"/>
      <c r="E303" s="335" t="s">
        <v>68</v>
      </c>
      <c r="F303" s="335"/>
      <c r="G303" s="1055">
        <v>43375</v>
      </c>
      <c r="H303" s="365">
        <v>43389</v>
      </c>
      <c r="I303" s="17">
        <v>2018</v>
      </c>
      <c r="J303" s="1678">
        <v>181.1</v>
      </c>
      <c r="K303" s="183" t="s">
        <v>77</v>
      </c>
      <c r="L303" s="739" t="s">
        <v>970</v>
      </c>
      <c r="M303" s="2" t="s">
        <v>4077</v>
      </c>
      <c r="N303" s="186" t="s">
        <v>971</v>
      </c>
      <c r="O303" s="186" t="s">
        <v>1979</v>
      </c>
      <c r="P303" s="187">
        <v>606708.96</v>
      </c>
      <c r="Q303" s="656">
        <v>43228</v>
      </c>
      <c r="R303" s="189">
        <v>43229</v>
      </c>
      <c r="S303" s="190">
        <v>43262</v>
      </c>
      <c r="T303" s="23" t="s">
        <v>68</v>
      </c>
      <c r="U303" s="191" t="s">
        <v>1177</v>
      </c>
      <c r="V303" s="183" t="s">
        <v>449</v>
      </c>
      <c r="W303" s="685">
        <v>43222</v>
      </c>
      <c r="X303" s="1625"/>
      <c r="Y303" s="491" t="s">
        <v>972</v>
      </c>
      <c r="Z303" s="9">
        <v>43220</v>
      </c>
      <c r="AA303" s="4">
        <v>606708.96</v>
      </c>
      <c r="AB303" s="4"/>
      <c r="AC303" s="34"/>
      <c r="AD303" s="36" t="s">
        <v>68</v>
      </c>
      <c r="AE303" s="119" t="s">
        <v>68</v>
      </c>
      <c r="AF303" s="119" t="s">
        <v>68</v>
      </c>
      <c r="AG303" s="7" t="s">
        <v>68</v>
      </c>
      <c r="AH303" s="116" t="s">
        <v>68</v>
      </c>
      <c r="AI303" s="386" t="s">
        <v>68</v>
      </c>
      <c r="AJ303" s="1" t="s">
        <v>68</v>
      </c>
      <c r="AK303" s="5"/>
      <c r="AL303" s="1" t="s">
        <v>68</v>
      </c>
      <c r="AM303" s="5"/>
      <c r="AN303" s="710" t="s">
        <v>68</v>
      </c>
      <c r="AO303" s="1"/>
      <c r="AP303" s="306">
        <v>0</v>
      </c>
      <c r="AQ303" s="771">
        <v>130403.52</v>
      </c>
      <c r="AR303" s="1040">
        <v>465082</v>
      </c>
      <c r="AS303" s="1060">
        <v>607453.52</v>
      </c>
      <c r="AT303" s="68" t="s">
        <v>74</v>
      </c>
      <c r="AU303" s="12"/>
      <c r="AV303" s="243" t="s">
        <v>68</v>
      </c>
      <c r="AW303" s="54" t="s">
        <v>973</v>
      </c>
      <c r="AX303" s="75">
        <v>43252</v>
      </c>
      <c r="AY303" s="5">
        <v>43229</v>
      </c>
      <c r="AZ303" s="5">
        <v>43262</v>
      </c>
      <c r="BA303" s="12">
        <v>43251</v>
      </c>
      <c r="BB303" s="75">
        <v>43252</v>
      </c>
      <c r="BC303" s="1950"/>
      <c r="BD303" s="5">
        <v>43229</v>
      </c>
      <c r="BE303" s="5">
        <v>43262</v>
      </c>
      <c r="BF303" s="5">
        <v>43251</v>
      </c>
      <c r="BG303" s="72">
        <v>607453.52</v>
      </c>
      <c r="BH303" s="282" t="s">
        <v>68</v>
      </c>
      <c r="BI303" s="578"/>
      <c r="BJ303" s="255"/>
      <c r="BK303" s="255"/>
      <c r="BL303" s="246"/>
      <c r="BM303" s="246"/>
      <c r="BN303" s="246"/>
      <c r="BO303" s="246"/>
      <c r="BP303" s="246"/>
      <c r="BQ303" s="246"/>
      <c r="BR303" s="246"/>
      <c r="BS303" s="758"/>
      <c r="BT303" s="14"/>
      <c r="BU303" s="14"/>
      <c r="BV303" s="14"/>
      <c r="BW303" s="14"/>
      <c r="BX303" s="14"/>
      <c r="BY303" s="1432" t="s">
        <v>1567</v>
      </c>
      <c r="BZ303" s="356" t="s">
        <v>459</v>
      </c>
      <c r="CA303" s="582"/>
      <c r="CB303" s="582"/>
      <c r="CC303" s="582"/>
      <c r="CD303" s="582"/>
      <c r="CE303" s="582"/>
      <c r="CF303" s="582"/>
      <c r="CG303" s="582"/>
      <c r="CH303" s="16"/>
    </row>
    <row r="304" spans="2:86" s="197" customFormat="1" ht="117" hidden="1" customHeight="1">
      <c r="B304" s="335"/>
      <c r="C304" s="335" t="s">
        <v>969</v>
      </c>
      <c r="D304" s="335"/>
      <c r="E304" s="335" t="s">
        <v>68</v>
      </c>
      <c r="F304" s="335"/>
      <c r="G304" s="1055">
        <v>43376</v>
      </c>
      <c r="H304" s="365">
        <v>43389</v>
      </c>
      <c r="I304" s="327">
        <v>2018</v>
      </c>
      <c r="J304" s="1682">
        <v>181.11</v>
      </c>
      <c r="K304" s="716" t="s">
        <v>808</v>
      </c>
      <c r="L304" s="739" t="s">
        <v>974</v>
      </c>
      <c r="M304" s="2" t="s">
        <v>4077</v>
      </c>
      <c r="N304" s="495" t="s">
        <v>975</v>
      </c>
      <c r="O304" s="495" t="s">
        <v>4459</v>
      </c>
      <c r="P304" s="661">
        <v>989000</v>
      </c>
      <c r="Q304" s="656">
        <v>43241</v>
      </c>
      <c r="R304" s="664">
        <v>43257</v>
      </c>
      <c r="S304" s="665">
        <v>43322</v>
      </c>
      <c r="T304" s="335" t="s">
        <v>68</v>
      </c>
      <c r="U304" s="739" t="s">
        <v>1177</v>
      </c>
      <c r="V304" s="716" t="s">
        <v>449</v>
      </c>
      <c r="W304" s="685">
        <v>43252</v>
      </c>
      <c r="X304" s="1625"/>
      <c r="Y304" s="491" t="s">
        <v>976</v>
      </c>
      <c r="Z304" s="137">
        <v>43256</v>
      </c>
      <c r="AA304" s="85">
        <v>1000000</v>
      </c>
      <c r="AB304" s="85"/>
      <c r="AC304" s="741"/>
      <c r="AD304" s="645" t="s">
        <v>68</v>
      </c>
      <c r="AE304" s="646" t="s">
        <v>68</v>
      </c>
      <c r="AF304" s="646" t="s">
        <v>68</v>
      </c>
      <c r="AG304" s="647" t="s">
        <v>68</v>
      </c>
      <c r="AH304" s="644" t="s">
        <v>68</v>
      </c>
      <c r="AI304" s="386" t="s">
        <v>68</v>
      </c>
      <c r="AJ304" s="71" t="s">
        <v>68</v>
      </c>
      <c r="AK304" s="255"/>
      <c r="AL304" s="71" t="s">
        <v>68</v>
      </c>
      <c r="AM304" s="255"/>
      <c r="AN304" s="710" t="s">
        <v>68</v>
      </c>
      <c r="AO304" s="71"/>
      <c r="AP304" s="601">
        <v>0</v>
      </c>
      <c r="AQ304" s="74">
        <v>256954.58</v>
      </c>
      <c r="AR304" s="1032">
        <v>678741.45</v>
      </c>
      <c r="AS304" s="1060">
        <v>988757.98</v>
      </c>
      <c r="AT304" s="68" t="s">
        <v>74</v>
      </c>
      <c r="AU304" s="245"/>
      <c r="AV304" s="243" t="s">
        <v>68</v>
      </c>
      <c r="AW304" s="246" t="s">
        <v>518</v>
      </c>
      <c r="AX304" s="75">
        <v>43314</v>
      </c>
      <c r="AY304" s="255">
        <v>43257</v>
      </c>
      <c r="AZ304" s="255">
        <v>43322</v>
      </c>
      <c r="BA304" s="245">
        <v>43312</v>
      </c>
      <c r="BB304" s="75">
        <v>43314</v>
      </c>
      <c r="BC304" s="1950"/>
      <c r="BD304" s="255">
        <v>43257</v>
      </c>
      <c r="BE304" s="255">
        <v>43322</v>
      </c>
      <c r="BF304" s="255">
        <v>43312</v>
      </c>
      <c r="BG304" s="72">
        <f t="shared" ref="BG304:BG336" si="9">AQ304+AR304</f>
        <v>935696.02999999991</v>
      </c>
      <c r="BH304" s="282" t="s">
        <v>68</v>
      </c>
      <c r="BI304" s="578"/>
      <c r="BJ304" s="255"/>
      <c r="BK304" s="255"/>
      <c r="BL304" s="246"/>
      <c r="BM304" s="246"/>
      <c r="BN304" s="246"/>
      <c r="BO304" s="246"/>
      <c r="BP304" s="246"/>
      <c r="BQ304" s="246"/>
      <c r="BR304" s="246"/>
      <c r="BS304" s="758"/>
      <c r="BT304" s="282"/>
      <c r="BU304" s="282"/>
      <c r="BV304" s="282"/>
      <c r="BW304" s="282"/>
      <c r="BX304" s="282"/>
      <c r="BY304" s="1432" t="s">
        <v>1567</v>
      </c>
      <c r="BZ304" s="356" t="s">
        <v>459</v>
      </c>
      <c r="CA304" s="743"/>
      <c r="CB304" s="743"/>
      <c r="CC304" s="743"/>
      <c r="CD304" s="743"/>
      <c r="CE304" s="743"/>
      <c r="CF304" s="743"/>
      <c r="CG304" s="743"/>
      <c r="CH304" s="744"/>
    </row>
    <row r="305" spans="1:86" s="197" customFormat="1" ht="70.5" hidden="1" customHeight="1">
      <c r="B305" s="335"/>
      <c r="C305" s="335" t="s">
        <v>969</v>
      </c>
      <c r="D305" s="335"/>
      <c r="E305" s="335" t="s">
        <v>68</v>
      </c>
      <c r="F305" s="335"/>
      <c r="G305" s="1055">
        <v>43374</v>
      </c>
      <c r="H305" s="365">
        <v>43389</v>
      </c>
      <c r="I305" s="327">
        <v>2018</v>
      </c>
      <c r="J305" s="1682">
        <v>181.12</v>
      </c>
      <c r="K305" s="716" t="s">
        <v>166</v>
      </c>
      <c r="L305" s="739" t="s">
        <v>977</v>
      </c>
      <c r="M305" s="2" t="s">
        <v>4077</v>
      </c>
      <c r="N305" s="495" t="s">
        <v>978</v>
      </c>
      <c r="O305" s="495" t="s">
        <v>4459</v>
      </c>
      <c r="P305" s="661">
        <v>354409.68</v>
      </c>
      <c r="Q305" s="657">
        <v>43257</v>
      </c>
      <c r="R305" s="664">
        <v>43257</v>
      </c>
      <c r="S305" s="665">
        <v>43318</v>
      </c>
      <c r="T305" s="335" t="s">
        <v>68</v>
      </c>
      <c r="U305" s="739" t="s">
        <v>1177</v>
      </c>
      <c r="V305" s="716" t="s">
        <v>449</v>
      </c>
      <c r="W305" s="740">
        <v>43252</v>
      </c>
      <c r="X305" s="1629"/>
      <c r="Y305" s="180" t="s">
        <v>979</v>
      </c>
      <c r="Z305" s="137">
        <v>43256</v>
      </c>
      <c r="AA305" s="85">
        <v>354409.68</v>
      </c>
      <c r="AB305" s="85"/>
      <c r="AC305" s="741"/>
      <c r="AD305" s="645" t="s">
        <v>68</v>
      </c>
      <c r="AE305" s="646" t="s">
        <v>68</v>
      </c>
      <c r="AF305" s="646" t="s">
        <v>68</v>
      </c>
      <c r="AG305" s="647" t="s">
        <v>68</v>
      </c>
      <c r="AH305" s="644" t="s">
        <v>68</v>
      </c>
      <c r="AI305" s="386" t="s">
        <v>68</v>
      </c>
      <c r="AJ305" s="71" t="s">
        <v>68</v>
      </c>
      <c r="AK305" s="255"/>
      <c r="AL305" s="71" t="s">
        <v>68</v>
      </c>
      <c r="AM305" s="255"/>
      <c r="AN305" s="710" t="s">
        <v>68</v>
      </c>
      <c r="AO305" s="71"/>
      <c r="AP305" s="601">
        <v>0</v>
      </c>
      <c r="AQ305" s="74">
        <v>80012.33</v>
      </c>
      <c r="AR305" s="1032">
        <v>274167.42</v>
      </c>
      <c r="AS305" s="1019">
        <v>354179.75</v>
      </c>
      <c r="AT305" s="68" t="s">
        <v>74</v>
      </c>
      <c r="AU305" s="245"/>
      <c r="AV305" s="387" t="s">
        <v>68</v>
      </c>
      <c r="AW305" s="246" t="s">
        <v>495</v>
      </c>
      <c r="AX305" s="75">
        <v>43273</v>
      </c>
      <c r="AY305" s="255">
        <v>43257</v>
      </c>
      <c r="AZ305" s="255">
        <v>43318</v>
      </c>
      <c r="BA305" s="245">
        <v>43272</v>
      </c>
      <c r="BB305" s="75">
        <v>43273</v>
      </c>
      <c r="BC305" s="1950"/>
      <c r="BD305" s="255">
        <v>43257</v>
      </c>
      <c r="BE305" s="255">
        <v>43318</v>
      </c>
      <c r="BF305" s="255">
        <v>43272</v>
      </c>
      <c r="BG305" s="72">
        <f t="shared" si="9"/>
        <v>354179.75</v>
      </c>
      <c r="BH305" s="282" t="s">
        <v>68</v>
      </c>
      <c r="BI305" s="578"/>
      <c r="BJ305" s="255"/>
      <c r="BK305" s="255"/>
      <c r="BL305" s="246"/>
      <c r="BM305" s="246"/>
      <c r="BN305" s="246"/>
      <c r="BO305" s="246"/>
      <c r="BP305" s="246"/>
      <c r="BQ305" s="246"/>
      <c r="BR305" s="246"/>
      <c r="BS305" s="758"/>
      <c r="BT305" s="282"/>
      <c r="BU305" s="282"/>
      <c r="BV305" s="282"/>
      <c r="BW305" s="282"/>
      <c r="BX305" s="282"/>
      <c r="BY305" s="1432" t="s">
        <v>1567</v>
      </c>
      <c r="BZ305" s="356" t="s">
        <v>459</v>
      </c>
      <c r="CA305" s="743"/>
      <c r="CB305" s="743"/>
      <c r="CC305" s="743"/>
      <c r="CD305" s="743"/>
      <c r="CE305" s="743"/>
      <c r="CF305" s="743"/>
      <c r="CG305" s="743"/>
      <c r="CH305" s="744"/>
    </row>
    <row r="306" spans="1:86" s="197" customFormat="1" ht="72" hidden="1" customHeight="1">
      <c r="B306" s="335"/>
      <c r="C306" s="335" t="s">
        <v>969</v>
      </c>
      <c r="D306" s="335"/>
      <c r="E306" s="335" t="s">
        <v>68</v>
      </c>
      <c r="F306" s="335"/>
      <c r="G306" s="1055">
        <v>43374</v>
      </c>
      <c r="H306" s="365"/>
      <c r="I306" s="327">
        <v>2018</v>
      </c>
      <c r="J306" s="1682">
        <v>181.13</v>
      </c>
      <c r="K306" s="716" t="s">
        <v>166</v>
      </c>
      <c r="L306" s="739" t="s">
        <v>980</v>
      </c>
      <c r="M306" s="2" t="s">
        <v>4077</v>
      </c>
      <c r="N306" s="495" t="s">
        <v>981</v>
      </c>
      <c r="O306" s="495" t="s">
        <v>4459</v>
      </c>
      <c r="P306" s="661">
        <v>95341.6</v>
      </c>
      <c r="Q306" s="656">
        <v>43257</v>
      </c>
      <c r="R306" s="664">
        <v>43257</v>
      </c>
      <c r="S306" s="665">
        <v>43318</v>
      </c>
      <c r="T306" s="335" t="s">
        <v>68</v>
      </c>
      <c r="U306" s="739" t="s">
        <v>1177</v>
      </c>
      <c r="V306" s="716" t="s">
        <v>449</v>
      </c>
      <c r="W306" s="685">
        <v>43252</v>
      </c>
      <c r="X306" s="1625"/>
      <c r="Y306" s="491" t="s">
        <v>979</v>
      </c>
      <c r="Z306" s="137">
        <v>43256</v>
      </c>
      <c r="AA306" s="85">
        <v>95341.6</v>
      </c>
      <c r="AB306" s="85"/>
      <c r="AC306" s="741"/>
      <c r="AD306" s="645" t="s">
        <v>68</v>
      </c>
      <c r="AE306" s="646" t="s">
        <v>68</v>
      </c>
      <c r="AF306" s="646" t="s">
        <v>68</v>
      </c>
      <c r="AG306" s="647" t="s">
        <v>68</v>
      </c>
      <c r="AH306" s="644" t="s">
        <v>68</v>
      </c>
      <c r="AI306" s="386" t="s">
        <v>68</v>
      </c>
      <c r="AJ306" s="71" t="s">
        <v>68</v>
      </c>
      <c r="AK306" s="255"/>
      <c r="AL306" s="71" t="s">
        <v>68</v>
      </c>
      <c r="AM306" s="255"/>
      <c r="AN306" s="710" t="s">
        <v>68</v>
      </c>
      <c r="AO306" s="71"/>
      <c r="AP306" s="601">
        <v>0</v>
      </c>
      <c r="AQ306" s="74">
        <v>30899.54</v>
      </c>
      <c r="AR306" s="1032">
        <v>63828.08</v>
      </c>
      <c r="AS306" s="1019">
        <v>94727.62</v>
      </c>
      <c r="AT306" s="68" t="s">
        <v>74</v>
      </c>
      <c r="AU306" s="245"/>
      <c r="AV306" s="387" t="s">
        <v>68</v>
      </c>
      <c r="AW306" s="246" t="s">
        <v>506</v>
      </c>
      <c r="AX306" s="75">
        <v>43273</v>
      </c>
      <c r="AY306" s="786">
        <v>43257</v>
      </c>
      <c r="AZ306" s="786">
        <v>43318</v>
      </c>
      <c r="BA306" s="787">
        <v>43272</v>
      </c>
      <c r="BB306" s="75">
        <v>43273</v>
      </c>
      <c r="BC306" s="1950"/>
      <c r="BD306" s="255">
        <v>43257</v>
      </c>
      <c r="BE306" s="255">
        <v>43318</v>
      </c>
      <c r="BF306" s="255">
        <v>43272</v>
      </c>
      <c r="BG306" s="270">
        <f t="shared" si="9"/>
        <v>94727.62</v>
      </c>
      <c r="BH306" s="282" t="s">
        <v>68</v>
      </c>
      <c r="BI306" s="578"/>
      <c r="BJ306" s="255"/>
      <c r="BK306" s="255"/>
      <c r="BL306" s="246"/>
      <c r="BM306" s="246"/>
      <c r="BN306" s="246"/>
      <c r="BO306" s="246"/>
      <c r="BP306" s="246"/>
      <c r="BQ306" s="246"/>
      <c r="BR306" s="246"/>
      <c r="BS306" s="758"/>
      <c r="BT306" s="282"/>
      <c r="BU306" s="282"/>
      <c r="BV306" s="282"/>
      <c r="BW306" s="282"/>
      <c r="BX306" s="282"/>
      <c r="BY306" s="1432" t="s">
        <v>1567</v>
      </c>
      <c r="BZ306" s="356" t="s">
        <v>459</v>
      </c>
      <c r="CA306" s="743"/>
      <c r="CB306" s="743"/>
      <c r="CC306" s="743"/>
      <c r="CD306" s="743"/>
      <c r="CE306" s="743"/>
      <c r="CF306" s="743"/>
      <c r="CG306" s="743"/>
      <c r="CH306" s="744"/>
    </row>
    <row r="307" spans="1:86" ht="96.75" hidden="1" customHeight="1">
      <c r="A307"/>
      <c r="B307" s="23"/>
      <c r="C307" s="23"/>
      <c r="D307" s="23"/>
      <c r="E307" s="335" t="s">
        <v>68</v>
      </c>
      <c r="F307" s="335"/>
      <c r="G307" s="1055">
        <v>43356</v>
      </c>
      <c r="H307" s="364">
        <v>43350</v>
      </c>
      <c r="I307" s="17">
        <v>2018</v>
      </c>
      <c r="J307" s="1678">
        <v>181.14</v>
      </c>
      <c r="K307" s="183" t="s">
        <v>77</v>
      </c>
      <c r="L307" s="739" t="s">
        <v>982</v>
      </c>
      <c r="M307" s="2" t="s">
        <v>4077</v>
      </c>
      <c r="N307" s="186" t="s">
        <v>983</v>
      </c>
      <c r="O307" s="186" t="s">
        <v>3664</v>
      </c>
      <c r="P307" s="187">
        <v>114935.87</v>
      </c>
      <c r="Q307" s="656">
        <v>43257</v>
      </c>
      <c r="R307" s="189">
        <v>43273</v>
      </c>
      <c r="S307" s="190">
        <v>43294</v>
      </c>
      <c r="T307" s="23" t="s">
        <v>68</v>
      </c>
      <c r="U307" s="191" t="s">
        <v>1177</v>
      </c>
      <c r="V307" s="183" t="s">
        <v>984</v>
      </c>
      <c r="W307" s="505" t="s">
        <v>74</v>
      </c>
      <c r="X307" s="1623"/>
      <c r="Y307" s="491" t="s">
        <v>985</v>
      </c>
      <c r="Z307" s="9">
        <v>43273</v>
      </c>
      <c r="AA307" s="4">
        <v>114935.87</v>
      </c>
      <c r="AB307" s="4"/>
      <c r="AC307" s="34"/>
      <c r="AD307" s="36" t="s">
        <v>68</v>
      </c>
      <c r="AE307" s="119" t="s">
        <v>68</v>
      </c>
      <c r="AF307" s="119" t="s">
        <v>68</v>
      </c>
      <c r="AG307" s="7" t="s">
        <v>68</v>
      </c>
      <c r="AH307" s="116" t="s">
        <v>68</v>
      </c>
      <c r="AI307" s="386" t="s">
        <v>68</v>
      </c>
      <c r="AJ307" s="1" t="s">
        <v>68</v>
      </c>
      <c r="AK307" s="5"/>
      <c r="AL307" s="1" t="s">
        <v>68</v>
      </c>
      <c r="AM307" s="5"/>
      <c r="AN307" s="710" t="s">
        <v>68</v>
      </c>
      <c r="AO307" s="1"/>
      <c r="AP307" s="306">
        <v>0</v>
      </c>
      <c r="AQ307" s="37">
        <v>36822.42</v>
      </c>
      <c r="AR307" s="1031">
        <v>77771.02</v>
      </c>
      <c r="AS307" s="1018">
        <v>114593.45</v>
      </c>
      <c r="AT307" s="75">
        <v>43276</v>
      </c>
      <c r="AU307" s="12">
        <v>43281</v>
      </c>
      <c r="AV307" s="243" t="s">
        <v>68</v>
      </c>
      <c r="AW307" s="54" t="s">
        <v>492</v>
      </c>
      <c r="AX307" s="75">
        <v>43281</v>
      </c>
      <c r="AY307" s="5">
        <v>43273</v>
      </c>
      <c r="AZ307" s="5">
        <v>43294</v>
      </c>
      <c r="BA307" s="12">
        <v>43281</v>
      </c>
      <c r="BB307" s="75">
        <v>43281</v>
      </c>
      <c r="BC307" s="1950"/>
      <c r="BD307" s="5">
        <v>43273</v>
      </c>
      <c r="BE307" s="5">
        <v>43294</v>
      </c>
      <c r="BF307" s="5">
        <v>43281</v>
      </c>
      <c r="BG307" s="72">
        <f t="shared" si="9"/>
        <v>114593.44</v>
      </c>
      <c r="BH307" s="282" t="s">
        <v>68</v>
      </c>
      <c r="BI307" s="578"/>
      <c r="BJ307" s="255"/>
      <c r="BK307" s="255"/>
      <c r="BL307" s="246"/>
      <c r="BM307" s="246"/>
      <c r="BN307" s="246"/>
      <c r="BO307" s="246"/>
      <c r="BP307" s="246"/>
      <c r="BQ307" s="246"/>
      <c r="BR307" s="246"/>
      <c r="BS307" s="758"/>
      <c r="BT307" s="14"/>
      <c r="BU307" s="14"/>
      <c r="BV307" s="14"/>
      <c r="BW307" s="14"/>
      <c r="BX307" s="14"/>
      <c r="BY307" s="1432" t="s">
        <v>1567</v>
      </c>
      <c r="BZ307" s="356" t="s">
        <v>459</v>
      </c>
      <c r="CA307" s="582"/>
      <c r="CB307" s="582"/>
      <c r="CC307" s="582"/>
      <c r="CD307" s="582"/>
      <c r="CE307" s="582"/>
      <c r="CF307" s="582"/>
      <c r="CG307" s="582"/>
      <c r="CH307" s="16"/>
    </row>
    <row r="308" spans="1:86" s="1241" customFormat="1" ht="75.75" hidden="1" customHeight="1">
      <c r="B308" s="1242"/>
      <c r="C308" s="1242"/>
      <c r="D308" s="1242"/>
      <c r="E308" s="1242"/>
      <c r="F308" s="1242"/>
      <c r="G308" s="610"/>
      <c r="H308" s="700"/>
      <c r="I308" s="588">
        <v>2018</v>
      </c>
      <c r="J308" s="1683">
        <v>181.15</v>
      </c>
      <c r="K308" s="1245" t="s">
        <v>77</v>
      </c>
      <c r="L308" s="1767" t="s">
        <v>986</v>
      </c>
      <c r="M308" s="904" t="s">
        <v>251</v>
      </c>
      <c r="N308" s="1247" t="s">
        <v>987</v>
      </c>
      <c r="O308" s="1247"/>
      <c r="P308" s="1248">
        <v>88593.05</v>
      </c>
      <c r="Q308" s="1249">
        <v>43276</v>
      </c>
      <c r="R308" s="1250">
        <v>43276</v>
      </c>
      <c r="S308" s="1251">
        <v>43288</v>
      </c>
      <c r="T308" s="1242" t="s">
        <v>68</v>
      </c>
      <c r="U308" s="1246" t="s">
        <v>68</v>
      </c>
      <c r="V308" s="1245" t="s">
        <v>68</v>
      </c>
      <c r="W308" s="1278"/>
      <c r="X308" s="1631"/>
      <c r="Y308" s="340"/>
      <c r="Z308" s="1254"/>
      <c r="AA308" s="1255"/>
      <c r="AB308" s="1255"/>
      <c r="AC308" s="1256"/>
      <c r="AD308" s="1257" t="s">
        <v>68</v>
      </c>
      <c r="AE308" s="1258" t="s">
        <v>68</v>
      </c>
      <c r="AF308" s="1258" t="s">
        <v>68</v>
      </c>
      <c r="AG308" s="1259" t="s">
        <v>68</v>
      </c>
      <c r="AH308" s="1260" t="s">
        <v>68</v>
      </c>
      <c r="AI308" s="1762" t="s">
        <v>68</v>
      </c>
      <c r="AJ308" s="1261" t="s">
        <v>68</v>
      </c>
      <c r="AK308" s="1262"/>
      <c r="AL308" s="1261" t="s">
        <v>68</v>
      </c>
      <c r="AM308" s="1262"/>
      <c r="AN308" s="1754" t="s">
        <v>68</v>
      </c>
      <c r="AO308" s="1261"/>
      <c r="AP308" s="1263">
        <v>0</v>
      </c>
      <c r="AQ308" s="1264"/>
      <c r="AR308" s="1265"/>
      <c r="AS308" s="1266"/>
      <c r="AT308" s="1762" t="s">
        <v>68</v>
      </c>
      <c r="AU308" s="1268"/>
      <c r="AV308" s="1269"/>
      <c r="AW308" s="1270"/>
      <c r="AX308" s="1766"/>
      <c r="AY308" s="1261"/>
      <c r="AZ308" s="1261"/>
      <c r="BA308" s="1271"/>
      <c r="BB308" s="1766"/>
      <c r="BC308" s="1962"/>
      <c r="BD308" s="1261"/>
      <c r="BE308" s="1261"/>
      <c r="BF308" s="1261"/>
      <c r="BG308" s="1272">
        <f t="shared" si="9"/>
        <v>0</v>
      </c>
      <c r="BH308" s="1273" t="s">
        <v>68</v>
      </c>
      <c r="BI308" s="1252"/>
      <c r="BJ308" s="1262"/>
      <c r="BK308" s="1262"/>
      <c r="BL308" s="1270"/>
      <c r="BM308" s="1270"/>
      <c r="BN308" s="1270"/>
      <c r="BO308" s="1270"/>
      <c r="BP308" s="1270"/>
      <c r="BQ308" s="1270"/>
      <c r="BR308" s="1270"/>
      <c r="BS308" s="1758"/>
      <c r="BT308" s="1273"/>
      <c r="BU308" s="1273"/>
      <c r="BV308" s="1273"/>
      <c r="BW308" s="1273"/>
      <c r="BX308" s="1273"/>
      <c r="BY308" s="1760" t="s">
        <v>1567</v>
      </c>
      <c r="BZ308" s="133" t="s">
        <v>478</v>
      </c>
      <c r="CA308" s="903"/>
      <c r="CB308" s="903"/>
      <c r="CC308" s="903"/>
      <c r="CD308" s="903"/>
      <c r="CE308" s="903"/>
      <c r="CF308" s="903"/>
      <c r="CG308" s="903"/>
      <c r="CH308" s="1277"/>
    </row>
    <row r="309" spans="1:86" s="197" customFormat="1" ht="105" hidden="1" customHeight="1">
      <c r="B309" s="335"/>
      <c r="C309" s="335" t="s">
        <v>969</v>
      </c>
      <c r="D309" s="335"/>
      <c r="E309" s="23" t="s">
        <v>68</v>
      </c>
      <c r="F309" s="23"/>
      <c r="G309" s="1055">
        <v>43376</v>
      </c>
      <c r="H309" s="365">
        <v>43389</v>
      </c>
      <c r="I309" s="327">
        <v>2018</v>
      </c>
      <c r="J309" s="1682">
        <v>181.16</v>
      </c>
      <c r="K309" s="716" t="s">
        <v>808</v>
      </c>
      <c r="L309" s="739" t="s">
        <v>988</v>
      </c>
      <c r="M309" s="2" t="s">
        <v>4077</v>
      </c>
      <c r="N309" s="495" t="s">
        <v>989</v>
      </c>
      <c r="O309" s="495" t="s">
        <v>2551</v>
      </c>
      <c r="P309" s="661">
        <v>989000</v>
      </c>
      <c r="Q309" s="657">
        <v>43251</v>
      </c>
      <c r="R309" s="664">
        <v>43252</v>
      </c>
      <c r="S309" s="665">
        <v>43311</v>
      </c>
      <c r="T309" s="335" t="s">
        <v>68</v>
      </c>
      <c r="U309" s="739" t="s">
        <v>1177</v>
      </c>
      <c r="V309" s="183" t="s">
        <v>449</v>
      </c>
      <c r="W309" s="685">
        <v>43249</v>
      </c>
      <c r="X309" s="1625"/>
      <c r="Y309" s="35" t="s">
        <v>990</v>
      </c>
      <c r="Z309" s="9">
        <v>43166</v>
      </c>
      <c r="AA309" s="4">
        <v>1000000</v>
      </c>
      <c r="AB309" s="85"/>
      <c r="AC309" s="741"/>
      <c r="AD309" s="645" t="s">
        <v>68</v>
      </c>
      <c r="AE309" s="646" t="s">
        <v>68</v>
      </c>
      <c r="AF309" s="646" t="s">
        <v>68</v>
      </c>
      <c r="AG309" s="647" t="s">
        <v>68</v>
      </c>
      <c r="AH309" s="644" t="s">
        <v>68</v>
      </c>
      <c r="AI309" s="386" t="s">
        <v>68</v>
      </c>
      <c r="AJ309" s="71" t="s">
        <v>68</v>
      </c>
      <c r="AK309" s="255"/>
      <c r="AL309" s="71" t="s">
        <v>68</v>
      </c>
      <c r="AM309" s="255"/>
      <c r="AN309" s="710" t="s">
        <v>68</v>
      </c>
      <c r="AO309" s="71"/>
      <c r="AP309" s="601">
        <v>0</v>
      </c>
      <c r="AQ309" s="74">
        <v>290940.76</v>
      </c>
      <c r="AR309" s="1032">
        <v>698061.13</v>
      </c>
      <c r="AS309" s="1060">
        <v>989001.3</v>
      </c>
      <c r="AT309" s="68" t="s">
        <v>74</v>
      </c>
      <c r="AU309" s="245"/>
      <c r="AV309" s="387"/>
      <c r="AW309" s="246" t="s">
        <v>518</v>
      </c>
      <c r="AX309" s="75">
        <v>43293</v>
      </c>
      <c r="AY309" s="255">
        <v>43252</v>
      </c>
      <c r="AZ309" s="255">
        <v>43301</v>
      </c>
      <c r="BA309" s="245">
        <v>43292</v>
      </c>
      <c r="BB309" s="75">
        <v>43293</v>
      </c>
      <c r="BC309" s="1950"/>
      <c r="BD309" s="255">
        <v>43252</v>
      </c>
      <c r="BE309" s="255">
        <v>43301</v>
      </c>
      <c r="BF309" s="255">
        <v>43292</v>
      </c>
      <c r="BG309" s="72">
        <f t="shared" si="9"/>
        <v>989001.89</v>
      </c>
      <c r="BH309" s="282" t="s">
        <v>68</v>
      </c>
      <c r="BI309" s="578"/>
      <c r="BJ309" s="255"/>
      <c r="BK309" s="255"/>
      <c r="BL309" s="246"/>
      <c r="BM309" s="246"/>
      <c r="BN309" s="246"/>
      <c r="BO309" s="246"/>
      <c r="BP309" s="246"/>
      <c r="BQ309" s="246"/>
      <c r="BR309" s="246"/>
      <c r="BS309" s="758"/>
      <c r="BT309" s="282" t="s">
        <v>991</v>
      </c>
      <c r="BU309" s="282"/>
      <c r="BV309" s="282"/>
      <c r="BW309" s="282"/>
      <c r="BX309" s="282"/>
      <c r="BY309" s="1432" t="s">
        <v>1567</v>
      </c>
      <c r="BZ309" s="356" t="s">
        <v>459</v>
      </c>
      <c r="CA309" s="743"/>
      <c r="CB309" s="743"/>
      <c r="CC309" s="743"/>
      <c r="CD309" s="743"/>
      <c r="CE309" s="743"/>
      <c r="CF309" s="743"/>
      <c r="CG309" s="743"/>
      <c r="CH309" s="744"/>
    </row>
    <row r="310" spans="1:86" s="197" customFormat="1" ht="115.5" hidden="1" customHeight="1">
      <c r="B310" s="335"/>
      <c r="C310" s="335" t="s">
        <v>969</v>
      </c>
      <c r="D310" s="335"/>
      <c r="E310" s="335" t="s">
        <v>68</v>
      </c>
      <c r="F310" s="335"/>
      <c r="G310" s="1055">
        <v>43376</v>
      </c>
      <c r="H310" s="365">
        <v>43389</v>
      </c>
      <c r="I310" s="327">
        <v>2018</v>
      </c>
      <c r="J310" s="1682">
        <v>181.17</v>
      </c>
      <c r="K310" s="716" t="s">
        <v>808</v>
      </c>
      <c r="L310" s="739" t="s">
        <v>992</v>
      </c>
      <c r="M310" s="2" t="s">
        <v>4077</v>
      </c>
      <c r="N310" s="495" t="s">
        <v>993</v>
      </c>
      <c r="O310" s="495" t="s">
        <v>3664</v>
      </c>
      <c r="P310" s="661">
        <v>900000</v>
      </c>
      <c r="Q310" s="656">
        <v>43262</v>
      </c>
      <c r="R310" s="664">
        <v>43266</v>
      </c>
      <c r="S310" s="665">
        <v>43329</v>
      </c>
      <c r="T310" s="335" t="s">
        <v>68</v>
      </c>
      <c r="U310" s="739" t="s">
        <v>1177</v>
      </c>
      <c r="V310" s="716" t="s">
        <v>709</v>
      </c>
      <c r="W310" s="505" t="s">
        <v>74</v>
      </c>
      <c r="X310" s="1623"/>
      <c r="Y310" s="491" t="s">
        <v>994</v>
      </c>
      <c r="Z310" s="137">
        <v>43166</v>
      </c>
      <c r="AA310" s="85">
        <v>900000</v>
      </c>
      <c r="AB310" s="85"/>
      <c r="AC310" s="741"/>
      <c r="AD310" s="645" t="s">
        <v>68</v>
      </c>
      <c r="AE310" s="646" t="s">
        <v>68</v>
      </c>
      <c r="AF310" s="646" t="s">
        <v>68</v>
      </c>
      <c r="AG310" s="647" t="s">
        <v>68</v>
      </c>
      <c r="AH310" s="644" t="s">
        <v>68</v>
      </c>
      <c r="AI310" s="386" t="s">
        <v>68</v>
      </c>
      <c r="AJ310" s="71" t="s">
        <v>68</v>
      </c>
      <c r="AK310" s="255"/>
      <c r="AL310" s="71" t="s">
        <v>68</v>
      </c>
      <c r="AM310" s="255"/>
      <c r="AN310" s="710" t="s">
        <v>68</v>
      </c>
      <c r="AO310" s="71"/>
      <c r="AP310" s="601">
        <v>0</v>
      </c>
      <c r="AQ310" s="74">
        <v>138582.01</v>
      </c>
      <c r="AR310" s="1032">
        <v>751523.4</v>
      </c>
      <c r="AS310" s="1060">
        <v>890105.41</v>
      </c>
      <c r="AT310" s="68" t="s">
        <v>74</v>
      </c>
      <c r="AU310" s="245"/>
      <c r="AV310" s="387"/>
      <c r="AW310" s="246" t="s">
        <v>518</v>
      </c>
      <c r="AX310" s="75">
        <v>43336</v>
      </c>
      <c r="AY310" s="76">
        <v>43266</v>
      </c>
      <c r="AZ310" s="76">
        <v>43330</v>
      </c>
      <c r="BA310" s="134">
        <v>43334</v>
      </c>
      <c r="BB310" s="75">
        <v>43336</v>
      </c>
      <c r="BC310" s="1950"/>
      <c r="BD310" s="255">
        <v>43266</v>
      </c>
      <c r="BE310" s="255">
        <v>43329</v>
      </c>
      <c r="BF310" s="255">
        <v>43334</v>
      </c>
      <c r="BG310" s="72">
        <f t="shared" si="9"/>
        <v>890105.41</v>
      </c>
      <c r="BH310" s="282" t="s">
        <v>68</v>
      </c>
      <c r="BI310" s="578"/>
      <c r="BJ310" s="255"/>
      <c r="BK310" s="255"/>
      <c r="BL310" s="246"/>
      <c r="BM310" s="246"/>
      <c r="BN310" s="246"/>
      <c r="BO310" s="246"/>
      <c r="BP310" s="246"/>
      <c r="BQ310" s="246"/>
      <c r="BR310" s="246"/>
      <c r="BS310" s="758"/>
      <c r="BT310" s="282" t="s">
        <v>991</v>
      </c>
      <c r="BU310" s="282"/>
      <c r="BV310" s="282"/>
      <c r="BW310" s="282"/>
      <c r="BX310" s="282"/>
      <c r="BY310" s="1432" t="s">
        <v>1567</v>
      </c>
      <c r="BZ310" s="356" t="s">
        <v>459</v>
      </c>
      <c r="CA310" s="743"/>
      <c r="CB310" s="743"/>
      <c r="CC310" s="743"/>
      <c r="CD310" s="743"/>
      <c r="CE310" s="743"/>
      <c r="CF310" s="743"/>
      <c r="CG310" s="743"/>
      <c r="CH310" s="744"/>
    </row>
    <row r="311" spans="1:86" s="1241" customFormat="1" ht="66" hidden="1" customHeight="1">
      <c r="B311" s="1242"/>
      <c r="C311" s="1242"/>
      <c r="D311" s="1242"/>
      <c r="E311" s="1242" t="s">
        <v>68</v>
      </c>
      <c r="F311" s="1242"/>
      <c r="G311" s="610">
        <v>43363</v>
      </c>
      <c r="H311" s="700">
        <v>43389</v>
      </c>
      <c r="I311" s="588">
        <v>2018</v>
      </c>
      <c r="J311" s="1683">
        <v>181.18</v>
      </c>
      <c r="K311" s="1245" t="s">
        <v>77</v>
      </c>
      <c r="L311" s="1767" t="s">
        <v>995</v>
      </c>
      <c r="M311" s="904" t="s">
        <v>251</v>
      </c>
      <c r="N311" s="1247" t="s">
        <v>996</v>
      </c>
      <c r="O311" s="1247"/>
      <c r="P311" s="1248">
        <v>46185.599999999999</v>
      </c>
      <c r="Q311" s="1249">
        <v>43326</v>
      </c>
      <c r="R311" s="1250">
        <v>43326</v>
      </c>
      <c r="S311" s="1251">
        <v>43357</v>
      </c>
      <c r="T311" s="1242" t="s">
        <v>68</v>
      </c>
      <c r="U311" s="1246" t="s">
        <v>1177</v>
      </c>
      <c r="V311" s="1245" t="s">
        <v>68</v>
      </c>
      <c r="W311" s="1253" t="s">
        <v>74</v>
      </c>
      <c r="X311" s="1630"/>
      <c r="Y311" s="340" t="s">
        <v>997</v>
      </c>
      <c r="Z311" s="1254">
        <v>43325</v>
      </c>
      <c r="AA311" s="1255">
        <v>45185.599999999999</v>
      </c>
      <c r="AB311" s="1255"/>
      <c r="AC311" s="1256"/>
      <c r="AD311" s="1257" t="s">
        <v>68</v>
      </c>
      <c r="AE311" s="1258" t="s">
        <v>68</v>
      </c>
      <c r="AF311" s="1258" t="s">
        <v>68</v>
      </c>
      <c r="AG311" s="1259" t="s">
        <v>68</v>
      </c>
      <c r="AH311" s="1260" t="s">
        <v>68</v>
      </c>
      <c r="AI311" s="1762" t="s">
        <v>68</v>
      </c>
      <c r="AJ311" s="1261" t="s">
        <v>68</v>
      </c>
      <c r="AK311" s="1262"/>
      <c r="AL311" s="1261" t="s">
        <v>68</v>
      </c>
      <c r="AM311" s="1262"/>
      <c r="AN311" s="1754" t="s">
        <v>68</v>
      </c>
      <c r="AO311" s="1261"/>
      <c r="AP311" s="1263">
        <v>0</v>
      </c>
      <c r="AQ311" s="1264"/>
      <c r="AR311" s="1265"/>
      <c r="AS311" s="1266"/>
      <c r="AT311" s="1762" t="s">
        <v>74</v>
      </c>
      <c r="AU311" s="1268"/>
      <c r="AV311" s="1269"/>
      <c r="AW311" s="1270"/>
      <c r="AX311" s="1766" t="s">
        <v>74</v>
      </c>
      <c r="AY311" s="1261"/>
      <c r="AZ311" s="1261"/>
      <c r="BA311" s="1271"/>
      <c r="BB311" s="1766" t="s">
        <v>74</v>
      </c>
      <c r="BC311" s="1962"/>
      <c r="BD311" s="1262"/>
      <c r="BE311" s="1262"/>
      <c r="BF311" s="1262"/>
      <c r="BG311" s="1272">
        <f t="shared" si="9"/>
        <v>0</v>
      </c>
      <c r="BH311" s="1273" t="s">
        <v>68</v>
      </c>
      <c r="BI311" s="1252"/>
      <c r="BJ311" s="1262"/>
      <c r="BK311" s="1262"/>
      <c r="BL311" s="1270"/>
      <c r="BM311" s="1270"/>
      <c r="BN311" s="1270"/>
      <c r="BO311" s="1270"/>
      <c r="BP311" s="1270"/>
      <c r="BQ311" s="1270"/>
      <c r="BR311" s="1270"/>
      <c r="BS311" s="1758"/>
      <c r="BT311" s="1273"/>
      <c r="BU311" s="1273"/>
      <c r="BV311" s="1273"/>
      <c r="BW311" s="1273"/>
      <c r="BX311" s="1273"/>
      <c r="BY311" s="1760" t="s">
        <v>1567</v>
      </c>
      <c r="BZ311" s="133" t="s">
        <v>459</v>
      </c>
      <c r="CA311" s="903"/>
      <c r="CB311" s="903"/>
      <c r="CC311" s="903"/>
      <c r="CD311" s="903"/>
      <c r="CE311" s="903"/>
      <c r="CF311" s="903"/>
      <c r="CG311" s="903"/>
      <c r="CH311" s="1277"/>
    </row>
    <row r="312" spans="1:86" s="1241" customFormat="1" ht="15" hidden="1" customHeight="1">
      <c r="B312" s="1242"/>
      <c r="C312" s="1242"/>
      <c r="D312" s="1242"/>
      <c r="E312" s="1242"/>
      <c r="F312" s="1242"/>
      <c r="G312" s="610"/>
      <c r="H312" s="700"/>
      <c r="I312" s="588">
        <v>2018</v>
      </c>
      <c r="J312" s="1683">
        <v>181.19</v>
      </c>
      <c r="K312" s="1245"/>
      <c r="L312" s="1767" t="s">
        <v>998</v>
      </c>
      <c r="M312" s="904" t="s">
        <v>251</v>
      </c>
      <c r="N312" s="1247"/>
      <c r="O312" s="1247"/>
      <c r="P312" s="1248"/>
      <c r="Q312" s="1249"/>
      <c r="R312" s="1250"/>
      <c r="S312" s="1251"/>
      <c r="T312" s="1242" t="s">
        <v>68</v>
      </c>
      <c r="U312" s="1246" t="s">
        <v>1177</v>
      </c>
      <c r="V312" s="1245" t="s">
        <v>68</v>
      </c>
      <c r="W312" s="1278"/>
      <c r="X312" s="1631"/>
      <c r="Y312" s="340"/>
      <c r="Z312" s="1254"/>
      <c r="AA312" s="1255"/>
      <c r="AB312" s="1255"/>
      <c r="AC312" s="1256"/>
      <c r="AD312" s="1257" t="s">
        <v>68</v>
      </c>
      <c r="AE312" s="1258" t="s">
        <v>68</v>
      </c>
      <c r="AF312" s="1258" t="s">
        <v>68</v>
      </c>
      <c r="AG312" s="1259" t="s">
        <v>68</v>
      </c>
      <c r="AH312" s="1260" t="s">
        <v>68</v>
      </c>
      <c r="AI312" s="1762" t="s">
        <v>68</v>
      </c>
      <c r="AJ312" s="1261" t="s">
        <v>68</v>
      </c>
      <c r="AK312" s="1262"/>
      <c r="AL312" s="1261" t="s">
        <v>68</v>
      </c>
      <c r="AM312" s="1262"/>
      <c r="AN312" s="1754" t="s">
        <v>68</v>
      </c>
      <c r="AO312" s="1261"/>
      <c r="AP312" s="1263">
        <v>0</v>
      </c>
      <c r="AQ312" s="1264"/>
      <c r="AR312" s="1265"/>
      <c r="AS312" s="1266"/>
      <c r="AT312" s="1762"/>
      <c r="AU312" s="1268"/>
      <c r="AV312" s="1269"/>
      <c r="AW312" s="1270"/>
      <c r="AX312" s="1766"/>
      <c r="AY312" s="1261"/>
      <c r="AZ312" s="1261"/>
      <c r="BA312" s="1271"/>
      <c r="BB312" s="1766"/>
      <c r="BC312" s="1962"/>
      <c r="BD312" s="1261"/>
      <c r="BE312" s="1261"/>
      <c r="BF312" s="1261"/>
      <c r="BG312" s="1272">
        <f t="shared" si="9"/>
        <v>0</v>
      </c>
      <c r="BH312" s="1273" t="s">
        <v>68</v>
      </c>
      <c r="BI312" s="1252"/>
      <c r="BJ312" s="1262"/>
      <c r="BK312" s="1262"/>
      <c r="BL312" s="1270"/>
      <c r="BM312" s="1270"/>
      <c r="BN312" s="1270"/>
      <c r="BO312" s="1270"/>
      <c r="BP312" s="1270"/>
      <c r="BQ312" s="1270"/>
      <c r="BR312" s="1270"/>
      <c r="BS312" s="1758"/>
      <c r="BT312" s="1273"/>
      <c r="BU312" s="1273"/>
      <c r="BV312" s="1273"/>
      <c r="BW312" s="1273"/>
      <c r="BX312" s="1273"/>
      <c r="BY312" s="1760" t="s">
        <v>1567</v>
      </c>
      <c r="BZ312" s="133" t="s">
        <v>459</v>
      </c>
      <c r="CA312" s="903"/>
      <c r="CB312" s="903"/>
      <c r="CC312" s="903"/>
      <c r="CD312" s="903"/>
      <c r="CE312" s="903"/>
      <c r="CF312" s="903"/>
      <c r="CG312" s="903"/>
      <c r="CH312" s="1277"/>
    </row>
    <row r="313" spans="1:86" s="197" customFormat="1" ht="57" hidden="1" customHeight="1">
      <c r="B313" s="335"/>
      <c r="C313" s="335"/>
      <c r="D313" s="335"/>
      <c r="E313" s="335" t="s">
        <v>68</v>
      </c>
      <c r="F313" s="335"/>
      <c r="G313" s="1055"/>
      <c r="H313" s="365"/>
      <c r="I313" s="327">
        <v>2018</v>
      </c>
      <c r="J313" s="1682">
        <v>181.2</v>
      </c>
      <c r="K313" s="716" t="s">
        <v>166</v>
      </c>
      <c r="L313" s="739" t="s">
        <v>999</v>
      </c>
      <c r="M313" s="2" t="s">
        <v>4077</v>
      </c>
      <c r="N313" s="495" t="s">
        <v>1000</v>
      </c>
      <c r="O313" s="495" t="s">
        <v>1979</v>
      </c>
      <c r="P313" s="661">
        <v>33408</v>
      </c>
      <c r="Q313" s="657">
        <v>43349</v>
      </c>
      <c r="R313" s="664">
        <v>43350</v>
      </c>
      <c r="S313" s="665">
        <v>43365</v>
      </c>
      <c r="T313" s="335" t="s">
        <v>68</v>
      </c>
      <c r="U313" s="739" t="s">
        <v>1177</v>
      </c>
      <c r="V313" s="716" t="s">
        <v>68</v>
      </c>
      <c r="W313" s="505" t="s">
        <v>74</v>
      </c>
      <c r="X313" s="1623"/>
      <c r="Y313" s="180" t="s">
        <v>68</v>
      </c>
      <c r="Z313" s="137"/>
      <c r="AA313" s="85"/>
      <c r="AB313" s="85"/>
      <c r="AC313" s="741"/>
      <c r="AD313" s="645" t="s">
        <v>68</v>
      </c>
      <c r="AE313" s="646" t="s">
        <v>68</v>
      </c>
      <c r="AF313" s="646" t="s">
        <v>68</v>
      </c>
      <c r="AG313" s="647" t="s">
        <v>68</v>
      </c>
      <c r="AH313" s="644" t="s">
        <v>68</v>
      </c>
      <c r="AI313" s="386" t="s">
        <v>68</v>
      </c>
      <c r="AJ313" s="71" t="s">
        <v>68</v>
      </c>
      <c r="AK313" s="255"/>
      <c r="AL313" s="71" t="s">
        <v>68</v>
      </c>
      <c r="AM313" s="255"/>
      <c r="AN313" s="710" t="s">
        <v>68</v>
      </c>
      <c r="AO313" s="71"/>
      <c r="AP313" s="601">
        <v>0</v>
      </c>
      <c r="AQ313" s="74"/>
      <c r="AR313" s="1032"/>
      <c r="AS313" s="1019"/>
      <c r="AT313" s="386"/>
      <c r="AU313" s="245"/>
      <c r="AV313" s="387"/>
      <c r="AW313" s="246"/>
      <c r="AX313" s="742"/>
      <c r="AY313" s="71"/>
      <c r="AZ313" s="71"/>
      <c r="BA313" s="532"/>
      <c r="BB313" s="742"/>
      <c r="BC313" s="1963"/>
      <c r="BD313" s="71"/>
      <c r="BE313" s="71"/>
      <c r="BF313" s="71"/>
      <c r="BG313" s="72">
        <f t="shared" si="9"/>
        <v>0</v>
      </c>
      <c r="BH313" s="282" t="s">
        <v>68</v>
      </c>
      <c r="BI313" s="578"/>
      <c r="BJ313" s="255"/>
      <c r="BK313" s="255"/>
      <c r="BL313" s="246"/>
      <c r="BM313" s="246"/>
      <c r="BN313" s="246"/>
      <c r="BO313" s="246"/>
      <c r="BP313" s="246"/>
      <c r="BQ313" s="246"/>
      <c r="BR313" s="246"/>
      <c r="BS313" s="758"/>
      <c r="BT313" s="282"/>
      <c r="BU313" s="282"/>
      <c r="BV313" s="282"/>
      <c r="BW313" s="282"/>
      <c r="BX313" s="282"/>
      <c r="BY313" s="1432" t="s">
        <v>1567</v>
      </c>
      <c r="BZ313" s="356" t="s">
        <v>459</v>
      </c>
      <c r="CA313" s="743"/>
      <c r="CB313" s="743"/>
      <c r="CC313" s="743"/>
      <c r="CD313" s="743"/>
      <c r="CE313" s="743"/>
      <c r="CF313" s="743"/>
      <c r="CG313" s="743"/>
      <c r="CH313" s="744"/>
    </row>
    <row r="314" spans="1:86" ht="94.5" hidden="1" customHeight="1">
      <c r="A314" t="s">
        <v>1001</v>
      </c>
      <c r="B314" s="23" t="s">
        <v>68</v>
      </c>
      <c r="C314" s="23" t="s">
        <v>969</v>
      </c>
      <c r="D314" s="23"/>
      <c r="E314" s="335" t="s">
        <v>68</v>
      </c>
      <c r="F314" s="335"/>
      <c r="G314" s="1055">
        <v>43412</v>
      </c>
      <c r="H314" s="365">
        <v>43319</v>
      </c>
      <c r="I314" s="17">
        <v>2018</v>
      </c>
      <c r="J314" s="1678">
        <v>186.01</v>
      </c>
      <c r="K314" s="183" t="s">
        <v>77</v>
      </c>
      <c r="L314" s="191" t="s">
        <v>1002</v>
      </c>
      <c r="M314" s="185" t="s">
        <v>79</v>
      </c>
      <c r="N314" s="186" t="s">
        <v>1003</v>
      </c>
      <c r="O314" s="186" t="s">
        <v>1979</v>
      </c>
      <c r="P314" s="187">
        <v>844622.8</v>
      </c>
      <c r="Q314" s="657">
        <v>43137</v>
      </c>
      <c r="R314" s="189">
        <v>43137</v>
      </c>
      <c r="S314" s="190">
        <v>43168</v>
      </c>
      <c r="T314" s="685">
        <v>43137</v>
      </c>
      <c r="U314" s="191" t="s">
        <v>925</v>
      </c>
      <c r="V314" s="183" t="s">
        <v>709</v>
      </c>
      <c r="W314" s="685">
        <v>43133</v>
      </c>
      <c r="X314" s="1625"/>
      <c r="Y314" s="491" t="s">
        <v>1004</v>
      </c>
      <c r="Z314" s="9">
        <v>43133</v>
      </c>
      <c r="AA314" s="4">
        <v>844622.8</v>
      </c>
      <c r="AB314" s="4"/>
      <c r="AC314" s="34"/>
      <c r="AD314" s="36" t="s">
        <v>68</v>
      </c>
      <c r="AE314" s="119" t="s">
        <v>68</v>
      </c>
      <c r="AF314" s="119" t="s">
        <v>68</v>
      </c>
      <c r="AG314" s="7" t="s">
        <v>68</v>
      </c>
      <c r="AH314" s="116" t="s">
        <v>68</v>
      </c>
      <c r="AI314" s="491" t="s">
        <v>107</v>
      </c>
      <c r="AJ314" s="1" t="s">
        <v>68</v>
      </c>
      <c r="AK314" s="5"/>
      <c r="AL314" s="1" t="s">
        <v>1005</v>
      </c>
      <c r="AM314" s="5">
        <v>43167</v>
      </c>
      <c r="AN314" s="1" t="s">
        <v>1006</v>
      </c>
      <c r="AO314" s="5">
        <v>43167</v>
      </c>
      <c r="AP314" s="306">
        <f>84462.28+84462.28</f>
        <v>168924.56</v>
      </c>
      <c r="AQ314" s="37">
        <v>0</v>
      </c>
      <c r="AR314" s="1032">
        <v>844622.8</v>
      </c>
      <c r="AS314" s="1019">
        <v>844622.58</v>
      </c>
      <c r="AT314" s="373" t="s">
        <v>74</v>
      </c>
      <c r="AU314" s="12"/>
      <c r="AV314" s="243" t="s">
        <v>68</v>
      </c>
      <c r="AW314" s="54" t="s">
        <v>68</v>
      </c>
      <c r="AX314" s="375">
        <v>43166</v>
      </c>
      <c r="AY314" s="5">
        <v>43137</v>
      </c>
      <c r="AZ314" s="5">
        <v>43168</v>
      </c>
      <c r="BA314" s="12">
        <v>43165</v>
      </c>
      <c r="BB314" s="375">
        <v>43165</v>
      </c>
      <c r="BC314" s="1952"/>
      <c r="BD314" s="5">
        <v>43137</v>
      </c>
      <c r="BE314" s="5">
        <v>43168</v>
      </c>
      <c r="BF314" s="5">
        <v>43165</v>
      </c>
      <c r="BG314" s="38">
        <f t="shared" si="9"/>
        <v>844622.8</v>
      </c>
      <c r="BH314" s="64">
        <v>43167</v>
      </c>
      <c r="BI314" s="111"/>
      <c r="BJ314" s="5"/>
      <c r="BK314" s="5"/>
      <c r="BL314" s="54"/>
      <c r="BM314" s="54"/>
      <c r="BN314" s="54"/>
      <c r="BO314" s="54"/>
      <c r="BP314" s="54"/>
      <c r="BQ314" s="54"/>
      <c r="BR314" s="54"/>
      <c r="BS314" s="55"/>
      <c r="BT314" s="14"/>
      <c r="BU314" s="14"/>
      <c r="BV314" s="14"/>
      <c r="BW314" s="14"/>
      <c r="BX314" s="14"/>
      <c r="BY314" s="1432" t="s">
        <v>1567</v>
      </c>
      <c r="BZ314" s="356" t="s">
        <v>459</v>
      </c>
      <c r="CA314" s="582"/>
      <c r="CB314" s="582"/>
      <c r="CC314" s="582"/>
      <c r="CD314" s="582"/>
      <c r="CE314" s="582"/>
      <c r="CF314" s="582"/>
      <c r="CG314" s="582"/>
      <c r="CH314" s="16"/>
    </row>
    <row r="315" spans="1:86" ht="115.5" hidden="1" customHeight="1">
      <c r="A315"/>
      <c r="B315" s="23" t="s">
        <v>68</v>
      </c>
      <c r="C315" s="23" t="s">
        <v>969</v>
      </c>
      <c r="D315" s="23"/>
      <c r="E315" s="335" t="s">
        <v>68</v>
      </c>
      <c r="F315" s="335"/>
      <c r="G315" s="1055">
        <v>43441</v>
      </c>
      <c r="H315" s="365">
        <v>43319</v>
      </c>
      <c r="I315" s="17">
        <v>2018</v>
      </c>
      <c r="J315" s="1678">
        <v>186.02</v>
      </c>
      <c r="K315" s="183" t="s">
        <v>77</v>
      </c>
      <c r="L315" s="191" t="s">
        <v>1007</v>
      </c>
      <c r="M315" s="185" t="s">
        <v>615</v>
      </c>
      <c r="N315" s="186" t="s">
        <v>1008</v>
      </c>
      <c r="O315" s="186"/>
      <c r="P315" s="187">
        <v>1341538.44</v>
      </c>
      <c r="Q315" s="657">
        <v>43208</v>
      </c>
      <c r="R315" s="189">
        <v>43209</v>
      </c>
      <c r="S315" s="190">
        <v>43239</v>
      </c>
      <c r="T315" s="659" t="s">
        <v>68</v>
      </c>
      <c r="U315" s="191" t="s">
        <v>1009</v>
      </c>
      <c r="V315" s="183" t="s">
        <v>709</v>
      </c>
      <c r="W315" s="685">
        <v>43188</v>
      </c>
      <c r="X315" s="1625"/>
      <c r="Y315" s="491" t="s">
        <v>1010</v>
      </c>
      <c r="Z315" s="9">
        <v>43207</v>
      </c>
      <c r="AA315" s="4">
        <v>1341539.8600000001</v>
      </c>
      <c r="AB315" s="4"/>
      <c r="AC315" s="34"/>
      <c r="AD315" s="645">
        <v>43192</v>
      </c>
      <c r="AE315" s="646">
        <v>43200</v>
      </c>
      <c r="AF315" s="646">
        <v>43200</v>
      </c>
      <c r="AG315" s="647">
        <v>43207</v>
      </c>
      <c r="AH315" s="644">
        <v>43207</v>
      </c>
      <c r="AI315" s="491" t="s">
        <v>1011</v>
      </c>
      <c r="AJ315" s="1" t="s">
        <v>1012</v>
      </c>
      <c r="AK315" s="5">
        <v>43208</v>
      </c>
      <c r="AL315" s="1" t="s">
        <v>1013</v>
      </c>
      <c r="AM315" s="5">
        <v>43208</v>
      </c>
      <c r="AN315" s="71" t="s">
        <v>83</v>
      </c>
      <c r="AO315" s="5"/>
      <c r="AP315" s="306">
        <f>335384.61+134153.84</f>
        <v>469538.44999999995</v>
      </c>
      <c r="AQ315" s="37">
        <v>0</v>
      </c>
      <c r="AR315" s="1032">
        <v>1341537.18</v>
      </c>
      <c r="AS315" s="1019">
        <v>1341537.48</v>
      </c>
      <c r="AT315" s="373" t="s">
        <v>74</v>
      </c>
      <c r="AU315" s="12"/>
      <c r="AV315" s="243" t="s">
        <v>68</v>
      </c>
      <c r="AW315" s="54" t="s">
        <v>68</v>
      </c>
      <c r="AX315" s="375">
        <v>43241</v>
      </c>
      <c r="AY315" s="5">
        <v>43209</v>
      </c>
      <c r="AZ315" s="5">
        <v>43239</v>
      </c>
      <c r="BA315" s="12">
        <v>43238</v>
      </c>
      <c r="BB315" s="375">
        <v>43241</v>
      </c>
      <c r="BC315" s="1952"/>
      <c r="BD315" s="5">
        <v>43209</v>
      </c>
      <c r="BE315" s="5">
        <v>43239</v>
      </c>
      <c r="BF315" s="5">
        <v>43238</v>
      </c>
      <c r="BG315" s="38">
        <f t="shared" si="9"/>
        <v>1341537.18</v>
      </c>
      <c r="BH315" s="216">
        <v>43241</v>
      </c>
      <c r="BI315" s="578"/>
      <c r="BJ315" s="255"/>
      <c r="BK315" s="255"/>
      <c r="BL315" s="246"/>
      <c r="BM315" s="246"/>
      <c r="BN315" s="246"/>
      <c r="BO315" s="246"/>
      <c r="BP315" s="246"/>
      <c r="BQ315" s="246"/>
      <c r="BR315" s="246"/>
      <c r="BS315" s="758"/>
      <c r="BT315" s="14"/>
      <c r="BU315" s="14"/>
      <c r="BV315" s="14"/>
      <c r="BW315" s="14"/>
      <c r="BX315" s="14"/>
      <c r="BY315" s="1432" t="s">
        <v>1567</v>
      </c>
      <c r="BZ315" s="356" t="s">
        <v>459</v>
      </c>
      <c r="CA315" s="582"/>
      <c r="CB315" s="582"/>
      <c r="CC315" s="582"/>
      <c r="CD315" s="582"/>
      <c r="CE315" s="582"/>
      <c r="CF315" s="582"/>
      <c r="CG315" s="582"/>
      <c r="CH315" s="16"/>
    </row>
    <row r="316" spans="1:86" ht="115.5" hidden="1" customHeight="1">
      <c r="A316"/>
      <c r="B316" s="23" t="s">
        <v>68</v>
      </c>
      <c r="C316" s="23" t="s">
        <v>969</v>
      </c>
      <c r="D316" s="23"/>
      <c r="E316" s="335" t="s">
        <v>68</v>
      </c>
      <c r="F316" s="335"/>
      <c r="G316" s="1055">
        <v>43441</v>
      </c>
      <c r="H316" s="365">
        <v>43319</v>
      </c>
      <c r="I316" s="17">
        <v>2018</v>
      </c>
      <c r="J316" s="1678">
        <v>186.03</v>
      </c>
      <c r="K316" s="183" t="s">
        <v>77</v>
      </c>
      <c r="L316" s="191" t="s">
        <v>1014</v>
      </c>
      <c r="M316" s="185" t="s">
        <v>615</v>
      </c>
      <c r="N316" s="186" t="s">
        <v>1015</v>
      </c>
      <c r="O316" s="186"/>
      <c r="P316" s="187">
        <v>1303478.02</v>
      </c>
      <c r="Q316" s="656">
        <v>43208</v>
      </c>
      <c r="R316" s="189">
        <v>43208</v>
      </c>
      <c r="S316" s="190">
        <v>43239</v>
      </c>
      <c r="T316" s="659" t="s">
        <v>68</v>
      </c>
      <c r="U316" s="191" t="s">
        <v>1009</v>
      </c>
      <c r="V316" s="183" t="s">
        <v>709</v>
      </c>
      <c r="W316" s="685">
        <v>43188</v>
      </c>
      <c r="X316" s="1625"/>
      <c r="Y316" s="491" t="s">
        <v>1016</v>
      </c>
      <c r="Z316" s="9">
        <v>43207</v>
      </c>
      <c r="AA316" s="4">
        <v>1303601.1200000001</v>
      </c>
      <c r="AB316" s="4"/>
      <c r="AC316" s="34"/>
      <c r="AD316" s="812">
        <v>43192</v>
      </c>
      <c r="AE316" s="646">
        <v>43200</v>
      </c>
      <c r="AF316" s="646">
        <v>43200</v>
      </c>
      <c r="AG316" s="647">
        <v>43207</v>
      </c>
      <c r="AH316" s="644">
        <v>43207</v>
      </c>
      <c r="AI316" s="697" t="s">
        <v>1017</v>
      </c>
      <c r="AJ316" s="239"/>
      <c r="AK316" s="5"/>
      <c r="AL316" s="1" t="s">
        <v>1018</v>
      </c>
      <c r="AM316" s="5">
        <v>43208</v>
      </c>
      <c r="AN316" s="1" t="s">
        <v>83</v>
      </c>
      <c r="AO316" s="1"/>
      <c r="AP316" s="306">
        <f>130347.8</f>
        <v>130347.8</v>
      </c>
      <c r="AQ316" s="37">
        <v>0</v>
      </c>
      <c r="AR316" s="1032">
        <v>1303477.3400000001</v>
      </c>
      <c r="AS316" s="1060">
        <v>1338864</v>
      </c>
      <c r="AT316" s="373" t="s">
        <v>74</v>
      </c>
      <c r="AU316" s="12"/>
      <c r="AV316" s="243" t="s">
        <v>68</v>
      </c>
      <c r="AW316" s="54" t="s">
        <v>68</v>
      </c>
      <c r="AX316" s="375">
        <v>43241</v>
      </c>
      <c r="AY316" s="76">
        <v>43209</v>
      </c>
      <c r="AZ316" s="76">
        <v>43239</v>
      </c>
      <c r="BA316" s="134">
        <v>43238</v>
      </c>
      <c r="BB316" s="375">
        <v>43241</v>
      </c>
      <c r="BC316" s="1952"/>
      <c r="BD316" s="5">
        <v>43209</v>
      </c>
      <c r="BE316" s="5">
        <v>43239</v>
      </c>
      <c r="BF316" s="5">
        <v>43238</v>
      </c>
      <c r="BG316" s="38">
        <f t="shared" si="9"/>
        <v>1303477.3400000001</v>
      </c>
      <c r="BH316" s="216">
        <v>43241</v>
      </c>
      <c r="BI316" s="773"/>
      <c r="BJ316" s="521"/>
      <c r="BK316" s="521"/>
      <c r="BL316" s="1014"/>
      <c r="BM316" s="1014"/>
      <c r="BN316" s="1014"/>
      <c r="BO316" s="1014"/>
      <c r="BP316" s="1014"/>
      <c r="BQ316" s="1014"/>
      <c r="BR316" s="1014"/>
      <c r="BS316" s="792"/>
      <c r="BT316" s="14"/>
      <c r="BU316" s="14"/>
      <c r="BV316" s="14"/>
      <c r="BW316" s="14"/>
      <c r="BX316" s="14"/>
      <c r="BY316" s="1432" t="s">
        <v>1567</v>
      </c>
      <c r="BZ316" s="356" t="s">
        <v>459</v>
      </c>
      <c r="CA316" s="582"/>
      <c r="CB316" s="582"/>
      <c r="CC316" s="582"/>
      <c r="CD316" s="582"/>
      <c r="CE316" s="582"/>
      <c r="CF316" s="582"/>
      <c r="CG316" s="582"/>
      <c r="CH316" s="16"/>
    </row>
    <row r="317" spans="1:86" ht="82.5" hidden="1" customHeight="1">
      <c r="A317"/>
      <c r="B317" s="23"/>
      <c r="C317" s="23" t="s">
        <v>969</v>
      </c>
      <c r="D317" s="23"/>
      <c r="E317" s="335" t="s">
        <v>68</v>
      </c>
      <c r="F317" s="335"/>
      <c r="G317" s="1055">
        <v>43530</v>
      </c>
      <c r="H317" s="365">
        <v>43389</v>
      </c>
      <c r="I317" s="17">
        <v>2018</v>
      </c>
      <c r="J317" s="1678">
        <v>186.04</v>
      </c>
      <c r="K317" s="183" t="s">
        <v>166</v>
      </c>
      <c r="L317" s="191" t="s">
        <v>1019</v>
      </c>
      <c r="M317" s="185" t="s">
        <v>79</v>
      </c>
      <c r="N317" s="186" t="s">
        <v>1020</v>
      </c>
      <c r="O317" s="186" t="s">
        <v>1979</v>
      </c>
      <c r="P317" s="187">
        <v>500000</v>
      </c>
      <c r="Q317" s="656">
        <v>43224</v>
      </c>
      <c r="R317" s="189">
        <v>43228</v>
      </c>
      <c r="S317" s="190">
        <v>43321</v>
      </c>
      <c r="T317" s="382">
        <v>43209</v>
      </c>
      <c r="U317" s="191" t="s">
        <v>256</v>
      </c>
      <c r="V317" s="183" t="s">
        <v>984</v>
      </c>
      <c r="W317" s="685">
        <v>43304</v>
      </c>
      <c r="X317" s="1625"/>
      <c r="Y317" s="380" t="s">
        <v>1021</v>
      </c>
      <c r="Z317" s="9">
        <v>43207</v>
      </c>
      <c r="AA317" s="4">
        <v>1464210.09</v>
      </c>
      <c r="AB317" s="4"/>
      <c r="AC317" s="34"/>
      <c r="AD317" s="645" t="s">
        <v>68</v>
      </c>
      <c r="AE317" s="646" t="s">
        <v>68</v>
      </c>
      <c r="AF317" s="646" t="s">
        <v>68</v>
      </c>
      <c r="AG317" s="647" t="s">
        <v>68</v>
      </c>
      <c r="AH317" s="644" t="s">
        <v>68</v>
      </c>
      <c r="AI317" s="697" t="s">
        <v>107</v>
      </c>
      <c r="AJ317" s="1" t="s">
        <v>1022</v>
      </c>
      <c r="AK317" s="5">
        <v>43224</v>
      </c>
      <c r="AL317" s="239"/>
      <c r="AM317" s="5"/>
      <c r="AN317" s="239"/>
      <c r="AO317" s="1"/>
      <c r="AP317" s="306">
        <f>125000</f>
        <v>125000</v>
      </c>
      <c r="AQ317" s="37">
        <v>0</v>
      </c>
      <c r="AR317" s="1040"/>
      <c r="AS317" s="1060">
        <v>1244416.03</v>
      </c>
      <c r="AT317" s="373" t="s">
        <v>74</v>
      </c>
      <c r="AU317" s="12"/>
      <c r="AV317" s="243" t="s">
        <v>68</v>
      </c>
      <c r="AW317" s="54" t="s">
        <v>68</v>
      </c>
      <c r="AX317" s="373" t="s">
        <v>74</v>
      </c>
      <c r="AY317" s="1"/>
      <c r="AZ317" s="1"/>
      <c r="BA317" s="18"/>
      <c r="BB317" s="373" t="s">
        <v>74</v>
      </c>
      <c r="BC317" s="1956"/>
      <c r="BD317" s="5"/>
      <c r="BE317" s="5"/>
      <c r="BF317" s="5"/>
      <c r="BG317" s="38">
        <f t="shared" si="9"/>
        <v>0</v>
      </c>
      <c r="BH317" s="14"/>
      <c r="BI317" s="111"/>
      <c r="BJ317" s="5"/>
      <c r="BK317" s="5"/>
      <c r="BL317" s="54"/>
      <c r="BM317" s="54"/>
      <c r="BN317" s="54"/>
      <c r="BO317" s="54"/>
      <c r="BP317" s="54"/>
      <c r="BQ317" s="54"/>
      <c r="BR317" s="54"/>
      <c r="BS317" s="55"/>
      <c r="BT317" s="14"/>
      <c r="BU317" s="14"/>
      <c r="BV317" s="14"/>
      <c r="BW317" s="14"/>
      <c r="BX317" s="14"/>
      <c r="BY317" s="1432" t="s">
        <v>1567</v>
      </c>
      <c r="BZ317" s="356" t="s">
        <v>459</v>
      </c>
      <c r="CA317" s="582"/>
      <c r="CB317" s="582"/>
      <c r="CC317" s="582"/>
      <c r="CD317" s="582"/>
      <c r="CE317" s="582"/>
      <c r="CF317" s="582"/>
      <c r="CG317" s="582"/>
      <c r="CH317" s="16"/>
    </row>
    <row r="318" spans="1:86" ht="105" hidden="1" customHeight="1">
      <c r="A318"/>
      <c r="B318" s="23" t="s">
        <v>68</v>
      </c>
      <c r="C318" s="23" t="s">
        <v>969</v>
      </c>
      <c r="D318" s="23"/>
      <c r="E318" s="335" t="s">
        <v>68</v>
      </c>
      <c r="F318" s="335"/>
      <c r="G318" s="1055">
        <v>43432</v>
      </c>
      <c r="H318" s="365">
        <v>43389</v>
      </c>
      <c r="I318" s="17">
        <v>2018</v>
      </c>
      <c r="J318" s="1678">
        <v>186.05</v>
      </c>
      <c r="K318" s="183" t="s">
        <v>77</v>
      </c>
      <c r="L318" s="191" t="s">
        <v>1023</v>
      </c>
      <c r="M318" s="185" t="s">
        <v>79</v>
      </c>
      <c r="N318" s="186" t="s">
        <v>1024</v>
      </c>
      <c r="O318" s="186" t="s">
        <v>4458</v>
      </c>
      <c r="P318" s="187">
        <v>688990.42</v>
      </c>
      <c r="Q318" s="657">
        <v>43221</v>
      </c>
      <c r="R318" s="189">
        <v>43224</v>
      </c>
      <c r="S318" s="190">
        <v>43285</v>
      </c>
      <c r="T318" s="111">
        <v>43221</v>
      </c>
      <c r="U318" s="191" t="s">
        <v>637</v>
      </c>
      <c r="V318" s="19" t="s">
        <v>3087</v>
      </c>
      <c r="W318" s="685">
        <v>43222</v>
      </c>
      <c r="X318" s="1625"/>
      <c r="Y318" s="35" t="s">
        <v>1025</v>
      </c>
      <c r="Z318" s="9">
        <v>43220</v>
      </c>
      <c r="AA318" s="4">
        <v>490571.87</v>
      </c>
      <c r="AB318" s="4"/>
      <c r="AC318" s="34">
        <v>198418.55</v>
      </c>
      <c r="AD318" s="36" t="s">
        <v>68</v>
      </c>
      <c r="AE318" s="119" t="s">
        <v>68</v>
      </c>
      <c r="AF318" s="119" t="s">
        <v>68</v>
      </c>
      <c r="AG318" s="7" t="s">
        <v>68</v>
      </c>
      <c r="AH318" s="116" t="s">
        <v>68</v>
      </c>
      <c r="AI318" s="491" t="s">
        <v>855</v>
      </c>
      <c r="AJ318" s="1" t="s">
        <v>68</v>
      </c>
      <c r="AK318" s="5"/>
      <c r="AL318" s="238" t="s">
        <v>74</v>
      </c>
      <c r="AM318" s="5"/>
      <c r="AN318" s="1">
        <v>18799776742</v>
      </c>
      <c r="AO318" s="5">
        <v>43279</v>
      </c>
      <c r="AP318" s="306">
        <f>68899.04</f>
        <v>68899.039999999994</v>
      </c>
      <c r="AQ318" s="37">
        <v>0</v>
      </c>
      <c r="AR318" s="1032">
        <v>566169.56000000006</v>
      </c>
      <c r="AS318" s="1060">
        <v>738425.55</v>
      </c>
      <c r="AT318" s="375">
        <v>43227</v>
      </c>
      <c r="AU318" s="12">
        <v>43279</v>
      </c>
      <c r="AV318" s="243" t="s">
        <v>68</v>
      </c>
      <c r="AW318" s="54" t="s">
        <v>68</v>
      </c>
      <c r="AX318" s="375">
        <v>43279</v>
      </c>
      <c r="AY318" s="76">
        <v>43224</v>
      </c>
      <c r="AZ318" s="76">
        <v>43285</v>
      </c>
      <c r="BA318" s="18"/>
      <c r="BB318" s="381">
        <v>43280</v>
      </c>
      <c r="BC318" s="1953"/>
      <c r="BD318" s="5">
        <v>43224</v>
      </c>
      <c r="BE318" s="5">
        <v>43285</v>
      </c>
      <c r="BF318" s="5">
        <v>43279</v>
      </c>
      <c r="BG318" s="72">
        <f t="shared" si="9"/>
        <v>566169.56000000006</v>
      </c>
      <c r="BH318" s="64">
        <v>43279</v>
      </c>
      <c r="BI318" s="578">
        <v>43220</v>
      </c>
      <c r="BJ318" s="255">
        <v>43227</v>
      </c>
      <c r="BK318" s="255">
        <v>43227</v>
      </c>
      <c r="BL318" s="246"/>
      <c r="BM318" s="246"/>
      <c r="BN318" s="246"/>
      <c r="BO318" s="246"/>
      <c r="BP318" s="246">
        <v>43279</v>
      </c>
      <c r="BQ318" s="246"/>
      <c r="BR318" s="246"/>
      <c r="BS318" s="758" t="s">
        <v>68</v>
      </c>
      <c r="BT318" s="14"/>
      <c r="BU318" s="14"/>
      <c r="BV318" s="14"/>
      <c r="BW318" s="14"/>
      <c r="BX318" s="14"/>
      <c r="BY318" s="1432" t="s">
        <v>1567</v>
      </c>
      <c r="BZ318" s="356" t="s">
        <v>459</v>
      </c>
      <c r="CA318" s="582"/>
      <c r="CB318" s="582"/>
      <c r="CC318" s="582"/>
      <c r="CD318" s="582"/>
      <c r="CE318" s="582"/>
      <c r="CF318" s="582"/>
      <c r="CG318" s="582"/>
      <c r="CH318" s="16"/>
    </row>
    <row r="319" spans="1:86" ht="93.75" hidden="1" customHeight="1">
      <c r="A319"/>
      <c r="B319" s="23"/>
      <c r="C319" s="23"/>
      <c r="D319" s="23"/>
      <c r="E319" s="335" t="s">
        <v>68</v>
      </c>
      <c r="F319" s="335"/>
      <c r="G319" s="1055">
        <v>43356</v>
      </c>
      <c r="H319" s="365">
        <v>43325</v>
      </c>
      <c r="I319" s="17">
        <v>2018</v>
      </c>
      <c r="J319" s="1678">
        <v>186.06</v>
      </c>
      <c r="K319" s="183" t="s">
        <v>77</v>
      </c>
      <c r="L319" s="1135" t="s">
        <v>1026</v>
      </c>
      <c r="M319" s="185" t="s">
        <v>79</v>
      </c>
      <c r="N319" s="186" t="s">
        <v>1027</v>
      </c>
      <c r="O319" s="186" t="s">
        <v>4458</v>
      </c>
      <c r="P319" s="187">
        <v>343705.8</v>
      </c>
      <c r="Q319" s="746">
        <v>43255</v>
      </c>
      <c r="R319" s="189">
        <v>43257</v>
      </c>
      <c r="S319" s="190">
        <v>43322</v>
      </c>
      <c r="T319" s="382">
        <v>43252</v>
      </c>
      <c r="U319" s="191" t="s">
        <v>1028</v>
      </c>
      <c r="V319" s="183" t="s">
        <v>984</v>
      </c>
      <c r="W319" s="688">
        <v>43252</v>
      </c>
      <c r="X319" s="1624"/>
      <c r="Y319" s="380" t="s">
        <v>1029</v>
      </c>
      <c r="Z319" s="9">
        <v>43207</v>
      </c>
      <c r="AA319" s="4">
        <v>508088.36</v>
      </c>
      <c r="AB319" s="4"/>
      <c r="AC319" s="34"/>
      <c r="AD319" s="36" t="s">
        <v>68</v>
      </c>
      <c r="AE319" s="119" t="s">
        <v>68</v>
      </c>
      <c r="AF319" s="119" t="s">
        <v>68</v>
      </c>
      <c r="AG319" s="7" t="s">
        <v>68</v>
      </c>
      <c r="AH319" s="116" t="s">
        <v>68</v>
      </c>
      <c r="AI319" s="491" t="s">
        <v>1030</v>
      </c>
      <c r="AJ319" s="71" t="s">
        <v>68</v>
      </c>
      <c r="AK319" s="255"/>
      <c r="AL319" s="71" t="s">
        <v>1031</v>
      </c>
      <c r="AM319" s="255">
        <v>43255</v>
      </c>
      <c r="AN319" s="202" t="s">
        <v>1032</v>
      </c>
      <c r="AO319" s="5">
        <v>43322</v>
      </c>
      <c r="AP319" s="306">
        <f>34370.58+34370.58</f>
        <v>68741.16</v>
      </c>
      <c r="AQ319" s="37">
        <v>0</v>
      </c>
      <c r="AR319" s="1032">
        <v>343705.79</v>
      </c>
      <c r="AS319" s="1019">
        <v>343705.79</v>
      </c>
      <c r="AT319" s="375">
        <v>43262</v>
      </c>
      <c r="AU319" s="12">
        <v>43315</v>
      </c>
      <c r="AV319" s="243" t="s">
        <v>68</v>
      </c>
      <c r="AW319" s="54" t="s">
        <v>68</v>
      </c>
      <c r="AX319" s="375">
        <v>43315</v>
      </c>
      <c r="AY319" s="5">
        <v>43257</v>
      </c>
      <c r="AZ319" s="5">
        <v>43322</v>
      </c>
      <c r="BA319" s="12">
        <v>43315</v>
      </c>
      <c r="BB319" s="375">
        <v>43315</v>
      </c>
      <c r="BC319" s="1952"/>
      <c r="BD319" s="76">
        <v>43257</v>
      </c>
      <c r="BE319" s="76">
        <v>43322</v>
      </c>
      <c r="BF319" s="76">
        <v>43315</v>
      </c>
      <c r="BG319" s="136">
        <f t="shared" si="9"/>
        <v>343705.79</v>
      </c>
      <c r="BH319" s="216">
        <v>43318</v>
      </c>
      <c r="BI319" s="578"/>
      <c r="BJ319" s="255"/>
      <c r="BK319" s="255"/>
      <c r="BL319" s="246"/>
      <c r="BM319" s="246"/>
      <c r="BN319" s="246"/>
      <c r="BO319" s="246"/>
      <c r="BP319" s="246"/>
      <c r="BQ319" s="246"/>
      <c r="BR319" s="246"/>
      <c r="BS319" s="758"/>
      <c r="BT319" s="14"/>
      <c r="BU319" s="14"/>
      <c r="BV319" s="14"/>
      <c r="BW319" s="14"/>
      <c r="BX319" s="14"/>
      <c r="BY319" s="1432" t="s">
        <v>1567</v>
      </c>
      <c r="BZ319" s="649" t="s">
        <v>454</v>
      </c>
      <c r="CA319" s="582"/>
      <c r="CB319" s="582"/>
      <c r="CC319" s="582"/>
      <c r="CD319" s="582"/>
      <c r="CE319" s="582"/>
      <c r="CF319" s="582"/>
      <c r="CG319" s="582"/>
      <c r="CH319" s="16"/>
    </row>
    <row r="320" spans="1:86" s="1241" customFormat="1" ht="15" hidden="1" customHeight="1">
      <c r="B320" s="1242"/>
      <c r="C320" s="1242"/>
      <c r="D320" s="1242"/>
      <c r="E320" s="1242"/>
      <c r="F320" s="1242"/>
      <c r="G320" s="610"/>
      <c r="H320" s="700"/>
      <c r="I320" s="588">
        <v>2018</v>
      </c>
      <c r="J320" s="1683">
        <v>186.07</v>
      </c>
      <c r="K320" s="1245"/>
      <c r="L320" s="1767" t="s">
        <v>1033</v>
      </c>
      <c r="M320" s="904" t="s">
        <v>251</v>
      </c>
      <c r="N320" s="1247"/>
      <c r="O320" s="1247"/>
      <c r="P320" s="1248"/>
      <c r="Q320" s="1249"/>
      <c r="R320" s="1250"/>
      <c r="S320" s="1251"/>
      <c r="T320" s="1242"/>
      <c r="U320" s="1246" t="s">
        <v>68</v>
      </c>
      <c r="V320" s="1245" t="s">
        <v>68</v>
      </c>
      <c r="W320" s="1278"/>
      <c r="X320" s="1631"/>
      <c r="Y320" s="340"/>
      <c r="Z320" s="1254"/>
      <c r="AA320" s="1255"/>
      <c r="AB320" s="1255"/>
      <c r="AC320" s="1256"/>
      <c r="AD320" s="1257"/>
      <c r="AE320" s="1258"/>
      <c r="AF320" s="1258"/>
      <c r="AG320" s="1259"/>
      <c r="AH320" s="1260"/>
      <c r="AI320" s="340"/>
      <c r="AJ320" s="1261"/>
      <c r="AK320" s="1262"/>
      <c r="AL320" s="1261"/>
      <c r="AM320" s="1262"/>
      <c r="AN320" s="1261"/>
      <c r="AO320" s="1261"/>
      <c r="AP320" s="1263"/>
      <c r="AQ320" s="1264">
        <v>0</v>
      </c>
      <c r="AR320" s="1265"/>
      <c r="AS320" s="1266"/>
      <c r="AT320" s="1267"/>
      <c r="AU320" s="1268"/>
      <c r="AV320" s="1269"/>
      <c r="AW320" s="1270"/>
      <c r="AX320" s="955"/>
      <c r="AY320" s="1261"/>
      <c r="AZ320" s="1261"/>
      <c r="BA320" s="1271"/>
      <c r="BB320" s="955"/>
      <c r="BC320" s="1756"/>
      <c r="BD320" s="1261"/>
      <c r="BE320" s="1261"/>
      <c r="BF320" s="1261"/>
      <c r="BG320" s="1272">
        <f t="shared" si="9"/>
        <v>0</v>
      </c>
      <c r="BH320" s="1273"/>
      <c r="BI320" s="1252"/>
      <c r="BJ320" s="1262"/>
      <c r="BK320" s="1262"/>
      <c r="BL320" s="1270"/>
      <c r="BM320" s="1270"/>
      <c r="BN320" s="1270"/>
      <c r="BO320" s="1270"/>
      <c r="BP320" s="1270"/>
      <c r="BQ320" s="1270"/>
      <c r="BR320" s="1270"/>
      <c r="BS320" s="1758"/>
      <c r="BT320" s="1273"/>
      <c r="BU320" s="1273"/>
      <c r="BV320" s="1273"/>
      <c r="BW320" s="1273"/>
      <c r="BX320" s="1273"/>
      <c r="BY320" s="1760" t="s">
        <v>1567</v>
      </c>
      <c r="BZ320" s="133" t="s">
        <v>478</v>
      </c>
      <c r="CA320" s="903"/>
      <c r="CB320" s="903"/>
      <c r="CC320" s="903"/>
      <c r="CD320" s="903"/>
      <c r="CE320" s="903"/>
      <c r="CF320" s="903"/>
      <c r="CG320" s="903"/>
      <c r="CH320" s="1277"/>
    </row>
    <row r="321" spans="2:86" customFormat="1" ht="94.5" hidden="1" customHeight="1">
      <c r="B321" s="23" t="s">
        <v>68</v>
      </c>
      <c r="C321" s="23"/>
      <c r="D321" s="23"/>
      <c r="E321" s="335" t="s">
        <v>68</v>
      </c>
      <c r="F321" s="335"/>
      <c r="G321" s="1055">
        <v>43441</v>
      </c>
      <c r="H321" s="365">
        <v>43389</v>
      </c>
      <c r="I321" s="17">
        <v>2018</v>
      </c>
      <c r="J321" s="1678">
        <v>186.08</v>
      </c>
      <c r="K321" s="183" t="s">
        <v>77</v>
      </c>
      <c r="L321" s="191" t="s">
        <v>1034</v>
      </c>
      <c r="M321" s="185" t="s">
        <v>79</v>
      </c>
      <c r="N321" s="186" t="s">
        <v>1035</v>
      </c>
      <c r="O321" s="186" t="s">
        <v>4458</v>
      </c>
      <c r="P321" s="187">
        <v>142361.85</v>
      </c>
      <c r="Q321" s="656">
        <v>43222</v>
      </c>
      <c r="R321" s="189">
        <v>43224</v>
      </c>
      <c r="S321" s="190">
        <v>43255</v>
      </c>
      <c r="T321" s="685">
        <v>43221</v>
      </c>
      <c r="U321" s="191" t="s">
        <v>637</v>
      </c>
      <c r="V321" s="19" t="s">
        <v>3087</v>
      </c>
      <c r="W321" s="685">
        <v>43252</v>
      </c>
      <c r="X321" s="1625"/>
      <c r="Y321" s="491" t="s">
        <v>1036</v>
      </c>
      <c r="Z321" s="9">
        <v>43220</v>
      </c>
      <c r="AA321" s="4">
        <v>142361.85</v>
      </c>
      <c r="AB321" s="4"/>
      <c r="AC321" s="34"/>
      <c r="AD321" s="36" t="s">
        <v>68</v>
      </c>
      <c r="AE321" s="119" t="s">
        <v>68</v>
      </c>
      <c r="AF321" s="119" t="s">
        <v>68</v>
      </c>
      <c r="AG321" s="7" t="s">
        <v>68</v>
      </c>
      <c r="AH321" s="116" t="s">
        <v>68</v>
      </c>
      <c r="AI321" s="491" t="s">
        <v>855</v>
      </c>
      <c r="AJ321" s="1" t="s">
        <v>68</v>
      </c>
      <c r="AK321" s="5"/>
      <c r="AL321" s="1">
        <v>18987657</v>
      </c>
      <c r="AM321" s="5">
        <v>43231</v>
      </c>
      <c r="AN321" s="1">
        <v>1899776543</v>
      </c>
      <c r="AO321" s="5">
        <v>43231</v>
      </c>
      <c r="AP321" s="306">
        <f>196941.6+196941.6</f>
        <v>393883.2</v>
      </c>
      <c r="AQ321" s="37">
        <v>0</v>
      </c>
      <c r="AR321" s="1032">
        <v>142049.75</v>
      </c>
      <c r="AS321" s="1019">
        <v>142049.75</v>
      </c>
      <c r="AT321" s="373" t="s">
        <v>74</v>
      </c>
      <c r="AU321" s="12"/>
      <c r="AV321" s="243" t="s">
        <v>68</v>
      </c>
      <c r="AW321" s="54" t="s">
        <v>68</v>
      </c>
      <c r="AX321" s="381">
        <v>43231</v>
      </c>
      <c r="AY321" s="360">
        <v>43224</v>
      </c>
      <c r="AZ321" s="360">
        <v>43224</v>
      </c>
      <c r="BA321" s="18"/>
      <c r="BB321" s="381">
        <v>43170</v>
      </c>
      <c r="BC321" s="1953"/>
      <c r="BD321" s="5">
        <v>43224</v>
      </c>
      <c r="BE321" s="5">
        <v>43255</v>
      </c>
      <c r="BF321" s="5">
        <v>43230</v>
      </c>
      <c r="BG321" s="38">
        <f t="shared" si="9"/>
        <v>142049.75</v>
      </c>
      <c r="BH321" s="222"/>
      <c r="BI321" s="578">
        <v>43220</v>
      </c>
      <c r="BJ321" s="255">
        <v>43223</v>
      </c>
      <c r="BK321" s="255">
        <v>43224</v>
      </c>
      <c r="BL321" s="246"/>
      <c r="BM321" s="246"/>
      <c r="BN321" s="246"/>
      <c r="BO321" s="246"/>
      <c r="BP321" s="246">
        <v>43231</v>
      </c>
      <c r="BQ321" s="246"/>
      <c r="BR321" s="246"/>
      <c r="BS321" s="758" t="s">
        <v>68</v>
      </c>
      <c r="BT321" s="14"/>
      <c r="BU321" s="14"/>
      <c r="BV321" s="14"/>
      <c r="BW321" s="14"/>
      <c r="BX321" s="14"/>
      <c r="BY321" s="1432" t="s">
        <v>1567</v>
      </c>
      <c r="BZ321" s="356" t="s">
        <v>459</v>
      </c>
      <c r="CA321" s="582"/>
      <c r="CB321" s="582"/>
      <c r="CC321" s="582"/>
      <c r="CD321" s="582"/>
      <c r="CE321" s="582"/>
      <c r="CF321" s="582"/>
      <c r="CG321" s="582"/>
      <c r="CH321" s="16"/>
    </row>
    <row r="322" spans="2:86" customFormat="1" ht="117.75" hidden="1" customHeight="1">
      <c r="B322" s="23"/>
      <c r="C322" s="23" t="s">
        <v>969</v>
      </c>
      <c r="D322" s="23"/>
      <c r="E322" s="335" t="s">
        <v>68</v>
      </c>
      <c r="F322" s="335"/>
      <c r="G322" s="1055">
        <v>43382</v>
      </c>
      <c r="H322" s="365">
        <v>43325</v>
      </c>
      <c r="I322" s="17">
        <v>2018</v>
      </c>
      <c r="J322" s="1678">
        <v>186.09</v>
      </c>
      <c r="K322" s="183" t="s">
        <v>64</v>
      </c>
      <c r="L322" s="191" t="s">
        <v>1037</v>
      </c>
      <c r="M322" s="185" t="s">
        <v>79</v>
      </c>
      <c r="N322" s="186" t="s">
        <v>1038</v>
      </c>
      <c r="O322" s="186" t="s">
        <v>1979</v>
      </c>
      <c r="P322" s="187">
        <v>526676.22</v>
      </c>
      <c r="Q322" s="656">
        <v>43253</v>
      </c>
      <c r="R322" s="686">
        <v>43261</v>
      </c>
      <c r="S322" s="687">
        <v>43322</v>
      </c>
      <c r="T322" s="70">
        <v>43252</v>
      </c>
      <c r="U322" s="191" t="s">
        <v>1039</v>
      </c>
      <c r="V322" s="183" t="s">
        <v>709</v>
      </c>
      <c r="W322" s="659" t="s">
        <v>68</v>
      </c>
      <c r="X322" s="1626"/>
      <c r="Y322" s="491" t="s">
        <v>1040</v>
      </c>
      <c r="Z322" s="9">
        <v>43166</v>
      </c>
      <c r="AA322" s="4">
        <v>2724218.37</v>
      </c>
      <c r="AB322" s="4"/>
      <c r="AC322" s="34"/>
      <c r="AD322" s="36" t="s">
        <v>68</v>
      </c>
      <c r="AE322" s="119" t="s">
        <v>68</v>
      </c>
      <c r="AF322" s="119" t="s">
        <v>68</v>
      </c>
      <c r="AG322" s="7" t="s">
        <v>68</v>
      </c>
      <c r="AH322" s="116" t="s">
        <v>68</v>
      </c>
      <c r="AI322" s="491" t="s">
        <v>107</v>
      </c>
      <c r="AJ322" s="1" t="s">
        <v>68</v>
      </c>
      <c r="AK322" s="5"/>
      <c r="AL322" s="1" t="s">
        <v>1041</v>
      </c>
      <c r="AM322" s="5">
        <v>43253</v>
      </c>
      <c r="AN322" s="1" t="s">
        <v>1042</v>
      </c>
      <c r="AO322" s="5">
        <v>43322</v>
      </c>
      <c r="AP322" s="306">
        <f>52667.62*2</f>
        <v>105335.24</v>
      </c>
      <c r="AQ322" s="37">
        <v>0</v>
      </c>
      <c r="AR322" s="1032">
        <v>526676.22</v>
      </c>
      <c r="AS322" s="1019">
        <v>526676.22</v>
      </c>
      <c r="AT322" s="381">
        <v>43249</v>
      </c>
      <c r="AU322" s="12">
        <v>43287</v>
      </c>
      <c r="AV322" s="243" t="s">
        <v>68</v>
      </c>
      <c r="AW322" s="54" t="s">
        <v>68</v>
      </c>
      <c r="AX322" s="375">
        <v>43321</v>
      </c>
      <c r="AY322" s="76">
        <v>43261</v>
      </c>
      <c r="AZ322" s="76">
        <v>43322</v>
      </c>
      <c r="BA322" s="134">
        <v>43320</v>
      </c>
      <c r="BB322" s="698">
        <v>43321</v>
      </c>
      <c r="BC322" s="1964"/>
      <c r="BD322" s="5">
        <v>43261</v>
      </c>
      <c r="BE322" s="5">
        <v>43322</v>
      </c>
      <c r="BF322" s="5">
        <v>43320</v>
      </c>
      <c r="BG322" s="38">
        <f t="shared" si="9"/>
        <v>526676.22</v>
      </c>
      <c r="BH322" s="711">
        <v>43321</v>
      </c>
      <c r="BI322" s="1047"/>
      <c r="BJ322" s="360">
        <v>43248</v>
      </c>
      <c r="BK322" s="360">
        <v>43657</v>
      </c>
      <c r="BL322" s="1479"/>
      <c r="BM322" s="1479"/>
      <c r="BN322" s="1479"/>
      <c r="BO322" s="1479"/>
      <c r="BP322" s="378">
        <v>43320</v>
      </c>
      <c r="BQ322" s="378"/>
      <c r="BR322" s="378"/>
      <c r="BS322" s="383"/>
      <c r="BT322" s="14"/>
      <c r="BU322" s="14"/>
      <c r="BV322" s="14"/>
      <c r="BW322" s="14"/>
      <c r="BX322" s="14"/>
      <c r="BY322" s="1432" t="s">
        <v>1567</v>
      </c>
      <c r="BZ322" s="356" t="s">
        <v>459</v>
      </c>
      <c r="CA322" s="582"/>
      <c r="CB322" s="582"/>
      <c r="CC322" s="582"/>
      <c r="CD322" s="582"/>
      <c r="CE322" s="582"/>
      <c r="CF322" s="582"/>
      <c r="CG322" s="582"/>
      <c r="CH322" s="16"/>
    </row>
    <row r="323" spans="2:86" customFormat="1" ht="70.5" hidden="1" customHeight="1">
      <c r="B323" s="23" t="s">
        <v>68</v>
      </c>
      <c r="C323" s="23"/>
      <c r="D323" s="23"/>
      <c r="E323" s="335" t="s">
        <v>68</v>
      </c>
      <c r="F323" s="335"/>
      <c r="G323" s="1055">
        <v>43441</v>
      </c>
      <c r="H323" s="365">
        <v>43319</v>
      </c>
      <c r="I323" s="17">
        <v>2018</v>
      </c>
      <c r="J323" s="1678">
        <v>186.1</v>
      </c>
      <c r="K323" s="183" t="s">
        <v>77</v>
      </c>
      <c r="L323" s="191" t="s">
        <v>1043</v>
      </c>
      <c r="M323" s="185" t="s">
        <v>79</v>
      </c>
      <c r="N323" s="186" t="s">
        <v>1044</v>
      </c>
      <c r="O323" s="186" t="s">
        <v>3664</v>
      </c>
      <c r="P323" s="187">
        <v>177478.77</v>
      </c>
      <c r="Q323" s="657">
        <v>43242</v>
      </c>
      <c r="R323" s="189">
        <v>43243</v>
      </c>
      <c r="S323" s="190">
        <v>43283</v>
      </c>
      <c r="T323" s="685">
        <v>43241</v>
      </c>
      <c r="U323" s="191" t="s">
        <v>592</v>
      </c>
      <c r="V323" s="183" t="s">
        <v>984</v>
      </c>
      <c r="W323" s="685">
        <v>43235</v>
      </c>
      <c r="X323" s="1625"/>
      <c r="Y323" s="491" t="s">
        <v>1045</v>
      </c>
      <c r="Z323" s="9">
        <v>43220</v>
      </c>
      <c r="AA323" s="4">
        <v>177478.77</v>
      </c>
      <c r="AB323" s="4"/>
      <c r="AC323" s="34"/>
      <c r="AD323" s="36" t="s">
        <v>68</v>
      </c>
      <c r="AE323" s="119" t="s">
        <v>68</v>
      </c>
      <c r="AF323" s="119" t="s">
        <v>68</v>
      </c>
      <c r="AG323" s="7" t="s">
        <v>68</v>
      </c>
      <c r="AH323" s="116" t="s">
        <v>68</v>
      </c>
      <c r="AI323" s="697" t="s">
        <v>855</v>
      </c>
      <c r="AJ323" s="1"/>
      <c r="AK323" s="5"/>
      <c r="AL323" s="1">
        <v>18987783</v>
      </c>
      <c r="AM323" s="5">
        <v>43243</v>
      </c>
      <c r="AN323" s="239" t="s">
        <v>656</v>
      </c>
      <c r="AO323" s="5"/>
      <c r="AP323" s="306"/>
      <c r="AQ323" s="37">
        <v>0</v>
      </c>
      <c r="AR323" s="1032">
        <v>177182.11</v>
      </c>
      <c r="AS323" s="1019">
        <v>176418.39</v>
      </c>
      <c r="AT323" s="731" t="s">
        <v>74</v>
      </c>
      <c r="AU323" s="12"/>
      <c r="AV323" s="243" t="s">
        <v>68</v>
      </c>
      <c r="AW323" s="54" t="s">
        <v>68</v>
      </c>
      <c r="AX323" s="375">
        <v>43270</v>
      </c>
      <c r="AY323" s="5">
        <v>43243</v>
      </c>
      <c r="AZ323" s="5">
        <v>43283</v>
      </c>
      <c r="BA323" s="559"/>
      <c r="BB323" s="375">
        <v>43273</v>
      </c>
      <c r="BC323" s="1952"/>
      <c r="BD323" s="5">
        <v>43243</v>
      </c>
      <c r="BE323" s="5">
        <v>43283</v>
      </c>
      <c r="BF323" s="255">
        <v>43269</v>
      </c>
      <c r="BG323" s="38">
        <f t="shared" si="9"/>
        <v>177182.11</v>
      </c>
      <c r="BH323" s="64">
        <v>43270</v>
      </c>
      <c r="BI323" s="111"/>
      <c r="BJ323" s="5"/>
      <c r="BK323" s="5"/>
      <c r="BL323" s="54"/>
      <c r="BM323" s="54"/>
      <c r="BN323" s="54"/>
      <c r="BO323" s="54"/>
      <c r="BP323" s="54"/>
      <c r="BQ323" s="54"/>
      <c r="BR323" s="54"/>
      <c r="BS323" s="55"/>
      <c r="BT323" s="14"/>
      <c r="BU323" s="14"/>
      <c r="BV323" s="14"/>
      <c r="BW323" s="14"/>
      <c r="BX323" s="14"/>
      <c r="BY323" s="1432" t="s">
        <v>1567</v>
      </c>
      <c r="BZ323" s="356" t="s">
        <v>459</v>
      </c>
      <c r="CA323" s="582"/>
      <c r="CB323" s="582"/>
      <c r="CC323" s="582"/>
      <c r="CD323" s="582"/>
      <c r="CE323" s="582"/>
      <c r="CF323" s="582"/>
      <c r="CG323" s="582"/>
      <c r="CH323" s="16"/>
    </row>
    <row r="324" spans="2:86" customFormat="1" ht="71.25" hidden="1" customHeight="1">
      <c r="B324" s="23" t="s">
        <v>68</v>
      </c>
      <c r="C324" s="23"/>
      <c r="D324" s="23"/>
      <c r="E324" s="335" t="s">
        <v>68</v>
      </c>
      <c r="F324" s="335"/>
      <c r="G324" s="1055">
        <v>43441</v>
      </c>
      <c r="H324" s="365">
        <v>43319</v>
      </c>
      <c r="I324" s="17">
        <v>2018</v>
      </c>
      <c r="J324" s="1678">
        <v>186.11</v>
      </c>
      <c r="K324" s="183" t="s">
        <v>77</v>
      </c>
      <c r="L324" s="191" t="s">
        <v>1046</v>
      </c>
      <c r="M324" s="185" t="s">
        <v>79</v>
      </c>
      <c r="N324" s="186" t="s">
        <v>1047</v>
      </c>
      <c r="O324" s="186" t="s">
        <v>3664</v>
      </c>
      <c r="P324" s="187">
        <v>247048.85</v>
      </c>
      <c r="Q324" s="657">
        <v>43242</v>
      </c>
      <c r="R324" s="189">
        <v>43243</v>
      </c>
      <c r="S324" s="190">
        <v>43283</v>
      </c>
      <c r="T324" s="685">
        <v>43241</v>
      </c>
      <c r="U324" s="734" t="s">
        <v>592</v>
      </c>
      <c r="V324" s="735" t="s">
        <v>984</v>
      </c>
      <c r="W324" s="685">
        <v>43235</v>
      </c>
      <c r="X324" s="1625"/>
      <c r="Y324" s="491" t="s">
        <v>1048</v>
      </c>
      <c r="Z324" s="80">
        <v>43220</v>
      </c>
      <c r="AA324" s="81">
        <v>247048.35</v>
      </c>
      <c r="AB324" s="81"/>
      <c r="AC324" s="736"/>
      <c r="AD324" s="36" t="s">
        <v>68</v>
      </c>
      <c r="AE324" s="119" t="s">
        <v>68</v>
      </c>
      <c r="AF324" s="119" t="s">
        <v>68</v>
      </c>
      <c r="AG324" s="7" t="s">
        <v>68</v>
      </c>
      <c r="AH324" s="116" t="s">
        <v>68</v>
      </c>
      <c r="AI324" s="697" t="s">
        <v>855</v>
      </c>
      <c r="AJ324" s="135" t="s">
        <v>68</v>
      </c>
      <c r="AK324" s="5"/>
      <c r="AL324" s="1">
        <v>18987782</v>
      </c>
      <c r="AM324" s="5">
        <v>43243</v>
      </c>
      <c r="AN324" s="239" t="s">
        <v>656</v>
      </c>
      <c r="AO324" s="5"/>
      <c r="AP324" s="306">
        <f>24704.88</f>
        <v>24704.880000000001</v>
      </c>
      <c r="AQ324" s="37">
        <v>0</v>
      </c>
      <c r="AR324" s="1032">
        <v>246900.86</v>
      </c>
      <c r="AS324" s="1019">
        <v>245836.63</v>
      </c>
      <c r="AT324" s="375">
        <v>43244</v>
      </c>
      <c r="AU324" s="12">
        <v>43262</v>
      </c>
      <c r="AV324" s="243" t="s">
        <v>68</v>
      </c>
      <c r="AW324" s="54" t="s">
        <v>68</v>
      </c>
      <c r="AX324" s="375">
        <v>43263</v>
      </c>
      <c r="AY324" s="5">
        <v>43243</v>
      </c>
      <c r="AZ324" s="5">
        <v>43283</v>
      </c>
      <c r="BA324" s="12">
        <v>43262</v>
      </c>
      <c r="BB324" s="375">
        <v>43266</v>
      </c>
      <c r="BC324" s="1952"/>
      <c r="BD324" s="5">
        <v>43243</v>
      </c>
      <c r="BE324" s="5">
        <v>43283</v>
      </c>
      <c r="BF324" s="5">
        <v>43262</v>
      </c>
      <c r="BG324" s="38">
        <f t="shared" si="9"/>
        <v>246900.86</v>
      </c>
      <c r="BH324" s="64">
        <v>43263</v>
      </c>
      <c r="BI324" s="111"/>
      <c r="BJ324" s="5"/>
      <c r="BK324" s="5"/>
      <c r="BL324" s="54"/>
      <c r="BM324" s="54"/>
      <c r="BN324" s="54"/>
      <c r="BO324" s="54"/>
      <c r="BP324" s="54"/>
      <c r="BQ324" s="54"/>
      <c r="BR324" s="54"/>
      <c r="BS324" s="55"/>
      <c r="BT324" s="14"/>
      <c r="BU324" s="14"/>
      <c r="BV324" s="14"/>
      <c r="BW324" s="14"/>
      <c r="BX324" s="14"/>
      <c r="BY324" s="1432" t="s">
        <v>1567</v>
      </c>
      <c r="BZ324" s="356" t="s">
        <v>459</v>
      </c>
      <c r="CA324" s="582"/>
      <c r="CB324" s="582"/>
      <c r="CC324" s="582"/>
      <c r="CD324" s="582"/>
      <c r="CE324" s="582"/>
      <c r="CF324" s="582"/>
      <c r="CG324" s="582"/>
      <c r="CH324" s="16"/>
    </row>
    <row r="325" spans="2:86" customFormat="1" ht="117.75" hidden="1" customHeight="1">
      <c r="B325" s="23"/>
      <c r="C325" s="23" t="s">
        <v>969</v>
      </c>
      <c r="D325" s="23"/>
      <c r="E325" s="335" t="s">
        <v>68</v>
      </c>
      <c r="F325" s="335"/>
      <c r="G325" s="1055">
        <v>43382</v>
      </c>
      <c r="H325" s="365">
        <v>43389</v>
      </c>
      <c r="I325" s="17">
        <v>2018</v>
      </c>
      <c r="J325" s="1678">
        <v>186.12</v>
      </c>
      <c r="K325" s="183" t="s">
        <v>64</v>
      </c>
      <c r="L325" s="191" t="s">
        <v>1049</v>
      </c>
      <c r="M325" s="185" t="s">
        <v>79</v>
      </c>
      <c r="N325" s="495" t="s">
        <v>1050</v>
      </c>
      <c r="O325" s="495" t="s">
        <v>2574</v>
      </c>
      <c r="P325" s="187">
        <v>724057.5</v>
      </c>
      <c r="Q325" s="656">
        <v>43304</v>
      </c>
      <c r="R325" s="686">
        <v>43306</v>
      </c>
      <c r="S325" s="687">
        <v>43342</v>
      </c>
      <c r="T325" s="70">
        <v>43271</v>
      </c>
      <c r="U325" s="739" t="s">
        <v>1051</v>
      </c>
      <c r="V325" s="183" t="s">
        <v>114</v>
      </c>
      <c r="W325" s="659" t="s">
        <v>68</v>
      </c>
      <c r="X325" s="1626"/>
      <c r="Y325" s="491" t="s">
        <v>1052</v>
      </c>
      <c r="Z325" s="9">
        <v>43166</v>
      </c>
      <c r="AA325" s="4">
        <v>724057.5</v>
      </c>
      <c r="AB325" s="4"/>
      <c r="AC325" s="34"/>
      <c r="AD325" s="36" t="s">
        <v>68</v>
      </c>
      <c r="AE325" s="119" t="s">
        <v>68</v>
      </c>
      <c r="AF325" s="119" t="s">
        <v>68</v>
      </c>
      <c r="AG325" s="7" t="s">
        <v>68</v>
      </c>
      <c r="AH325" s="116" t="s">
        <v>68</v>
      </c>
      <c r="AI325" s="35" t="s">
        <v>589</v>
      </c>
      <c r="AJ325" s="1" t="s">
        <v>68</v>
      </c>
      <c r="AK325" s="5"/>
      <c r="AL325" s="1">
        <v>1936119</v>
      </c>
      <c r="AM325" s="5">
        <v>43304</v>
      </c>
      <c r="AN325" s="71">
        <v>1945746</v>
      </c>
      <c r="AO325" s="5">
        <v>43343</v>
      </c>
      <c r="AP325" s="306">
        <f>72406.75+72403.69</f>
        <v>144810.44</v>
      </c>
      <c r="AQ325" s="37">
        <v>0</v>
      </c>
      <c r="AR325" s="1031">
        <v>724036.92</v>
      </c>
      <c r="AS325" s="1061">
        <v>725534.3</v>
      </c>
      <c r="AT325" s="359">
        <v>43307</v>
      </c>
      <c r="AU325" s="12">
        <v>43342</v>
      </c>
      <c r="AV325" s="243" t="s">
        <v>68</v>
      </c>
      <c r="AW325" s="54" t="s">
        <v>68</v>
      </c>
      <c r="AX325" s="75">
        <v>43343</v>
      </c>
      <c r="AY325" s="5">
        <v>43306</v>
      </c>
      <c r="AZ325" s="5">
        <v>43342</v>
      </c>
      <c r="BA325" s="12">
        <v>43342</v>
      </c>
      <c r="BB325" s="625">
        <v>43343</v>
      </c>
      <c r="BC325" s="1954"/>
      <c r="BD325" s="76">
        <v>43306</v>
      </c>
      <c r="BE325" s="76">
        <v>43342</v>
      </c>
      <c r="BF325" s="76">
        <v>43342</v>
      </c>
      <c r="BG325" s="136">
        <f t="shared" si="9"/>
        <v>724036.92</v>
      </c>
      <c r="BH325" s="64">
        <v>43321</v>
      </c>
      <c r="BI325" s="773"/>
      <c r="BJ325" s="521"/>
      <c r="BK325" s="521"/>
      <c r="BL325" s="1014"/>
      <c r="BM325" s="1014"/>
      <c r="BN325" s="1014"/>
      <c r="BO325" s="1014"/>
      <c r="BP325" s="54">
        <v>43342</v>
      </c>
      <c r="BQ325" s="54"/>
      <c r="BR325" s="54"/>
      <c r="BS325" s="55"/>
      <c r="BT325" s="14"/>
      <c r="BU325" s="14"/>
      <c r="BV325" s="14"/>
      <c r="BW325" s="14"/>
      <c r="BX325" s="14"/>
      <c r="BY325" s="1432" t="s">
        <v>1567</v>
      </c>
      <c r="BZ325" s="356" t="s">
        <v>459</v>
      </c>
      <c r="CA325" s="582"/>
      <c r="CB325" s="582"/>
      <c r="CC325" s="582"/>
      <c r="CD325" s="582"/>
      <c r="CE325" s="582"/>
      <c r="CF325" s="582"/>
      <c r="CG325" s="582"/>
      <c r="CH325" s="16"/>
    </row>
    <row r="326" spans="2:86" customFormat="1" ht="102.75" hidden="1" customHeight="1">
      <c r="B326" s="23"/>
      <c r="C326" s="23" t="s">
        <v>969</v>
      </c>
      <c r="D326" s="23"/>
      <c r="E326" s="335" t="s">
        <v>68</v>
      </c>
      <c r="F326" s="335"/>
      <c r="G326" s="1055">
        <v>43530</v>
      </c>
      <c r="H326" s="365">
        <v>43389</v>
      </c>
      <c r="I326" s="17">
        <v>2018</v>
      </c>
      <c r="J326" s="1678">
        <v>186.13</v>
      </c>
      <c r="K326" s="183" t="s">
        <v>64</v>
      </c>
      <c r="L326" s="191" t="s">
        <v>1053</v>
      </c>
      <c r="M326" s="185" t="s">
        <v>615</v>
      </c>
      <c r="N326" s="186" t="s">
        <v>1054</v>
      </c>
      <c r="O326" s="186"/>
      <c r="P326" s="187">
        <v>2197542.15</v>
      </c>
      <c r="Q326" s="657">
        <v>43240</v>
      </c>
      <c r="R326" s="189">
        <v>43248</v>
      </c>
      <c r="S326" s="190">
        <v>43288</v>
      </c>
      <c r="T326" s="659" t="s">
        <v>68</v>
      </c>
      <c r="U326" s="191" t="s">
        <v>739</v>
      </c>
      <c r="V326" s="183" t="s">
        <v>709</v>
      </c>
      <c r="W326" s="659" t="s">
        <v>68</v>
      </c>
      <c r="X326" s="1626"/>
      <c r="Y326" s="491" t="s">
        <v>1040</v>
      </c>
      <c r="Z326" s="9">
        <v>43166</v>
      </c>
      <c r="AA326" s="4">
        <v>2724218.37</v>
      </c>
      <c r="AB326" s="4"/>
      <c r="AC326" s="34"/>
      <c r="AD326" s="745">
        <v>43192</v>
      </c>
      <c r="AE326" s="696">
        <v>43200</v>
      </c>
      <c r="AF326" s="696">
        <v>43200</v>
      </c>
      <c r="AG326" s="696">
        <v>43203</v>
      </c>
      <c r="AH326" s="696">
        <v>43207</v>
      </c>
      <c r="AI326" s="491" t="s">
        <v>787</v>
      </c>
      <c r="AJ326" s="1">
        <v>2206597</v>
      </c>
      <c r="AK326" s="5">
        <v>43241</v>
      </c>
      <c r="AL326" s="71">
        <v>2206623</v>
      </c>
      <c r="AM326" s="5">
        <v>43241</v>
      </c>
      <c r="AN326" s="71">
        <v>2244864</v>
      </c>
      <c r="AO326" s="5">
        <v>43355</v>
      </c>
      <c r="AP326" s="306">
        <f>549385.53+219754.21+219754.21</f>
        <v>988893.95</v>
      </c>
      <c r="AQ326" s="37">
        <v>0</v>
      </c>
      <c r="AR326" s="1032">
        <v>2197543.2200000002</v>
      </c>
      <c r="AS326" s="1019">
        <v>2197543.69</v>
      </c>
      <c r="AT326" s="375">
        <v>43249</v>
      </c>
      <c r="AU326" s="12">
        <v>43287</v>
      </c>
      <c r="AV326" s="243" t="s">
        <v>68</v>
      </c>
      <c r="AW326" s="54" t="s">
        <v>68</v>
      </c>
      <c r="AX326" s="375">
        <v>43290</v>
      </c>
      <c r="AY326" s="5">
        <v>43248</v>
      </c>
      <c r="AZ326" s="5">
        <v>43288</v>
      </c>
      <c r="BA326" s="12">
        <v>43288</v>
      </c>
      <c r="BB326" s="375">
        <v>43290</v>
      </c>
      <c r="BC326" s="1952"/>
      <c r="BD326" s="76">
        <v>43245</v>
      </c>
      <c r="BE326" s="76">
        <v>43288</v>
      </c>
      <c r="BF326" s="76">
        <v>43288</v>
      </c>
      <c r="BG326" s="136">
        <f t="shared" si="9"/>
        <v>2197543.2200000002</v>
      </c>
      <c r="BH326" s="216">
        <v>43290</v>
      </c>
      <c r="BI326" s="773"/>
      <c r="BJ326" s="255">
        <v>43248</v>
      </c>
      <c r="BK326" s="255">
        <v>43657</v>
      </c>
      <c r="BL326" s="246"/>
      <c r="BM326" s="246"/>
      <c r="BN326" s="246"/>
      <c r="BO326" s="246"/>
      <c r="BP326" s="246">
        <v>43287</v>
      </c>
      <c r="BQ326" s="246"/>
      <c r="BR326" s="246"/>
      <c r="BS326" s="758" t="s">
        <v>68</v>
      </c>
      <c r="BT326" s="14"/>
      <c r="BU326" s="14"/>
      <c r="BV326" s="14"/>
      <c r="BW326" s="14"/>
      <c r="BX326" s="14"/>
      <c r="BY326" s="1432" t="s">
        <v>1567</v>
      </c>
      <c r="BZ326" s="356" t="s">
        <v>459</v>
      </c>
      <c r="CA326" s="582"/>
      <c r="CB326" s="582"/>
      <c r="CC326" s="582"/>
      <c r="CD326" s="582"/>
      <c r="CE326" s="582"/>
      <c r="CF326" s="582"/>
      <c r="CG326" s="582"/>
      <c r="CH326" s="16"/>
    </row>
    <row r="327" spans="2:86" s="1241" customFormat="1" ht="123.75" hidden="1" customHeight="1">
      <c r="B327" s="1242"/>
      <c r="C327" s="1242"/>
      <c r="D327" s="1242"/>
      <c r="E327" s="1242" t="e">
        <f>E326+1</f>
        <v>#VALUE!</v>
      </c>
      <c r="F327" s="1242"/>
      <c r="G327" s="610"/>
      <c r="H327" s="700"/>
      <c r="I327" s="588">
        <v>2018</v>
      </c>
      <c r="J327" s="1683">
        <v>186.14</v>
      </c>
      <c r="K327" s="1245" t="s">
        <v>808</v>
      </c>
      <c r="L327" s="1767" t="s">
        <v>1055</v>
      </c>
      <c r="M327" s="904" t="s">
        <v>251</v>
      </c>
      <c r="N327" s="1247" t="s">
        <v>1056</v>
      </c>
      <c r="O327" s="1247"/>
      <c r="P327" s="1248">
        <v>989000</v>
      </c>
      <c r="Q327" s="1249">
        <v>43251</v>
      </c>
      <c r="R327" s="1250">
        <v>43252</v>
      </c>
      <c r="S327" s="1251">
        <v>43301</v>
      </c>
      <c r="T327" s="1252" t="s">
        <v>68</v>
      </c>
      <c r="U327" s="1246" t="s">
        <v>739</v>
      </c>
      <c r="V327" s="1245" t="s">
        <v>449</v>
      </c>
      <c r="W327" s="1253" t="s">
        <v>74</v>
      </c>
      <c r="X327" s="1630"/>
      <c r="Y327" s="340" t="s">
        <v>990</v>
      </c>
      <c r="Z327" s="1254">
        <v>43166</v>
      </c>
      <c r="AA327" s="1255">
        <v>1000000</v>
      </c>
      <c r="AB327" s="1255"/>
      <c r="AC327" s="1256"/>
      <c r="AD327" s="1768" t="s">
        <v>74</v>
      </c>
      <c r="AE327" s="1258"/>
      <c r="AF327" s="1258"/>
      <c r="AG327" s="1259"/>
      <c r="AH327" s="1260"/>
      <c r="AI327" s="340" t="s">
        <v>787</v>
      </c>
      <c r="AJ327" s="1261">
        <v>2213904</v>
      </c>
      <c r="AK327" s="1262">
        <v>43251</v>
      </c>
      <c r="AL327" s="1261">
        <v>2213910</v>
      </c>
      <c r="AM327" s="1262">
        <v>43251</v>
      </c>
      <c r="AN327" s="1261"/>
      <c r="AO327" s="1261"/>
      <c r="AP327" s="1263">
        <f>247250+98900</f>
        <v>346150</v>
      </c>
      <c r="AQ327" s="1264">
        <v>0</v>
      </c>
      <c r="AR327" s="1265"/>
      <c r="AS327" s="1266"/>
      <c r="AT327" s="1765" t="s">
        <v>74</v>
      </c>
      <c r="AU327" s="1268"/>
      <c r="AV327" s="1269" t="s">
        <v>68</v>
      </c>
      <c r="AW327" s="1270" t="s">
        <v>68</v>
      </c>
      <c r="AX327" s="1765" t="s">
        <v>74</v>
      </c>
      <c r="AY327" s="1261"/>
      <c r="AZ327" s="1261"/>
      <c r="BA327" s="1271"/>
      <c r="BB327" s="1765" t="s">
        <v>74</v>
      </c>
      <c r="BC327" s="1961"/>
      <c r="BD327" s="1262"/>
      <c r="BE327" s="1262"/>
      <c r="BF327" s="1262"/>
      <c r="BG327" s="1272">
        <f t="shared" si="9"/>
        <v>0</v>
      </c>
      <c r="BH327" s="1748"/>
      <c r="BI327" s="1252"/>
      <c r="BJ327" s="1262"/>
      <c r="BK327" s="1262"/>
      <c r="BL327" s="1270"/>
      <c r="BM327" s="1270"/>
      <c r="BN327" s="1270"/>
      <c r="BO327" s="1270"/>
      <c r="BP327" s="1270"/>
      <c r="BQ327" s="1270"/>
      <c r="BR327" s="1270"/>
      <c r="BS327" s="1758"/>
      <c r="BT327" s="1273"/>
      <c r="BU327" s="1273"/>
      <c r="BV327" s="1273"/>
      <c r="BW327" s="1273"/>
      <c r="BX327" s="1273"/>
      <c r="BY327" s="1760" t="s">
        <v>1567</v>
      </c>
      <c r="BZ327" s="133" t="s">
        <v>478</v>
      </c>
      <c r="CA327" s="903"/>
      <c r="CB327" s="903"/>
      <c r="CC327" s="903"/>
      <c r="CD327" s="903"/>
      <c r="CE327" s="903"/>
      <c r="CF327" s="903"/>
      <c r="CG327" s="903"/>
      <c r="CH327" s="1277"/>
    </row>
    <row r="328" spans="2:86" customFormat="1" ht="99" hidden="1" customHeight="1">
      <c r="B328" s="23"/>
      <c r="C328" s="23"/>
      <c r="D328" s="23"/>
      <c r="E328" s="335" t="s">
        <v>68</v>
      </c>
      <c r="F328" s="335"/>
      <c r="G328" s="1055">
        <v>43356</v>
      </c>
      <c r="H328" s="365">
        <v>43325</v>
      </c>
      <c r="I328" s="17">
        <v>2018</v>
      </c>
      <c r="J328" s="1678">
        <v>186.15</v>
      </c>
      <c r="K328" s="183" t="s">
        <v>77</v>
      </c>
      <c r="L328" s="1135" t="s">
        <v>1057</v>
      </c>
      <c r="M328" s="185" t="s">
        <v>79</v>
      </c>
      <c r="N328" s="186" t="s">
        <v>1058</v>
      </c>
      <c r="O328" s="186" t="s">
        <v>4458</v>
      </c>
      <c r="P328" s="187">
        <v>398019.86</v>
      </c>
      <c r="Q328" s="656">
        <v>43255</v>
      </c>
      <c r="R328" s="686">
        <v>43257</v>
      </c>
      <c r="S328" s="687">
        <v>43322</v>
      </c>
      <c r="T328" s="70">
        <v>43252</v>
      </c>
      <c r="U328" s="734" t="s">
        <v>1028</v>
      </c>
      <c r="V328" s="735" t="s">
        <v>984</v>
      </c>
      <c r="W328" s="685">
        <v>43252</v>
      </c>
      <c r="X328" s="1625"/>
      <c r="Y328" s="491" t="s">
        <v>1059</v>
      </c>
      <c r="Z328" s="9">
        <v>43207</v>
      </c>
      <c r="AA328" s="4">
        <v>563441.05000000005</v>
      </c>
      <c r="AB328" s="4"/>
      <c r="AC328" s="34"/>
      <c r="AD328" s="36" t="s">
        <v>68</v>
      </c>
      <c r="AE328" s="119" t="s">
        <v>68</v>
      </c>
      <c r="AF328" s="119" t="s">
        <v>68</v>
      </c>
      <c r="AG328" s="7" t="s">
        <v>68</v>
      </c>
      <c r="AH328" s="116" t="s">
        <v>68</v>
      </c>
      <c r="AI328" s="491" t="s">
        <v>1030</v>
      </c>
      <c r="AJ328" s="1" t="s">
        <v>68</v>
      </c>
      <c r="AK328" s="5"/>
      <c r="AL328" s="1">
        <v>998146</v>
      </c>
      <c r="AM328" s="5">
        <v>43255</v>
      </c>
      <c r="AN328" s="202" t="s">
        <v>1060</v>
      </c>
      <c r="AO328" s="5">
        <v>43322</v>
      </c>
      <c r="AP328" s="306">
        <f>39801.98+38739.49</f>
        <v>78541.47</v>
      </c>
      <c r="AQ328" s="37">
        <v>0</v>
      </c>
      <c r="AR328" s="1032">
        <v>387394.93</v>
      </c>
      <c r="AS328" s="1019">
        <v>387394.93</v>
      </c>
      <c r="AT328" s="375">
        <v>43262</v>
      </c>
      <c r="AU328" s="12">
        <v>43322</v>
      </c>
      <c r="AV328" s="243" t="s">
        <v>68</v>
      </c>
      <c r="AW328" s="54" t="s">
        <v>68</v>
      </c>
      <c r="AX328" s="375">
        <v>43322</v>
      </c>
      <c r="AY328" s="76">
        <v>43257</v>
      </c>
      <c r="AZ328" s="5">
        <v>43322</v>
      </c>
      <c r="BA328" s="12">
        <v>43322</v>
      </c>
      <c r="BB328" s="375">
        <v>43322</v>
      </c>
      <c r="BC328" s="1952"/>
      <c r="BD328" s="5">
        <v>43257</v>
      </c>
      <c r="BE328" s="5">
        <v>43322</v>
      </c>
      <c r="BF328" s="5">
        <v>43322</v>
      </c>
      <c r="BG328" s="38">
        <f t="shared" si="9"/>
        <v>387394.93</v>
      </c>
      <c r="BH328" s="216">
        <v>43326</v>
      </c>
      <c r="BI328" s="578"/>
      <c r="BJ328" s="255"/>
      <c r="BK328" s="255"/>
      <c r="BL328" s="246"/>
      <c r="BM328" s="246"/>
      <c r="BN328" s="246"/>
      <c r="BO328" s="246"/>
      <c r="BP328" s="246"/>
      <c r="BQ328" s="246"/>
      <c r="BR328" s="246"/>
      <c r="BS328" s="758"/>
      <c r="BT328" s="14"/>
      <c r="BU328" s="14"/>
      <c r="BV328" s="14"/>
      <c r="BW328" s="14"/>
      <c r="BX328" s="14"/>
      <c r="BY328" s="1432" t="s">
        <v>1567</v>
      </c>
      <c r="BZ328" s="649" t="s">
        <v>454</v>
      </c>
      <c r="CA328" s="582"/>
      <c r="CB328" s="582"/>
      <c r="CC328" s="582"/>
      <c r="CD328" s="582"/>
      <c r="CE328" s="582"/>
      <c r="CF328" s="582"/>
      <c r="CG328" s="582"/>
      <c r="CH328" s="16"/>
    </row>
    <row r="329" spans="2:86" customFormat="1" ht="84.75" hidden="1" customHeight="1">
      <c r="B329" s="23"/>
      <c r="C329" s="23" t="s">
        <v>969</v>
      </c>
      <c r="D329" s="23"/>
      <c r="E329" s="335" t="s">
        <v>68</v>
      </c>
      <c r="F329" s="335"/>
      <c r="G329" s="1055">
        <v>43362</v>
      </c>
      <c r="H329" s="365">
        <v>43389</v>
      </c>
      <c r="I329" s="17">
        <v>2018</v>
      </c>
      <c r="J329" s="1678">
        <v>186.16</v>
      </c>
      <c r="K329" s="183" t="s">
        <v>166</v>
      </c>
      <c r="L329" s="191" t="s">
        <v>1061</v>
      </c>
      <c r="M329" s="185" t="s">
        <v>79</v>
      </c>
      <c r="N329" s="186" t="s">
        <v>1062</v>
      </c>
      <c r="O329" s="186" t="s">
        <v>1979</v>
      </c>
      <c r="P329" s="187">
        <v>816694.91</v>
      </c>
      <c r="Q329" s="656">
        <v>43102</v>
      </c>
      <c r="R329" s="686">
        <v>43104</v>
      </c>
      <c r="S329" s="687">
        <v>43120</v>
      </c>
      <c r="T329" s="70">
        <v>43102</v>
      </c>
      <c r="U329" s="191" t="s">
        <v>925</v>
      </c>
      <c r="V329" s="183" t="s">
        <v>709</v>
      </c>
      <c r="W329" s="505" t="s">
        <v>68</v>
      </c>
      <c r="X329" s="1623"/>
      <c r="Y329" s="491" t="s">
        <v>1063</v>
      </c>
      <c r="Z329" s="9">
        <v>43256</v>
      </c>
      <c r="AA329" s="4">
        <v>816694.91</v>
      </c>
      <c r="AB329" s="4"/>
      <c r="AC329" s="34"/>
      <c r="AD329" s="36" t="s">
        <v>68</v>
      </c>
      <c r="AE329" s="119" t="s">
        <v>68</v>
      </c>
      <c r="AF329" s="119" t="s">
        <v>68</v>
      </c>
      <c r="AG329" s="7" t="s">
        <v>68</v>
      </c>
      <c r="AH329" s="116" t="s">
        <v>68</v>
      </c>
      <c r="AI329" s="491" t="s">
        <v>107</v>
      </c>
      <c r="AJ329" s="1" t="s">
        <v>68</v>
      </c>
      <c r="AK329" s="5"/>
      <c r="AL329" s="1" t="s">
        <v>1064</v>
      </c>
      <c r="AM329" s="5">
        <v>43103</v>
      </c>
      <c r="AN329" s="1" t="s">
        <v>1065</v>
      </c>
      <c r="AO329" s="5">
        <v>43122</v>
      </c>
      <c r="AP329" s="306">
        <f>81669.49+81028.91</f>
        <v>162698.40000000002</v>
      </c>
      <c r="AQ329" s="37">
        <v>0</v>
      </c>
      <c r="AR329" s="1032">
        <v>810289.17</v>
      </c>
      <c r="AS329" s="1019">
        <v>810289.17</v>
      </c>
      <c r="AT329" s="373" t="s">
        <v>74</v>
      </c>
      <c r="AU329" s="12"/>
      <c r="AV329" s="243" t="s">
        <v>68</v>
      </c>
      <c r="AW329" s="54" t="s">
        <v>68</v>
      </c>
      <c r="AX329" s="375">
        <v>43122</v>
      </c>
      <c r="AY329" s="76">
        <v>43104</v>
      </c>
      <c r="AZ329" s="76">
        <v>43120</v>
      </c>
      <c r="BA329" s="134">
        <v>43120</v>
      </c>
      <c r="BB329" s="375">
        <v>43122</v>
      </c>
      <c r="BC329" s="1952"/>
      <c r="BD329" s="5">
        <v>43104</v>
      </c>
      <c r="BE329" s="5">
        <v>43120</v>
      </c>
      <c r="BF329" s="5">
        <v>43120</v>
      </c>
      <c r="BG329" s="38">
        <f t="shared" si="9"/>
        <v>810289.17</v>
      </c>
      <c r="BH329" s="711">
        <v>43122</v>
      </c>
      <c r="BI329" s="70"/>
      <c r="BJ329" s="76"/>
      <c r="BK329" s="76"/>
      <c r="BL329" s="378"/>
      <c r="BM329" s="378"/>
      <c r="BN329" s="378"/>
      <c r="BO329" s="378"/>
      <c r="BP329" s="378"/>
      <c r="BQ329" s="378"/>
      <c r="BR329" s="378"/>
      <c r="BS329" s="383"/>
      <c r="BT329" s="14"/>
      <c r="BU329" s="14"/>
      <c r="BV329" s="14"/>
      <c r="BW329" s="14"/>
      <c r="BX329" s="14"/>
      <c r="BY329" s="1432" t="s">
        <v>1567</v>
      </c>
      <c r="BZ329" s="356" t="s">
        <v>459</v>
      </c>
      <c r="CA329" s="582"/>
      <c r="CB329" s="582"/>
      <c r="CC329" s="582"/>
      <c r="CD329" s="582"/>
      <c r="CE329" s="582"/>
      <c r="CF329" s="582"/>
      <c r="CG329" s="582"/>
      <c r="CH329" s="16"/>
    </row>
    <row r="330" spans="2:86" customFormat="1" ht="81.75" hidden="1" customHeight="1">
      <c r="B330" s="23"/>
      <c r="C330" s="23" t="s">
        <v>969</v>
      </c>
      <c r="D330" s="23"/>
      <c r="E330" s="335" t="s">
        <v>68</v>
      </c>
      <c r="F330" s="335"/>
      <c r="G330" s="1055">
        <v>43362</v>
      </c>
      <c r="H330" s="365">
        <v>43389</v>
      </c>
      <c r="I330" s="17">
        <v>2018</v>
      </c>
      <c r="J330" s="1678">
        <v>186.17</v>
      </c>
      <c r="K330" s="183" t="s">
        <v>166</v>
      </c>
      <c r="L330" s="191" t="s">
        <v>1066</v>
      </c>
      <c r="M330" s="185" t="s">
        <v>79</v>
      </c>
      <c r="N330" s="186" t="s">
        <v>1067</v>
      </c>
      <c r="O330" s="186" t="s">
        <v>1979</v>
      </c>
      <c r="P330" s="187">
        <v>1079507.02</v>
      </c>
      <c r="Q330" s="656">
        <v>43116</v>
      </c>
      <c r="R330" s="686">
        <v>43117</v>
      </c>
      <c r="S330" s="687">
        <v>43155</v>
      </c>
      <c r="T330" s="70">
        <v>43115</v>
      </c>
      <c r="U330" s="123" t="s">
        <v>199</v>
      </c>
      <c r="V330" s="183" t="s">
        <v>709</v>
      </c>
      <c r="W330" s="505" t="s">
        <v>68</v>
      </c>
      <c r="X330" s="1623"/>
      <c r="Y330" s="491" t="s">
        <v>1068</v>
      </c>
      <c r="Z330" s="9">
        <v>43256</v>
      </c>
      <c r="AA330" s="4">
        <v>1079507.02</v>
      </c>
      <c r="AB330" s="4"/>
      <c r="AC330" s="34"/>
      <c r="AD330" s="36" t="s">
        <v>68</v>
      </c>
      <c r="AE330" s="119" t="s">
        <v>68</v>
      </c>
      <c r="AF330" s="119" t="s">
        <v>68</v>
      </c>
      <c r="AG330" s="7" t="s">
        <v>68</v>
      </c>
      <c r="AH330" s="116" t="s">
        <v>68</v>
      </c>
      <c r="AI330" s="491" t="s">
        <v>107</v>
      </c>
      <c r="AJ330" s="1" t="s">
        <v>68</v>
      </c>
      <c r="AK330" s="5"/>
      <c r="AL330" s="1" t="s">
        <v>1069</v>
      </c>
      <c r="AM330" s="5">
        <v>43116</v>
      </c>
      <c r="AN330" s="1" t="s">
        <v>1070</v>
      </c>
      <c r="AO330" s="5">
        <v>43146</v>
      </c>
      <c r="AP330" s="306">
        <f>107950.7+107950.31</f>
        <v>215901.01</v>
      </c>
      <c r="AQ330" s="37">
        <v>0</v>
      </c>
      <c r="AR330" s="1032">
        <v>1079503.1100000001</v>
      </c>
      <c r="AS330" s="1019">
        <v>1079503.1100000001</v>
      </c>
      <c r="AT330" s="373" t="s">
        <v>74</v>
      </c>
      <c r="AU330" s="12"/>
      <c r="AV330" s="243" t="s">
        <v>68</v>
      </c>
      <c r="AW330" s="54" t="s">
        <v>68</v>
      </c>
      <c r="AX330" s="375">
        <v>43157</v>
      </c>
      <c r="AY330" s="5">
        <v>43117</v>
      </c>
      <c r="AZ330" s="5">
        <v>43155</v>
      </c>
      <c r="BA330" s="12">
        <v>43154</v>
      </c>
      <c r="BB330" s="375">
        <v>43157</v>
      </c>
      <c r="BC330" s="1952"/>
      <c r="BD330" s="76">
        <v>43117</v>
      </c>
      <c r="BE330" s="76">
        <v>43155</v>
      </c>
      <c r="BF330" s="76">
        <v>43154</v>
      </c>
      <c r="BG330" s="136">
        <f t="shared" si="9"/>
        <v>1079503.1100000001</v>
      </c>
      <c r="BH330" s="711">
        <v>43157</v>
      </c>
      <c r="BI330" s="773"/>
      <c r="BJ330" s="521"/>
      <c r="BK330" s="521"/>
      <c r="BL330" s="1014"/>
      <c r="BM330" s="1014"/>
      <c r="BN330" s="1014"/>
      <c r="BO330" s="1014"/>
      <c r="BP330" s="1014"/>
      <c r="BQ330" s="1014"/>
      <c r="BR330" s="1014"/>
      <c r="BS330" s="792"/>
      <c r="BT330" s="14"/>
      <c r="BU330" s="14"/>
      <c r="BV330" s="14"/>
      <c r="BW330" s="14"/>
      <c r="BX330" s="14"/>
      <c r="BY330" s="1432" t="s">
        <v>1567</v>
      </c>
      <c r="BZ330" s="356" t="s">
        <v>459</v>
      </c>
      <c r="CA330" s="582"/>
      <c r="CB330" s="582"/>
      <c r="CC330" s="582"/>
      <c r="CD330" s="582"/>
      <c r="CE330" s="582"/>
      <c r="CF330" s="582"/>
      <c r="CG330" s="582"/>
      <c r="CH330" s="16"/>
    </row>
    <row r="331" spans="2:86" customFormat="1" ht="81" hidden="1" customHeight="1">
      <c r="B331" s="23"/>
      <c r="C331" s="23" t="s">
        <v>969</v>
      </c>
      <c r="D331" s="23"/>
      <c r="E331" s="335" t="s">
        <v>68</v>
      </c>
      <c r="F331" s="335"/>
      <c r="G331" s="1055">
        <v>43362</v>
      </c>
      <c r="H331" s="365">
        <v>43389</v>
      </c>
      <c r="I331" s="17">
        <v>2018</v>
      </c>
      <c r="J331" s="1678">
        <v>186.18</v>
      </c>
      <c r="K331" s="183" t="s">
        <v>166</v>
      </c>
      <c r="L331" s="191" t="s">
        <v>1071</v>
      </c>
      <c r="M331" s="185" t="s">
        <v>79</v>
      </c>
      <c r="N331" s="186" t="s">
        <v>1072</v>
      </c>
      <c r="O331" s="186" t="s">
        <v>1979</v>
      </c>
      <c r="P331" s="187">
        <v>550277.97</v>
      </c>
      <c r="Q331" s="656">
        <v>43123</v>
      </c>
      <c r="R331" s="686">
        <v>43157</v>
      </c>
      <c r="S331" s="687">
        <v>43169</v>
      </c>
      <c r="T331" s="70">
        <v>43153</v>
      </c>
      <c r="U331" s="191" t="s">
        <v>925</v>
      </c>
      <c r="V331" s="183" t="s">
        <v>709</v>
      </c>
      <c r="W331" s="505" t="s">
        <v>68</v>
      </c>
      <c r="X331" s="1623"/>
      <c r="Y331" s="491" t="s">
        <v>1073</v>
      </c>
      <c r="Z331" s="9">
        <v>43256</v>
      </c>
      <c r="AA331" s="4">
        <v>550277.97</v>
      </c>
      <c r="AB331" s="4"/>
      <c r="AC331" s="34"/>
      <c r="AD331" s="36" t="s">
        <v>68</v>
      </c>
      <c r="AE331" s="119" t="s">
        <v>68</v>
      </c>
      <c r="AF331" s="119" t="s">
        <v>68</v>
      </c>
      <c r="AG331" s="7" t="s">
        <v>68</v>
      </c>
      <c r="AH331" s="116" t="s">
        <v>68</v>
      </c>
      <c r="AI331" s="491" t="s">
        <v>107</v>
      </c>
      <c r="AJ331" s="1" t="s">
        <v>68</v>
      </c>
      <c r="AK331" s="5"/>
      <c r="AL331" s="1" t="s">
        <v>1074</v>
      </c>
      <c r="AM331" s="5">
        <v>43154</v>
      </c>
      <c r="AN331" s="1" t="s">
        <v>1075</v>
      </c>
      <c r="AO331" s="5">
        <v>43169</v>
      </c>
      <c r="AP331" s="306">
        <f>55027.79+40991.79</f>
        <v>96019.58</v>
      </c>
      <c r="AQ331" s="37">
        <v>0</v>
      </c>
      <c r="AR331" s="1032">
        <v>409917.97</v>
      </c>
      <c r="AS331" s="1019">
        <v>409917.97</v>
      </c>
      <c r="AT331" s="373" t="s">
        <v>74</v>
      </c>
      <c r="AU331" s="12"/>
      <c r="AV331" s="243" t="s">
        <v>68</v>
      </c>
      <c r="AW331" s="54" t="s">
        <v>68</v>
      </c>
      <c r="AX331" s="698">
        <v>43159</v>
      </c>
      <c r="AY331" s="5">
        <v>43157</v>
      </c>
      <c r="AZ331" s="5">
        <v>43169</v>
      </c>
      <c r="BA331" s="12">
        <v>43168</v>
      </c>
      <c r="BB331" s="375">
        <v>43171</v>
      </c>
      <c r="BC331" s="1952"/>
      <c r="BD331" s="5">
        <v>43157</v>
      </c>
      <c r="BE331" s="5">
        <v>43169</v>
      </c>
      <c r="BF331" s="5">
        <v>43168</v>
      </c>
      <c r="BG331" s="38">
        <f t="shared" si="9"/>
        <v>409917.97</v>
      </c>
      <c r="BH331" s="216">
        <v>43171</v>
      </c>
      <c r="BI331" s="578"/>
      <c r="BJ331" s="255"/>
      <c r="BK331" s="255"/>
      <c r="BL331" s="246"/>
      <c r="BM331" s="246"/>
      <c r="BN331" s="246"/>
      <c r="BO331" s="246"/>
      <c r="BP331" s="246"/>
      <c r="BQ331" s="246"/>
      <c r="BR331" s="246"/>
      <c r="BS331" s="758"/>
      <c r="BT331" s="14"/>
      <c r="BU331" s="14"/>
      <c r="BV331" s="14"/>
      <c r="BW331" s="14"/>
      <c r="BX331" s="14"/>
      <c r="BY331" s="1432" t="s">
        <v>1567</v>
      </c>
      <c r="BZ331" s="356" t="s">
        <v>459</v>
      </c>
      <c r="CA331" s="582"/>
      <c r="CB331" s="582"/>
      <c r="CC331" s="582"/>
      <c r="CD331" s="582"/>
      <c r="CE331" s="582"/>
      <c r="CF331" s="582"/>
      <c r="CG331" s="582"/>
      <c r="CH331" s="16"/>
    </row>
    <row r="332" spans="2:86" customFormat="1" ht="128.25" hidden="1" customHeight="1">
      <c r="B332" s="23"/>
      <c r="C332" s="23" t="s">
        <v>969</v>
      </c>
      <c r="D332" s="23"/>
      <c r="E332" s="335" t="s">
        <v>68</v>
      </c>
      <c r="F332" s="335"/>
      <c r="G332" s="1055">
        <v>43362</v>
      </c>
      <c r="H332" s="365">
        <v>43389</v>
      </c>
      <c r="I332" s="17">
        <v>2018</v>
      </c>
      <c r="J332" s="1678">
        <v>186.19</v>
      </c>
      <c r="K332" s="183" t="s">
        <v>77</v>
      </c>
      <c r="L332" s="1135" t="s">
        <v>1076</v>
      </c>
      <c r="M332" s="185" t="s">
        <v>79</v>
      </c>
      <c r="N332" s="186" t="s">
        <v>1077</v>
      </c>
      <c r="O332" s="186" t="s">
        <v>1979</v>
      </c>
      <c r="P332" s="187">
        <v>35653.230000000003</v>
      </c>
      <c r="Q332" s="656">
        <v>43105</v>
      </c>
      <c r="R332" s="686">
        <v>43108</v>
      </c>
      <c r="S332" s="687">
        <v>43120</v>
      </c>
      <c r="T332" s="70">
        <v>43104</v>
      </c>
      <c r="U332" s="191" t="s">
        <v>925</v>
      </c>
      <c r="V332" s="183" t="s">
        <v>709</v>
      </c>
      <c r="W332" s="505" t="s">
        <v>74</v>
      </c>
      <c r="X332" s="1623"/>
      <c r="Y332" s="491" t="s">
        <v>1078</v>
      </c>
      <c r="Z332" s="9">
        <v>43256</v>
      </c>
      <c r="AA332" s="4">
        <v>35653.230000000003</v>
      </c>
      <c r="AB332" s="4"/>
      <c r="AC332" s="34"/>
      <c r="AD332" s="36" t="s">
        <v>68</v>
      </c>
      <c r="AE332" s="119" t="s">
        <v>68</v>
      </c>
      <c r="AF332" s="119" t="s">
        <v>68</v>
      </c>
      <c r="AG332" s="7" t="s">
        <v>68</v>
      </c>
      <c r="AH332" s="116" t="s">
        <v>68</v>
      </c>
      <c r="AI332" s="491" t="s">
        <v>107</v>
      </c>
      <c r="AJ332" s="1" t="s">
        <v>68</v>
      </c>
      <c r="AK332" s="5"/>
      <c r="AL332" s="1" t="s">
        <v>1079</v>
      </c>
      <c r="AM332" s="5">
        <v>43105</v>
      </c>
      <c r="AN332" s="1" t="s">
        <v>1080</v>
      </c>
      <c r="AO332" s="5">
        <v>43115</v>
      </c>
      <c r="AP332" s="306">
        <f>3565.32+3565.32</f>
        <v>7130.64</v>
      </c>
      <c r="AQ332" s="37">
        <v>0</v>
      </c>
      <c r="AR332" s="1032">
        <v>35653.230000000003</v>
      </c>
      <c r="AS332" s="1019">
        <v>35653.230000000003</v>
      </c>
      <c r="AT332" s="373" t="s">
        <v>74</v>
      </c>
      <c r="AU332" s="12"/>
      <c r="AV332" s="243" t="s">
        <v>68</v>
      </c>
      <c r="AW332" s="54" t="s">
        <v>68</v>
      </c>
      <c r="AX332" s="375">
        <v>43119</v>
      </c>
      <c r="AY332" s="5">
        <v>43108</v>
      </c>
      <c r="AZ332" s="5">
        <v>43120</v>
      </c>
      <c r="BA332" s="12"/>
      <c r="BB332" s="375">
        <v>43119</v>
      </c>
      <c r="BC332" s="1952"/>
      <c r="BD332" s="5">
        <v>43108</v>
      </c>
      <c r="BE332" s="521">
        <v>43118</v>
      </c>
      <c r="BF332" s="5">
        <v>43118</v>
      </c>
      <c r="BG332" s="38">
        <f t="shared" si="9"/>
        <v>35653.230000000003</v>
      </c>
      <c r="BH332" s="216">
        <v>43160</v>
      </c>
      <c r="BI332" s="578"/>
      <c r="BJ332" s="255"/>
      <c r="BK332" s="255"/>
      <c r="BL332" s="246"/>
      <c r="BM332" s="246"/>
      <c r="BN332" s="246"/>
      <c r="BO332" s="246"/>
      <c r="BP332" s="246"/>
      <c r="BQ332" s="246"/>
      <c r="BR332" s="246"/>
      <c r="BS332" s="758"/>
      <c r="BT332" s="14"/>
      <c r="BU332" s="14"/>
      <c r="BV332" s="14"/>
      <c r="BW332" s="14"/>
      <c r="BX332" s="14"/>
      <c r="BY332" s="1432" t="s">
        <v>1567</v>
      </c>
      <c r="BZ332" s="356" t="s">
        <v>459</v>
      </c>
      <c r="CA332" s="582"/>
      <c r="CB332" s="582"/>
      <c r="CC332" s="582"/>
      <c r="CD332" s="582"/>
      <c r="CE332" s="582"/>
      <c r="CF332" s="582"/>
      <c r="CG332" s="582"/>
      <c r="CH332" s="16"/>
    </row>
    <row r="333" spans="2:86" customFormat="1" ht="95.25" hidden="1" customHeight="1">
      <c r="B333" s="23"/>
      <c r="C333" s="23"/>
      <c r="D333" s="23"/>
      <c r="E333" s="335" t="s">
        <v>68</v>
      </c>
      <c r="F333" s="335"/>
      <c r="G333" s="1055">
        <v>43398</v>
      </c>
      <c r="H333" s="365">
        <v>43409</v>
      </c>
      <c r="I333" s="17">
        <v>2018</v>
      </c>
      <c r="J333" s="1678">
        <v>186.2</v>
      </c>
      <c r="K333" s="183" t="s">
        <v>77</v>
      </c>
      <c r="L333" s="1135" t="s">
        <v>1081</v>
      </c>
      <c r="M333" s="185" t="s">
        <v>79</v>
      </c>
      <c r="N333" s="186" t="s">
        <v>1082</v>
      </c>
      <c r="O333" s="186" t="s">
        <v>4458</v>
      </c>
      <c r="P333" s="187">
        <v>142196.43</v>
      </c>
      <c r="Q333" s="656">
        <v>43258</v>
      </c>
      <c r="R333" s="686">
        <v>43258</v>
      </c>
      <c r="S333" s="687">
        <v>43287</v>
      </c>
      <c r="T333" s="70">
        <v>43257</v>
      </c>
      <c r="U333" s="123" t="s">
        <v>199</v>
      </c>
      <c r="V333" s="716" t="s">
        <v>213</v>
      </c>
      <c r="W333" s="685">
        <v>43255</v>
      </c>
      <c r="X333" s="1625"/>
      <c r="Y333" s="491" t="s">
        <v>1083</v>
      </c>
      <c r="Z333" s="9">
        <v>43256</v>
      </c>
      <c r="AA333" s="4">
        <v>142196.43</v>
      </c>
      <c r="AB333" s="4"/>
      <c r="AC333" s="34"/>
      <c r="AD333" s="36" t="s">
        <v>68</v>
      </c>
      <c r="AE333" s="119" t="s">
        <v>68</v>
      </c>
      <c r="AF333" s="119" t="s">
        <v>68</v>
      </c>
      <c r="AG333" s="7" t="s">
        <v>68</v>
      </c>
      <c r="AH333" s="116" t="s">
        <v>68</v>
      </c>
      <c r="AI333" s="491" t="s">
        <v>1017</v>
      </c>
      <c r="AJ333" s="1" t="s">
        <v>68</v>
      </c>
      <c r="AK333" s="5"/>
      <c r="AL333" s="1" t="s">
        <v>1084</v>
      </c>
      <c r="AM333" s="5">
        <v>43258</v>
      </c>
      <c r="AN333" s="1" t="s">
        <v>1085</v>
      </c>
      <c r="AO333" s="62">
        <v>43287</v>
      </c>
      <c r="AP333" s="306">
        <f>14219.64+14219.64</f>
        <v>28439.279999999999</v>
      </c>
      <c r="AQ333" s="37">
        <v>0</v>
      </c>
      <c r="AR333" s="1039">
        <v>142196.43</v>
      </c>
      <c r="AS333" s="1026"/>
      <c r="AT333" s="375">
        <v>43258</v>
      </c>
      <c r="AU333" s="12">
        <v>43287</v>
      </c>
      <c r="AV333" s="243" t="s">
        <v>68</v>
      </c>
      <c r="AW333" s="54" t="s">
        <v>68</v>
      </c>
      <c r="AX333" s="375">
        <v>43287</v>
      </c>
      <c r="AY333" s="76">
        <v>43258</v>
      </c>
      <c r="AZ333" s="76">
        <v>43287</v>
      </c>
      <c r="BA333" s="988">
        <v>43287</v>
      </c>
      <c r="BB333" s="375">
        <v>43287</v>
      </c>
      <c r="BC333" s="1952"/>
      <c r="BD333" s="76">
        <v>43258</v>
      </c>
      <c r="BE333" s="76">
        <v>43287</v>
      </c>
      <c r="BF333" s="76">
        <v>43286</v>
      </c>
      <c r="BG333" s="136">
        <f t="shared" si="9"/>
        <v>142196.43</v>
      </c>
      <c r="BH333" s="711">
        <v>43287</v>
      </c>
      <c r="BI333" s="773"/>
      <c r="BJ333" s="521"/>
      <c r="BK333" s="255">
        <v>43287</v>
      </c>
      <c r="BL333" s="255"/>
      <c r="BM333" s="255"/>
      <c r="BN333" s="255"/>
      <c r="BO333" s="255"/>
      <c r="BP333" s="521"/>
      <c r="BQ333" s="1014"/>
      <c r="BR333" s="1014"/>
      <c r="BS333" s="792"/>
      <c r="BT333" s="14"/>
      <c r="BU333" s="14"/>
      <c r="BV333" s="14"/>
      <c r="BW333" s="14"/>
      <c r="BX333" s="14"/>
      <c r="BY333" s="1432" t="s">
        <v>1567</v>
      </c>
      <c r="BZ333" s="649" t="s">
        <v>454</v>
      </c>
      <c r="CA333" s="582"/>
      <c r="CB333" s="582"/>
      <c r="CC333" s="582"/>
      <c r="CD333" s="582"/>
      <c r="CE333" s="582"/>
      <c r="CF333" s="582"/>
      <c r="CG333" s="582"/>
      <c r="CH333" s="16"/>
    </row>
    <row r="334" spans="2:86" customFormat="1" ht="66.75" hidden="1" customHeight="1">
      <c r="B334" s="23"/>
      <c r="C334" s="23"/>
      <c r="D334" s="23"/>
      <c r="E334" s="335" t="s">
        <v>68</v>
      </c>
      <c r="F334" s="335"/>
      <c r="G334" s="1055">
        <v>43432</v>
      </c>
      <c r="H334" s="365">
        <v>43389</v>
      </c>
      <c r="I334" s="17">
        <v>2018</v>
      </c>
      <c r="J334" s="1678">
        <v>186.21</v>
      </c>
      <c r="K334" s="183" t="s">
        <v>77</v>
      </c>
      <c r="L334" s="1135" t="s">
        <v>1086</v>
      </c>
      <c r="M334" s="185" t="s">
        <v>79</v>
      </c>
      <c r="N334" s="186" t="s">
        <v>1087</v>
      </c>
      <c r="O334" s="186" t="s">
        <v>4458</v>
      </c>
      <c r="P334" s="187">
        <v>32872.07</v>
      </c>
      <c r="Q334" s="656">
        <v>43258</v>
      </c>
      <c r="R334" s="686">
        <v>43262</v>
      </c>
      <c r="S334" s="687">
        <v>43267</v>
      </c>
      <c r="T334" s="70">
        <v>43257</v>
      </c>
      <c r="U334" s="123" t="s">
        <v>199</v>
      </c>
      <c r="V334" s="19" t="s">
        <v>3087</v>
      </c>
      <c r="W334" s="685">
        <v>43257</v>
      </c>
      <c r="X334" s="1625"/>
      <c r="Y334" s="491" t="s">
        <v>1088</v>
      </c>
      <c r="Z334" s="9">
        <v>43259</v>
      </c>
      <c r="AA334" s="4">
        <v>32872.07</v>
      </c>
      <c r="AB334" s="4"/>
      <c r="AC334" s="34"/>
      <c r="AD334" s="36" t="s">
        <v>68</v>
      </c>
      <c r="AE334" s="119" t="s">
        <v>68</v>
      </c>
      <c r="AF334" s="119" t="s">
        <v>68</v>
      </c>
      <c r="AG334" s="7" t="s">
        <v>68</v>
      </c>
      <c r="AH334" s="116" t="s">
        <v>68</v>
      </c>
      <c r="AI334" s="491" t="s">
        <v>186</v>
      </c>
      <c r="AJ334" s="1" t="s">
        <v>68</v>
      </c>
      <c r="AK334" s="5"/>
      <c r="AL334" s="1" t="s">
        <v>1089</v>
      </c>
      <c r="AM334" s="5">
        <v>43288</v>
      </c>
      <c r="AN334" s="1" t="s">
        <v>1090</v>
      </c>
      <c r="AO334" s="5">
        <v>43269</v>
      </c>
      <c r="AP334" s="306">
        <f>3287.2+3287.21</f>
        <v>6574.41</v>
      </c>
      <c r="AQ334" s="37">
        <v>0</v>
      </c>
      <c r="AR334" s="1031">
        <v>32872.07</v>
      </c>
      <c r="AS334" s="1018">
        <v>32872.07</v>
      </c>
      <c r="AT334" s="75">
        <v>43261</v>
      </c>
      <c r="AU334" s="12">
        <v>43267</v>
      </c>
      <c r="AV334" s="243" t="s">
        <v>68</v>
      </c>
      <c r="AW334" s="54" t="s">
        <v>68</v>
      </c>
      <c r="AX334" s="75">
        <v>43269</v>
      </c>
      <c r="AY334" s="5">
        <v>43262</v>
      </c>
      <c r="AZ334" s="5">
        <v>43266</v>
      </c>
      <c r="BA334" s="12"/>
      <c r="BB334" s="75">
        <v>43270</v>
      </c>
      <c r="BC334" s="1950"/>
      <c r="BD334" s="76">
        <v>43262</v>
      </c>
      <c r="BE334" s="76">
        <v>43266</v>
      </c>
      <c r="BF334" s="76">
        <v>43266</v>
      </c>
      <c r="BG334" s="136">
        <f t="shared" si="9"/>
        <v>32872.07</v>
      </c>
      <c r="BH334" s="64">
        <v>43270</v>
      </c>
      <c r="BI334" s="578">
        <v>43258</v>
      </c>
      <c r="BJ334" s="521"/>
      <c r="BK334" s="521"/>
      <c r="BL334" s="521"/>
      <c r="BM334" s="521"/>
      <c r="BN334" s="521"/>
      <c r="BO334" s="521"/>
      <c r="BP334" s="255">
        <v>43267</v>
      </c>
      <c r="BQ334" s="246"/>
      <c r="BR334" s="246"/>
      <c r="BS334" s="792"/>
      <c r="BT334" s="14"/>
      <c r="BU334" s="14"/>
      <c r="BV334" s="14"/>
      <c r="BW334" s="14"/>
      <c r="BX334" s="14"/>
      <c r="BY334" s="1432" t="s">
        <v>1567</v>
      </c>
      <c r="BZ334" s="356" t="s">
        <v>459</v>
      </c>
      <c r="CA334" s="582"/>
      <c r="CB334" s="582"/>
      <c r="CC334" s="582"/>
      <c r="CD334" s="582"/>
      <c r="CE334" s="582"/>
      <c r="CF334" s="582"/>
      <c r="CG334" s="582"/>
      <c r="CH334" s="16"/>
    </row>
    <row r="335" spans="2:86" customFormat="1" ht="98.25" hidden="1" customHeight="1">
      <c r="B335" s="23"/>
      <c r="C335" s="23"/>
      <c r="D335" s="23"/>
      <c r="E335" s="335" t="s">
        <v>68</v>
      </c>
      <c r="F335" s="335"/>
      <c r="G335" s="1055">
        <v>43363</v>
      </c>
      <c r="H335" s="365">
        <v>43389</v>
      </c>
      <c r="I335" s="17">
        <v>2018</v>
      </c>
      <c r="J335" s="1678">
        <v>186.22</v>
      </c>
      <c r="K335" s="183" t="s">
        <v>166</v>
      </c>
      <c r="L335" s="191" t="s">
        <v>1091</v>
      </c>
      <c r="M335" s="185" t="s">
        <v>79</v>
      </c>
      <c r="N335" s="495" t="s">
        <v>1092</v>
      </c>
      <c r="O335" s="495" t="s">
        <v>1979</v>
      </c>
      <c r="P335" s="187">
        <v>243028.37</v>
      </c>
      <c r="Q335" s="657">
        <v>43274</v>
      </c>
      <c r="R335" s="686">
        <v>43274</v>
      </c>
      <c r="S335" s="665">
        <v>43304</v>
      </c>
      <c r="T335" s="70">
        <v>43274</v>
      </c>
      <c r="U335" s="739" t="s">
        <v>637</v>
      </c>
      <c r="V335" s="183" t="s">
        <v>709</v>
      </c>
      <c r="W335" s="505" t="s">
        <v>74</v>
      </c>
      <c r="X335" s="1623"/>
      <c r="Y335" s="491" t="s">
        <v>1093</v>
      </c>
      <c r="Z335" s="9">
        <v>43273</v>
      </c>
      <c r="AA335" s="4">
        <v>243028.37</v>
      </c>
      <c r="AB335" s="4"/>
      <c r="AC335" s="34"/>
      <c r="AD335" s="36" t="s">
        <v>68</v>
      </c>
      <c r="AE335" s="119" t="s">
        <v>68</v>
      </c>
      <c r="AF335" s="119" t="s">
        <v>68</v>
      </c>
      <c r="AG335" s="7" t="s">
        <v>68</v>
      </c>
      <c r="AH335" s="116" t="s">
        <v>68</v>
      </c>
      <c r="AI335" s="491" t="s">
        <v>855</v>
      </c>
      <c r="AJ335" s="1" t="s">
        <v>68</v>
      </c>
      <c r="AK335" s="5"/>
      <c r="AL335" s="1">
        <v>1832459</v>
      </c>
      <c r="AM335" s="5">
        <v>43277</v>
      </c>
      <c r="AN335" s="239">
        <v>18432569</v>
      </c>
      <c r="AO335" s="5">
        <v>43304</v>
      </c>
      <c r="AP335" s="306">
        <f>24302.83+24302.83</f>
        <v>48605.66</v>
      </c>
      <c r="AQ335" s="37">
        <v>0</v>
      </c>
      <c r="AR335" s="1032">
        <v>242768.95</v>
      </c>
      <c r="AS335" s="1019"/>
      <c r="AT335" s="373" t="s">
        <v>74</v>
      </c>
      <c r="AU335" s="12"/>
      <c r="AV335" s="243" t="s">
        <v>68</v>
      </c>
      <c r="AW335" s="54" t="s">
        <v>68</v>
      </c>
      <c r="AX335" s="375">
        <v>43292</v>
      </c>
      <c r="AY335" s="5">
        <v>43276</v>
      </c>
      <c r="AZ335" s="5">
        <v>43304</v>
      </c>
      <c r="BA335" s="12"/>
      <c r="BB335" s="375">
        <v>43293</v>
      </c>
      <c r="BC335" s="1952"/>
      <c r="BD335" s="5">
        <v>43276</v>
      </c>
      <c r="BE335" s="521">
        <v>43292</v>
      </c>
      <c r="BF335" s="5">
        <v>43292</v>
      </c>
      <c r="BG335" s="605">
        <f t="shared" si="9"/>
        <v>242768.95</v>
      </c>
      <c r="BH335" s="216">
        <v>43293</v>
      </c>
      <c r="BI335" s="578"/>
      <c r="BJ335" s="255"/>
      <c r="BK335" s="255"/>
      <c r="BL335" s="246"/>
      <c r="BM335" s="246"/>
      <c r="BN335" s="246"/>
      <c r="BO335" s="246"/>
      <c r="BP335" s="246"/>
      <c r="BQ335" s="246"/>
      <c r="BR335" s="246"/>
      <c r="BS335" s="758"/>
      <c r="BT335" s="14"/>
      <c r="BU335" s="14"/>
      <c r="BV335" s="14"/>
      <c r="BW335" s="14"/>
      <c r="BX335" s="14"/>
      <c r="BY335" s="1432" t="s">
        <v>1567</v>
      </c>
      <c r="BZ335" s="356" t="s">
        <v>459</v>
      </c>
      <c r="CA335" s="582"/>
      <c r="CB335" s="582"/>
      <c r="CC335" s="582"/>
      <c r="CD335" s="582"/>
      <c r="CE335" s="582"/>
      <c r="CF335" s="582"/>
      <c r="CG335" s="582"/>
      <c r="CH335" s="16"/>
    </row>
    <row r="336" spans="2:86" customFormat="1" ht="127.5" hidden="1" customHeight="1">
      <c r="B336" s="23"/>
      <c r="C336" s="23" t="s">
        <v>969</v>
      </c>
      <c r="D336" s="23"/>
      <c r="E336" s="335" t="s">
        <v>68</v>
      </c>
      <c r="F336" s="335"/>
      <c r="G336" s="1055">
        <v>43383</v>
      </c>
      <c r="H336" s="365">
        <v>43389</v>
      </c>
      <c r="I336" s="17">
        <v>2018</v>
      </c>
      <c r="J336" s="1678">
        <v>186.23</v>
      </c>
      <c r="K336" s="183" t="s">
        <v>166</v>
      </c>
      <c r="L336" s="191" t="s">
        <v>1094</v>
      </c>
      <c r="M336" s="185" t="s">
        <v>79</v>
      </c>
      <c r="N336" s="186" t="s">
        <v>1095</v>
      </c>
      <c r="O336" s="186" t="s">
        <v>4877</v>
      </c>
      <c r="P336" s="187">
        <v>1099823.45</v>
      </c>
      <c r="Q336" s="656">
        <v>43300</v>
      </c>
      <c r="R336" s="686">
        <v>43300</v>
      </c>
      <c r="S336" s="687">
        <v>43364</v>
      </c>
      <c r="T336" s="70">
        <v>43299</v>
      </c>
      <c r="U336" s="191" t="s">
        <v>1009</v>
      </c>
      <c r="V336" s="716" t="s">
        <v>709</v>
      </c>
      <c r="W336" s="505" t="s">
        <v>74</v>
      </c>
      <c r="X336" s="1623"/>
      <c r="Y336" s="491" t="s">
        <v>1096</v>
      </c>
      <c r="Z336" s="9">
        <v>43298</v>
      </c>
      <c r="AA336" s="4">
        <v>1099823.45</v>
      </c>
      <c r="AB336" s="4"/>
      <c r="AC336" s="34"/>
      <c r="AD336" s="36" t="s">
        <v>68</v>
      </c>
      <c r="AE336" s="119" t="s">
        <v>68</v>
      </c>
      <c r="AF336" s="119" t="s">
        <v>68</v>
      </c>
      <c r="AG336" s="7" t="s">
        <v>68</v>
      </c>
      <c r="AH336" s="116" t="s">
        <v>68</v>
      </c>
      <c r="AI336" s="491" t="s">
        <v>107</v>
      </c>
      <c r="AJ336" s="1" t="s">
        <v>1097</v>
      </c>
      <c r="AK336" s="5">
        <v>43297</v>
      </c>
      <c r="AL336" s="1" t="s">
        <v>1098</v>
      </c>
      <c r="AM336" s="5">
        <v>43297</v>
      </c>
      <c r="AN336" s="1" t="s">
        <v>83</v>
      </c>
      <c r="AO336" s="1"/>
      <c r="AP336" s="306">
        <f>274955.86+109982.34</f>
        <v>384938.19999999995</v>
      </c>
      <c r="AQ336" s="37">
        <v>0</v>
      </c>
      <c r="AR336" s="1032">
        <v>1099821.05</v>
      </c>
      <c r="AS336" s="1019">
        <v>1099821.29</v>
      </c>
      <c r="AT336" s="373" t="s">
        <v>74</v>
      </c>
      <c r="AU336" s="12"/>
      <c r="AV336" s="243" t="s">
        <v>68</v>
      </c>
      <c r="AW336" s="54" t="s">
        <v>68</v>
      </c>
      <c r="AX336" s="375">
        <v>43364</v>
      </c>
      <c r="AY336" s="5">
        <v>43300</v>
      </c>
      <c r="AZ336" s="5">
        <v>43364</v>
      </c>
      <c r="BA336" s="12">
        <v>43363</v>
      </c>
      <c r="BB336" s="375">
        <v>43367</v>
      </c>
      <c r="BC336" s="1952"/>
      <c r="BD336" s="76">
        <v>43300</v>
      </c>
      <c r="BE336" s="76">
        <v>43364</v>
      </c>
      <c r="BF336" s="76">
        <v>43363</v>
      </c>
      <c r="BG336" s="136">
        <f t="shared" si="9"/>
        <v>1099821.05</v>
      </c>
      <c r="BH336" s="216">
        <v>43367</v>
      </c>
      <c r="BI336" s="578"/>
      <c r="BJ336" s="255"/>
      <c r="BK336" s="255"/>
      <c r="BL336" s="246"/>
      <c r="BM336" s="246"/>
      <c r="BN336" s="246"/>
      <c r="BO336" s="246"/>
      <c r="BP336" s="246"/>
      <c r="BQ336" s="246"/>
      <c r="BR336" s="246"/>
      <c r="BS336" s="758"/>
      <c r="BT336" s="14"/>
      <c r="BU336" s="14"/>
      <c r="BV336" s="14"/>
      <c r="BW336" s="14"/>
      <c r="BX336" s="14"/>
      <c r="BY336" s="1432" t="s">
        <v>1567</v>
      </c>
      <c r="BZ336" s="356" t="s">
        <v>459</v>
      </c>
      <c r="CA336" s="582"/>
      <c r="CB336" s="582"/>
      <c r="CC336" s="582"/>
      <c r="CD336" s="582"/>
      <c r="CE336" s="582"/>
      <c r="CF336" s="582"/>
      <c r="CG336" s="582"/>
      <c r="CH336" s="16"/>
    </row>
    <row r="337" spans="1:86" ht="86.25" hidden="1" customHeight="1">
      <c r="A337"/>
      <c r="B337" s="23"/>
      <c r="C337" s="23" t="s">
        <v>969</v>
      </c>
      <c r="D337" s="23"/>
      <c r="E337" s="335" t="s">
        <v>68</v>
      </c>
      <c r="F337" s="335"/>
      <c r="G337" s="1055">
        <v>43553</v>
      </c>
      <c r="H337" s="365">
        <v>43389</v>
      </c>
      <c r="I337" s="182">
        <v>2018</v>
      </c>
      <c r="J337" s="1678">
        <v>186.24</v>
      </c>
      <c r="K337" s="183" t="s">
        <v>867</v>
      </c>
      <c r="L337" s="191" t="s">
        <v>1099</v>
      </c>
      <c r="M337" s="185" t="s">
        <v>615</v>
      </c>
      <c r="N337" s="495" t="s">
        <v>1100</v>
      </c>
      <c r="O337" s="495"/>
      <c r="P337" s="187">
        <v>2940000</v>
      </c>
      <c r="Q337" s="657">
        <v>43307</v>
      </c>
      <c r="R337" s="189">
        <v>43311</v>
      </c>
      <c r="S337" s="190">
        <v>43373</v>
      </c>
      <c r="T337" s="774" t="s">
        <v>68</v>
      </c>
      <c r="U337" s="739" t="s">
        <v>1101</v>
      </c>
      <c r="V337" s="183" t="s">
        <v>114</v>
      </c>
      <c r="W337" s="505" t="s">
        <v>74</v>
      </c>
      <c r="X337" s="1623"/>
      <c r="Y337" s="491" t="s">
        <v>1102</v>
      </c>
      <c r="Z337" s="9">
        <v>43166</v>
      </c>
      <c r="AA337" s="4">
        <v>3000000</v>
      </c>
      <c r="AB337" s="4"/>
      <c r="AC337" s="34"/>
      <c r="AD337" s="375">
        <v>43291</v>
      </c>
      <c r="AE337" s="193">
        <v>43293</v>
      </c>
      <c r="AF337" s="193">
        <v>43293</v>
      </c>
      <c r="AG337" s="192">
        <v>43298</v>
      </c>
      <c r="AH337" s="782">
        <v>43299</v>
      </c>
      <c r="AI337" s="491" t="s">
        <v>1017</v>
      </c>
      <c r="AJ337" s="71" t="s">
        <v>1103</v>
      </c>
      <c r="AK337" s="255">
        <v>43307</v>
      </c>
      <c r="AL337" s="71" t="s">
        <v>1104</v>
      </c>
      <c r="AM337" s="255">
        <v>43311</v>
      </c>
      <c r="AN337" s="71" t="s">
        <v>83</v>
      </c>
      <c r="AO337" s="71"/>
      <c r="AP337" s="601">
        <f>735000+294000</f>
        <v>1029000</v>
      </c>
      <c r="AQ337" s="37">
        <v>0</v>
      </c>
      <c r="AR337" s="1040"/>
      <c r="AS337" s="1027">
        <v>2940000.03</v>
      </c>
      <c r="AT337" s="373" t="s">
        <v>74</v>
      </c>
      <c r="AU337" s="12"/>
      <c r="AV337" s="243" t="s">
        <v>68</v>
      </c>
      <c r="AW337" s="54" t="s">
        <v>68</v>
      </c>
      <c r="AX337" s="373" t="s">
        <v>74</v>
      </c>
      <c r="AY337" s="1"/>
      <c r="AZ337" s="1"/>
      <c r="BA337" s="18"/>
      <c r="BB337" s="373" t="s">
        <v>352</v>
      </c>
      <c r="BC337" s="1956"/>
      <c r="BD337" s="5">
        <v>43172</v>
      </c>
      <c r="BE337" s="5">
        <v>43373</v>
      </c>
      <c r="BF337" s="5">
        <v>43373</v>
      </c>
      <c r="BG337" s="38">
        <v>2939999.99</v>
      </c>
      <c r="BH337" s="222"/>
      <c r="BI337" s="773"/>
      <c r="BJ337" s="521"/>
      <c r="BK337" s="521"/>
      <c r="BL337" s="1014"/>
      <c r="BM337" s="1014"/>
      <c r="BN337" s="1014"/>
      <c r="BO337" s="1014"/>
      <c r="BP337" s="1014"/>
      <c r="BQ337" s="1014"/>
      <c r="BR337" s="1014"/>
      <c r="BS337" s="792"/>
      <c r="BT337" s="14"/>
      <c r="BU337" s="14"/>
      <c r="BV337" s="14"/>
      <c r="BW337" s="14"/>
      <c r="BX337" s="14"/>
      <c r="BY337" s="1432" t="s">
        <v>1567</v>
      </c>
      <c r="BZ337" s="356" t="s">
        <v>459</v>
      </c>
      <c r="CA337" s="582"/>
      <c r="CB337" s="582"/>
      <c r="CC337" s="582"/>
      <c r="CD337" s="582"/>
      <c r="CE337" s="582"/>
      <c r="CF337" s="582"/>
      <c r="CG337" s="582"/>
      <c r="CH337" s="16"/>
    </row>
    <row r="338" spans="1:86" ht="75.75" hidden="1" customHeight="1">
      <c r="A338" t="s">
        <v>524</v>
      </c>
      <c r="B338" s="23"/>
      <c r="C338" s="23" t="s">
        <v>969</v>
      </c>
      <c r="D338" s="23"/>
      <c r="E338" s="335" t="s">
        <v>68</v>
      </c>
      <c r="F338" s="335"/>
      <c r="G338" s="1055">
        <v>43383</v>
      </c>
      <c r="H338" s="365">
        <v>43389</v>
      </c>
      <c r="I338" s="182">
        <v>2018</v>
      </c>
      <c r="J338" s="1678">
        <v>186.25</v>
      </c>
      <c r="K338" s="183" t="s">
        <v>77</v>
      </c>
      <c r="L338" s="1135" t="s">
        <v>1105</v>
      </c>
      <c r="M338" s="185" t="s">
        <v>79</v>
      </c>
      <c r="N338" s="494" t="s">
        <v>1106</v>
      </c>
      <c r="O338" s="494" t="s">
        <v>4458</v>
      </c>
      <c r="P338" s="187">
        <v>452456.16</v>
      </c>
      <c r="Q338" s="656">
        <v>43326</v>
      </c>
      <c r="R338" s="686">
        <v>43326</v>
      </c>
      <c r="S338" s="687">
        <v>43357</v>
      </c>
      <c r="T338" s="70">
        <v>43326</v>
      </c>
      <c r="U338" s="191" t="s">
        <v>1051</v>
      </c>
      <c r="V338" s="183" t="s">
        <v>1107</v>
      </c>
      <c r="W338" s="685">
        <v>43319</v>
      </c>
      <c r="X338" s="1625"/>
      <c r="Y338" s="491" t="s">
        <v>1108</v>
      </c>
      <c r="Z338" s="9">
        <v>43325</v>
      </c>
      <c r="AA338" s="4">
        <v>452456.16</v>
      </c>
      <c r="AB338" s="4"/>
      <c r="AC338" s="34"/>
      <c r="AD338" s="36" t="s">
        <v>68</v>
      </c>
      <c r="AE338" s="119" t="s">
        <v>68</v>
      </c>
      <c r="AF338" s="119" t="s">
        <v>68</v>
      </c>
      <c r="AG338" s="7" t="s">
        <v>68</v>
      </c>
      <c r="AH338" s="116" t="s">
        <v>68</v>
      </c>
      <c r="AI338" s="491" t="s">
        <v>589</v>
      </c>
      <c r="AJ338" s="1" t="s">
        <v>68</v>
      </c>
      <c r="AK338" s="5"/>
      <c r="AL338" s="1">
        <v>1936120</v>
      </c>
      <c r="AM338" s="5">
        <v>43326</v>
      </c>
      <c r="AN338" s="71">
        <v>1945747</v>
      </c>
      <c r="AO338" s="5">
        <v>43360</v>
      </c>
      <c r="AP338" s="306">
        <f>45245.62+45245.62</f>
        <v>90491.24</v>
      </c>
      <c r="AQ338" s="37">
        <v>0</v>
      </c>
      <c r="AR338" s="1031">
        <v>452456.16</v>
      </c>
      <c r="AS338" s="1018">
        <v>452456.15</v>
      </c>
      <c r="AT338" s="68" t="s">
        <v>74</v>
      </c>
      <c r="AU338" s="12"/>
      <c r="AV338" s="243"/>
      <c r="AW338" s="54"/>
      <c r="AX338" s="75">
        <v>43360</v>
      </c>
      <c r="AY338" s="5">
        <v>43326</v>
      </c>
      <c r="AZ338" s="5">
        <v>43357</v>
      </c>
      <c r="BA338" s="5">
        <v>43357</v>
      </c>
      <c r="BB338" s="75">
        <v>43360</v>
      </c>
      <c r="BC338" s="1950"/>
      <c r="BD338" s="76">
        <v>43326</v>
      </c>
      <c r="BE338" s="76">
        <v>43357</v>
      </c>
      <c r="BF338" s="76">
        <v>43357</v>
      </c>
      <c r="BG338" s="507">
        <f>AQ338+AR338</f>
        <v>452456.16</v>
      </c>
      <c r="BH338" s="216">
        <v>43321</v>
      </c>
      <c r="BI338" s="578"/>
      <c r="BJ338" s="255"/>
      <c r="BK338" s="255"/>
      <c r="BL338" s="246"/>
      <c r="BM338" s="246"/>
      <c r="BN338" s="246"/>
      <c r="BO338" s="246"/>
      <c r="BP338" s="246"/>
      <c r="BQ338" s="246"/>
      <c r="BR338" s="246"/>
      <c r="BS338" s="758"/>
      <c r="BT338" s="14"/>
      <c r="BU338" s="14"/>
      <c r="BV338" s="14"/>
      <c r="BW338" s="14"/>
      <c r="BX338" s="14"/>
      <c r="BY338" s="1432" t="s">
        <v>1567</v>
      </c>
      <c r="BZ338" s="356" t="s">
        <v>459</v>
      </c>
      <c r="CA338" s="582"/>
      <c r="CB338" s="582"/>
      <c r="CC338" s="582"/>
      <c r="CD338" s="582"/>
      <c r="CE338" s="582"/>
      <c r="CF338" s="582"/>
      <c r="CG338" s="582"/>
      <c r="CH338" s="16"/>
    </row>
    <row r="339" spans="1:86" ht="62.25" hidden="1" customHeight="1">
      <c r="A339"/>
      <c r="B339" s="23"/>
      <c r="C339" s="23" t="s">
        <v>969</v>
      </c>
      <c r="D339" s="23"/>
      <c r="E339" s="335" t="s">
        <v>68</v>
      </c>
      <c r="F339" s="335"/>
      <c r="G339" s="1055">
        <v>43363</v>
      </c>
      <c r="H339" s="365">
        <v>43409</v>
      </c>
      <c r="I339" s="182">
        <v>2018</v>
      </c>
      <c r="J339" s="1678">
        <v>186.26</v>
      </c>
      <c r="K339" s="183" t="s">
        <v>77</v>
      </c>
      <c r="L339" s="1135" t="s">
        <v>1109</v>
      </c>
      <c r="M339" s="185" t="s">
        <v>79</v>
      </c>
      <c r="N339" s="186" t="s">
        <v>1110</v>
      </c>
      <c r="O339" s="186" t="s">
        <v>4458</v>
      </c>
      <c r="P339" s="187">
        <v>412725.64</v>
      </c>
      <c r="Q339" s="656">
        <v>43326</v>
      </c>
      <c r="R339" s="686">
        <v>43326</v>
      </c>
      <c r="S339" s="687">
        <v>43357</v>
      </c>
      <c r="T339" s="70">
        <v>43326</v>
      </c>
      <c r="U339" s="191" t="s">
        <v>1111</v>
      </c>
      <c r="V339" s="183" t="s">
        <v>1107</v>
      </c>
      <c r="W339" s="685">
        <v>43319</v>
      </c>
      <c r="X339" s="1625"/>
      <c r="Y339" s="491" t="s">
        <v>1108</v>
      </c>
      <c r="Z339" s="9">
        <v>43325</v>
      </c>
      <c r="AA339" s="4">
        <v>412725.64</v>
      </c>
      <c r="AB339" s="4"/>
      <c r="AC339" s="34"/>
      <c r="AD339" s="36" t="s">
        <v>68</v>
      </c>
      <c r="AE339" s="119" t="s">
        <v>68</v>
      </c>
      <c r="AF339" s="119" t="s">
        <v>68</v>
      </c>
      <c r="AG339" s="7" t="s">
        <v>68</v>
      </c>
      <c r="AH339" s="116" t="s">
        <v>68</v>
      </c>
      <c r="AI339" s="491" t="s">
        <v>1112</v>
      </c>
      <c r="AJ339" s="1" t="s">
        <v>68</v>
      </c>
      <c r="AK339" s="5"/>
      <c r="AL339" s="1" t="s">
        <v>1113</v>
      </c>
      <c r="AM339" s="5">
        <v>43326</v>
      </c>
      <c r="AN339" s="1" t="s">
        <v>83</v>
      </c>
      <c r="AO339" s="1"/>
      <c r="AP339" s="306">
        <v>41242.559999999998</v>
      </c>
      <c r="AQ339" s="37">
        <v>0</v>
      </c>
      <c r="AR339" s="1031">
        <v>412725.63</v>
      </c>
      <c r="AS339" s="1018">
        <v>412725.63</v>
      </c>
      <c r="AT339" s="68" t="s">
        <v>74</v>
      </c>
      <c r="AU339" s="12"/>
      <c r="AV339" s="243"/>
      <c r="AW339" s="54"/>
      <c r="AX339" s="75">
        <v>43346</v>
      </c>
      <c r="AY339" s="5">
        <v>43326</v>
      </c>
      <c r="AZ339" s="5">
        <v>43357</v>
      </c>
      <c r="BA339" s="12">
        <v>43342</v>
      </c>
      <c r="BB339" s="75">
        <v>43346</v>
      </c>
      <c r="BC339" s="1950"/>
      <c r="BD339" s="5">
        <v>43326</v>
      </c>
      <c r="BE339" s="5">
        <v>43357</v>
      </c>
      <c r="BF339" s="5">
        <v>43342</v>
      </c>
      <c r="BG339" s="605">
        <f>AQ339+AR339</f>
        <v>412725.63</v>
      </c>
      <c r="BH339" s="216">
        <v>43346</v>
      </c>
      <c r="BI339" s="578"/>
      <c r="BJ339" s="255"/>
      <c r="BK339" s="255"/>
      <c r="BL339" s="246"/>
      <c r="BM339" s="246"/>
      <c r="BN339" s="246"/>
      <c r="BO339" s="246"/>
      <c r="BP339" s="246"/>
      <c r="BQ339" s="246"/>
      <c r="BR339" s="246"/>
      <c r="BS339" s="758"/>
      <c r="BT339" s="14"/>
      <c r="BU339" s="14"/>
      <c r="BV339" s="14"/>
      <c r="BW339" s="14"/>
      <c r="BX339" s="14"/>
      <c r="BY339" s="1432" t="s">
        <v>1567</v>
      </c>
      <c r="BZ339" s="356" t="s">
        <v>459</v>
      </c>
      <c r="CA339" s="582"/>
      <c r="CB339" s="582"/>
      <c r="CC339" s="582"/>
      <c r="CD339" s="582"/>
      <c r="CE339" s="582"/>
      <c r="CF339" s="582"/>
      <c r="CG339" s="582"/>
      <c r="CH339" s="16"/>
    </row>
    <row r="340" spans="1:86" ht="95.25" hidden="1" customHeight="1">
      <c r="A340"/>
      <c r="B340" s="23"/>
      <c r="C340" s="23" t="s">
        <v>969</v>
      </c>
      <c r="D340" s="23"/>
      <c r="E340" s="335" t="s">
        <v>68</v>
      </c>
      <c r="F340" s="335"/>
      <c r="G340" s="1055">
        <v>43399</v>
      </c>
      <c r="H340" s="365">
        <v>43409</v>
      </c>
      <c r="I340" s="182">
        <v>2018</v>
      </c>
      <c r="J340" s="1678">
        <v>186.27</v>
      </c>
      <c r="K340" s="183" t="s">
        <v>77</v>
      </c>
      <c r="L340" s="1135" t="s">
        <v>1114</v>
      </c>
      <c r="M340" s="185" t="s">
        <v>79</v>
      </c>
      <c r="N340" s="186" t="s">
        <v>1115</v>
      </c>
      <c r="O340" s="186" t="s">
        <v>2574</v>
      </c>
      <c r="P340" s="187">
        <v>732027.5</v>
      </c>
      <c r="Q340" s="656">
        <v>43326</v>
      </c>
      <c r="R340" s="686">
        <v>43326</v>
      </c>
      <c r="S340" s="687">
        <v>43348</v>
      </c>
      <c r="T340" s="70">
        <v>43326</v>
      </c>
      <c r="U340" s="734" t="s">
        <v>185</v>
      </c>
      <c r="V340" s="735" t="s">
        <v>984</v>
      </c>
      <c r="W340" s="685">
        <v>43340</v>
      </c>
      <c r="X340" s="1625"/>
      <c r="Y340" s="491" t="s">
        <v>1116</v>
      </c>
      <c r="Z340" s="9">
        <v>43325</v>
      </c>
      <c r="AA340" s="4">
        <v>732027.5</v>
      </c>
      <c r="AB340" s="4"/>
      <c r="AC340" s="34"/>
      <c r="AD340" s="36" t="s">
        <v>68</v>
      </c>
      <c r="AE340" s="119" t="s">
        <v>68</v>
      </c>
      <c r="AF340" s="119" t="s">
        <v>68</v>
      </c>
      <c r="AG340" s="7" t="s">
        <v>68</v>
      </c>
      <c r="AH340" s="116" t="s">
        <v>68</v>
      </c>
      <c r="AI340" s="35" t="s">
        <v>1112</v>
      </c>
      <c r="AJ340" s="1" t="s">
        <v>1117</v>
      </c>
      <c r="AK340" s="5">
        <v>43326</v>
      </c>
      <c r="AL340" s="1" t="s">
        <v>1118</v>
      </c>
      <c r="AM340" s="5">
        <v>43326</v>
      </c>
      <c r="AN340" s="71" t="s">
        <v>1119</v>
      </c>
      <c r="AO340" s="5">
        <v>43349</v>
      </c>
      <c r="AP340" s="306">
        <f>183006.87+73202.75+71711.11</f>
        <v>327920.73</v>
      </c>
      <c r="AQ340" s="37">
        <v>0</v>
      </c>
      <c r="AR340" s="1032">
        <v>717111.1</v>
      </c>
      <c r="AS340" s="1060">
        <v>717085.81</v>
      </c>
      <c r="AT340" s="75">
        <v>43326</v>
      </c>
      <c r="AU340" s="12">
        <v>43348</v>
      </c>
      <c r="AV340" s="243" t="s">
        <v>68</v>
      </c>
      <c r="AW340" s="54" t="s">
        <v>68</v>
      </c>
      <c r="AX340" s="75">
        <v>43348</v>
      </c>
      <c r="AY340" s="76">
        <v>43326</v>
      </c>
      <c r="AZ340" s="76">
        <v>43348</v>
      </c>
      <c r="BA340" s="134">
        <v>43348</v>
      </c>
      <c r="BB340" s="75">
        <v>43348</v>
      </c>
      <c r="BC340" s="1950"/>
      <c r="BD340" s="255">
        <v>43326</v>
      </c>
      <c r="BE340" s="255">
        <v>43348</v>
      </c>
      <c r="BF340" s="255">
        <v>43348</v>
      </c>
      <c r="BG340" s="72">
        <f>AQ340+AR340</f>
        <v>717111.1</v>
      </c>
      <c r="BH340" s="64">
        <v>43349</v>
      </c>
      <c r="BI340" s="111">
        <v>43346</v>
      </c>
      <c r="BJ340" s="5">
        <v>43328</v>
      </c>
      <c r="BK340" s="5">
        <v>43328</v>
      </c>
      <c r="BL340" s="54"/>
      <c r="BM340" s="54"/>
      <c r="BN340" s="54"/>
      <c r="BO340" s="54"/>
      <c r="BP340" s="54"/>
      <c r="BQ340" s="54"/>
      <c r="BR340" s="54"/>
      <c r="BS340" s="55"/>
      <c r="BT340" s="14"/>
      <c r="BU340" s="14"/>
      <c r="BV340" s="14"/>
      <c r="BW340" s="14"/>
      <c r="BX340" s="14"/>
      <c r="BY340" s="1432" t="s">
        <v>1567</v>
      </c>
      <c r="BZ340" s="649" t="s">
        <v>454</v>
      </c>
      <c r="CA340" s="582"/>
      <c r="CB340" s="582"/>
      <c r="CC340" s="582"/>
      <c r="CD340" s="582"/>
      <c r="CE340" s="582"/>
      <c r="CF340" s="582"/>
      <c r="CG340" s="582"/>
      <c r="CH340" s="16"/>
    </row>
    <row r="341" spans="1:86" ht="68.25" hidden="1" customHeight="1">
      <c r="A341"/>
      <c r="B341" s="23"/>
      <c r="C341" s="23" t="s">
        <v>969</v>
      </c>
      <c r="D341" s="23"/>
      <c r="E341" s="335" t="s">
        <v>68</v>
      </c>
      <c r="F341" s="335"/>
      <c r="G341" s="1055">
        <v>43432</v>
      </c>
      <c r="H341" s="365"/>
      <c r="I341" s="182">
        <v>2018</v>
      </c>
      <c r="J341" s="1678">
        <v>186.28</v>
      </c>
      <c r="K341" s="183" t="s">
        <v>77</v>
      </c>
      <c r="L341" s="1135" t="s">
        <v>1120</v>
      </c>
      <c r="M341" s="185" t="s">
        <v>79</v>
      </c>
      <c r="N341" s="186" t="s">
        <v>1121</v>
      </c>
      <c r="O341" s="186" t="s">
        <v>4458</v>
      </c>
      <c r="P341" s="187">
        <v>87399.62</v>
      </c>
      <c r="Q341" s="656">
        <v>43326</v>
      </c>
      <c r="R341" s="686">
        <v>43333</v>
      </c>
      <c r="S341" s="687">
        <v>43358</v>
      </c>
      <c r="T341" s="70">
        <v>43326</v>
      </c>
      <c r="U341" s="191" t="s">
        <v>637</v>
      </c>
      <c r="V341" s="19" t="s">
        <v>3087</v>
      </c>
      <c r="W341" s="685">
        <v>43319</v>
      </c>
      <c r="X341" s="1625"/>
      <c r="Y341" s="491" t="s">
        <v>1122</v>
      </c>
      <c r="Z341" s="9">
        <v>43325</v>
      </c>
      <c r="AA341" s="4">
        <v>87399.62</v>
      </c>
      <c r="AB341" s="4"/>
      <c r="AC341" s="34"/>
      <c r="AD341" s="36" t="s">
        <v>68</v>
      </c>
      <c r="AE341" s="119" t="s">
        <v>68</v>
      </c>
      <c r="AF341" s="119" t="s">
        <v>68</v>
      </c>
      <c r="AG341" s="7" t="s">
        <v>68</v>
      </c>
      <c r="AH341" s="116" t="s">
        <v>68</v>
      </c>
      <c r="AI341" s="491" t="s">
        <v>855</v>
      </c>
      <c r="AJ341" s="1" t="s">
        <v>68</v>
      </c>
      <c r="AK341" s="5"/>
      <c r="AL341" s="1">
        <v>18342318</v>
      </c>
      <c r="AM341" s="5">
        <v>43326</v>
      </c>
      <c r="AN341" s="1">
        <v>18342320</v>
      </c>
      <c r="AO341" s="5">
        <v>43326</v>
      </c>
      <c r="AP341" s="306">
        <f>8739.96*2</f>
        <v>17479.919999999998</v>
      </c>
      <c r="AQ341" s="37">
        <v>0</v>
      </c>
      <c r="AR341" s="1031">
        <v>86911</v>
      </c>
      <c r="AS341" s="1018">
        <v>86911.46</v>
      </c>
      <c r="AT341" s="68" t="s">
        <v>74</v>
      </c>
      <c r="AU341" s="12"/>
      <c r="AV341" s="243" t="s">
        <v>68</v>
      </c>
      <c r="AW341" s="54" t="s">
        <v>68</v>
      </c>
      <c r="AX341" s="75">
        <v>43356</v>
      </c>
      <c r="AY341" s="5">
        <v>43346</v>
      </c>
      <c r="AZ341" s="5">
        <v>43358</v>
      </c>
      <c r="BA341" s="12"/>
      <c r="BB341" s="75">
        <v>43357</v>
      </c>
      <c r="BC341" s="1950"/>
      <c r="BD341" s="76">
        <v>43346</v>
      </c>
      <c r="BE341" s="76">
        <v>43358</v>
      </c>
      <c r="BF341" s="76">
        <v>43355</v>
      </c>
      <c r="BG341" s="136">
        <f>AQ341+AR341+0.46</f>
        <v>86911.46</v>
      </c>
      <c r="BH341" s="64">
        <v>43326</v>
      </c>
      <c r="BI341" s="111">
        <v>43326</v>
      </c>
      <c r="BJ341" s="5">
        <v>43343</v>
      </c>
      <c r="BK341" s="5">
        <v>43343</v>
      </c>
      <c r="BL341" s="5"/>
      <c r="BM341" s="5"/>
      <c r="BN341" s="5"/>
      <c r="BO341" s="5"/>
      <c r="BP341" s="521"/>
      <c r="BQ341" s="1014"/>
      <c r="BR341" s="1014"/>
      <c r="BS341" s="55" t="s">
        <v>68</v>
      </c>
      <c r="BT341" s="14"/>
      <c r="BU341" s="14"/>
      <c r="BV341" s="14"/>
      <c r="BW341" s="14"/>
      <c r="BX341" s="14"/>
      <c r="BY341" s="1432" t="s">
        <v>1567</v>
      </c>
      <c r="BZ341" s="356" t="s">
        <v>459</v>
      </c>
      <c r="CA341" s="582"/>
      <c r="CB341" s="582"/>
      <c r="CC341" s="582"/>
      <c r="CD341" s="582"/>
      <c r="CE341" s="582"/>
      <c r="CF341" s="582"/>
      <c r="CG341" s="582"/>
      <c r="CH341" s="16"/>
    </row>
    <row r="342" spans="1:86" ht="123" hidden="1" customHeight="1">
      <c r="A342"/>
      <c r="B342" s="23"/>
      <c r="C342" s="23" t="s">
        <v>969</v>
      </c>
      <c r="D342" s="23"/>
      <c r="E342" s="335" t="s">
        <v>68</v>
      </c>
      <c r="F342" s="335"/>
      <c r="G342" s="1055">
        <v>43399</v>
      </c>
      <c r="H342" s="365"/>
      <c r="I342" s="182">
        <v>2018</v>
      </c>
      <c r="J342" s="1678">
        <v>186.29</v>
      </c>
      <c r="K342" s="183" t="s">
        <v>77</v>
      </c>
      <c r="L342" s="1135" t="s">
        <v>1123</v>
      </c>
      <c r="M342" s="185" t="s">
        <v>79</v>
      </c>
      <c r="N342" s="186" t="s">
        <v>1124</v>
      </c>
      <c r="O342" s="186" t="s">
        <v>2574</v>
      </c>
      <c r="P342" s="187">
        <v>458709.95</v>
      </c>
      <c r="Q342" s="656">
        <v>43346</v>
      </c>
      <c r="R342" s="686">
        <v>43349</v>
      </c>
      <c r="S342" s="687">
        <v>43367</v>
      </c>
      <c r="T342" s="70">
        <v>43332</v>
      </c>
      <c r="U342" s="191" t="s">
        <v>185</v>
      </c>
      <c r="V342" s="183" t="s">
        <v>984</v>
      </c>
      <c r="W342" s="685">
        <v>43340</v>
      </c>
      <c r="X342" s="1625"/>
      <c r="Y342" s="491" t="s">
        <v>1116</v>
      </c>
      <c r="Z342" s="9">
        <v>43325</v>
      </c>
      <c r="AA342" s="4">
        <v>458709.95</v>
      </c>
      <c r="AB342" s="4"/>
      <c r="AC342" s="34"/>
      <c r="AD342" s="36" t="s">
        <v>68</v>
      </c>
      <c r="AE342" s="119" t="s">
        <v>68</v>
      </c>
      <c r="AF342" s="119" t="s">
        <v>68</v>
      </c>
      <c r="AG342" s="7" t="s">
        <v>68</v>
      </c>
      <c r="AH342" s="116" t="s">
        <v>68</v>
      </c>
      <c r="AI342" s="35" t="s">
        <v>1112</v>
      </c>
      <c r="AJ342" s="1" t="s">
        <v>1125</v>
      </c>
      <c r="AK342" s="5">
        <v>43346</v>
      </c>
      <c r="AL342" s="1" t="s">
        <v>1126</v>
      </c>
      <c r="AM342" s="5">
        <v>43346</v>
      </c>
      <c r="AN342" s="71" t="s">
        <v>1127</v>
      </c>
      <c r="AO342" s="5">
        <v>43368</v>
      </c>
      <c r="AP342" s="306">
        <f>114677.48+45870.99+46913.1</f>
        <v>207461.57</v>
      </c>
      <c r="AQ342" s="37">
        <v>0</v>
      </c>
      <c r="AR342" s="1032">
        <v>468130.99</v>
      </c>
      <c r="AS342" s="1060">
        <v>468215.84</v>
      </c>
      <c r="AT342" s="75">
        <v>43349</v>
      </c>
      <c r="AU342" s="12">
        <v>43367</v>
      </c>
      <c r="AV342" s="243" t="s">
        <v>68</v>
      </c>
      <c r="AW342" s="54" t="s">
        <v>68</v>
      </c>
      <c r="AX342" s="75">
        <v>43348</v>
      </c>
      <c r="AY342" s="76">
        <v>43349</v>
      </c>
      <c r="AZ342" s="76">
        <v>43367</v>
      </c>
      <c r="BA342" s="134">
        <v>43367</v>
      </c>
      <c r="BB342" s="75">
        <v>43367</v>
      </c>
      <c r="BC342" s="1950"/>
      <c r="BD342" s="255">
        <v>43349</v>
      </c>
      <c r="BE342" s="255">
        <v>43367</v>
      </c>
      <c r="BF342" s="255">
        <v>43367</v>
      </c>
      <c r="BG342" s="72">
        <f t="shared" ref="BG342:BG355" si="10">AQ342+AR342</f>
        <v>468130.99</v>
      </c>
      <c r="BH342" s="64">
        <v>43368</v>
      </c>
      <c r="BI342" s="111"/>
      <c r="BJ342" s="5"/>
      <c r="BK342" s="5"/>
      <c r="BL342" s="54"/>
      <c r="BM342" s="54"/>
      <c r="BN342" s="54"/>
      <c r="BO342" s="54"/>
      <c r="BP342" s="54"/>
      <c r="BQ342" s="54"/>
      <c r="BR342" s="54"/>
      <c r="BS342" s="55"/>
      <c r="BT342" s="14"/>
      <c r="BU342" s="14"/>
      <c r="BV342" s="14"/>
      <c r="BW342" s="14"/>
      <c r="BX342" s="14"/>
      <c r="BY342" s="1432" t="s">
        <v>1567</v>
      </c>
      <c r="BZ342" s="649" t="s">
        <v>454</v>
      </c>
      <c r="CA342" s="582"/>
      <c r="CB342" s="582"/>
      <c r="CC342" s="582"/>
      <c r="CD342" s="582"/>
      <c r="CE342" s="582"/>
      <c r="CF342" s="582"/>
      <c r="CG342" s="582"/>
      <c r="CH342" s="16"/>
    </row>
    <row r="343" spans="1:86" ht="121.5" hidden="1" customHeight="1">
      <c r="A343"/>
      <c r="B343" s="23"/>
      <c r="C343" s="23" t="s">
        <v>969</v>
      </c>
      <c r="D343" s="23"/>
      <c r="E343" s="335" t="s">
        <v>68</v>
      </c>
      <c r="F343" s="335"/>
      <c r="G343" s="1055">
        <v>43399</v>
      </c>
      <c r="H343" s="365">
        <v>43409</v>
      </c>
      <c r="I343" s="182">
        <v>2018</v>
      </c>
      <c r="J343" s="1678">
        <v>186.3</v>
      </c>
      <c r="K343" s="183" t="s">
        <v>77</v>
      </c>
      <c r="L343" s="1135" t="s">
        <v>1128</v>
      </c>
      <c r="M343" s="185" t="s">
        <v>79</v>
      </c>
      <c r="N343" s="186" t="s">
        <v>1129</v>
      </c>
      <c r="O343" s="186" t="s">
        <v>2574</v>
      </c>
      <c r="P343" s="187">
        <v>615855.56999999995</v>
      </c>
      <c r="Q343" s="656">
        <v>43326</v>
      </c>
      <c r="R343" s="686">
        <v>43326</v>
      </c>
      <c r="S343" s="687">
        <v>43348</v>
      </c>
      <c r="T343" s="70">
        <v>43326</v>
      </c>
      <c r="U343" s="123" t="s">
        <v>199</v>
      </c>
      <c r="V343" s="735" t="s">
        <v>984</v>
      </c>
      <c r="W343" s="685">
        <v>43340</v>
      </c>
      <c r="X343" s="1625"/>
      <c r="Y343" s="491" t="s">
        <v>1116</v>
      </c>
      <c r="Z343" s="9">
        <v>43325</v>
      </c>
      <c r="AA343" s="4">
        <v>615855.56999999995</v>
      </c>
      <c r="AB343" s="4"/>
      <c r="AC343" s="34"/>
      <c r="AD343" s="36" t="s">
        <v>68</v>
      </c>
      <c r="AE343" s="119" t="s">
        <v>68</v>
      </c>
      <c r="AF343" s="119" t="s">
        <v>68</v>
      </c>
      <c r="AG343" s="7" t="s">
        <v>68</v>
      </c>
      <c r="AH343" s="116" t="s">
        <v>68</v>
      </c>
      <c r="AI343" s="35" t="s">
        <v>1112</v>
      </c>
      <c r="AJ343" s="1" t="s">
        <v>1130</v>
      </c>
      <c r="AK343" s="5">
        <v>43326</v>
      </c>
      <c r="AL343" s="1" t="s">
        <v>1131</v>
      </c>
      <c r="AM343" s="5">
        <v>43326</v>
      </c>
      <c r="AN343" s="71" t="s">
        <v>1132</v>
      </c>
      <c r="AO343" s="5">
        <v>43349</v>
      </c>
      <c r="AP343" s="306">
        <f>153963.89+61585.55+62135.09</f>
        <v>277684.53000000003</v>
      </c>
      <c r="AQ343" s="37">
        <v>0</v>
      </c>
      <c r="AR343" s="1032">
        <v>641350.92000000004</v>
      </c>
      <c r="AS343" s="1060">
        <v>621352.49</v>
      </c>
      <c r="AT343" s="75">
        <v>43326</v>
      </c>
      <c r="AU343" s="12">
        <v>43348</v>
      </c>
      <c r="AV343" s="243" t="s">
        <v>68</v>
      </c>
      <c r="AW343" s="54" t="s">
        <v>68</v>
      </c>
      <c r="AX343" s="75">
        <v>43348</v>
      </c>
      <c r="AY343" s="76">
        <v>43326</v>
      </c>
      <c r="AZ343" s="76">
        <v>43348</v>
      </c>
      <c r="BA343" s="134">
        <v>43348</v>
      </c>
      <c r="BB343" s="75">
        <v>43348</v>
      </c>
      <c r="BC343" s="1950"/>
      <c r="BD343" s="255">
        <v>43326</v>
      </c>
      <c r="BE343" s="255">
        <v>43348</v>
      </c>
      <c r="BF343" s="255">
        <v>43348</v>
      </c>
      <c r="BG343" s="72">
        <f t="shared" si="10"/>
        <v>641350.92000000004</v>
      </c>
      <c r="BH343" s="64">
        <v>43349</v>
      </c>
      <c r="BI343" s="111">
        <v>43346</v>
      </c>
      <c r="BJ343" s="5">
        <v>43326</v>
      </c>
      <c r="BK343" s="5">
        <v>43328</v>
      </c>
      <c r="BL343" s="54"/>
      <c r="BM343" s="54"/>
      <c r="BN343" s="54"/>
      <c r="BO343" s="54"/>
      <c r="BP343" s="54"/>
      <c r="BQ343" s="54"/>
      <c r="BR343" s="54"/>
      <c r="BS343" s="55"/>
      <c r="BT343" s="14"/>
      <c r="BU343" s="14"/>
      <c r="BV343" s="14"/>
      <c r="BW343" s="14"/>
      <c r="BX343" s="14"/>
      <c r="BY343" s="1432" t="s">
        <v>1567</v>
      </c>
      <c r="BZ343" s="649" t="s">
        <v>454</v>
      </c>
      <c r="CA343" s="582"/>
      <c r="CB343" s="582"/>
      <c r="CC343" s="582"/>
      <c r="CD343" s="582"/>
      <c r="CE343" s="582"/>
      <c r="CF343" s="582"/>
      <c r="CG343" s="582"/>
      <c r="CH343" s="16"/>
    </row>
    <row r="344" spans="1:86" ht="99" hidden="1" customHeight="1">
      <c r="A344"/>
      <c r="B344" s="23"/>
      <c r="C344" s="23"/>
      <c r="D344" s="23"/>
      <c r="E344" s="335" t="s">
        <v>68</v>
      </c>
      <c r="F344" s="335"/>
      <c r="G344" s="1055">
        <v>43441</v>
      </c>
      <c r="H344" s="365">
        <v>43470</v>
      </c>
      <c r="I344" s="182">
        <v>2018</v>
      </c>
      <c r="J344" s="1678">
        <v>186.31</v>
      </c>
      <c r="K344" s="183" t="s">
        <v>77</v>
      </c>
      <c r="L344" s="1135" t="s">
        <v>1133</v>
      </c>
      <c r="M344" s="185" t="s">
        <v>79</v>
      </c>
      <c r="N344" s="186" t="s">
        <v>1134</v>
      </c>
      <c r="O344" s="186" t="s">
        <v>2548</v>
      </c>
      <c r="P344" s="187">
        <v>413195.74</v>
      </c>
      <c r="Q344" s="656">
        <v>43320</v>
      </c>
      <c r="R344" s="189">
        <v>43322</v>
      </c>
      <c r="S344" s="190">
        <v>43341</v>
      </c>
      <c r="T344" s="578">
        <v>43318</v>
      </c>
      <c r="U344" s="191" t="s">
        <v>925</v>
      </c>
      <c r="V344" s="183" t="s">
        <v>709</v>
      </c>
      <c r="W344" s="685">
        <v>43333</v>
      </c>
      <c r="X344" s="1625"/>
      <c r="Y344" s="491" t="s">
        <v>1135</v>
      </c>
      <c r="Z344" s="9">
        <v>43273</v>
      </c>
      <c r="AA344" s="4">
        <v>413195.74</v>
      </c>
      <c r="AB344" s="4"/>
      <c r="AC344" s="34"/>
      <c r="AD344" s="36" t="s">
        <v>68</v>
      </c>
      <c r="AE344" s="119" t="s">
        <v>68</v>
      </c>
      <c r="AF344" s="119" t="s">
        <v>68</v>
      </c>
      <c r="AG344" s="7" t="s">
        <v>68</v>
      </c>
      <c r="AH344" s="116" t="s">
        <v>68</v>
      </c>
      <c r="AI344" s="35" t="s">
        <v>1017</v>
      </c>
      <c r="AJ344" s="1" t="s">
        <v>68</v>
      </c>
      <c r="AK344" s="5"/>
      <c r="AL344" s="1" t="s">
        <v>1136</v>
      </c>
      <c r="AM344" s="5">
        <v>43320</v>
      </c>
      <c r="AN344" s="1" t="s">
        <v>1137</v>
      </c>
      <c r="AO344" s="5">
        <v>43342</v>
      </c>
      <c r="AP344" s="306">
        <f>41319.57+41233.19</f>
        <v>82552.760000000009</v>
      </c>
      <c r="AQ344" s="37">
        <v>0</v>
      </c>
      <c r="AR344" s="1031">
        <v>412331.96</v>
      </c>
      <c r="AS344" s="1018">
        <v>412331.96</v>
      </c>
      <c r="AT344" s="68" t="s">
        <v>74</v>
      </c>
      <c r="AU344" s="12"/>
      <c r="AV344" s="243" t="s">
        <v>68</v>
      </c>
      <c r="AW344" s="54" t="s">
        <v>68</v>
      </c>
      <c r="AX344" s="75">
        <v>43341</v>
      </c>
      <c r="AY344" s="76">
        <v>43322</v>
      </c>
      <c r="AZ344" s="76">
        <v>43341</v>
      </c>
      <c r="BA344" s="134">
        <v>43341</v>
      </c>
      <c r="BB344" s="75">
        <v>43341</v>
      </c>
      <c r="BC344" s="1950"/>
      <c r="BD344" s="255">
        <v>43322</v>
      </c>
      <c r="BE344" s="255">
        <v>43341</v>
      </c>
      <c r="BF344" s="255">
        <v>43341</v>
      </c>
      <c r="BG344" s="72">
        <f t="shared" si="10"/>
        <v>412331.96</v>
      </c>
      <c r="BH344" s="64">
        <v>43342</v>
      </c>
      <c r="BI344" s="773"/>
      <c r="BJ344" s="521"/>
      <c r="BK344" s="521"/>
      <c r="BL344" s="521"/>
      <c r="BM344" s="521"/>
      <c r="BN344" s="521"/>
      <c r="BO344" s="521"/>
      <c r="BP344" s="521"/>
      <c r="BQ344" s="1014"/>
      <c r="BR344" s="1014"/>
      <c r="BS344" s="792"/>
      <c r="BT344" s="14"/>
      <c r="BU344" s="14"/>
      <c r="BV344" s="14"/>
      <c r="BW344" s="14"/>
      <c r="BX344" s="14"/>
      <c r="BY344" s="1432" t="s">
        <v>1567</v>
      </c>
      <c r="BZ344" s="356" t="s">
        <v>459</v>
      </c>
      <c r="CA344" s="582"/>
      <c r="CB344" s="582"/>
      <c r="CC344" s="582"/>
      <c r="CD344" s="582"/>
      <c r="CE344" s="582"/>
      <c r="CF344" s="582"/>
      <c r="CG344" s="582"/>
      <c r="CH344" s="16"/>
    </row>
    <row r="345" spans="1:86" ht="64.5" hidden="1" customHeight="1">
      <c r="A345"/>
      <c r="B345" s="23"/>
      <c r="C345" s="23"/>
      <c r="D345" s="23"/>
      <c r="E345" s="335" t="s">
        <v>68</v>
      </c>
      <c r="F345" s="335"/>
      <c r="G345" s="1055">
        <v>43441</v>
      </c>
      <c r="H345" s="365"/>
      <c r="I345" s="182">
        <v>2018</v>
      </c>
      <c r="J345" s="1678">
        <v>186.32</v>
      </c>
      <c r="K345" s="183" t="s">
        <v>77</v>
      </c>
      <c r="L345" s="1135" t="s">
        <v>1138</v>
      </c>
      <c r="M345" s="185" t="s">
        <v>79</v>
      </c>
      <c r="N345" s="783" t="s">
        <v>1139</v>
      </c>
      <c r="O345" s="783" t="s">
        <v>4458</v>
      </c>
      <c r="P345" s="784">
        <v>229200</v>
      </c>
      <c r="Q345" s="746">
        <v>43329</v>
      </c>
      <c r="R345" s="189">
        <v>43332</v>
      </c>
      <c r="S345" s="190">
        <v>43353</v>
      </c>
      <c r="T345" s="382">
        <v>43326</v>
      </c>
      <c r="U345" s="191" t="s">
        <v>739</v>
      </c>
      <c r="V345" s="183" t="s">
        <v>709</v>
      </c>
      <c r="W345" s="685">
        <v>43328</v>
      </c>
      <c r="X345" s="1625"/>
      <c r="Y345" s="380" t="s">
        <v>1140</v>
      </c>
      <c r="Z345" s="9">
        <v>43298</v>
      </c>
      <c r="AA345" s="4">
        <v>229200</v>
      </c>
      <c r="AB345" s="4"/>
      <c r="AC345" s="34"/>
      <c r="AD345" s="36" t="s">
        <v>68</v>
      </c>
      <c r="AE345" s="119" t="s">
        <v>68</v>
      </c>
      <c r="AF345" s="119" t="s">
        <v>68</v>
      </c>
      <c r="AG345" s="7" t="s">
        <v>68</v>
      </c>
      <c r="AH345" s="116" t="s">
        <v>68</v>
      </c>
      <c r="AI345" s="35" t="s">
        <v>787</v>
      </c>
      <c r="AJ345" s="1">
        <v>2245765</v>
      </c>
      <c r="AK345" s="5">
        <v>43329</v>
      </c>
      <c r="AL345" s="239"/>
      <c r="AM345" s="5"/>
      <c r="AN345" s="239"/>
      <c r="AO345" s="1"/>
      <c r="AP345" s="306">
        <f>57300</f>
        <v>57300</v>
      </c>
      <c r="AQ345" s="37">
        <v>0</v>
      </c>
      <c r="AR345" s="1031"/>
      <c r="AS345" s="1018">
        <v>199349.33</v>
      </c>
      <c r="AT345" s="68" t="s">
        <v>74</v>
      </c>
      <c r="AU345" s="12"/>
      <c r="AV345" s="243"/>
      <c r="AW345" s="54"/>
      <c r="AX345" s="124" t="s">
        <v>74</v>
      </c>
      <c r="AY345" s="1"/>
      <c r="AZ345" s="1"/>
      <c r="BA345" s="18"/>
      <c r="BB345" s="124" t="s">
        <v>74</v>
      </c>
      <c r="BC345" s="1959"/>
      <c r="BD345" s="255"/>
      <c r="BE345" s="255"/>
      <c r="BF345" s="255"/>
      <c r="BG345" s="72">
        <f t="shared" si="10"/>
        <v>0</v>
      </c>
      <c r="BH345" s="14"/>
      <c r="BI345" s="111"/>
      <c r="BJ345" s="5"/>
      <c r="BK345" s="5"/>
      <c r="BL345" s="54"/>
      <c r="BM345" s="54"/>
      <c r="BN345" s="54"/>
      <c r="BO345" s="54"/>
      <c r="BP345" s="54"/>
      <c r="BQ345" s="54"/>
      <c r="BR345" s="54"/>
      <c r="BS345" s="55"/>
      <c r="BT345" s="14"/>
      <c r="BU345" s="14"/>
      <c r="BV345" s="14"/>
      <c r="BW345" s="14"/>
      <c r="BX345" s="14"/>
      <c r="BY345" s="1432" t="s">
        <v>1567</v>
      </c>
      <c r="BZ345" s="356" t="s">
        <v>459</v>
      </c>
      <c r="CA345" s="582"/>
      <c r="CB345" s="582"/>
      <c r="CC345" s="582"/>
      <c r="CD345" s="582"/>
      <c r="CE345" s="582"/>
      <c r="CF345" s="582"/>
      <c r="CG345" s="582"/>
      <c r="CH345" s="16"/>
    </row>
    <row r="346" spans="1:86" ht="82.5" hidden="1" customHeight="1">
      <c r="A346"/>
      <c r="B346" s="23"/>
      <c r="C346" s="23" t="s">
        <v>969</v>
      </c>
      <c r="D346" s="23"/>
      <c r="E346" s="1051">
        <v>43709</v>
      </c>
      <c r="F346" s="1051"/>
      <c r="G346" s="1055">
        <v>43560</v>
      </c>
      <c r="H346" s="365">
        <v>43560</v>
      </c>
      <c r="I346" s="182">
        <v>2018</v>
      </c>
      <c r="J346" s="1678">
        <v>187.01</v>
      </c>
      <c r="K346" s="183" t="s">
        <v>77</v>
      </c>
      <c r="L346" s="739" t="s">
        <v>948</v>
      </c>
      <c r="M346" s="2" t="s">
        <v>4077</v>
      </c>
      <c r="N346" s="186" t="s">
        <v>1141</v>
      </c>
      <c r="O346" s="186" t="s">
        <v>4458</v>
      </c>
      <c r="P346" s="187">
        <v>257552.49</v>
      </c>
      <c r="Q346" s="657">
        <v>43431</v>
      </c>
      <c r="R346" s="189">
        <v>43431</v>
      </c>
      <c r="S346" s="190">
        <v>43456</v>
      </c>
      <c r="T346" s="111" t="s">
        <v>68</v>
      </c>
      <c r="U346" s="191" t="s">
        <v>1177</v>
      </c>
      <c r="V346" s="183" t="s">
        <v>213</v>
      </c>
      <c r="W346" s="740">
        <v>43433</v>
      </c>
      <c r="X346" s="1629"/>
      <c r="Y346" s="180" t="s">
        <v>1142</v>
      </c>
      <c r="Z346" s="9">
        <v>43430</v>
      </c>
      <c r="AA346" s="4">
        <v>257552.49</v>
      </c>
      <c r="AB346" s="4"/>
      <c r="AC346" s="34"/>
      <c r="AD346" s="36" t="s">
        <v>68</v>
      </c>
      <c r="AE346" s="119" t="s">
        <v>68</v>
      </c>
      <c r="AF346" s="119" t="s">
        <v>68</v>
      </c>
      <c r="AG346" s="7" t="s">
        <v>68</v>
      </c>
      <c r="AH346" s="116" t="s">
        <v>68</v>
      </c>
      <c r="AI346" s="35" t="s">
        <v>68</v>
      </c>
      <c r="AJ346" s="1" t="s">
        <v>68</v>
      </c>
      <c r="AK346" s="5" t="s">
        <v>68</v>
      </c>
      <c r="AL346" s="1" t="s">
        <v>68</v>
      </c>
      <c r="AM346" s="5" t="s">
        <v>68</v>
      </c>
      <c r="AN346" s="1" t="s">
        <v>68</v>
      </c>
      <c r="AO346" s="1" t="s">
        <v>68</v>
      </c>
      <c r="AP346" s="306">
        <v>0</v>
      </c>
      <c r="AQ346" s="74">
        <v>77500</v>
      </c>
      <c r="AR346" s="1032">
        <v>179448.51</v>
      </c>
      <c r="AS346" s="1019">
        <v>256948.51</v>
      </c>
      <c r="AT346" s="78">
        <v>43431</v>
      </c>
      <c r="AU346" s="12">
        <v>43451</v>
      </c>
      <c r="AV346" s="243"/>
      <c r="AW346" s="54"/>
      <c r="AX346" s="253"/>
      <c r="AY346" s="5"/>
      <c r="AZ346" s="5"/>
      <c r="BA346" s="12"/>
      <c r="BB346" s="78">
        <v>43456</v>
      </c>
      <c r="BC346" s="344"/>
      <c r="BD346" s="5">
        <v>43431</v>
      </c>
      <c r="BE346" s="5">
        <v>43456</v>
      </c>
      <c r="BF346" s="1"/>
      <c r="BG346" s="38">
        <f t="shared" si="10"/>
        <v>256948.51</v>
      </c>
      <c r="BH346" s="14" t="s">
        <v>68</v>
      </c>
      <c r="BI346" s="372">
        <v>43432</v>
      </c>
      <c r="BJ346" s="76" t="s">
        <v>68</v>
      </c>
      <c r="BK346" s="76" t="s">
        <v>68</v>
      </c>
      <c r="BL346" s="372"/>
      <c r="BM346" s="372"/>
      <c r="BN346" s="372"/>
      <c r="BO346" s="372"/>
      <c r="BP346" s="372" t="s">
        <v>68</v>
      </c>
      <c r="BQ346" s="372"/>
      <c r="BR346" s="372" t="s">
        <v>68</v>
      </c>
      <c r="BS346" s="372" t="s">
        <v>68</v>
      </c>
      <c r="BT346" s="14"/>
      <c r="BU346" s="14"/>
      <c r="BV346" s="14"/>
      <c r="BW346" s="14"/>
      <c r="BX346" s="14"/>
      <c r="BY346" s="1433" t="s">
        <v>2098</v>
      </c>
      <c r="BZ346" s="649" t="s">
        <v>1143</v>
      </c>
      <c r="CA346" s="582"/>
      <c r="CB346" s="582"/>
      <c r="CC346" s="582"/>
      <c r="CD346" s="582"/>
      <c r="CE346" s="582"/>
      <c r="CF346" s="582"/>
      <c r="CG346" s="582"/>
      <c r="CH346" s="16"/>
    </row>
    <row r="347" spans="1:86" ht="84" hidden="1" customHeight="1">
      <c r="A347"/>
      <c r="B347" s="23"/>
      <c r="C347" s="23" t="s">
        <v>969</v>
      </c>
      <c r="D347" s="23"/>
      <c r="E347" s="1051">
        <v>43709</v>
      </c>
      <c r="F347" s="1051"/>
      <c r="G347" s="1055">
        <v>43560</v>
      </c>
      <c r="H347" s="365">
        <v>43560</v>
      </c>
      <c r="I347" s="182">
        <v>2018</v>
      </c>
      <c r="J347" s="1678">
        <v>187.02</v>
      </c>
      <c r="K347" s="183" t="s">
        <v>77</v>
      </c>
      <c r="L347" s="739" t="s">
        <v>951</v>
      </c>
      <c r="M347" s="2" t="s">
        <v>4077</v>
      </c>
      <c r="N347" s="186" t="s">
        <v>1144</v>
      </c>
      <c r="O347" s="186" t="s">
        <v>4458</v>
      </c>
      <c r="P347" s="187">
        <v>352132.79</v>
      </c>
      <c r="Q347" s="657">
        <v>43434</v>
      </c>
      <c r="R347" s="189">
        <v>43434</v>
      </c>
      <c r="S347" s="190">
        <v>43456</v>
      </c>
      <c r="T347" s="111" t="s">
        <v>68</v>
      </c>
      <c r="U347" s="191" t="s">
        <v>1177</v>
      </c>
      <c r="V347" s="183" t="s">
        <v>213</v>
      </c>
      <c r="W347" s="740">
        <v>43433</v>
      </c>
      <c r="X347" s="1629"/>
      <c r="Y347" s="180" t="s">
        <v>1142</v>
      </c>
      <c r="Z347" s="9">
        <v>43430</v>
      </c>
      <c r="AA347" s="4">
        <v>352132.79</v>
      </c>
      <c r="AB347" s="4"/>
      <c r="AC347" s="34"/>
      <c r="AD347" s="36" t="s">
        <v>68</v>
      </c>
      <c r="AE347" s="119" t="s">
        <v>68</v>
      </c>
      <c r="AF347" s="119" t="s">
        <v>68</v>
      </c>
      <c r="AG347" s="7" t="s">
        <v>68</v>
      </c>
      <c r="AH347" s="116" t="s">
        <v>68</v>
      </c>
      <c r="AI347" s="35" t="s">
        <v>68</v>
      </c>
      <c r="AJ347" s="1" t="s">
        <v>68</v>
      </c>
      <c r="AK347" s="5" t="s">
        <v>68</v>
      </c>
      <c r="AL347" s="1" t="s">
        <v>68</v>
      </c>
      <c r="AM347" s="5" t="s">
        <v>68</v>
      </c>
      <c r="AN347" s="1" t="s">
        <v>68</v>
      </c>
      <c r="AO347" s="1" t="s">
        <v>68</v>
      </c>
      <c r="AP347" s="306">
        <v>0</v>
      </c>
      <c r="AQ347" s="74">
        <v>130200</v>
      </c>
      <c r="AR347" s="1032">
        <v>212061.25</v>
      </c>
      <c r="AS347" s="1060">
        <v>350943.05</v>
      </c>
      <c r="AT347" s="78">
        <v>43434</v>
      </c>
      <c r="AU347" s="12">
        <v>43456</v>
      </c>
      <c r="AV347" s="243"/>
      <c r="AW347" s="54"/>
      <c r="AX347" s="253"/>
      <c r="AY347" s="5"/>
      <c r="AZ347" s="5"/>
      <c r="BA347" s="12"/>
      <c r="BB347" s="78">
        <v>43456</v>
      </c>
      <c r="BC347" s="344"/>
      <c r="BD347" s="5">
        <v>43434</v>
      </c>
      <c r="BE347" s="5">
        <v>43456</v>
      </c>
      <c r="BF347" s="1"/>
      <c r="BG347" s="38">
        <f t="shared" si="10"/>
        <v>342261.25</v>
      </c>
      <c r="BH347" s="14" t="s">
        <v>68</v>
      </c>
      <c r="BI347" s="372">
        <v>43432</v>
      </c>
      <c r="BJ347" s="76" t="s">
        <v>68</v>
      </c>
      <c r="BK347" s="76" t="s">
        <v>68</v>
      </c>
      <c r="BL347" s="372"/>
      <c r="BM347" s="372"/>
      <c r="BN347" s="372"/>
      <c r="BO347" s="372"/>
      <c r="BP347" s="372" t="s">
        <v>68</v>
      </c>
      <c r="BQ347" s="372"/>
      <c r="BR347" s="372" t="s">
        <v>68</v>
      </c>
      <c r="BS347" s="372" t="s">
        <v>68</v>
      </c>
      <c r="BT347" s="14"/>
      <c r="BU347" s="14"/>
      <c r="BV347" s="14"/>
      <c r="BW347" s="14"/>
      <c r="BX347" s="14"/>
      <c r="BY347" s="1433" t="s">
        <v>2098</v>
      </c>
      <c r="BZ347" s="649" t="s">
        <v>1143</v>
      </c>
      <c r="CA347" s="582"/>
      <c r="CB347" s="582"/>
      <c r="CC347" s="582"/>
      <c r="CD347" s="582"/>
      <c r="CE347" s="582"/>
      <c r="CF347" s="582"/>
      <c r="CG347" s="582"/>
      <c r="CH347" s="16"/>
    </row>
    <row r="348" spans="1:86" ht="75" hidden="1" customHeight="1">
      <c r="A348"/>
      <c r="B348" s="23"/>
      <c r="C348" s="23"/>
      <c r="D348" s="23"/>
      <c r="E348" s="1051">
        <v>43709</v>
      </c>
      <c r="F348" s="1051"/>
      <c r="G348" s="1055">
        <v>43560</v>
      </c>
      <c r="H348" s="365">
        <v>43560</v>
      </c>
      <c r="I348" s="182">
        <v>2018</v>
      </c>
      <c r="J348" s="1678">
        <v>187.03</v>
      </c>
      <c r="K348" s="183" t="s">
        <v>77</v>
      </c>
      <c r="L348" s="191" t="s">
        <v>954</v>
      </c>
      <c r="M348" s="2" t="s">
        <v>4077</v>
      </c>
      <c r="N348" s="186" t="s">
        <v>1145</v>
      </c>
      <c r="O348" s="186" t="s">
        <v>2574</v>
      </c>
      <c r="P348" s="187">
        <v>301076.28999999998</v>
      </c>
      <c r="Q348" s="657">
        <v>43449</v>
      </c>
      <c r="R348" s="189">
        <v>43449</v>
      </c>
      <c r="S348" s="190">
        <v>43465</v>
      </c>
      <c r="T348" s="111" t="s">
        <v>68</v>
      </c>
      <c r="U348" s="191" t="s">
        <v>1177</v>
      </c>
      <c r="V348" s="183" t="s">
        <v>213</v>
      </c>
      <c r="W348" s="740">
        <v>43440</v>
      </c>
      <c r="X348" s="1629"/>
      <c r="Y348" s="180" t="s">
        <v>1146</v>
      </c>
      <c r="Z348" s="9">
        <v>43448</v>
      </c>
      <c r="AA348" s="4">
        <v>301076.28999999998</v>
      </c>
      <c r="AB348" s="4"/>
      <c r="AC348" s="34"/>
      <c r="AD348" s="36" t="s">
        <v>68</v>
      </c>
      <c r="AE348" s="119" t="s">
        <v>68</v>
      </c>
      <c r="AF348" s="119" t="s">
        <v>68</v>
      </c>
      <c r="AG348" s="7" t="s">
        <v>68</v>
      </c>
      <c r="AH348" s="116" t="s">
        <v>68</v>
      </c>
      <c r="AI348" s="35" t="s">
        <v>68</v>
      </c>
      <c r="AJ348" s="1" t="s">
        <v>68</v>
      </c>
      <c r="AK348" s="5" t="s">
        <v>68</v>
      </c>
      <c r="AL348" s="1" t="s">
        <v>68</v>
      </c>
      <c r="AM348" s="5" t="s">
        <v>68</v>
      </c>
      <c r="AN348" s="1" t="s">
        <v>68</v>
      </c>
      <c r="AO348" s="1" t="s">
        <v>68</v>
      </c>
      <c r="AP348" s="306">
        <v>0</v>
      </c>
      <c r="AQ348" s="74">
        <v>30600</v>
      </c>
      <c r="AR348" s="1032">
        <v>275044.31</v>
      </c>
      <c r="AS348" s="1027">
        <v>305634.31</v>
      </c>
      <c r="AT348" s="78">
        <v>43449</v>
      </c>
      <c r="AU348" s="12">
        <v>43463</v>
      </c>
      <c r="AV348" s="243"/>
      <c r="AW348" s="54"/>
      <c r="AX348" s="253"/>
      <c r="AY348" s="5"/>
      <c r="AZ348" s="5"/>
      <c r="BA348" s="12"/>
      <c r="BB348" s="253">
        <v>43465</v>
      </c>
      <c r="BC348" s="558"/>
      <c r="BD348" s="5">
        <v>43449</v>
      </c>
      <c r="BE348" s="5">
        <v>43465</v>
      </c>
      <c r="BF348" s="1"/>
      <c r="BG348" s="38">
        <f t="shared" si="10"/>
        <v>305644.31</v>
      </c>
      <c r="BH348" s="14" t="s">
        <v>68</v>
      </c>
      <c r="BI348" s="372">
        <v>43447</v>
      </c>
      <c r="BJ348" s="1052" t="s">
        <v>68</v>
      </c>
      <c r="BK348" s="1052" t="s">
        <v>68</v>
      </c>
      <c r="BL348" s="1053"/>
      <c r="BM348" s="1053"/>
      <c r="BN348" s="1053"/>
      <c r="BO348" s="1053"/>
      <c r="BP348" s="1053" t="s">
        <v>68</v>
      </c>
      <c r="BQ348" s="1053"/>
      <c r="BR348" s="372" t="s">
        <v>68</v>
      </c>
      <c r="BS348" s="1053" t="s">
        <v>68</v>
      </c>
      <c r="BT348" s="14"/>
      <c r="BU348" s="14"/>
      <c r="BV348" s="14"/>
      <c r="BW348" s="14"/>
      <c r="BX348" s="14"/>
      <c r="BY348" s="1433" t="s">
        <v>2098</v>
      </c>
      <c r="BZ348" s="40"/>
      <c r="CA348" s="582"/>
      <c r="CB348" s="582"/>
      <c r="CC348" s="582"/>
      <c r="CD348" s="582"/>
      <c r="CE348" s="582"/>
      <c r="CF348" s="582"/>
      <c r="CG348" s="582"/>
      <c r="CH348" s="16"/>
    </row>
    <row r="349" spans="1:86" ht="103.5" hidden="1" customHeight="1">
      <c r="A349"/>
      <c r="B349" s="23"/>
      <c r="C349" s="23"/>
      <c r="D349" s="23"/>
      <c r="E349" s="1051">
        <v>43709</v>
      </c>
      <c r="F349" s="1051"/>
      <c r="G349" s="1055">
        <v>43560</v>
      </c>
      <c r="H349" s="365">
        <v>43560</v>
      </c>
      <c r="I349" s="182">
        <v>2018</v>
      </c>
      <c r="J349" s="1678">
        <v>187.04</v>
      </c>
      <c r="K349" s="183" t="s">
        <v>77</v>
      </c>
      <c r="L349" s="1135" t="s">
        <v>957</v>
      </c>
      <c r="M349" s="2" t="s">
        <v>4077</v>
      </c>
      <c r="N349" s="186" t="s">
        <v>1147</v>
      </c>
      <c r="O349" s="186" t="s">
        <v>2574</v>
      </c>
      <c r="P349" s="187">
        <v>212579.41</v>
      </c>
      <c r="Q349" s="657">
        <v>43449</v>
      </c>
      <c r="R349" s="189">
        <v>43449</v>
      </c>
      <c r="S349" s="190">
        <v>43465</v>
      </c>
      <c r="T349" s="111" t="s">
        <v>68</v>
      </c>
      <c r="U349" s="191" t="s">
        <v>1177</v>
      </c>
      <c r="V349" s="183" t="s">
        <v>213</v>
      </c>
      <c r="W349" s="740">
        <v>43440</v>
      </c>
      <c r="X349" s="1629"/>
      <c r="Y349" s="180" t="s">
        <v>1146</v>
      </c>
      <c r="Z349" s="9">
        <v>43448</v>
      </c>
      <c r="AA349" s="4">
        <v>212613.48</v>
      </c>
      <c r="AB349" s="4"/>
      <c r="AC349" s="34"/>
      <c r="AD349" s="36" t="s">
        <v>68</v>
      </c>
      <c r="AE349" s="119" t="s">
        <v>68</v>
      </c>
      <c r="AF349" s="119" t="s">
        <v>68</v>
      </c>
      <c r="AG349" s="7" t="s">
        <v>68</v>
      </c>
      <c r="AH349" s="116" t="s">
        <v>68</v>
      </c>
      <c r="AI349" s="35" t="s">
        <v>68</v>
      </c>
      <c r="AJ349" s="1" t="s">
        <v>68</v>
      </c>
      <c r="AK349" s="5" t="s">
        <v>68</v>
      </c>
      <c r="AL349" s="1" t="s">
        <v>68</v>
      </c>
      <c r="AM349" s="5" t="s">
        <v>68</v>
      </c>
      <c r="AN349" s="1" t="s">
        <v>68</v>
      </c>
      <c r="AO349" s="1" t="s">
        <v>68</v>
      </c>
      <c r="AP349" s="306">
        <v>0</v>
      </c>
      <c r="AQ349" s="74">
        <v>20900</v>
      </c>
      <c r="AR349" s="1032">
        <v>196383.1</v>
      </c>
      <c r="AS349" s="1019">
        <v>217283.1</v>
      </c>
      <c r="AT349" s="78">
        <v>43449</v>
      </c>
      <c r="AU349" s="12">
        <v>43460</v>
      </c>
      <c r="AV349" s="243" t="s">
        <v>68</v>
      </c>
      <c r="AW349" s="54"/>
      <c r="AX349" s="253"/>
      <c r="AY349" s="5"/>
      <c r="AZ349" s="5"/>
      <c r="BA349" s="12"/>
      <c r="BB349" s="78">
        <v>43465</v>
      </c>
      <c r="BC349" s="344"/>
      <c r="BD349" s="5">
        <v>43449</v>
      </c>
      <c r="BE349" s="5">
        <v>43465</v>
      </c>
      <c r="BF349" s="1"/>
      <c r="BG349" s="38">
        <f t="shared" si="10"/>
        <v>217283.1</v>
      </c>
      <c r="BH349" s="14" t="s">
        <v>68</v>
      </c>
      <c r="BI349" s="1053" t="s">
        <v>68</v>
      </c>
      <c r="BJ349" s="1052" t="s">
        <v>68</v>
      </c>
      <c r="BK349" s="1052" t="s">
        <v>68</v>
      </c>
      <c r="BL349" s="1053"/>
      <c r="BM349" s="1053"/>
      <c r="BN349" s="1053"/>
      <c r="BO349" s="1053"/>
      <c r="BP349" s="1053"/>
      <c r="BQ349" s="1053"/>
      <c r="BR349" s="372" t="s">
        <v>68</v>
      </c>
      <c r="BS349" s="1053" t="s">
        <v>68</v>
      </c>
      <c r="BT349" s="14"/>
      <c r="BU349" s="14"/>
      <c r="BV349" s="14"/>
      <c r="BW349" s="14"/>
      <c r="BX349" s="14"/>
      <c r="BY349" s="1433" t="s">
        <v>2098</v>
      </c>
      <c r="BZ349" s="40"/>
      <c r="CA349" s="582"/>
      <c r="CB349" s="582"/>
      <c r="CC349" s="582"/>
      <c r="CD349" s="582"/>
      <c r="CE349" s="582"/>
      <c r="CF349" s="582"/>
      <c r="CG349" s="582"/>
      <c r="CH349" s="16"/>
    </row>
    <row r="350" spans="1:86" ht="71.25" hidden="1" customHeight="1">
      <c r="A350"/>
      <c r="B350" s="23"/>
      <c r="C350" s="23"/>
      <c r="D350" s="23"/>
      <c r="E350" s="1051"/>
      <c r="F350" s="1051"/>
      <c r="G350" s="1055">
        <v>43976</v>
      </c>
      <c r="H350" s="365">
        <v>43837</v>
      </c>
      <c r="I350" s="182">
        <v>2019</v>
      </c>
      <c r="J350" s="1678">
        <v>190.03</v>
      </c>
      <c r="K350" s="183" t="s">
        <v>1155</v>
      </c>
      <c r="L350" s="739" t="s">
        <v>1156</v>
      </c>
      <c r="M350" s="663" t="s">
        <v>467</v>
      </c>
      <c r="N350" s="495" t="s">
        <v>1157</v>
      </c>
      <c r="O350" s="495" t="s">
        <v>2699</v>
      </c>
      <c r="P350" s="661">
        <v>885535.63</v>
      </c>
      <c r="Q350" s="657">
        <v>43689</v>
      </c>
      <c r="R350" s="664">
        <v>43690</v>
      </c>
      <c r="S350" s="665">
        <v>43812</v>
      </c>
      <c r="T350" s="578"/>
      <c r="U350" s="739" t="s">
        <v>1177</v>
      </c>
      <c r="V350" s="716" t="s">
        <v>709</v>
      </c>
      <c r="W350" s="740" t="s">
        <v>68</v>
      </c>
      <c r="X350" s="1629"/>
      <c r="Y350" s="180" t="s">
        <v>1158</v>
      </c>
      <c r="Z350" s="9">
        <v>43521</v>
      </c>
      <c r="AA350" s="4">
        <v>800000</v>
      </c>
      <c r="AB350" s="4"/>
      <c r="AC350" s="34"/>
      <c r="AD350" s="36" t="s">
        <v>68</v>
      </c>
      <c r="AE350" s="119" t="s">
        <v>68</v>
      </c>
      <c r="AF350" s="119" t="s">
        <v>68</v>
      </c>
      <c r="AG350" s="7" t="s">
        <v>68</v>
      </c>
      <c r="AH350" s="116" t="s">
        <v>68</v>
      </c>
      <c r="AI350" s="35" t="s">
        <v>68</v>
      </c>
      <c r="AJ350" s="1" t="s">
        <v>68</v>
      </c>
      <c r="AK350" s="5" t="s">
        <v>68</v>
      </c>
      <c r="AL350" s="1" t="s">
        <v>68</v>
      </c>
      <c r="AM350" s="5" t="s">
        <v>68</v>
      </c>
      <c r="AN350" s="1" t="s">
        <v>68</v>
      </c>
      <c r="AO350" s="1" t="s">
        <v>68</v>
      </c>
      <c r="AP350" s="306">
        <v>0</v>
      </c>
      <c r="AQ350" s="74">
        <v>0</v>
      </c>
      <c r="AR350" s="1032">
        <v>0</v>
      </c>
      <c r="AS350" s="1019">
        <v>0</v>
      </c>
      <c r="AT350" s="78" t="s">
        <v>68</v>
      </c>
      <c r="AU350" s="12" t="s">
        <v>68</v>
      </c>
      <c r="AV350" s="243" t="s">
        <v>68</v>
      </c>
      <c r="AW350" s="54" t="s">
        <v>68</v>
      </c>
      <c r="AX350" s="78" t="s">
        <v>68</v>
      </c>
      <c r="AY350" s="5" t="s">
        <v>68</v>
      </c>
      <c r="AZ350" s="5" t="s">
        <v>68</v>
      </c>
      <c r="BA350" s="428" t="s">
        <v>68</v>
      </c>
      <c r="BB350" s="78" t="s">
        <v>68</v>
      </c>
      <c r="BC350" s="344"/>
      <c r="BD350" s="5" t="s">
        <v>68</v>
      </c>
      <c r="BE350" s="5" t="s">
        <v>68</v>
      </c>
      <c r="BF350" s="1" t="s">
        <v>68</v>
      </c>
      <c r="BG350" s="38">
        <f t="shared" si="10"/>
        <v>0</v>
      </c>
      <c r="BH350" s="14" t="s">
        <v>68</v>
      </c>
      <c r="BI350" s="1053" t="s">
        <v>68</v>
      </c>
      <c r="BJ350" s="1052" t="s">
        <v>68</v>
      </c>
      <c r="BK350" s="1052" t="s">
        <v>68</v>
      </c>
      <c r="BL350" s="1053"/>
      <c r="BM350" s="1053"/>
      <c r="BN350" s="1053"/>
      <c r="BO350" s="1053"/>
      <c r="BP350" s="1053" t="s">
        <v>68</v>
      </c>
      <c r="BQ350" s="1053"/>
      <c r="BR350" s="372" t="s">
        <v>68</v>
      </c>
      <c r="BS350" s="1053" t="s">
        <v>68</v>
      </c>
      <c r="BT350" s="14"/>
      <c r="BU350" s="14"/>
      <c r="BV350" s="14"/>
      <c r="BW350" s="14"/>
      <c r="BX350" s="14"/>
      <c r="BY350" s="1433" t="s">
        <v>2098</v>
      </c>
      <c r="BZ350" s="649" t="s">
        <v>1143</v>
      </c>
      <c r="CA350" s="582"/>
      <c r="CB350" s="582"/>
      <c r="CC350" s="582"/>
      <c r="CD350" s="582"/>
      <c r="CE350" s="582"/>
      <c r="CF350" s="582"/>
      <c r="CG350" s="582"/>
      <c r="CH350" s="16"/>
    </row>
    <row r="351" spans="1:86" ht="66.75" hidden="1" customHeight="1">
      <c r="A351"/>
      <c r="B351" s="23"/>
      <c r="C351" s="129"/>
      <c r="D351" s="129"/>
      <c r="E351" s="1051"/>
      <c r="F351" s="1051"/>
      <c r="G351" s="1055">
        <v>43773</v>
      </c>
      <c r="H351" s="365">
        <v>43777</v>
      </c>
      <c r="I351" s="182">
        <v>2019</v>
      </c>
      <c r="J351" s="1678">
        <v>190.16</v>
      </c>
      <c r="K351" s="183" t="s">
        <v>1148</v>
      </c>
      <c r="L351" s="739" t="s">
        <v>1149</v>
      </c>
      <c r="M351" s="663" t="s">
        <v>467</v>
      </c>
      <c r="N351" s="495" t="s">
        <v>1150</v>
      </c>
      <c r="O351" s="495"/>
      <c r="P351" s="661">
        <v>2551506.64</v>
      </c>
      <c r="Q351" s="657">
        <v>43677</v>
      </c>
      <c r="R351" s="664">
        <v>43677</v>
      </c>
      <c r="S351" s="665">
        <v>43830</v>
      </c>
      <c r="T351" s="111" t="s">
        <v>68</v>
      </c>
      <c r="U351" s="191" t="s">
        <v>1177</v>
      </c>
      <c r="V351" s="716" t="s">
        <v>68</v>
      </c>
      <c r="W351" s="740" t="s">
        <v>68</v>
      </c>
      <c r="X351" s="1629"/>
      <c r="Y351" s="1290" t="s">
        <v>68</v>
      </c>
      <c r="Z351" s="9"/>
      <c r="AA351" s="4"/>
      <c r="AB351" s="4"/>
      <c r="AC351" s="34"/>
      <c r="AD351" s="36" t="s">
        <v>68</v>
      </c>
      <c r="AE351" s="119" t="s">
        <v>68</v>
      </c>
      <c r="AF351" s="119" t="s">
        <v>68</v>
      </c>
      <c r="AG351" s="7" t="s">
        <v>68</v>
      </c>
      <c r="AH351" s="116" t="s">
        <v>68</v>
      </c>
      <c r="AI351" s="35" t="s">
        <v>68</v>
      </c>
      <c r="AJ351" s="1" t="s">
        <v>68</v>
      </c>
      <c r="AK351" s="5" t="s">
        <v>68</v>
      </c>
      <c r="AL351" s="1" t="s">
        <v>68</v>
      </c>
      <c r="AM351" s="5" t="s">
        <v>68</v>
      </c>
      <c r="AN351" s="1" t="s">
        <v>68</v>
      </c>
      <c r="AO351" s="1" t="s">
        <v>68</v>
      </c>
      <c r="AP351" s="306">
        <v>0</v>
      </c>
      <c r="AQ351" s="74">
        <v>0</v>
      </c>
      <c r="AR351" s="1032">
        <v>0</v>
      </c>
      <c r="AS351" s="1019">
        <v>0</v>
      </c>
      <c r="AT351" s="78" t="s">
        <v>68</v>
      </c>
      <c r="AU351" s="12" t="s">
        <v>68</v>
      </c>
      <c r="AV351" s="243" t="s">
        <v>68</v>
      </c>
      <c r="AW351" s="54" t="s">
        <v>68</v>
      </c>
      <c r="AX351" s="78" t="s">
        <v>68</v>
      </c>
      <c r="AY351" s="5" t="s">
        <v>68</v>
      </c>
      <c r="AZ351" s="5" t="s">
        <v>68</v>
      </c>
      <c r="BA351" s="428" t="s">
        <v>68</v>
      </c>
      <c r="BB351" s="78" t="s">
        <v>68</v>
      </c>
      <c r="BC351" s="344"/>
      <c r="BD351" s="5" t="s">
        <v>68</v>
      </c>
      <c r="BE351" s="5" t="s">
        <v>68</v>
      </c>
      <c r="BF351" s="1" t="s">
        <v>68</v>
      </c>
      <c r="BG351" s="38">
        <f t="shared" si="10"/>
        <v>0</v>
      </c>
      <c r="BH351" s="14" t="s">
        <v>68</v>
      </c>
      <c r="BI351" s="1053" t="s">
        <v>68</v>
      </c>
      <c r="BJ351" s="1052" t="s">
        <v>68</v>
      </c>
      <c r="BK351" s="1052" t="s">
        <v>68</v>
      </c>
      <c r="BL351" s="1053"/>
      <c r="BM351" s="1053"/>
      <c r="BN351" s="1053"/>
      <c r="BO351" s="1053"/>
      <c r="BP351" s="1053" t="s">
        <v>68</v>
      </c>
      <c r="BQ351" s="1053"/>
      <c r="BR351" s="372" t="s">
        <v>68</v>
      </c>
      <c r="BS351" s="1053" t="s">
        <v>68</v>
      </c>
      <c r="BT351" s="14"/>
      <c r="BU351" s="14"/>
      <c r="BV351" s="14"/>
      <c r="BW351" s="14"/>
      <c r="BX351" s="14"/>
      <c r="BY351" s="1433" t="s">
        <v>2098</v>
      </c>
      <c r="BZ351" s="649" t="s">
        <v>1143</v>
      </c>
      <c r="CA351" s="582"/>
      <c r="CB351" s="582"/>
      <c r="CC351" s="582"/>
      <c r="CD351" s="582"/>
      <c r="CE351" s="582"/>
      <c r="CF351" s="582"/>
      <c r="CG351" s="582"/>
      <c r="CH351" s="16"/>
    </row>
    <row r="352" spans="1:86" ht="69.75" hidden="1" customHeight="1">
      <c r="A352"/>
      <c r="B352" s="23"/>
      <c r="C352" s="129">
        <v>44298</v>
      </c>
      <c r="D352" s="129"/>
      <c r="E352" s="1051"/>
      <c r="F352" s="1051"/>
      <c r="G352" s="1055">
        <v>43826</v>
      </c>
      <c r="H352" s="365">
        <v>43837</v>
      </c>
      <c r="I352" s="182">
        <v>2019</v>
      </c>
      <c r="J352" s="1678">
        <v>190.18</v>
      </c>
      <c r="K352" s="183" t="s">
        <v>1151</v>
      </c>
      <c r="L352" s="739" t="s">
        <v>1152</v>
      </c>
      <c r="M352" s="663" t="s">
        <v>467</v>
      </c>
      <c r="N352" s="495" t="s">
        <v>1153</v>
      </c>
      <c r="O352" s="495" t="s">
        <v>1979</v>
      </c>
      <c r="P352" s="661">
        <f>3147771.84+1349045.08</f>
        <v>4496816.92</v>
      </c>
      <c r="Q352" s="657">
        <v>43687</v>
      </c>
      <c r="R352" s="664" t="s">
        <v>68</v>
      </c>
      <c r="S352" s="665">
        <v>43830</v>
      </c>
      <c r="T352" s="111" t="s">
        <v>68</v>
      </c>
      <c r="U352" s="191" t="s">
        <v>1177</v>
      </c>
      <c r="V352" s="716" t="s">
        <v>213</v>
      </c>
      <c r="W352" s="740" t="s">
        <v>68</v>
      </c>
      <c r="X352" s="1629"/>
      <c r="Y352" s="180" t="s">
        <v>1154</v>
      </c>
      <c r="Z352" s="9">
        <v>43722</v>
      </c>
      <c r="AA352" s="4">
        <v>4496816.92</v>
      </c>
      <c r="AB352" s="4"/>
      <c r="AC352" s="34"/>
      <c r="AD352" s="36" t="s">
        <v>68</v>
      </c>
      <c r="AE352" s="119" t="s">
        <v>68</v>
      </c>
      <c r="AF352" s="119" t="s">
        <v>68</v>
      </c>
      <c r="AG352" s="7" t="s">
        <v>68</v>
      </c>
      <c r="AH352" s="116" t="s">
        <v>68</v>
      </c>
      <c r="AI352" s="35" t="s">
        <v>68</v>
      </c>
      <c r="AJ352" s="1" t="s">
        <v>68</v>
      </c>
      <c r="AK352" s="5" t="s">
        <v>68</v>
      </c>
      <c r="AL352" s="1" t="s">
        <v>68</v>
      </c>
      <c r="AM352" s="5" t="s">
        <v>68</v>
      </c>
      <c r="AN352" s="1" t="s">
        <v>68</v>
      </c>
      <c r="AO352" s="1" t="s">
        <v>68</v>
      </c>
      <c r="AP352" s="306">
        <v>0</v>
      </c>
      <c r="AQ352" s="74">
        <v>0</v>
      </c>
      <c r="AR352" s="1032">
        <v>0</v>
      </c>
      <c r="AS352" s="1019">
        <v>0</v>
      </c>
      <c r="AT352" s="78" t="s">
        <v>68</v>
      </c>
      <c r="AU352" s="12" t="s">
        <v>68</v>
      </c>
      <c r="AV352" s="243" t="s">
        <v>68</v>
      </c>
      <c r="AW352" s="54" t="s">
        <v>68</v>
      </c>
      <c r="AX352" s="78" t="s">
        <v>68</v>
      </c>
      <c r="AY352" s="5" t="s">
        <v>68</v>
      </c>
      <c r="AZ352" s="5" t="s">
        <v>68</v>
      </c>
      <c r="BA352" s="428" t="s">
        <v>68</v>
      </c>
      <c r="BB352" s="78" t="s">
        <v>68</v>
      </c>
      <c r="BC352" s="344"/>
      <c r="BD352" s="5" t="s">
        <v>68</v>
      </c>
      <c r="BE352" s="5" t="s">
        <v>68</v>
      </c>
      <c r="BF352" s="1" t="s">
        <v>68</v>
      </c>
      <c r="BG352" s="38">
        <f t="shared" si="10"/>
        <v>0</v>
      </c>
      <c r="BH352" s="14" t="s">
        <v>68</v>
      </c>
      <c r="BI352" s="1053" t="s">
        <v>68</v>
      </c>
      <c r="BJ352" s="1052" t="s">
        <v>68</v>
      </c>
      <c r="BK352" s="1052" t="s">
        <v>68</v>
      </c>
      <c r="BL352" s="1053"/>
      <c r="BM352" s="1053"/>
      <c r="BN352" s="1053"/>
      <c r="BO352" s="1053"/>
      <c r="BP352" s="1053" t="s">
        <v>68</v>
      </c>
      <c r="BQ352" s="1053"/>
      <c r="BR352" s="372" t="s">
        <v>68</v>
      </c>
      <c r="BS352" s="1053" t="s">
        <v>68</v>
      </c>
      <c r="BT352" s="14"/>
      <c r="BU352" s="14"/>
      <c r="BV352" s="14"/>
      <c r="BW352" s="14"/>
      <c r="BX352" s="14"/>
      <c r="BY352" s="1433" t="s">
        <v>2098</v>
      </c>
      <c r="BZ352" s="649" t="s">
        <v>1143</v>
      </c>
      <c r="CA352" s="582"/>
      <c r="CB352" s="582"/>
      <c r="CC352" s="582"/>
      <c r="CD352" s="582"/>
      <c r="CE352" s="582"/>
      <c r="CF352" s="582"/>
      <c r="CG352" s="582"/>
      <c r="CH352" s="16"/>
    </row>
    <row r="353" spans="2:86" customFormat="1" ht="109.5" hidden="1" customHeight="1">
      <c r="B353" s="23"/>
      <c r="C353" s="23"/>
      <c r="D353" s="23"/>
      <c r="E353" s="1051">
        <v>43709</v>
      </c>
      <c r="F353" s="1051"/>
      <c r="G353" s="1055">
        <v>43679</v>
      </c>
      <c r="H353" s="365">
        <v>43685</v>
      </c>
      <c r="I353" s="182">
        <v>2019</v>
      </c>
      <c r="J353" s="1678">
        <v>191.01</v>
      </c>
      <c r="K353" s="183" t="s">
        <v>166</v>
      </c>
      <c r="L353" s="739" t="s">
        <v>1159</v>
      </c>
      <c r="M353" s="2" t="s">
        <v>4077</v>
      </c>
      <c r="N353" s="186" t="s">
        <v>1160</v>
      </c>
      <c r="O353" s="186" t="s">
        <v>1979</v>
      </c>
      <c r="P353" s="187">
        <v>250000</v>
      </c>
      <c r="Q353" s="657">
        <v>43524</v>
      </c>
      <c r="R353" s="664">
        <v>43529</v>
      </c>
      <c r="S353" s="665">
        <v>43555</v>
      </c>
      <c r="T353" s="111" t="s">
        <v>68</v>
      </c>
      <c r="U353" s="191" t="s">
        <v>1177</v>
      </c>
      <c r="V353" s="183" t="s">
        <v>114</v>
      </c>
      <c r="W353" s="740" t="s">
        <v>68</v>
      </c>
      <c r="X353" s="1629"/>
      <c r="Y353" s="491" t="s">
        <v>1161</v>
      </c>
      <c r="Z353" s="9">
        <v>43457</v>
      </c>
      <c r="AA353" s="4">
        <v>280000</v>
      </c>
      <c r="AB353" s="4"/>
      <c r="AC353" s="34"/>
      <c r="AD353" s="36" t="s">
        <v>68</v>
      </c>
      <c r="AE353" s="119" t="s">
        <v>68</v>
      </c>
      <c r="AF353" s="119" t="s">
        <v>68</v>
      </c>
      <c r="AG353" s="7" t="s">
        <v>68</v>
      </c>
      <c r="AH353" s="116" t="s">
        <v>68</v>
      </c>
      <c r="AI353" s="35" t="s">
        <v>68</v>
      </c>
      <c r="AJ353" s="1" t="s">
        <v>68</v>
      </c>
      <c r="AK353" s="5" t="s">
        <v>68</v>
      </c>
      <c r="AL353" s="1" t="s">
        <v>68</v>
      </c>
      <c r="AM353" s="5" t="s">
        <v>68</v>
      </c>
      <c r="AN353" s="1" t="s">
        <v>68</v>
      </c>
      <c r="AO353" s="1" t="s">
        <v>68</v>
      </c>
      <c r="AP353" s="306">
        <v>0</v>
      </c>
      <c r="AQ353" s="74">
        <v>223488.46</v>
      </c>
      <c r="AR353" s="1032">
        <v>26448</v>
      </c>
      <c r="AS353" s="1027"/>
      <c r="AT353" s="75">
        <v>43529</v>
      </c>
      <c r="AU353" s="12">
        <v>43553</v>
      </c>
      <c r="AV353" s="243"/>
      <c r="AW353" s="54" t="s">
        <v>506</v>
      </c>
      <c r="AX353" s="75">
        <v>43566</v>
      </c>
      <c r="AY353" s="5">
        <v>43529</v>
      </c>
      <c r="AZ353" s="5">
        <v>43555</v>
      </c>
      <c r="BA353" s="5">
        <v>43565</v>
      </c>
      <c r="BB353" s="75">
        <v>43566</v>
      </c>
      <c r="BC353" s="1950"/>
      <c r="BD353" s="76">
        <v>43529</v>
      </c>
      <c r="BE353" s="76">
        <v>43555</v>
      </c>
      <c r="BF353" s="76">
        <v>43565</v>
      </c>
      <c r="BG353" s="38">
        <f t="shared" si="10"/>
        <v>249936.46</v>
      </c>
      <c r="BH353" s="14" t="s">
        <v>68</v>
      </c>
      <c r="BI353" s="372">
        <v>43528</v>
      </c>
      <c r="BJ353" s="1052" t="s">
        <v>68</v>
      </c>
      <c r="BK353" s="1052" t="s">
        <v>68</v>
      </c>
      <c r="BL353" s="1052"/>
      <c r="BM353" s="1052"/>
      <c r="BN353" s="1052"/>
      <c r="BO353" s="1052"/>
      <c r="BP353" s="76">
        <v>43565</v>
      </c>
      <c r="BQ353" s="372"/>
      <c r="BR353" s="372" t="s">
        <v>68</v>
      </c>
      <c r="BS353" s="1053" t="s">
        <v>68</v>
      </c>
      <c r="BT353" s="14"/>
      <c r="BU353" s="14"/>
      <c r="BV353" s="14"/>
      <c r="BW353" s="14"/>
      <c r="BX353" s="14"/>
      <c r="BY353" s="1433" t="s">
        <v>2098</v>
      </c>
      <c r="BZ353" s="649" t="s">
        <v>1143</v>
      </c>
      <c r="CA353" s="582"/>
      <c r="CB353" s="582"/>
      <c r="CC353" s="582"/>
      <c r="CD353" s="582"/>
      <c r="CE353" s="582"/>
      <c r="CF353" s="582"/>
      <c r="CG353" s="582"/>
      <c r="CH353" s="16"/>
    </row>
    <row r="354" spans="2:86" s="1241" customFormat="1" ht="103.5" hidden="1" customHeight="1">
      <c r="B354" s="1242"/>
      <c r="C354" s="1242"/>
      <c r="D354" s="1242"/>
      <c r="E354" s="1243" t="s">
        <v>68</v>
      </c>
      <c r="F354" s="1243"/>
      <c r="G354" s="610" t="s">
        <v>68</v>
      </c>
      <c r="H354" s="700" t="s">
        <v>68</v>
      </c>
      <c r="I354" s="1244">
        <v>2019</v>
      </c>
      <c r="J354" s="1683">
        <v>191.02</v>
      </c>
      <c r="K354" s="1245" t="s">
        <v>166</v>
      </c>
      <c r="L354" s="1246" t="s">
        <v>1162</v>
      </c>
      <c r="M354" s="904" t="s">
        <v>251</v>
      </c>
      <c r="N354" s="1247" t="s">
        <v>1163</v>
      </c>
      <c r="O354" s="1247"/>
      <c r="P354" s="1248">
        <v>75251.929999999993</v>
      </c>
      <c r="Q354" s="1249" t="s">
        <v>68</v>
      </c>
      <c r="R354" s="1250" t="s">
        <v>68</v>
      </c>
      <c r="S354" s="1251" t="s">
        <v>68</v>
      </c>
      <c r="T354" s="1252" t="s">
        <v>68</v>
      </c>
      <c r="U354" s="1246" t="s">
        <v>68</v>
      </c>
      <c r="V354" s="1245" t="s">
        <v>3087</v>
      </c>
      <c r="W354" s="1253" t="s">
        <v>74</v>
      </c>
      <c r="X354" s="1630"/>
      <c r="Y354" s="340" t="s">
        <v>1164</v>
      </c>
      <c r="Z354" s="1254">
        <v>43494</v>
      </c>
      <c r="AA354" s="1255">
        <v>72251.929999999993</v>
      </c>
      <c r="AB354" s="1255"/>
      <c r="AC354" s="1256"/>
      <c r="AD354" s="1257" t="s">
        <v>68</v>
      </c>
      <c r="AE354" s="1258" t="s">
        <v>68</v>
      </c>
      <c r="AF354" s="1258" t="s">
        <v>68</v>
      </c>
      <c r="AG354" s="1259" t="s">
        <v>68</v>
      </c>
      <c r="AH354" s="1260" t="s">
        <v>68</v>
      </c>
      <c r="AI354" s="340" t="s">
        <v>68</v>
      </c>
      <c r="AJ354" s="1261" t="s">
        <v>68</v>
      </c>
      <c r="AK354" s="1262"/>
      <c r="AL354" s="1261" t="s">
        <v>68</v>
      </c>
      <c r="AM354" s="1262"/>
      <c r="AN354" s="1261" t="s">
        <v>68</v>
      </c>
      <c r="AO354" s="1261"/>
      <c r="AP354" s="1263">
        <v>0</v>
      </c>
      <c r="AQ354" s="1264">
        <v>0</v>
      </c>
      <c r="AR354" s="1265">
        <v>0</v>
      </c>
      <c r="AS354" s="1266">
        <v>0</v>
      </c>
      <c r="AT354" s="1267" t="s">
        <v>68</v>
      </c>
      <c r="AU354" s="1268" t="s">
        <v>68</v>
      </c>
      <c r="AV354" s="1269" t="s">
        <v>68</v>
      </c>
      <c r="AW354" s="1270" t="s">
        <v>68</v>
      </c>
      <c r="AX354" s="955" t="s">
        <v>68</v>
      </c>
      <c r="AY354" s="1261" t="s">
        <v>68</v>
      </c>
      <c r="AZ354" s="1261" t="s">
        <v>68</v>
      </c>
      <c r="BA354" s="1271" t="s">
        <v>68</v>
      </c>
      <c r="BB354" s="1267" t="s">
        <v>68</v>
      </c>
      <c r="BC354" s="1944"/>
      <c r="BD354" s="1262" t="s">
        <v>68</v>
      </c>
      <c r="BE354" s="1262" t="s">
        <v>68</v>
      </c>
      <c r="BF354" s="1261" t="s">
        <v>68</v>
      </c>
      <c r="BG354" s="1272">
        <f t="shared" si="10"/>
        <v>0</v>
      </c>
      <c r="BH354" s="1273" t="s">
        <v>68</v>
      </c>
      <c r="BI354" s="1274" t="s">
        <v>68</v>
      </c>
      <c r="BJ354" s="1275" t="s">
        <v>68</v>
      </c>
      <c r="BK354" s="1275" t="s">
        <v>68</v>
      </c>
      <c r="BL354" s="1275"/>
      <c r="BM354" s="1275"/>
      <c r="BN354" s="1275"/>
      <c r="BO354" s="1275"/>
      <c r="BP354" s="1275" t="s">
        <v>68</v>
      </c>
      <c r="BQ354" s="1274"/>
      <c r="BR354" s="1274" t="s">
        <v>68</v>
      </c>
      <c r="BS354" s="1274" t="s">
        <v>68</v>
      </c>
      <c r="BT354" s="1273" t="s">
        <v>68</v>
      </c>
      <c r="BU354" s="1273"/>
      <c r="BV354" s="1273"/>
      <c r="BW354" s="1273"/>
      <c r="BX354" s="1273"/>
      <c r="BY354" s="1769" t="s">
        <v>2098</v>
      </c>
      <c r="BZ354" s="1276" t="s">
        <v>68</v>
      </c>
      <c r="CA354" s="903"/>
      <c r="CB354" s="903"/>
      <c r="CC354" s="903"/>
      <c r="CD354" s="903"/>
      <c r="CE354" s="903"/>
      <c r="CF354" s="903"/>
      <c r="CG354" s="903"/>
      <c r="CH354" s="1277"/>
    </row>
    <row r="355" spans="2:86" s="1241" customFormat="1" ht="75" hidden="1" customHeight="1">
      <c r="B355" s="1242"/>
      <c r="C355" s="1242"/>
      <c r="D355" s="1242"/>
      <c r="E355" s="1242" t="s">
        <v>68</v>
      </c>
      <c r="F355" s="1242"/>
      <c r="G355" s="610" t="s">
        <v>68</v>
      </c>
      <c r="H355" s="700" t="s">
        <v>68</v>
      </c>
      <c r="I355" s="1244">
        <v>2019</v>
      </c>
      <c r="J355" s="1683">
        <v>191.03</v>
      </c>
      <c r="K355" s="1245" t="s">
        <v>166</v>
      </c>
      <c r="L355" s="1246" t="s">
        <v>1165</v>
      </c>
      <c r="M355" s="904" t="s">
        <v>251</v>
      </c>
      <c r="N355" s="1247" t="s">
        <v>1166</v>
      </c>
      <c r="O355" s="1247"/>
      <c r="P355" s="1248">
        <v>140710.85999999999</v>
      </c>
      <c r="Q355" s="1249" t="s">
        <v>68</v>
      </c>
      <c r="R355" s="1250" t="s">
        <v>68</v>
      </c>
      <c r="S355" s="1251" t="s">
        <v>68</v>
      </c>
      <c r="T355" s="1252" t="s">
        <v>68</v>
      </c>
      <c r="U355" s="1246" t="s">
        <v>68</v>
      </c>
      <c r="V355" s="1245" t="s">
        <v>3087</v>
      </c>
      <c r="W355" s="1278"/>
      <c r="X355" s="1631"/>
      <c r="Y355" s="340" t="s">
        <v>1164</v>
      </c>
      <c r="Z355" s="1254">
        <v>43494</v>
      </c>
      <c r="AA355" s="1255">
        <v>140710.85999999999</v>
      </c>
      <c r="AB355" s="1255"/>
      <c r="AC355" s="1256"/>
      <c r="AD355" s="1257" t="s">
        <v>68</v>
      </c>
      <c r="AE355" s="1258" t="s">
        <v>68</v>
      </c>
      <c r="AF355" s="1258" t="s">
        <v>68</v>
      </c>
      <c r="AG355" s="1259" t="s">
        <v>68</v>
      </c>
      <c r="AH355" s="1260" t="s">
        <v>68</v>
      </c>
      <c r="AI355" s="340" t="s">
        <v>68</v>
      </c>
      <c r="AJ355" s="1261" t="s">
        <v>68</v>
      </c>
      <c r="AK355" s="1262" t="s">
        <v>68</v>
      </c>
      <c r="AL355" s="1261" t="s">
        <v>68</v>
      </c>
      <c r="AM355" s="1262" t="s">
        <v>68</v>
      </c>
      <c r="AN355" s="1261" t="s">
        <v>68</v>
      </c>
      <c r="AO355" s="1261" t="s">
        <v>68</v>
      </c>
      <c r="AP355" s="1263">
        <v>0</v>
      </c>
      <c r="AQ355" s="1264">
        <v>0</v>
      </c>
      <c r="AR355" s="1265">
        <v>0</v>
      </c>
      <c r="AS355" s="1266">
        <v>0</v>
      </c>
      <c r="AT355" s="1267" t="s">
        <v>68</v>
      </c>
      <c r="AU355" s="1268" t="s">
        <v>68</v>
      </c>
      <c r="AV355" s="1269" t="s">
        <v>68</v>
      </c>
      <c r="AW355" s="1270" t="s">
        <v>68</v>
      </c>
      <c r="AX355" s="955" t="s">
        <v>68</v>
      </c>
      <c r="AY355" s="1261" t="s">
        <v>68</v>
      </c>
      <c r="AZ355" s="1261" t="s">
        <v>68</v>
      </c>
      <c r="BA355" s="1271" t="s">
        <v>68</v>
      </c>
      <c r="BB355" s="1267" t="s">
        <v>68</v>
      </c>
      <c r="BC355" s="1944"/>
      <c r="BD355" s="1262" t="s">
        <v>68</v>
      </c>
      <c r="BE355" s="1262" t="s">
        <v>68</v>
      </c>
      <c r="BF355" s="1261" t="s">
        <v>68</v>
      </c>
      <c r="BG355" s="1272">
        <f t="shared" si="10"/>
        <v>0</v>
      </c>
      <c r="BH355" s="1273" t="s">
        <v>68</v>
      </c>
      <c r="BI355" s="1274" t="s">
        <v>68</v>
      </c>
      <c r="BJ355" s="1275" t="s">
        <v>68</v>
      </c>
      <c r="BK355" s="1275" t="s">
        <v>68</v>
      </c>
      <c r="BL355" s="1275"/>
      <c r="BM355" s="1275"/>
      <c r="BN355" s="1275"/>
      <c r="BO355" s="1275"/>
      <c r="BP355" s="1275" t="s">
        <v>68</v>
      </c>
      <c r="BQ355" s="1274"/>
      <c r="BR355" s="1274" t="s">
        <v>68</v>
      </c>
      <c r="BS355" s="1274" t="s">
        <v>68</v>
      </c>
      <c r="BT355" s="1273" t="s">
        <v>68</v>
      </c>
      <c r="BU355" s="1273"/>
      <c r="BV355" s="1273"/>
      <c r="BW355" s="1273"/>
      <c r="BX355" s="1273"/>
      <c r="BY355" s="1769" t="s">
        <v>2098</v>
      </c>
      <c r="BZ355" s="1276" t="s">
        <v>68</v>
      </c>
      <c r="CA355" s="903"/>
      <c r="CB355" s="903"/>
      <c r="CC355" s="903"/>
      <c r="CD355" s="903"/>
      <c r="CE355" s="903"/>
      <c r="CF355" s="903"/>
      <c r="CG355" s="903"/>
      <c r="CH355" s="1277"/>
    </row>
    <row r="356" spans="2:86" customFormat="1" ht="70.5" hidden="1" customHeight="1">
      <c r="B356" s="23"/>
      <c r="C356" s="23"/>
      <c r="D356" s="23"/>
      <c r="E356" s="1051">
        <v>43709</v>
      </c>
      <c r="F356" s="1051"/>
      <c r="G356" s="1055">
        <v>44008</v>
      </c>
      <c r="H356" s="365">
        <v>43647</v>
      </c>
      <c r="I356" s="182">
        <v>2019</v>
      </c>
      <c r="J356" s="1684">
        <v>191.04</v>
      </c>
      <c r="K356" s="183" t="s">
        <v>166</v>
      </c>
      <c r="L356" s="739" t="s">
        <v>1167</v>
      </c>
      <c r="M356" s="2" t="s">
        <v>4077</v>
      </c>
      <c r="N356" s="186" t="s">
        <v>1168</v>
      </c>
      <c r="O356" s="186" t="s">
        <v>4458</v>
      </c>
      <c r="P356" s="187">
        <v>22876.2</v>
      </c>
      <c r="Q356" s="657">
        <v>43588</v>
      </c>
      <c r="R356" s="664">
        <v>43592</v>
      </c>
      <c r="S356" s="665">
        <v>43623</v>
      </c>
      <c r="T356" s="111" t="s">
        <v>68</v>
      </c>
      <c r="U356" s="191" t="s">
        <v>1177</v>
      </c>
      <c r="V356" s="183" t="s">
        <v>3087</v>
      </c>
      <c r="W356" s="740" t="s">
        <v>68</v>
      </c>
      <c r="X356" s="1629"/>
      <c r="Y356" s="180" t="s">
        <v>1169</v>
      </c>
      <c r="Z356" s="9">
        <v>43549</v>
      </c>
      <c r="AA356" s="4">
        <v>22876.2</v>
      </c>
      <c r="AB356" s="4"/>
      <c r="AC356" s="34"/>
      <c r="AD356" s="36" t="s">
        <v>68</v>
      </c>
      <c r="AE356" s="119" t="s">
        <v>68</v>
      </c>
      <c r="AF356" s="119" t="s">
        <v>68</v>
      </c>
      <c r="AG356" s="7" t="s">
        <v>68</v>
      </c>
      <c r="AH356" s="116" t="s">
        <v>68</v>
      </c>
      <c r="AI356" s="35" t="s">
        <v>68</v>
      </c>
      <c r="AJ356" s="1" t="s">
        <v>68</v>
      </c>
      <c r="AK356" s="5" t="s">
        <v>68</v>
      </c>
      <c r="AL356" s="1" t="s">
        <v>68</v>
      </c>
      <c r="AM356" s="5" t="s">
        <v>68</v>
      </c>
      <c r="AN356" s="1" t="s">
        <v>68</v>
      </c>
      <c r="AO356" s="1" t="s">
        <v>68</v>
      </c>
      <c r="AP356" s="306">
        <v>0</v>
      </c>
      <c r="AQ356" s="1211">
        <v>2520</v>
      </c>
      <c r="AR356" s="1038">
        <v>4039.65</v>
      </c>
      <c r="AS356" s="1027"/>
      <c r="AT356" s="173" t="s">
        <v>68</v>
      </c>
      <c r="AU356" s="12"/>
      <c r="AV356" s="243"/>
      <c r="AW356" s="54"/>
      <c r="AX356" s="359">
        <v>43710</v>
      </c>
      <c r="AY356" s="5">
        <v>43592</v>
      </c>
      <c r="AZ356" s="5">
        <v>43653</v>
      </c>
      <c r="BA356" s="12">
        <v>43653</v>
      </c>
      <c r="BB356" s="359">
        <v>43767</v>
      </c>
      <c r="BC356" s="1951"/>
      <c r="BD356" s="5">
        <v>43592</v>
      </c>
      <c r="BE356" s="5">
        <v>43653</v>
      </c>
      <c r="BF356" s="5">
        <v>43653</v>
      </c>
      <c r="BG356" s="38">
        <v>8231.25</v>
      </c>
      <c r="BH356" s="14" t="s">
        <v>68</v>
      </c>
      <c r="BI356" s="1212">
        <v>43588</v>
      </c>
      <c r="BJ356" s="1052" t="s">
        <v>68</v>
      </c>
      <c r="BK356" s="1052" t="s">
        <v>68</v>
      </c>
      <c r="BL356" s="1052"/>
      <c r="BM356" s="1052"/>
      <c r="BN356" s="1052"/>
      <c r="BO356" s="1052"/>
      <c r="BP356" s="1052" t="s">
        <v>68</v>
      </c>
      <c r="BQ356" s="1053"/>
      <c r="BR356" s="372" t="s">
        <v>68</v>
      </c>
      <c r="BS356" s="1053" t="s">
        <v>68</v>
      </c>
      <c r="BT356" s="14"/>
      <c r="BU356" s="14"/>
      <c r="BV356" s="14"/>
      <c r="BW356" s="14"/>
      <c r="BX356" s="14"/>
      <c r="BY356" s="1433" t="s">
        <v>2098</v>
      </c>
      <c r="BZ356" s="649" t="s">
        <v>1143</v>
      </c>
      <c r="CA356" s="582"/>
      <c r="CB356" s="582"/>
      <c r="CC356" s="582"/>
      <c r="CD356" s="582"/>
      <c r="CE356" s="582"/>
      <c r="CF356" s="582"/>
      <c r="CG356" s="582"/>
      <c r="CH356" s="16"/>
    </row>
    <row r="357" spans="2:86" customFormat="1" ht="77.25" hidden="1" customHeight="1">
      <c r="B357" s="23"/>
      <c r="C357" s="23"/>
      <c r="D357" s="23"/>
      <c r="E357" s="1051">
        <v>43709</v>
      </c>
      <c r="F357" s="1051"/>
      <c r="G357" s="1055">
        <v>43644</v>
      </c>
      <c r="H357" s="365">
        <v>43647</v>
      </c>
      <c r="I357" s="182">
        <v>2019</v>
      </c>
      <c r="J357" s="1684">
        <v>191.05</v>
      </c>
      <c r="K357" s="183" t="s">
        <v>166</v>
      </c>
      <c r="L357" s="739" t="s">
        <v>1170</v>
      </c>
      <c r="M357" s="2" t="s">
        <v>4077</v>
      </c>
      <c r="N357" s="186" t="s">
        <v>1171</v>
      </c>
      <c r="O357" s="186" t="s">
        <v>4458</v>
      </c>
      <c r="P357" s="187">
        <v>18491.009999999998</v>
      </c>
      <c r="Q357" s="657">
        <v>43588</v>
      </c>
      <c r="R357" s="664">
        <v>43592</v>
      </c>
      <c r="S357" s="665">
        <v>43623</v>
      </c>
      <c r="T357" s="111" t="s">
        <v>68</v>
      </c>
      <c r="U357" s="191" t="s">
        <v>1177</v>
      </c>
      <c r="V357" s="183" t="s">
        <v>3087</v>
      </c>
      <c r="W357" s="740" t="s">
        <v>68</v>
      </c>
      <c r="X357" s="1629"/>
      <c r="Y357" s="180" t="s">
        <v>1169</v>
      </c>
      <c r="Z357" s="9">
        <v>43549</v>
      </c>
      <c r="AA357" s="4">
        <v>18491.009999999998</v>
      </c>
      <c r="AB357" s="4"/>
      <c r="AC357" s="34"/>
      <c r="AD357" s="36" t="s">
        <v>68</v>
      </c>
      <c r="AE357" s="119" t="s">
        <v>68</v>
      </c>
      <c r="AF357" s="119" t="s">
        <v>68</v>
      </c>
      <c r="AG357" s="7" t="s">
        <v>68</v>
      </c>
      <c r="AH357" s="116" t="s">
        <v>68</v>
      </c>
      <c r="AI357" s="35" t="s">
        <v>68</v>
      </c>
      <c r="AJ357" s="1" t="s">
        <v>68</v>
      </c>
      <c r="AK357" s="5" t="s">
        <v>68</v>
      </c>
      <c r="AL357" s="1" t="s">
        <v>68</v>
      </c>
      <c r="AM357" s="5" t="s">
        <v>68</v>
      </c>
      <c r="AN357" s="1" t="s">
        <v>68</v>
      </c>
      <c r="AO357" s="1" t="s">
        <v>68</v>
      </c>
      <c r="AP357" s="306">
        <v>0</v>
      </c>
      <c r="AQ357" s="1211">
        <v>0</v>
      </c>
      <c r="AR357" s="1038">
        <v>50740.69</v>
      </c>
      <c r="AS357" s="1027"/>
      <c r="AT357" s="173" t="s">
        <v>68</v>
      </c>
      <c r="AU357" s="12"/>
      <c r="AV357" s="243"/>
      <c r="AW357" s="54"/>
      <c r="AX357" s="359">
        <v>43710</v>
      </c>
      <c r="AY357" s="5">
        <v>43588</v>
      </c>
      <c r="AZ357" s="5">
        <v>43623</v>
      </c>
      <c r="BA357" s="12">
        <v>43665</v>
      </c>
      <c r="BB357" s="359">
        <v>43710</v>
      </c>
      <c r="BC357" s="1951"/>
      <c r="BD357" s="5">
        <v>43592</v>
      </c>
      <c r="BE357" s="5">
        <v>43653</v>
      </c>
      <c r="BF357" s="5">
        <v>43653</v>
      </c>
      <c r="BG357" s="38">
        <v>16230.69</v>
      </c>
      <c r="BH357" s="14" t="s">
        <v>68</v>
      </c>
      <c r="BI357" s="1212">
        <v>43588</v>
      </c>
      <c r="BJ357" s="1052" t="s">
        <v>68</v>
      </c>
      <c r="BK357" s="1052" t="s">
        <v>68</v>
      </c>
      <c r="BL357" s="1052"/>
      <c r="BM357" s="1052"/>
      <c r="BN357" s="1052"/>
      <c r="BO357" s="1052"/>
      <c r="BP357" s="1052" t="s">
        <v>68</v>
      </c>
      <c r="BQ357" s="1053"/>
      <c r="BR357" s="372" t="s">
        <v>68</v>
      </c>
      <c r="BS357" s="1053" t="s">
        <v>68</v>
      </c>
      <c r="BT357" s="14"/>
      <c r="BU357" s="14"/>
      <c r="BV357" s="14"/>
      <c r="BW357" s="14"/>
      <c r="BX357" s="14"/>
      <c r="BY357" s="1433" t="s">
        <v>2098</v>
      </c>
      <c r="BZ357" s="649" t="s">
        <v>1143</v>
      </c>
      <c r="CA357" s="582"/>
      <c r="CB357" s="582"/>
      <c r="CC357" s="582"/>
      <c r="CD357" s="582"/>
      <c r="CE357" s="582"/>
      <c r="CF357" s="582"/>
      <c r="CG357" s="582"/>
      <c r="CH357" s="16"/>
    </row>
    <row r="358" spans="2:86" customFormat="1" ht="75" hidden="1" customHeight="1">
      <c r="B358" s="23"/>
      <c r="C358" s="23"/>
      <c r="D358" s="23"/>
      <c r="E358" s="1051">
        <v>43709</v>
      </c>
      <c r="F358" s="1051"/>
      <c r="G358" s="1055">
        <v>43644</v>
      </c>
      <c r="H358" s="365">
        <v>43647</v>
      </c>
      <c r="I358" s="182">
        <v>2019</v>
      </c>
      <c r="J358" s="1684">
        <v>191.06</v>
      </c>
      <c r="K358" s="183" t="s">
        <v>166</v>
      </c>
      <c r="L358" s="739" t="s">
        <v>1172</v>
      </c>
      <c r="M358" s="2" t="s">
        <v>4077</v>
      </c>
      <c r="N358" s="186" t="s">
        <v>1173</v>
      </c>
      <c r="O358" s="186" t="s">
        <v>4458</v>
      </c>
      <c r="P358" s="187">
        <v>13050.14</v>
      </c>
      <c r="Q358" s="657">
        <v>43588</v>
      </c>
      <c r="R358" s="664">
        <v>43592</v>
      </c>
      <c r="S358" s="665">
        <v>43623</v>
      </c>
      <c r="T358" s="111" t="s">
        <v>68</v>
      </c>
      <c r="U358" s="191" t="s">
        <v>1177</v>
      </c>
      <c r="V358" s="183" t="s">
        <v>3087</v>
      </c>
      <c r="W358" s="740" t="s">
        <v>68</v>
      </c>
      <c r="X358" s="1629"/>
      <c r="Y358" s="180" t="s">
        <v>1174</v>
      </c>
      <c r="Z358" s="9">
        <v>43549</v>
      </c>
      <c r="AA358" s="4">
        <v>13050.14</v>
      </c>
      <c r="AB358" s="4"/>
      <c r="AC358" s="34"/>
      <c r="AD358" s="36" t="s">
        <v>68</v>
      </c>
      <c r="AE358" s="119" t="s">
        <v>68</v>
      </c>
      <c r="AF358" s="119" t="s">
        <v>68</v>
      </c>
      <c r="AG358" s="7" t="s">
        <v>68</v>
      </c>
      <c r="AH358" s="116" t="s">
        <v>68</v>
      </c>
      <c r="AI358" s="35" t="s">
        <v>68</v>
      </c>
      <c r="AJ358" s="1" t="s">
        <v>68</v>
      </c>
      <c r="AK358" s="5" t="s">
        <v>68</v>
      </c>
      <c r="AL358" s="1" t="s">
        <v>68</v>
      </c>
      <c r="AM358" s="5" t="s">
        <v>68</v>
      </c>
      <c r="AN358" s="1" t="s">
        <v>68</v>
      </c>
      <c r="AO358" s="1" t="s">
        <v>68</v>
      </c>
      <c r="AP358" s="306">
        <v>0</v>
      </c>
      <c r="AQ358" s="1211">
        <v>0</v>
      </c>
      <c r="AR358" s="1038">
        <v>6202.19</v>
      </c>
      <c r="AS358" s="1027"/>
      <c r="AT358" s="173" t="s">
        <v>68</v>
      </c>
      <c r="AU358" s="12"/>
      <c r="AV358" s="243"/>
      <c r="AW358" s="54"/>
      <c r="AX358" s="359">
        <v>43717</v>
      </c>
      <c r="AY358" s="5">
        <v>43592</v>
      </c>
      <c r="AZ358" s="5">
        <v>43623</v>
      </c>
      <c r="BA358" s="12">
        <v>43616</v>
      </c>
      <c r="BB358" s="359">
        <v>43717</v>
      </c>
      <c r="BC358" s="1951"/>
      <c r="BD358" s="5">
        <v>43592</v>
      </c>
      <c r="BE358" s="5">
        <v>43623</v>
      </c>
      <c r="BF358" s="5">
        <v>43616</v>
      </c>
      <c r="BG358" s="38">
        <v>6202.19</v>
      </c>
      <c r="BH358" s="14" t="s">
        <v>68</v>
      </c>
      <c r="BI358" s="1212">
        <v>43588</v>
      </c>
      <c r="BJ358" s="1052" t="s">
        <v>68</v>
      </c>
      <c r="BK358" s="1052" t="s">
        <v>68</v>
      </c>
      <c r="BL358" s="1052"/>
      <c r="BM358" s="1052"/>
      <c r="BN358" s="1052"/>
      <c r="BO358" s="1052"/>
      <c r="BP358" s="1052" t="s">
        <v>68</v>
      </c>
      <c r="BQ358" s="1053"/>
      <c r="BR358" s="372" t="s">
        <v>68</v>
      </c>
      <c r="BS358" s="1053" t="s">
        <v>68</v>
      </c>
      <c r="BT358" s="14"/>
      <c r="BU358" s="14"/>
      <c r="BV358" s="14"/>
      <c r="BW358" s="14"/>
      <c r="BX358" s="14"/>
      <c r="BY358" s="1433" t="s">
        <v>2098</v>
      </c>
      <c r="BZ358" s="649" t="s">
        <v>1143</v>
      </c>
      <c r="CA358" s="582"/>
      <c r="CB358" s="582"/>
      <c r="CC358" s="582"/>
      <c r="CD358" s="582"/>
      <c r="CE358" s="582"/>
      <c r="CF358" s="582"/>
      <c r="CG358" s="582"/>
      <c r="CH358" s="16"/>
    </row>
    <row r="359" spans="2:86" customFormat="1" ht="73.5" hidden="1" customHeight="1">
      <c r="B359" s="23"/>
      <c r="C359" s="23"/>
      <c r="D359" s="23"/>
      <c r="E359" s="1051">
        <v>44075</v>
      </c>
      <c r="F359" s="1051"/>
      <c r="G359" s="1055">
        <v>43679</v>
      </c>
      <c r="H359" s="365">
        <v>43831</v>
      </c>
      <c r="I359" s="182">
        <v>2019</v>
      </c>
      <c r="J359" s="1684">
        <v>191.07</v>
      </c>
      <c r="K359" s="183" t="s">
        <v>166</v>
      </c>
      <c r="L359" s="739" t="s">
        <v>1175</v>
      </c>
      <c r="M359" s="2" t="s">
        <v>4077</v>
      </c>
      <c r="N359" s="186" t="s">
        <v>1176</v>
      </c>
      <c r="O359" s="186" t="s">
        <v>2611</v>
      </c>
      <c r="P359" s="187">
        <v>200000</v>
      </c>
      <c r="Q359" s="657">
        <v>43647</v>
      </c>
      <c r="R359" s="189">
        <v>43647</v>
      </c>
      <c r="S359" s="190">
        <v>43830</v>
      </c>
      <c r="T359" s="111" t="s">
        <v>68</v>
      </c>
      <c r="U359" s="191" t="s">
        <v>1177</v>
      </c>
      <c r="V359" s="716" t="s">
        <v>1107</v>
      </c>
      <c r="W359" s="659" t="s">
        <v>68</v>
      </c>
      <c r="X359" s="1626"/>
      <c r="Y359" s="180" t="s">
        <v>1178</v>
      </c>
      <c r="Z359" s="9">
        <v>43549</v>
      </c>
      <c r="AA359" s="4">
        <v>200000</v>
      </c>
      <c r="AB359" s="4"/>
      <c r="AC359" s="34"/>
      <c r="AD359" s="36" t="s">
        <v>68</v>
      </c>
      <c r="AE359" s="119" t="s">
        <v>68</v>
      </c>
      <c r="AF359" s="119" t="s">
        <v>68</v>
      </c>
      <c r="AG359" s="7" t="s">
        <v>68</v>
      </c>
      <c r="AH359" s="116" t="s">
        <v>68</v>
      </c>
      <c r="AI359" s="35" t="s">
        <v>68</v>
      </c>
      <c r="AJ359" s="1" t="s">
        <v>68</v>
      </c>
      <c r="AK359" s="5" t="s">
        <v>68</v>
      </c>
      <c r="AL359" s="1" t="s">
        <v>68</v>
      </c>
      <c r="AM359" s="5" t="s">
        <v>68</v>
      </c>
      <c r="AN359" s="1" t="s">
        <v>68</v>
      </c>
      <c r="AO359" s="1" t="s">
        <v>68</v>
      </c>
      <c r="AP359" s="306">
        <v>0</v>
      </c>
      <c r="AQ359" s="771"/>
      <c r="AR359" s="1038">
        <v>185312.5</v>
      </c>
      <c r="AS359" s="1027"/>
      <c r="AT359" s="173" t="s">
        <v>68</v>
      </c>
      <c r="AU359" s="12"/>
      <c r="AV359" s="243"/>
      <c r="AW359" s="54" t="s">
        <v>973</v>
      </c>
      <c r="AX359" s="78">
        <v>43766</v>
      </c>
      <c r="AY359" s="5">
        <v>43657</v>
      </c>
      <c r="AZ359" s="5">
        <v>43830</v>
      </c>
      <c r="BA359" s="12">
        <v>43738</v>
      </c>
      <c r="BB359" s="78">
        <v>43767</v>
      </c>
      <c r="BC359" s="344"/>
      <c r="BD359" s="5">
        <v>43657</v>
      </c>
      <c r="BE359" s="5">
        <v>43830</v>
      </c>
      <c r="BF359" s="12">
        <v>43738</v>
      </c>
      <c r="BG359" s="38">
        <f>AR359</f>
        <v>185312.5</v>
      </c>
      <c r="BH359" s="14" t="s">
        <v>68</v>
      </c>
      <c r="BI359" s="372">
        <v>43644</v>
      </c>
      <c r="BJ359" s="1052" t="s">
        <v>68</v>
      </c>
      <c r="BK359" s="1052" t="s">
        <v>68</v>
      </c>
      <c r="BL359" s="1052"/>
      <c r="BM359" s="1052"/>
      <c r="BN359" s="1052"/>
      <c r="BO359" s="1052"/>
      <c r="BP359" s="1052" t="s">
        <v>68</v>
      </c>
      <c r="BQ359" s="1053"/>
      <c r="BR359" s="372" t="s">
        <v>68</v>
      </c>
      <c r="BS359" s="1053" t="s">
        <v>68</v>
      </c>
      <c r="BT359" s="14"/>
      <c r="BU359" s="14"/>
      <c r="BV359" s="14"/>
      <c r="BW359" s="14"/>
      <c r="BX359" s="14"/>
      <c r="BY359" s="1433" t="s">
        <v>2098</v>
      </c>
      <c r="BZ359" s="649" t="s">
        <v>1143</v>
      </c>
      <c r="CA359" s="582"/>
      <c r="CB359" s="582"/>
      <c r="CC359" s="582"/>
      <c r="CD359" s="582"/>
      <c r="CE359" s="582"/>
      <c r="CF359" s="582"/>
      <c r="CG359" s="582"/>
      <c r="CH359" s="16"/>
    </row>
    <row r="360" spans="2:86" customFormat="1" ht="87" hidden="1" customHeight="1">
      <c r="B360" s="23"/>
      <c r="C360" s="1718">
        <v>44494</v>
      </c>
      <c r="D360" s="1718"/>
      <c r="E360" s="1051">
        <v>44075</v>
      </c>
      <c r="F360" s="1051"/>
      <c r="G360" s="1055">
        <v>44008</v>
      </c>
      <c r="H360" s="365"/>
      <c r="I360" s="182">
        <v>2019</v>
      </c>
      <c r="J360" s="1684">
        <v>191.08</v>
      </c>
      <c r="K360" s="183" t="s">
        <v>1179</v>
      </c>
      <c r="L360" s="739" t="s">
        <v>1180</v>
      </c>
      <c r="M360" s="2" t="s">
        <v>4077</v>
      </c>
      <c r="N360" s="186" t="s">
        <v>1181</v>
      </c>
      <c r="O360" s="186" t="s">
        <v>2699</v>
      </c>
      <c r="P360" s="187">
        <v>800000</v>
      </c>
      <c r="Q360" s="598">
        <v>43683</v>
      </c>
      <c r="R360" s="189">
        <v>43689</v>
      </c>
      <c r="S360" s="190">
        <v>43830</v>
      </c>
      <c r="T360" s="111" t="s">
        <v>68</v>
      </c>
      <c r="U360" s="191" t="s">
        <v>1177</v>
      </c>
      <c r="V360" s="183" t="s">
        <v>709</v>
      </c>
      <c r="W360" s="659" t="s">
        <v>68</v>
      </c>
      <c r="X360" s="1626"/>
      <c r="Y360" s="180" t="s">
        <v>1182</v>
      </c>
      <c r="Z360" s="9">
        <v>43521</v>
      </c>
      <c r="AA360" s="4">
        <v>800000</v>
      </c>
      <c r="AB360" s="4"/>
      <c r="AC360" s="34"/>
      <c r="AD360" s="36" t="s">
        <v>68</v>
      </c>
      <c r="AE360" s="119" t="s">
        <v>68</v>
      </c>
      <c r="AF360" s="119" t="s">
        <v>68</v>
      </c>
      <c r="AG360" s="7" t="s">
        <v>68</v>
      </c>
      <c r="AH360" s="116" t="s">
        <v>68</v>
      </c>
      <c r="AI360" s="35" t="s">
        <v>68</v>
      </c>
      <c r="AJ360" s="1" t="s">
        <v>68</v>
      </c>
      <c r="AK360" s="5" t="s">
        <v>68</v>
      </c>
      <c r="AL360" s="1" t="s">
        <v>68</v>
      </c>
      <c r="AM360" s="5" t="s">
        <v>68</v>
      </c>
      <c r="AN360" s="1" t="s">
        <v>68</v>
      </c>
      <c r="AO360" s="1" t="s">
        <v>68</v>
      </c>
      <c r="AP360" s="306">
        <v>0</v>
      </c>
      <c r="AQ360" s="1211">
        <v>33700</v>
      </c>
      <c r="AR360" s="1038">
        <v>581486.80000000005</v>
      </c>
      <c r="AS360" s="1027"/>
      <c r="AT360" s="173" t="s">
        <v>68</v>
      </c>
      <c r="AU360" s="12"/>
      <c r="AV360" s="243"/>
      <c r="AW360" s="54"/>
      <c r="AX360" s="68" t="s">
        <v>74</v>
      </c>
      <c r="AY360" s="1"/>
      <c r="AZ360" s="1"/>
      <c r="BA360" s="18"/>
      <c r="BB360" s="68" t="s">
        <v>74</v>
      </c>
      <c r="BC360" s="1686"/>
      <c r="BD360" s="5"/>
      <c r="BE360" s="5"/>
      <c r="BF360" s="1"/>
      <c r="BG360" s="38">
        <f>AQ360+AR360</f>
        <v>615186.80000000005</v>
      </c>
      <c r="BH360" s="14" t="s">
        <v>68</v>
      </c>
      <c r="BI360" s="372">
        <v>43685</v>
      </c>
      <c r="BJ360" s="1052" t="s">
        <v>68</v>
      </c>
      <c r="BK360" s="1052" t="s">
        <v>68</v>
      </c>
      <c r="BL360" s="1052"/>
      <c r="BM360" s="1052"/>
      <c r="BN360" s="1052"/>
      <c r="BO360" s="1052"/>
      <c r="BP360" s="1052" t="s">
        <v>68</v>
      </c>
      <c r="BQ360" s="1053"/>
      <c r="BR360" s="372" t="s">
        <v>68</v>
      </c>
      <c r="BS360" s="1053" t="s">
        <v>68</v>
      </c>
      <c r="BT360" s="14"/>
      <c r="BU360" s="14"/>
      <c r="BV360" s="14"/>
      <c r="BW360" s="14"/>
      <c r="BX360" s="14"/>
      <c r="BY360" s="1433" t="s">
        <v>2098</v>
      </c>
      <c r="BZ360" s="40"/>
      <c r="CA360" s="582"/>
      <c r="CB360" s="582"/>
      <c r="CC360" s="582"/>
      <c r="CD360" s="582"/>
      <c r="CE360" s="582"/>
      <c r="CF360" s="582"/>
      <c r="CG360" s="582"/>
      <c r="CH360" s="16"/>
    </row>
    <row r="361" spans="2:86" customFormat="1" ht="84.75" hidden="1" customHeight="1">
      <c r="B361" s="23"/>
      <c r="C361" s="23"/>
      <c r="D361" s="23"/>
      <c r="E361" s="1051">
        <v>44075</v>
      </c>
      <c r="F361" s="1051"/>
      <c r="G361" s="1055">
        <v>43976</v>
      </c>
      <c r="H361" s="365"/>
      <c r="I361" s="182">
        <v>2019</v>
      </c>
      <c r="J361" s="1684">
        <v>191.09</v>
      </c>
      <c r="K361" s="183" t="s">
        <v>166</v>
      </c>
      <c r="L361" s="739" t="s">
        <v>1183</v>
      </c>
      <c r="M361" s="2" t="s">
        <v>4077</v>
      </c>
      <c r="N361" s="186" t="s">
        <v>1184</v>
      </c>
      <c r="O361" s="186" t="s">
        <v>2699</v>
      </c>
      <c r="P361" s="187">
        <v>750000</v>
      </c>
      <c r="Q361" s="598">
        <v>43686</v>
      </c>
      <c r="R361" s="189">
        <v>43689</v>
      </c>
      <c r="S361" s="190">
        <v>43830</v>
      </c>
      <c r="T361" s="111" t="s">
        <v>68</v>
      </c>
      <c r="U361" s="191" t="s">
        <v>1177</v>
      </c>
      <c r="V361" s="183" t="s">
        <v>709</v>
      </c>
      <c r="W361" s="1191">
        <v>43753</v>
      </c>
      <c r="X361" s="1632"/>
      <c r="Y361" s="180" t="s">
        <v>1185</v>
      </c>
      <c r="Z361" s="9">
        <v>43668</v>
      </c>
      <c r="AA361" s="4">
        <v>750000</v>
      </c>
      <c r="AB361" s="4"/>
      <c r="AC361" s="34"/>
      <c r="AD361" s="36" t="s">
        <v>68</v>
      </c>
      <c r="AE361" s="119" t="s">
        <v>68</v>
      </c>
      <c r="AF361" s="119" t="s">
        <v>68</v>
      </c>
      <c r="AG361" s="7" t="s">
        <v>68</v>
      </c>
      <c r="AH361" s="116" t="s">
        <v>68</v>
      </c>
      <c r="AI361" s="35" t="s">
        <v>68</v>
      </c>
      <c r="AJ361" s="1" t="s">
        <v>68</v>
      </c>
      <c r="AK361" s="5" t="s">
        <v>68</v>
      </c>
      <c r="AL361" s="1" t="s">
        <v>68</v>
      </c>
      <c r="AM361" s="5" t="s">
        <v>68</v>
      </c>
      <c r="AN361" s="1" t="s">
        <v>68</v>
      </c>
      <c r="AO361" s="1" t="s">
        <v>68</v>
      </c>
      <c r="AP361" s="306">
        <v>0</v>
      </c>
      <c r="AQ361" s="1211">
        <v>175813.29</v>
      </c>
      <c r="AR361" s="1038">
        <v>454874.08</v>
      </c>
      <c r="AS361" s="1027"/>
      <c r="AT361" s="173" t="s">
        <v>68</v>
      </c>
      <c r="AU361" s="12"/>
      <c r="AV361" s="243"/>
      <c r="AW361" s="54"/>
      <c r="AX361" s="271">
        <v>43819</v>
      </c>
      <c r="AY361" s="5">
        <v>43689</v>
      </c>
      <c r="AZ361" s="5">
        <v>43830</v>
      </c>
      <c r="BA361" s="12">
        <v>43820</v>
      </c>
      <c r="BB361" s="271">
        <v>43819</v>
      </c>
      <c r="BC361" s="1838"/>
      <c r="BD361" s="5">
        <v>43689</v>
      </c>
      <c r="BE361" s="5">
        <v>43830</v>
      </c>
      <c r="BF361" s="12">
        <v>43820</v>
      </c>
      <c r="BG361" s="38"/>
      <c r="BH361" s="14" t="s">
        <v>68</v>
      </c>
      <c r="BI361" s="372">
        <v>43685</v>
      </c>
      <c r="BJ361" s="1052" t="s">
        <v>68</v>
      </c>
      <c r="BK361" s="1052" t="s">
        <v>68</v>
      </c>
      <c r="BL361" s="1052"/>
      <c r="BM361" s="1052"/>
      <c r="BN361" s="1052"/>
      <c r="BO361" s="1052"/>
      <c r="BP361" s="1052" t="s">
        <v>68</v>
      </c>
      <c r="BQ361" s="1053"/>
      <c r="BR361" s="372" t="s">
        <v>68</v>
      </c>
      <c r="BS361" s="1053" t="s">
        <v>68</v>
      </c>
      <c r="BT361" s="14"/>
      <c r="BU361" s="14"/>
      <c r="BV361" s="14"/>
      <c r="BW361" s="14"/>
      <c r="BX361" s="14"/>
      <c r="BY361" s="1433" t="s">
        <v>2098</v>
      </c>
      <c r="BZ361" s="40"/>
      <c r="CA361" s="582"/>
      <c r="CB361" s="582"/>
      <c r="CC361" s="582"/>
      <c r="CD361" s="582"/>
      <c r="CE361" s="582"/>
      <c r="CF361" s="582"/>
      <c r="CG361" s="582"/>
      <c r="CH361" s="16"/>
    </row>
    <row r="362" spans="2:86" customFormat="1" ht="75" hidden="1" customHeight="1">
      <c r="B362" s="23"/>
      <c r="C362" s="23"/>
      <c r="D362" s="23"/>
      <c r="E362" s="1051">
        <v>44075</v>
      </c>
      <c r="F362" s="1051"/>
      <c r="G362" s="1055">
        <v>43976</v>
      </c>
      <c r="H362" s="365"/>
      <c r="I362" s="182">
        <v>2019</v>
      </c>
      <c r="J362" s="1684">
        <v>191.1</v>
      </c>
      <c r="K362" s="183" t="s">
        <v>166</v>
      </c>
      <c r="L362" s="739" t="s">
        <v>1186</v>
      </c>
      <c r="M362" s="2" t="s">
        <v>4077</v>
      </c>
      <c r="N362" s="186" t="s">
        <v>1187</v>
      </c>
      <c r="O362" s="186" t="s">
        <v>4878</v>
      </c>
      <c r="P362" s="187">
        <v>518279.12</v>
      </c>
      <c r="Q362" s="598">
        <v>43707</v>
      </c>
      <c r="R362" s="189">
        <v>43710</v>
      </c>
      <c r="S362" s="190">
        <v>43798</v>
      </c>
      <c r="T362" s="111" t="s">
        <v>68</v>
      </c>
      <c r="U362" s="191" t="s">
        <v>1177</v>
      </c>
      <c r="V362" s="183" t="s">
        <v>449</v>
      </c>
      <c r="W362" s="1292" t="s">
        <v>68</v>
      </c>
      <c r="X362" s="1633"/>
      <c r="Y362" s="266" t="s">
        <v>1188</v>
      </c>
      <c r="Z362" s="9">
        <v>43704</v>
      </c>
      <c r="AA362" s="4">
        <v>518279.12</v>
      </c>
      <c r="AB362" s="4"/>
      <c r="AC362" s="34"/>
      <c r="AD362" s="36" t="s">
        <v>68</v>
      </c>
      <c r="AE362" s="119" t="s">
        <v>68</v>
      </c>
      <c r="AF362" s="119" t="s">
        <v>68</v>
      </c>
      <c r="AG362" s="7" t="s">
        <v>68</v>
      </c>
      <c r="AH362" s="116" t="s">
        <v>68</v>
      </c>
      <c r="AI362" s="35" t="s">
        <v>68</v>
      </c>
      <c r="AJ362" s="1" t="s">
        <v>68</v>
      </c>
      <c r="AK362" s="5" t="s">
        <v>68</v>
      </c>
      <c r="AL362" s="1" t="s">
        <v>68</v>
      </c>
      <c r="AM362" s="5" t="s">
        <v>68</v>
      </c>
      <c r="AN362" s="1" t="s">
        <v>68</v>
      </c>
      <c r="AO362" s="1" t="s">
        <v>68</v>
      </c>
      <c r="AP362" s="306">
        <v>0</v>
      </c>
      <c r="AQ362" s="1211">
        <v>177150.56</v>
      </c>
      <c r="AR362" s="1038">
        <v>268088.65999999997</v>
      </c>
      <c r="AS362" s="1027"/>
      <c r="AT362" s="173" t="s">
        <v>68</v>
      </c>
      <c r="AU362" s="12"/>
      <c r="AV362" s="243"/>
      <c r="AW362" s="54" t="s">
        <v>495</v>
      </c>
      <c r="AX362" s="68" t="s">
        <v>74</v>
      </c>
      <c r="AY362" s="1"/>
      <c r="AZ362" s="1"/>
      <c r="BA362" s="18"/>
      <c r="BB362" s="68" t="s">
        <v>74</v>
      </c>
      <c r="BC362" s="1686"/>
      <c r="BD362" s="5"/>
      <c r="BE362" s="5"/>
      <c r="BF362" s="1"/>
      <c r="BG362" s="38"/>
      <c r="BH362" s="14" t="s">
        <v>68</v>
      </c>
      <c r="BI362" s="372">
        <v>43737</v>
      </c>
      <c r="BJ362" s="1052" t="s">
        <v>68</v>
      </c>
      <c r="BK362" s="1052" t="s">
        <v>68</v>
      </c>
      <c r="BL362" s="1052"/>
      <c r="BM362" s="1052"/>
      <c r="BN362" s="1052"/>
      <c r="BO362" s="1052"/>
      <c r="BP362" s="1052" t="s">
        <v>68</v>
      </c>
      <c r="BQ362" s="1053"/>
      <c r="BR362" s="372" t="s">
        <v>68</v>
      </c>
      <c r="BS362" s="1053" t="s">
        <v>68</v>
      </c>
      <c r="BT362" s="14"/>
      <c r="BU362" s="14">
        <v>0</v>
      </c>
      <c r="BV362" s="14"/>
      <c r="BW362" s="14"/>
      <c r="BX362" s="14"/>
      <c r="BY362" s="1433" t="s">
        <v>2098</v>
      </c>
      <c r="BZ362" s="40"/>
      <c r="CA362" s="582"/>
      <c r="CB362" s="582"/>
      <c r="CC362" s="582"/>
      <c r="CD362" s="582"/>
      <c r="CE362" s="582"/>
      <c r="CF362" s="582"/>
      <c r="CG362" s="582"/>
      <c r="CH362" s="16"/>
    </row>
    <row r="363" spans="2:86" customFormat="1" ht="79.5" hidden="1" customHeight="1">
      <c r="B363" s="23"/>
      <c r="C363" s="23"/>
      <c r="D363" s="23"/>
      <c r="E363" s="1051">
        <v>44075</v>
      </c>
      <c r="F363" s="1051"/>
      <c r="G363" s="1055">
        <v>44008</v>
      </c>
      <c r="H363" s="365">
        <v>43837</v>
      </c>
      <c r="I363" s="182">
        <v>2019</v>
      </c>
      <c r="J363" s="1684">
        <v>191.11</v>
      </c>
      <c r="K363" s="183" t="s">
        <v>77</v>
      </c>
      <c r="L363" s="739" t="s">
        <v>1189</v>
      </c>
      <c r="M363" s="2" t="s">
        <v>4077</v>
      </c>
      <c r="N363" s="186" t="s">
        <v>1190</v>
      </c>
      <c r="O363" s="186" t="s">
        <v>1979</v>
      </c>
      <c r="P363" s="187">
        <v>661528.31999999995</v>
      </c>
      <c r="Q363" s="657">
        <v>43754</v>
      </c>
      <c r="R363" s="189">
        <v>43759</v>
      </c>
      <c r="S363" s="190">
        <v>43814</v>
      </c>
      <c r="T363" s="111" t="s">
        <v>68</v>
      </c>
      <c r="U363" s="191" t="s">
        <v>1177</v>
      </c>
      <c r="V363" s="183" t="s">
        <v>449</v>
      </c>
      <c r="W363" s="685">
        <v>43753</v>
      </c>
      <c r="X363" s="1625"/>
      <c r="Y363" s="180" t="s">
        <v>1191</v>
      </c>
      <c r="Z363" s="9">
        <v>43752</v>
      </c>
      <c r="AA363" s="4">
        <v>661532.21</v>
      </c>
      <c r="AB363" s="4"/>
      <c r="AC363" s="34"/>
      <c r="AD363" s="36" t="s">
        <v>68</v>
      </c>
      <c r="AE363" s="119" t="s">
        <v>68</v>
      </c>
      <c r="AF363" s="119" t="s">
        <v>68</v>
      </c>
      <c r="AG363" s="7" t="s">
        <v>68</v>
      </c>
      <c r="AH363" s="116" t="s">
        <v>68</v>
      </c>
      <c r="AI363" s="180" t="s">
        <v>68</v>
      </c>
      <c r="AJ363" s="71" t="s">
        <v>68</v>
      </c>
      <c r="AK363" s="255" t="s">
        <v>68</v>
      </c>
      <c r="AL363" s="71" t="s">
        <v>68</v>
      </c>
      <c r="AM363" s="255" t="s">
        <v>68</v>
      </c>
      <c r="AN363" s="71" t="s">
        <v>68</v>
      </c>
      <c r="AO363" s="71" t="s">
        <v>68</v>
      </c>
      <c r="AP363" s="601">
        <v>0</v>
      </c>
      <c r="AQ363" s="74">
        <v>112372.76</v>
      </c>
      <c r="AR363" s="1032">
        <v>548291</v>
      </c>
      <c r="AS363" s="1027"/>
      <c r="AT363" s="68" t="s">
        <v>74</v>
      </c>
      <c r="AU363" s="12"/>
      <c r="AV363" s="243"/>
      <c r="AW363" s="54" t="s">
        <v>973</v>
      </c>
      <c r="AX363" s="359">
        <v>43814</v>
      </c>
      <c r="AY363" s="360">
        <v>43759</v>
      </c>
      <c r="AZ363" s="360">
        <v>43814</v>
      </c>
      <c r="BA363" s="1217">
        <v>43814</v>
      </c>
      <c r="BB363" s="359">
        <v>43814</v>
      </c>
      <c r="BC363" s="1951"/>
      <c r="BD363" s="5">
        <v>43759</v>
      </c>
      <c r="BE363" s="5">
        <v>43814</v>
      </c>
      <c r="BF363" s="5">
        <v>43814</v>
      </c>
      <c r="BG363" s="38">
        <f>AQ363+AR363</f>
        <v>660663.76</v>
      </c>
      <c r="BH363" s="14" t="s">
        <v>68</v>
      </c>
      <c r="BI363" s="372">
        <v>43755</v>
      </c>
      <c r="BJ363" s="1052" t="s">
        <v>68</v>
      </c>
      <c r="BK363" s="1052" t="s">
        <v>68</v>
      </c>
      <c r="BL363" s="1052"/>
      <c r="BM363" s="1052"/>
      <c r="BN363" s="1052"/>
      <c r="BO363" s="1052"/>
      <c r="BP363" s="1052" t="s">
        <v>68</v>
      </c>
      <c r="BQ363" s="1053"/>
      <c r="BR363" s="372" t="s">
        <v>68</v>
      </c>
      <c r="BS363" s="1053" t="s">
        <v>68</v>
      </c>
      <c r="BT363" s="14"/>
      <c r="BU363" s="14">
        <v>0</v>
      </c>
      <c r="BV363" s="14"/>
      <c r="BW363" s="14"/>
      <c r="BX363" s="14"/>
      <c r="BY363" s="1433" t="s">
        <v>2098</v>
      </c>
      <c r="BZ363" s="40"/>
      <c r="CA363" s="582"/>
      <c r="CB363" s="582"/>
      <c r="CC363" s="582"/>
      <c r="CD363" s="582"/>
      <c r="CE363" s="582"/>
      <c r="CF363" s="582"/>
      <c r="CG363" s="582"/>
      <c r="CH363" s="16"/>
    </row>
    <row r="364" spans="2:86" customFormat="1" ht="85.5" hidden="1" customHeight="1">
      <c r="B364" s="23"/>
      <c r="C364" s="23"/>
      <c r="D364" s="23"/>
      <c r="E364" s="1051">
        <v>44075</v>
      </c>
      <c r="F364" s="1051"/>
      <c r="G364" s="1055">
        <v>44011</v>
      </c>
      <c r="H364" s="365">
        <v>43837</v>
      </c>
      <c r="I364" s="182">
        <v>2019</v>
      </c>
      <c r="J364" s="1684">
        <v>191.12</v>
      </c>
      <c r="K364" s="183" t="s">
        <v>77</v>
      </c>
      <c r="L364" s="739" t="s">
        <v>1192</v>
      </c>
      <c r="M364" s="2" t="s">
        <v>4077</v>
      </c>
      <c r="N364" s="186" t="s">
        <v>1193</v>
      </c>
      <c r="O364" s="186" t="s">
        <v>1979</v>
      </c>
      <c r="P364" s="187">
        <v>886200.09</v>
      </c>
      <c r="Q364" s="657">
        <v>43754</v>
      </c>
      <c r="R364" s="189">
        <v>43759</v>
      </c>
      <c r="S364" s="190">
        <v>43814</v>
      </c>
      <c r="T364" s="111" t="s">
        <v>68</v>
      </c>
      <c r="U364" s="191" t="s">
        <v>1177</v>
      </c>
      <c r="V364" s="183" t="s">
        <v>449</v>
      </c>
      <c r="W364" s="685">
        <v>43753</v>
      </c>
      <c r="X364" s="1625"/>
      <c r="Y364" s="180" t="s">
        <v>1194</v>
      </c>
      <c r="Z364" s="9">
        <v>43752</v>
      </c>
      <c r="AA364" s="4">
        <v>886200.09</v>
      </c>
      <c r="AB364" s="4"/>
      <c r="AC364" s="34"/>
      <c r="AD364" s="36" t="s">
        <v>68</v>
      </c>
      <c r="AE364" s="119" t="s">
        <v>68</v>
      </c>
      <c r="AF364" s="119" t="s">
        <v>68</v>
      </c>
      <c r="AG364" s="7" t="s">
        <v>68</v>
      </c>
      <c r="AH364" s="116" t="s">
        <v>68</v>
      </c>
      <c r="AI364" s="35" t="s">
        <v>68</v>
      </c>
      <c r="AJ364" s="1" t="s">
        <v>68</v>
      </c>
      <c r="AK364" s="5" t="s">
        <v>68</v>
      </c>
      <c r="AL364" s="1" t="s">
        <v>68</v>
      </c>
      <c r="AM364" s="5" t="s">
        <v>68</v>
      </c>
      <c r="AN364" s="1" t="s">
        <v>68</v>
      </c>
      <c r="AO364" s="1" t="s">
        <v>68</v>
      </c>
      <c r="AP364" s="306">
        <v>0</v>
      </c>
      <c r="AQ364" s="74">
        <v>149162.70000000001</v>
      </c>
      <c r="AR364" s="1032">
        <v>736831.71</v>
      </c>
      <c r="AS364" s="1027"/>
      <c r="AT364" s="68" t="s">
        <v>74</v>
      </c>
      <c r="AU364" s="12"/>
      <c r="AV364" s="243" t="s">
        <v>68</v>
      </c>
      <c r="AW364" s="54" t="s">
        <v>973</v>
      </c>
      <c r="AX364" s="359">
        <v>43814</v>
      </c>
      <c r="AY364" s="360">
        <v>43759</v>
      </c>
      <c r="AZ364" s="360">
        <v>43814</v>
      </c>
      <c r="BA364" s="1217">
        <v>43814</v>
      </c>
      <c r="BB364" s="359">
        <v>43814</v>
      </c>
      <c r="BC364" s="1951"/>
      <c r="BD364" s="5">
        <v>43759</v>
      </c>
      <c r="BE364" s="5">
        <v>43814</v>
      </c>
      <c r="BF364" s="5">
        <v>43814</v>
      </c>
      <c r="BG364" s="38">
        <f>AQ364+AR364</f>
        <v>885994.40999999992</v>
      </c>
      <c r="BH364" s="14" t="s">
        <v>68</v>
      </c>
      <c r="BI364" s="372">
        <v>43755</v>
      </c>
      <c r="BJ364" s="1052" t="s">
        <v>68</v>
      </c>
      <c r="BK364" s="1052" t="s">
        <v>68</v>
      </c>
      <c r="BL364" s="1052"/>
      <c r="BM364" s="1052"/>
      <c r="BN364" s="1052"/>
      <c r="BO364" s="1052"/>
      <c r="BP364" s="1052" t="s">
        <v>68</v>
      </c>
      <c r="BQ364" s="1053"/>
      <c r="BR364" s="372" t="s">
        <v>68</v>
      </c>
      <c r="BS364" s="1053" t="s">
        <v>68</v>
      </c>
      <c r="BT364" s="14"/>
      <c r="BU364" s="14">
        <v>0</v>
      </c>
      <c r="BV364" s="14"/>
      <c r="BW364" s="14"/>
      <c r="BX364" s="14"/>
      <c r="BY364" s="1433" t="s">
        <v>2098</v>
      </c>
      <c r="BZ364" s="40" t="s">
        <v>1195</v>
      </c>
      <c r="CA364" s="582"/>
      <c r="CB364" s="582"/>
      <c r="CC364" s="582"/>
      <c r="CD364" s="582"/>
      <c r="CE364" s="582"/>
      <c r="CF364" s="582"/>
      <c r="CG364" s="582"/>
      <c r="CH364" s="16"/>
    </row>
    <row r="365" spans="2:86" customFormat="1" ht="97.5" hidden="1" customHeight="1">
      <c r="B365" s="23"/>
      <c r="C365" s="23"/>
      <c r="D365" s="23"/>
      <c r="E365" s="1051">
        <v>44075</v>
      </c>
      <c r="F365" s="1051"/>
      <c r="G365" s="1055">
        <v>44008</v>
      </c>
      <c r="H365" s="365">
        <v>43837</v>
      </c>
      <c r="I365" s="182">
        <v>2019</v>
      </c>
      <c r="J365" s="1684">
        <v>191.13</v>
      </c>
      <c r="K365" s="183" t="s">
        <v>77</v>
      </c>
      <c r="L365" s="739" t="s">
        <v>1196</v>
      </c>
      <c r="M365" s="2" t="s">
        <v>4077</v>
      </c>
      <c r="N365" s="186" t="s">
        <v>1197</v>
      </c>
      <c r="O365" s="186" t="s">
        <v>4458</v>
      </c>
      <c r="P365" s="187">
        <v>316991.96999999997</v>
      </c>
      <c r="Q365" s="598">
        <v>43773</v>
      </c>
      <c r="R365" s="189">
        <v>43775</v>
      </c>
      <c r="S365" s="190">
        <v>43798</v>
      </c>
      <c r="T365" s="111" t="s">
        <v>68</v>
      </c>
      <c r="U365" s="191" t="s">
        <v>1177</v>
      </c>
      <c r="V365" s="183" t="s">
        <v>449</v>
      </c>
      <c r="W365" s="688">
        <v>43738</v>
      </c>
      <c r="X365" s="1624"/>
      <c r="Y365" s="266" t="s">
        <v>1198</v>
      </c>
      <c r="Z365" s="9">
        <v>43704</v>
      </c>
      <c r="AA365" s="4">
        <v>316991.96999999997</v>
      </c>
      <c r="AB365" s="4"/>
      <c r="AC365" s="34"/>
      <c r="AD365" s="36" t="s">
        <v>68</v>
      </c>
      <c r="AE365" s="119" t="s">
        <v>68</v>
      </c>
      <c r="AF365" s="119" t="s">
        <v>68</v>
      </c>
      <c r="AG365" s="7" t="s">
        <v>68</v>
      </c>
      <c r="AH365" s="116" t="s">
        <v>68</v>
      </c>
      <c r="AI365" s="35" t="s">
        <v>68</v>
      </c>
      <c r="AJ365" s="1" t="s">
        <v>68</v>
      </c>
      <c r="AK365" s="5" t="s">
        <v>68</v>
      </c>
      <c r="AL365" s="1" t="s">
        <v>68</v>
      </c>
      <c r="AM365" s="5" t="s">
        <v>68</v>
      </c>
      <c r="AN365" s="1" t="s">
        <v>68</v>
      </c>
      <c r="AO365" s="1" t="s">
        <v>68</v>
      </c>
      <c r="AP365" s="306">
        <v>0</v>
      </c>
      <c r="AQ365" s="1211">
        <v>41549.75</v>
      </c>
      <c r="AR365" s="1038">
        <v>197160.68</v>
      </c>
      <c r="AS365" s="1027"/>
      <c r="AT365" s="68" t="s">
        <v>74</v>
      </c>
      <c r="AU365" s="12"/>
      <c r="AV365" s="243"/>
      <c r="AW365" s="54"/>
      <c r="AX365" s="75">
        <v>43798</v>
      </c>
      <c r="AY365" s="76">
        <v>43775</v>
      </c>
      <c r="AZ365" s="76">
        <v>43798</v>
      </c>
      <c r="BA365" s="134">
        <v>43798</v>
      </c>
      <c r="BB365" s="359">
        <v>43798</v>
      </c>
      <c r="BC365" s="1951"/>
      <c r="BD365" s="5">
        <v>43775</v>
      </c>
      <c r="BE365" s="5">
        <v>43798</v>
      </c>
      <c r="BF365" s="5">
        <v>43798</v>
      </c>
      <c r="BG365" s="270">
        <f>AQ365+AR365-90</f>
        <v>238620.43</v>
      </c>
      <c r="BH365" s="14" t="s">
        <v>68</v>
      </c>
      <c r="BI365" s="372">
        <v>43770</v>
      </c>
      <c r="BJ365" s="1052" t="s">
        <v>68</v>
      </c>
      <c r="BK365" s="1052" t="s">
        <v>68</v>
      </c>
      <c r="BL365" s="1052"/>
      <c r="BM365" s="1052"/>
      <c r="BN365" s="1052"/>
      <c r="BO365" s="1052"/>
      <c r="BP365" s="1052" t="s">
        <v>68</v>
      </c>
      <c r="BQ365" s="1053"/>
      <c r="BR365" s="372" t="s">
        <v>68</v>
      </c>
      <c r="BS365" s="1053" t="s">
        <v>68</v>
      </c>
      <c r="BT365" s="14"/>
      <c r="BU365" s="14"/>
      <c r="BV365" s="14"/>
      <c r="BW365" s="14"/>
      <c r="BX365" s="14"/>
      <c r="BY365" s="1433" t="s">
        <v>2098</v>
      </c>
      <c r="BZ365" s="356" t="s">
        <v>2846</v>
      </c>
      <c r="CA365" s="582"/>
      <c r="CB365" s="582"/>
      <c r="CC365" s="582"/>
      <c r="CD365" s="582"/>
      <c r="CE365" s="582"/>
      <c r="CF365" s="582"/>
      <c r="CG365" s="582"/>
      <c r="CH365" s="16"/>
    </row>
    <row r="366" spans="2:86" customFormat="1" ht="113.25" hidden="1" customHeight="1">
      <c r="B366" s="23"/>
      <c r="C366" s="23"/>
      <c r="D366" s="23"/>
      <c r="E366" s="1051">
        <v>44075</v>
      </c>
      <c r="F366" s="1051"/>
      <c r="G366" s="1055">
        <v>44011</v>
      </c>
      <c r="H366" s="365">
        <v>43837</v>
      </c>
      <c r="I366" s="182">
        <v>2019</v>
      </c>
      <c r="J366" s="1684">
        <v>191.14</v>
      </c>
      <c r="K366" s="183" t="s">
        <v>77</v>
      </c>
      <c r="L366" s="739" t="s">
        <v>1199</v>
      </c>
      <c r="M366" s="2" t="s">
        <v>4077</v>
      </c>
      <c r="N366" s="186" t="s">
        <v>1200</v>
      </c>
      <c r="O366" s="186" t="s">
        <v>4458</v>
      </c>
      <c r="P366" s="187">
        <v>387742.07</v>
      </c>
      <c r="Q366" s="598">
        <v>43773</v>
      </c>
      <c r="R366" s="189">
        <v>43775</v>
      </c>
      <c r="S366" s="190">
        <v>43798</v>
      </c>
      <c r="T366" s="111" t="s">
        <v>68</v>
      </c>
      <c r="U366" s="191" t="s">
        <v>1177</v>
      </c>
      <c r="V366" s="183" t="s">
        <v>449</v>
      </c>
      <c r="W366" s="688">
        <v>43738</v>
      </c>
      <c r="X366" s="1624"/>
      <c r="Y366" s="380" t="s">
        <v>1201</v>
      </c>
      <c r="Z366" s="9">
        <v>43704</v>
      </c>
      <c r="AA366" s="4">
        <v>387742.07</v>
      </c>
      <c r="AB366" s="4"/>
      <c r="AC366" s="34"/>
      <c r="AD366" s="36" t="s">
        <v>68</v>
      </c>
      <c r="AE366" s="119" t="s">
        <v>68</v>
      </c>
      <c r="AF366" s="119" t="s">
        <v>68</v>
      </c>
      <c r="AG366" s="7" t="s">
        <v>68</v>
      </c>
      <c r="AH366" s="116" t="s">
        <v>68</v>
      </c>
      <c r="AI366" s="35" t="s">
        <v>68</v>
      </c>
      <c r="AJ366" s="1" t="s">
        <v>68</v>
      </c>
      <c r="AK366" s="5" t="s">
        <v>68</v>
      </c>
      <c r="AL366" s="1" t="s">
        <v>68</v>
      </c>
      <c r="AM366" s="5" t="s">
        <v>68</v>
      </c>
      <c r="AN366" s="1" t="s">
        <v>68</v>
      </c>
      <c r="AO366" s="1" t="s">
        <v>68</v>
      </c>
      <c r="AP366" s="306">
        <v>0</v>
      </c>
      <c r="AQ366" s="1223">
        <v>70159.48</v>
      </c>
      <c r="AR366" s="1038">
        <v>169356.7</v>
      </c>
      <c r="AS366" s="1027"/>
      <c r="AT366" s="68" t="s">
        <v>74</v>
      </c>
      <c r="AU366" s="12"/>
      <c r="AV366" s="243"/>
      <c r="AW366" s="54"/>
      <c r="AX366" s="75">
        <v>43798</v>
      </c>
      <c r="AY366" s="519">
        <v>43775</v>
      </c>
      <c r="AZ366" s="519">
        <v>43798</v>
      </c>
      <c r="BA366" s="520">
        <v>43798</v>
      </c>
      <c r="BB366" s="359">
        <v>43798</v>
      </c>
      <c r="BC366" s="1951"/>
      <c r="BD366" s="5">
        <v>43775</v>
      </c>
      <c r="BE366" s="5">
        <v>43798</v>
      </c>
      <c r="BF366" s="5">
        <v>43798</v>
      </c>
      <c r="BG366" s="361">
        <f>AQ366+AR366</f>
        <v>239516.18</v>
      </c>
      <c r="BH366" s="14" t="s">
        <v>68</v>
      </c>
      <c r="BI366" s="372">
        <v>43770</v>
      </c>
      <c r="BJ366" s="1052" t="s">
        <v>68</v>
      </c>
      <c r="BK366" s="1052" t="s">
        <v>68</v>
      </c>
      <c r="BL366" s="1052"/>
      <c r="BM366" s="1052"/>
      <c r="BN366" s="1052"/>
      <c r="BO366" s="1052"/>
      <c r="BP366" s="1052" t="s">
        <v>68</v>
      </c>
      <c r="BQ366" s="1053"/>
      <c r="BR366" s="372" t="s">
        <v>68</v>
      </c>
      <c r="BS366" s="1053" t="s">
        <v>68</v>
      </c>
      <c r="BT366" s="14"/>
      <c r="BU366" s="14"/>
      <c r="BV366" s="14"/>
      <c r="BW366" s="14"/>
      <c r="BX366" s="14"/>
      <c r="BY366" s="1433" t="s">
        <v>2098</v>
      </c>
      <c r="BZ366" s="356"/>
      <c r="CA366" s="582"/>
      <c r="CB366" s="582"/>
      <c r="CC366" s="582"/>
      <c r="CD366" s="582"/>
      <c r="CE366" s="582"/>
      <c r="CF366" s="582"/>
      <c r="CG366" s="582"/>
      <c r="CH366" s="16"/>
    </row>
    <row r="367" spans="2:86" customFormat="1" ht="99" hidden="1" customHeight="1">
      <c r="B367" s="23"/>
      <c r="C367" s="23"/>
      <c r="D367" s="23"/>
      <c r="E367" s="1051">
        <v>44075</v>
      </c>
      <c r="F367" s="1051"/>
      <c r="G367" s="1055">
        <v>44008</v>
      </c>
      <c r="H367" s="365">
        <v>43837</v>
      </c>
      <c r="I367" s="182">
        <v>2019</v>
      </c>
      <c r="J367" s="1684">
        <v>191.15</v>
      </c>
      <c r="K367" s="183" t="s">
        <v>77</v>
      </c>
      <c r="L367" s="739" t="s">
        <v>1202</v>
      </c>
      <c r="M367" s="2" t="s">
        <v>4077</v>
      </c>
      <c r="N367" s="186" t="s">
        <v>1203</v>
      </c>
      <c r="O367" s="186" t="s">
        <v>4458</v>
      </c>
      <c r="P367" s="187">
        <v>758777.4</v>
      </c>
      <c r="Q367" s="598">
        <v>43773</v>
      </c>
      <c r="R367" s="189">
        <v>43775</v>
      </c>
      <c r="S367" s="190">
        <v>43798</v>
      </c>
      <c r="T367" s="111">
        <v>43693</v>
      </c>
      <c r="U367" s="191" t="s">
        <v>1177</v>
      </c>
      <c r="V367" s="183" t="s">
        <v>449</v>
      </c>
      <c r="W367" s="688">
        <v>43738</v>
      </c>
      <c r="X367" s="1624"/>
      <c r="Y367" s="380" t="s">
        <v>1204</v>
      </c>
      <c r="Z367" s="9">
        <v>43704</v>
      </c>
      <c r="AA367" s="4">
        <v>758777.4</v>
      </c>
      <c r="AB367" s="4"/>
      <c r="AC367" s="34"/>
      <c r="AD367" s="36" t="s">
        <v>68</v>
      </c>
      <c r="AE367" s="119" t="s">
        <v>68</v>
      </c>
      <c r="AF367" s="119" t="s">
        <v>68</v>
      </c>
      <c r="AG367" s="7" t="s">
        <v>68</v>
      </c>
      <c r="AH367" s="116" t="s">
        <v>68</v>
      </c>
      <c r="AI367" s="35"/>
      <c r="AJ367" s="1"/>
      <c r="AK367" s="5"/>
      <c r="AL367" s="2"/>
      <c r="AM367" s="5"/>
      <c r="AN367" s="2"/>
      <c r="AO367" s="5"/>
      <c r="AP367" s="306"/>
      <c r="AQ367" s="1211">
        <v>202691.45</v>
      </c>
      <c r="AR367" s="1038">
        <v>515332.37</v>
      </c>
      <c r="AS367" s="1027"/>
      <c r="AT367" s="68" t="s">
        <v>74</v>
      </c>
      <c r="AU367" s="12"/>
      <c r="AV367" s="243"/>
      <c r="AW367" s="54"/>
      <c r="AX367" s="75">
        <v>43798</v>
      </c>
      <c r="AY367" s="5">
        <v>43775</v>
      </c>
      <c r="AZ367" s="5">
        <v>43798</v>
      </c>
      <c r="BA367" s="12">
        <v>43798</v>
      </c>
      <c r="BB367" s="359">
        <v>43798</v>
      </c>
      <c r="BC367" s="1951"/>
      <c r="BD367" s="5">
        <v>43775</v>
      </c>
      <c r="BE367" s="5">
        <v>43798</v>
      </c>
      <c r="BF367" s="5">
        <v>43798</v>
      </c>
      <c r="BG367" s="361">
        <f>AQ367+AR367</f>
        <v>718023.82000000007</v>
      </c>
      <c r="BH367" s="14" t="s">
        <v>68</v>
      </c>
      <c r="BI367" s="372">
        <v>43693</v>
      </c>
      <c r="BJ367" s="1052" t="s">
        <v>68</v>
      </c>
      <c r="BK367" s="76">
        <v>43703</v>
      </c>
      <c r="BL367" s="76"/>
      <c r="BM367" s="76"/>
      <c r="BN367" s="76"/>
      <c r="BO367" s="76"/>
      <c r="BP367" s="1052" t="s">
        <v>68</v>
      </c>
      <c r="BQ367" s="1053"/>
      <c r="BR367" s="372" t="s">
        <v>68</v>
      </c>
      <c r="BS367" s="1053" t="s">
        <v>68</v>
      </c>
      <c r="BT367" s="14"/>
      <c r="BU367" s="14"/>
      <c r="BV367" s="14"/>
      <c r="BW367" s="14"/>
      <c r="BX367" s="14"/>
      <c r="BY367" s="1433" t="s">
        <v>2098</v>
      </c>
      <c r="BZ367" s="356"/>
      <c r="CA367" s="582"/>
      <c r="CB367" s="582"/>
      <c r="CC367" s="582"/>
      <c r="CD367" s="582"/>
      <c r="CE367" s="582"/>
      <c r="CF367" s="582"/>
      <c r="CG367" s="582"/>
      <c r="CH367" s="16"/>
    </row>
    <row r="368" spans="2:86" s="1241" customFormat="1" ht="37.5" hidden="1" customHeight="1">
      <c r="B368" s="1242"/>
      <c r="C368" s="1242"/>
      <c r="D368" s="1242"/>
      <c r="E368" s="1243"/>
      <c r="F368" s="1243"/>
      <c r="G368" s="610"/>
      <c r="H368" s="700"/>
      <c r="I368" s="1244">
        <v>2019</v>
      </c>
      <c r="J368" s="1683">
        <v>191.16</v>
      </c>
      <c r="K368" s="1245"/>
      <c r="L368" s="1246" t="s">
        <v>1205</v>
      </c>
      <c r="M368" s="904" t="s">
        <v>251</v>
      </c>
      <c r="N368" s="1247"/>
      <c r="O368" s="1247"/>
      <c r="P368" s="1248"/>
      <c r="Q368" s="1249"/>
      <c r="R368" s="1250"/>
      <c r="S368" s="1251"/>
      <c r="T368" s="1252" t="s">
        <v>68</v>
      </c>
      <c r="U368" s="1246" t="s">
        <v>68</v>
      </c>
      <c r="V368" s="1245"/>
      <c r="W368" s="1253"/>
      <c r="X368" s="1630"/>
      <c r="Y368" s="340"/>
      <c r="Z368" s="1254"/>
      <c r="AA368" s="1255"/>
      <c r="AB368" s="1255"/>
      <c r="AC368" s="1256"/>
      <c r="AD368" s="1257" t="s">
        <v>68</v>
      </c>
      <c r="AE368" s="1258" t="s">
        <v>68</v>
      </c>
      <c r="AF368" s="1258" t="s">
        <v>68</v>
      </c>
      <c r="AG368" s="1259" t="s">
        <v>68</v>
      </c>
      <c r="AH368" s="1260" t="s">
        <v>68</v>
      </c>
      <c r="AI368" s="340" t="s">
        <v>68</v>
      </c>
      <c r="AJ368" s="1261" t="s">
        <v>68</v>
      </c>
      <c r="AK368" s="1262" t="s">
        <v>68</v>
      </c>
      <c r="AL368" s="1261" t="s">
        <v>68</v>
      </c>
      <c r="AM368" s="1262" t="s">
        <v>68</v>
      </c>
      <c r="AN368" s="1261" t="s">
        <v>68</v>
      </c>
      <c r="AO368" s="1261" t="s">
        <v>68</v>
      </c>
      <c r="AP368" s="1263">
        <v>0</v>
      </c>
      <c r="AQ368" s="1264"/>
      <c r="AR368" s="1265"/>
      <c r="AS368" s="1266"/>
      <c r="AT368" s="1267"/>
      <c r="AU368" s="1268"/>
      <c r="AV368" s="1269"/>
      <c r="AW368" s="1270"/>
      <c r="AX368" s="1267"/>
      <c r="AY368" s="1261"/>
      <c r="AZ368" s="1261"/>
      <c r="BA368" s="1271"/>
      <c r="BB368" s="1267"/>
      <c r="BC368" s="1944"/>
      <c r="BD368" s="1262"/>
      <c r="BE368" s="1262"/>
      <c r="BF368" s="1261"/>
      <c r="BG368" s="1272"/>
      <c r="BH368" s="1273" t="s">
        <v>68</v>
      </c>
      <c r="BI368" s="1274"/>
      <c r="BJ368" s="1275" t="s">
        <v>68</v>
      </c>
      <c r="BK368" s="1275" t="s">
        <v>68</v>
      </c>
      <c r="BL368" s="1275"/>
      <c r="BM368" s="1275"/>
      <c r="BN368" s="1275"/>
      <c r="BO368" s="1275"/>
      <c r="BP368" s="1275" t="s">
        <v>68</v>
      </c>
      <c r="BQ368" s="1274"/>
      <c r="BR368" s="1761" t="s">
        <v>68</v>
      </c>
      <c r="BS368" s="1274" t="s">
        <v>68</v>
      </c>
      <c r="BT368" s="1273"/>
      <c r="BU368" s="1273"/>
      <c r="BV368" s="1273"/>
      <c r="BW368" s="1273"/>
      <c r="BX368" s="1273"/>
      <c r="BY368" s="1769" t="s">
        <v>2098</v>
      </c>
      <c r="BZ368" s="1276"/>
      <c r="CA368" s="903"/>
      <c r="CB368" s="903"/>
      <c r="CC368" s="903"/>
      <c r="CD368" s="903"/>
      <c r="CE368" s="903"/>
      <c r="CF368" s="903"/>
      <c r="CG368" s="903"/>
      <c r="CH368" s="1277"/>
    </row>
    <row r="369" spans="2:86" customFormat="1" ht="67.5" hidden="1" customHeight="1">
      <c r="B369" s="23"/>
      <c r="C369" s="129"/>
      <c r="D369" s="129"/>
      <c r="E369" s="1051">
        <v>44075</v>
      </c>
      <c r="F369" s="1051"/>
      <c r="G369" s="1055">
        <v>44298</v>
      </c>
      <c r="H369" s="365">
        <v>44302</v>
      </c>
      <c r="I369" s="182">
        <v>2019</v>
      </c>
      <c r="J369" s="1684">
        <v>191.17</v>
      </c>
      <c r="K369" s="183" t="s">
        <v>1148</v>
      </c>
      <c r="L369" s="739" t="s">
        <v>1206</v>
      </c>
      <c r="M369" s="2" t="s">
        <v>4077</v>
      </c>
      <c r="N369" s="186" t="s">
        <v>1207</v>
      </c>
      <c r="O369" s="186" t="s">
        <v>4458</v>
      </c>
      <c r="P369" s="187">
        <v>1248920.79</v>
      </c>
      <c r="Q369" s="598">
        <v>43784</v>
      </c>
      <c r="R369" s="189">
        <v>43784</v>
      </c>
      <c r="S369" s="190">
        <v>43814</v>
      </c>
      <c r="T369" s="111" t="s">
        <v>68</v>
      </c>
      <c r="U369" s="191" t="s">
        <v>1177</v>
      </c>
      <c r="V369" s="183" t="s">
        <v>984</v>
      </c>
      <c r="W369" s="1210" t="s">
        <v>68</v>
      </c>
      <c r="X369" s="1634"/>
      <c r="Y369" s="180" t="s">
        <v>1208</v>
      </c>
      <c r="Z369" s="9">
        <v>43793</v>
      </c>
      <c r="AA369" s="4">
        <v>1248920.79</v>
      </c>
      <c r="AB369" s="4"/>
      <c r="AC369" s="34"/>
      <c r="AD369" s="36" t="s">
        <v>68</v>
      </c>
      <c r="AE369" s="119" t="s">
        <v>68</v>
      </c>
      <c r="AF369" s="119" t="s">
        <v>68</v>
      </c>
      <c r="AG369" s="7" t="s">
        <v>68</v>
      </c>
      <c r="AH369" s="116" t="s">
        <v>68</v>
      </c>
      <c r="AI369" s="35" t="s">
        <v>68</v>
      </c>
      <c r="AJ369" s="1" t="s">
        <v>68</v>
      </c>
      <c r="AK369" s="5" t="s">
        <v>68</v>
      </c>
      <c r="AL369" s="1" t="s">
        <v>68</v>
      </c>
      <c r="AM369" s="5" t="s">
        <v>68</v>
      </c>
      <c r="AN369" s="1" t="s">
        <v>68</v>
      </c>
      <c r="AO369" s="1" t="s">
        <v>68</v>
      </c>
      <c r="AP369" s="306">
        <v>0</v>
      </c>
      <c r="AQ369" s="1211">
        <v>233232.44</v>
      </c>
      <c r="AR369" s="1038">
        <v>503816.51</v>
      </c>
      <c r="AS369" s="1027"/>
      <c r="AT369" s="247">
        <v>43912</v>
      </c>
      <c r="AU369" s="12">
        <v>43923</v>
      </c>
      <c r="AV369" s="243"/>
      <c r="AW369" s="54"/>
      <c r="AX369" s="68" t="s">
        <v>74</v>
      </c>
      <c r="AY369" s="1"/>
      <c r="AZ369" s="1"/>
      <c r="BA369" s="18"/>
      <c r="BB369" s="68" t="s">
        <v>74</v>
      </c>
      <c r="BC369" s="1686"/>
      <c r="BD369" s="5"/>
      <c r="BE369" s="5"/>
      <c r="BF369" s="1"/>
      <c r="BG369" s="66">
        <f>AQ369+AR369</f>
        <v>737048.95</v>
      </c>
      <c r="BH369" s="14" t="s">
        <v>68</v>
      </c>
      <c r="BI369" s="372">
        <v>43780</v>
      </c>
      <c r="BJ369" s="1052" t="s">
        <v>68</v>
      </c>
      <c r="BK369" s="1052" t="s">
        <v>68</v>
      </c>
      <c r="BL369" s="1052"/>
      <c r="BM369" s="1052"/>
      <c r="BN369" s="1052"/>
      <c r="BO369" s="1052"/>
      <c r="BP369" s="1052" t="s">
        <v>68</v>
      </c>
      <c r="BQ369" s="1053"/>
      <c r="BR369" s="372" t="s">
        <v>68</v>
      </c>
      <c r="BS369" s="372">
        <v>44171</v>
      </c>
      <c r="BT369" s="14"/>
      <c r="BU369" s="1474"/>
      <c r="BV369" s="1474"/>
      <c r="BW369" s="1464" t="s">
        <v>74</v>
      </c>
      <c r="BX369" s="1474"/>
      <c r="BY369" s="1433" t="s">
        <v>2098</v>
      </c>
      <c r="BZ369" s="40"/>
      <c r="CA369" s="582"/>
      <c r="CB369" s="582"/>
      <c r="CC369" s="582"/>
      <c r="CD369" s="582"/>
      <c r="CE369" s="582"/>
      <c r="CF369" s="582"/>
      <c r="CG369" s="582"/>
      <c r="CH369" s="16"/>
    </row>
    <row r="370" spans="2:86" customFormat="1" ht="82.5" hidden="1" customHeight="1">
      <c r="B370" s="23"/>
      <c r="C370" s="23"/>
      <c r="D370" s="23"/>
      <c r="E370" s="1051">
        <v>44075</v>
      </c>
      <c r="F370" s="1051"/>
      <c r="G370" s="1055">
        <v>44008</v>
      </c>
      <c r="H370" s="365">
        <v>43837</v>
      </c>
      <c r="I370" s="182">
        <v>2019</v>
      </c>
      <c r="J370" s="1684">
        <v>191.18</v>
      </c>
      <c r="K370" s="183" t="s">
        <v>77</v>
      </c>
      <c r="L370" s="739" t="s">
        <v>1209</v>
      </c>
      <c r="M370" s="2" t="s">
        <v>4077</v>
      </c>
      <c r="N370" s="186" t="s">
        <v>1210</v>
      </c>
      <c r="O370" s="186" t="s">
        <v>1979</v>
      </c>
      <c r="P370" s="187">
        <v>125964.92</v>
      </c>
      <c r="Q370" s="657">
        <v>43791</v>
      </c>
      <c r="R370" s="189">
        <v>43792</v>
      </c>
      <c r="S370" s="190">
        <v>43814</v>
      </c>
      <c r="T370" s="111" t="s">
        <v>68</v>
      </c>
      <c r="U370" s="191" t="s">
        <v>1177</v>
      </c>
      <c r="V370" s="183" t="s">
        <v>449</v>
      </c>
      <c r="W370" s="688">
        <v>43684</v>
      </c>
      <c r="X370" s="1624"/>
      <c r="Y370" s="180" t="s">
        <v>1211</v>
      </c>
      <c r="Z370" s="9">
        <v>43793</v>
      </c>
      <c r="AA370" s="4">
        <v>125964.92</v>
      </c>
      <c r="AB370" s="4"/>
      <c r="AC370" s="34"/>
      <c r="AD370" s="36" t="s">
        <v>68</v>
      </c>
      <c r="AE370" s="119" t="s">
        <v>68</v>
      </c>
      <c r="AF370" s="119" t="s">
        <v>68</v>
      </c>
      <c r="AG370" s="7" t="s">
        <v>68</v>
      </c>
      <c r="AH370" s="116" t="s">
        <v>68</v>
      </c>
      <c r="AI370" s="35" t="s">
        <v>68</v>
      </c>
      <c r="AJ370" s="1" t="s">
        <v>68</v>
      </c>
      <c r="AK370" s="5" t="s">
        <v>68</v>
      </c>
      <c r="AL370" s="1" t="s">
        <v>68</v>
      </c>
      <c r="AM370" s="5" t="s">
        <v>68</v>
      </c>
      <c r="AN370" s="1" t="s">
        <v>68</v>
      </c>
      <c r="AO370" s="1" t="s">
        <v>68</v>
      </c>
      <c r="AP370" s="306">
        <v>0</v>
      </c>
      <c r="AQ370" s="1211">
        <v>49998.1</v>
      </c>
      <c r="AR370" s="1038">
        <v>58740.17</v>
      </c>
      <c r="AS370" s="1027"/>
      <c r="AT370" s="68" t="s">
        <v>74</v>
      </c>
      <c r="AU370" s="12"/>
      <c r="AV370" s="243"/>
      <c r="AW370" s="54"/>
      <c r="AX370" s="68" t="s">
        <v>74</v>
      </c>
      <c r="AY370" s="1"/>
      <c r="AZ370" s="1"/>
      <c r="BA370" s="18"/>
      <c r="BB370" s="68" t="s">
        <v>74</v>
      </c>
      <c r="BC370" s="1686"/>
      <c r="BD370" s="5"/>
      <c r="BE370" s="5"/>
      <c r="BF370" s="1"/>
      <c r="BG370" s="66"/>
      <c r="BH370" s="14" t="s">
        <v>68</v>
      </c>
      <c r="BI370" s="372">
        <v>43790</v>
      </c>
      <c r="BJ370" s="1052" t="s">
        <v>68</v>
      </c>
      <c r="BK370" s="1052" t="s">
        <v>68</v>
      </c>
      <c r="BL370" s="1052"/>
      <c r="BM370" s="1052"/>
      <c r="BN370" s="1052"/>
      <c r="BO370" s="1052"/>
      <c r="BP370" s="1052" t="s">
        <v>68</v>
      </c>
      <c r="BQ370" s="1053"/>
      <c r="BR370" s="372" t="s">
        <v>68</v>
      </c>
      <c r="BS370" s="1053" t="s">
        <v>68</v>
      </c>
      <c r="BT370" s="14"/>
      <c r="BU370" s="14" t="s">
        <v>1212</v>
      </c>
      <c r="BV370" s="14"/>
      <c r="BW370" s="14"/>
      <c r="BX370" s="14"/>
      <c r="BY370" s="1433" t="s">
        <v>2098</v>
      </c>
      <c r="BZ370" s="40"/>
      <c r="CA370" s="582"/>
      <c r="CB370" s="582"/>
      <c r="CC370" s="582"/>
      <c r="CD370" s="582"/>
      <c r="CE370" s="582"/>
      <c r="CF370" s="582"/>
      <c r="CG370" s="582"/>
      <c r="CH370" s="16"/>
    </row>
    <row r="371" spans="2:86" s="1241" customFormat="1" ht="37.5" hidden="1" customHeight="1">
      <c r="B371" s="1242"/>
      <c r="C371" s="1242"/>
      <c r="D371" s="1242"/>
      <c r="E371" s="1243"/>
      <c r="F371" s="1243"/>
      <c r="G371" s="610"/>
      <c r="H371" s="700"/>
      <c r="I371" s="1244">
        <v>2019</v>
      </c>
      <c r="J371" s="1683">
        <v>191.19</v>
      </c>
      <c r="K371" s="1245"/>
      <c r="L371" s="1246" t="s">
        <v>1213</v>
      </c>
      <c r="M371" s="904" t="s">
        <v>251</v>
      </c>
      <c r="N371" s="1247"/>
      <c r="O371" s="1247"/>
      <c r="P371" s="1248"/>
      <c r="Q371" s="1249"/>
      <c r="R371" s="1250"/>
      <c r="S371" s="1251"/>
      <c r="T371" s="1252" t="s">
        <v>68</v>
      </c>
      <c r="U371" s="1246" t="s">
        <v>68</v>
      </c>
      <c r="V371" s="1245"/>
      <c r="W371" s="1253"/>
      <c r="X371" s="1630"/>
      <c r="Y371" s="340"/>
      <c r="Z371" s="1254"/>
      <c r="AA371" s="1255"/>
      <c r="AB371" s="1255"/>
      <c r="AC371" s="1256"/>
      <c r="AD371" s="1257" t="s">
        <v>68</v>
      </c>
      <c r="AE371" s="1258" t="s">
        <v>68</v>
      </c>
      <c r="AF371" s="1258" t="s">
        <v>68</v>
      </c>
      <c r="AG371" s="1259" t="s">
        <v>68</v>
      </c>
      <c r="AH371" s="1260" t="s">
        <v>68</v>
      </c>
      <c r="AI371" s="340" t="s">
        <v>68</v>
      </c>
      <c r="AJ371" s="1261" t="s">
        <v>68</v>
      </c>
      <c r="AK371" s="1262" t="s">
        <v>68</v>
      </c>
      <c r="AL371" s="1261" t="s">
        <v>68</v>
      </c>
      <c r="AM371" s="1262" t="s">
        <v>68</v>
      </c>
      <c r="AN371" s="1261" t="s">
        <v>68</v>
      </c>
      <c r="AO371" s="1261" t="s">
        <v>68</v>
      </c>
      <c r="AP371" s="1263">
        <v>0</v>
      </c>
      <c r="AQ371" s="1264"/>
      <c r="AR371" s="1265"/>
      <c r="AS371" s="1266"/>
      <c r="AT371" s="1267"/>
      <c r="AU371" s="1268"/>
      <c r="AV371" s="1269"/>
      <c r="AW371" s="1270"/>
      <c r="AX371" s="1762"/>
      <c r="AY371" s="1261"/>
      <c r="AZ371" s="1261"/>
      <c r="BA371" s="1271"/>
      <c r="BB371" s="1267"/>
      <c r="BC371" s="1944"/>
      <c r="BD371" s="1262"/>
      <c r="BE371" s="1262"/>
      <c r="BF371" s="1261"/>
      <c r="BG371" s="1272"/>
      <c r="BH371" s="1273" t="s">
        <v>68</v>
      </c>
      <c r="BI371" s="1274"/>
      <c r="BJ371" s="1275" t="s">
        <v>68</v>
      </c>
      <c r="BK371" s="1275" t="s">
        <v>68</v>
      </c>
      <c r="BL371" s="1275"/>
      <c r="BM371" s="1275"/>
      <c r="BN371" s="1275"/>
      <c r="BO371" s="1275"/>
      <c r="BP371" s="1275" t="s">
        <v>68</v>
      </c>
      <c r="BQ371" s="1274"/>
      <c r="BR371" s="1761" t="s">
        <v>68</v>
      </c>
      <c r="BS371" s="1274" t="s">
        <v>68</v>
      </c>
      <c r="BT371" s="1273"/>
      <c r="BU371" s="1273"/>
      <c r="BV371" s="1273"/>
      <c r="BW371" s="1273"/>
      <c r="BX371" s="1273"/>
      <c r="BY371" s="1769" t="s">
        <v>2098</v>
      </c>
      <c r="BZ371" s="1276"/>
      <c r="CA371" s="903"/>
      <c r="CB371" s="903"/>
      <c r="CC371" s="903"/>
      <c r="CD371" s="903"/>
      <c r="CE371" s="903"/>
      <c r="CF371" s="903"/>
      <c r="CG371" s="903"/>
      <c r="CH371" s="1277"/>
    </row>
    <row r="372" spans="2:86" customFormat="1" ht="89.25" hidden="1" customHeight="1">
      <c r="B372" s="23"/>
      <c r="C372" s="23"/>
      <c r="D372" s="23"/>
      <c r="E372" s="1051">
        <v>44075</v>
      </c>
      <c r="F372" s="1051"/>
      <c r="G372" s="1055">
        <v>44008</v>
      </c>
      <c r="H372" s="365"/>
      <c r="I372" s="182">
        <v>2019</v>
      </c>
      <c r="J372" s="1684">
        <v>191.2</v>
      </c>
      <c r="K372" s="183" t="s">
        <v>77</v>
      </c>
      <c r="L372" s="739" t="s">
        <v>1214</v>
      </c>
      <c r="M372" s="2" t="s">
        <v>4077</v>
      </c>
      <c r="N372" s="186" t="s">
        <v>1215</v>
      </c>
      <c r="O372" s="186" t="s">
        <v>1979</v>
      </c>
      <c r="P372" s="187">
        <v>24608.01</v>
      </c>
      <c r="Q372" s="598">
        <v>43791</v>
      </c>
      <c r="R372" s="189">
        <v>43792</v>
      </c>
      <c r="S372" s="190">
        <v>43814</v>
      </c>
      <c r="T372" s="111" t="s">
        <v>68</v>
      </c>
      <c r="U372" s="191" t="s">
        <v>1177</v>
      </c>
      <c r="V372" s="183" t="s">
        <v>709</v>
      </c>
      <c r="W372" s="688">
        <v>43731</v>
      </c>
      <c r="X372" s="1624"/>
      <c r="Y372" s="266" t="s">
        <v>1216</v>
      </c>
      <c r="Z372" s="9">
        <v>43790</v>
      </c>
      <c r="AA372" s="4">
        <v>24608.01</v>
      </c>
      <c r="AB372" s="4"/>
      <c r="AC372" s="34"/>
      <c r="AD372" s="36" t="s">
        <v>68</v>
      </c>
      <c r="AE372" s="119" t="s">
        <v>68</v>
      </c>
      <c r="AF372" s="119" t="s">
        <v>68</v>
      </c>
      <c r="AG372" s="7" t="s">
        <v>68</v>
      </c>
      <c r="AH372" s="116" t="s">
        <v>68</v>
      </c>
      <c r="AI372" s="35" t="s">
        <v>68</v>
      </c>
      <c r="AJ372" s="1" t="s">
        <v>68</v>
      </c>
      <c r="AK372" s="5" t="s">
        <v>68</v>
      </c>
      <c r="AL372" s="1" t="s">
        <v>68</v>
      </c>
      <c r="AM372" s="5" t="s">
        <v>68</v>
      </c>
      <c r="AN372" s="1" t="s">
        <v>68</v>
      </c>
      <c r="AO372" s="1" t="s">
        <v>68</v>
      </c>
      <c r="AP372" s="306">
        <v>0</v>
      </c>
      <c r="AQ372" s="1211">
        <v>9599.85</v>
      </c>
      <c r="AR372" s="1038">
        <v>5808.15</v>
      </c>
      <c r="AS372" s="1027"/>
      <c r="AT372" s="68" t="s">
        <v>74</v>
      </c>
      <c r="AU372" s="12"/>
      <c r="AV372" s="243"/>
      <c r="AW372" s="54"/>
      <c r="AX372" s="68" t="s">
        <v>74</v>
      </c>
      <c r="AY372" s="1"/>
      <c r="AZ372" s="1"/>
      <c r="BA372" s="18"/>
      <c r="BB372" s="68" t="s">
        <v>74</v>
      </c>
      <c r="BC372" s="1686"/>
      <c r="BD372" s="5"/>
      <c r="BE372" s="5"/>
      <c r="BF372" s="1"/>
      <c r="BG372" s="66"/>
      <c r="BH372" s="14" t="s">
        <v>68</v>
      </c>
      <c r="BI372" s="68" t="s">
        <v>74</v>
      </c>
      <c r="BJ372" s="1052" t="s">
        <v>68</v>
      </c>
      <c r="BK372" s="1052" t="s">
        <v>68</v>
      </c>
      <c r="BL372" s="1052"/>
      <c r="BM372" s="1052"/>
      <c r="BN372" s="1052"/>
      <c r="BO372" s="1052"/>
      <c r="BP372" s="1052" t="s">
        <v>68</v>
      </c>
      <c r="BQ372" s="1053"/>
      <c r="BR372" s="372" t="s">
        <v>68</v>
      </c>
      <c r="BS372" s="1053" t="s">
        <v>68</v>
      </c>
      <c r="BT372" s="14"/>
      <c r="BU372" s="14"/>
      <c r="BV372" s="14"/>
      <c r="BW372" s="14"/>
      <c r="BX372" s="14"/>
      <c r="BY372" s="1433" t="s">
        <v>2098</v>
      </c>
      <c r="BZ372" s="40"/>
      <c r="CA372" s="582"/>
      <c r="CB372" s="582"/>
      <c r="CC372" s="582"/>
      <c r="CD372" s="582"/>
      <c r="CE372" s="582"/>
      <c r="CF372" s="582"/>
      <c r="CG372" s="582"/>
      <c r="CH372" s="16"/>
    </row>
    <row r="373" spans="2:86" s="1241" customFormat="1" ht="122.25" hidden="1" customHeight="1">
      <c r="B373" s="1242"/>
      <c r="C373" s="610"/>
      <c r="D373" s="610"/>
      <c r="E373" s="1243"/>
      <c r="F373" s="1243"/>
      <c r="G373" s="610"/>
      <c r="H373" s="700"/>
      <c r="I373" s="1244">
        <v>2019</v>
      </c>
      <c r="J373" s="1683">
        <v>191.21</v>
      </c>
      <c r="K373" s="1245" t="s">
        <v>1148</v>
      </c>
      <c r="L373" s="1246" t="s">
        <v>1217</v>
      </c>
      <c r="M373" s="904" t="s">
        <v>251</v>
      </c>
      <c r="N373" s="1247" t="s">
        <v>1218</v>
      </c>
      <c r="O373" s="1247"/>
      <c r="P373" s="1248">
        <v>1302585.8500000001</v>
      </c>
      <c r="Q373" s="1249"/>
      <c r="R373" s="1250"/>
      <c r="S373" s="1251"/>
      <c r="T373" s="1252" t="s">
        <v>68</v>
      </c>
      <c r="U373" s="1246" t="s">
        <v>1177</v>
      </c>
      <c r="V373" s="1245"/>
      <c r="W373" s="1253"/>
      <c r="X373" s="1630"/>
      <c r="Y373" s="1765"/>
      <c r="Z373" s="1254"/>
      <c r="AA373" s="1255"/>
      <c r="AB373" s="1255"/>
      <c r="AC373" s="1256"/>
      <c r="AD373" s="1257" t="s">
        <v>68</v>
      </c>
      <c r="AE373" s="1258" t="s">
        <v>68</v>
      </c>
      <c r="AF373" s="1258" t="s">
        <v>68</v>
      </c>
      <c r="AG373" s="1259" t="s">
        <v>68</v>
      </c>
      <c r="AH373" s="1260" t="s">
        <v>68</v>
      </c>
      <c r="AI373" s="340" t="s">
        <v>68</v>
      </c>
      <c r="AJ373" s="1261" t="s">
        <v>68</v>
      </c>
      <c r="AK373" s="1262" t="s">
        <v>68</v>
      </c>
      <c r="AL373" s="1261" t="s">
        <v>68</v>
      </c>
      <c r="AM373" s="1262" t="s">
        <v>68</v>
      </c>
      <c r="AN373" s="1261" t="s">
        <v>68</v>
      </c>
      <c r="AO373" s="1261" t="s">
        <v>68</v>
      </c>
      <c r="AP373" s="1263">
        <v>0</v>
      </c>
      <c r="AQ373" s="1264"/>
      <c r="AR373" s="1265"/>
      <c r="AS373" s="1266"/>
      <c r="AT373" s="1267"/>
      <c r="AU373" s="1268"/>
      <c r="AV373" s="1269"/>
      <c r="AW373" s="1270"/>
      <c r="AX373" s="1267"/>
      <c r="AY373" s="1262"/>
      <c r="AZ373" s="1262"/>
      <c r="BA373" s="1262"/>
      <c r="BB373" s="1267"/>
      <c r="BC373" s="1944"/>
      <c r="BD373" s="1262"/>
      <c r="BE373" s="1262"/>
      <c r="BF373" s="1262"/>
      <c r="BG373" s="1272"/>
      <c r="BH373" s="1748"/>
      <c r="BI373" s="1761"/>
      <c r="BJ373" s="1275"/>
      <c r="BK373" s="1275" t="s">
        <v>68</v>
      </c>
      <c r="BL373" s="1275"/>
      <c r="BM373" s="1275"/>
      <c r="BN373" s="1275"/>
      <c r="BO373" s="1275"/>
      <c r="BP373" s="1275" t="s">
        <v>68</v>
      </c>
      <c r="BQ373" s="1274"/>
      <c r="BR373" s="1761" t="s">
        <v>68</v>
      </c>
      <c r="BS373" s="1274" t="s">
        <v>68</v>
      </c>
      <c r="BT373" s="1273"/>
      <c r="BU373" s="1273"/>
      <c r="BV373" s="1273"/>
      <c r="BW373" s="1273"/>
      <c r="BX373" s="1273"/>
      <c r="BY373" s="1769" t="s">
        <v>2098</v>
      </c>
      <c r="BZ373" s="1276"/>
      <c r="CA373" s="903"/>
      <c r="CB373" s="903"/>
      <c r="CC373" s="903"/>
      <c r="CD373" s="903"/>
      <c r="CE373" s="903"/>
      <c r="CF373" s="903"/>
      <c r="CG373" s="903"/>
      <c r="CH373" s="1277"/>
    </row>
    <row r="374" spans="2:86" customFormat="1" ht="87.75" hidden="1" customHeight="1">
      <c r="B374" s="23"/>
      <c r="C374" s="23"/>
      <c r="D374" s="23"/>
      <c r="E374" s="1051"/>
      <c r="F374" s="1051"/>
      <c r="G374" s="1055">
        <v>44011</v>
      </c>
      <c r="H374" s="365"/>
      <c r="I374" s="182">
        <v>2019</v>
      </c>
      <c r="J374" s="1684">
        <v>191.22</v>
      </c>
      <c r="K374" s="183" t="s">
        <v>77</v>
      </c>
      <c r="L374" s="739" t="s">
        <v>1219</v>
      </c>
      <c r="M374" s="2" t="s">
        <v>4077</v>
      </c>
      <c r="N374" s="186" t="s">
        <v>1220</v>
      </c>
      <c r="O374" s="186" t="s">
        <v>4458</v>
      </c>
      <c r="P374" s="187">
        <v>232200.43</v>
      </c>
      <c r="Q374" s="657">
        <v>43819</v>
      </c>
      <c r="R374" s="189">
        <v>43819</v>
      </c>
      <c r="S374" s="190">
        <v>43830</v>
      </c>
      <c r="T374" s="111" t="s">
        <v>68</v>
      </c>
      <c r="U374" s="191" t="s">
        <v>1177</v>
      </c>
      <c r="V374" s="183" t="s">
        <v>449</v>
      </c>
      <c r="W374" s="688">
        <v>43738</v>
      </c>
      <c r="X374" s="1624"/>
      <c r="Y374" s="266" t="s">
        <v>1221</v>
      </c>
      <c r="Z374" s="9">
        <v>43818</v>
      </c>
      <c r="AA374" s="4">
        <v>232802.28</v>
      </c>
      <c r="AB374" s="4"/>
      <c r="AC374" s="34"/>
      <c r="AD374" s="36" t="s">
        <v>68</v>
      </c>
      <c r="AE374" s="119" t="s">
        <v>68</v>
      </c>
      <c r="AF374" s="119" t="s">
        <v>68</v>
      </c>
      <c r="AG374" s="7" t="s">
        <v>68</v>
      </c>
      <c r="AH374" s="116" t="s">
        <v>68</v>
      </c>
      <c r="AI374" s="35" t="s">
        <v>68</v>
      </c>
      <c r="AJ374" s="1" t="s">
        <v>68</v>
      </c>
      <c r="AK374" s="5" t="s">
        <v>68</v>
      </c>
      <c r="AL374" s="1" t="s">
        <v>68</v>
      </c>
      <c r="AM374" s="5" t="s">
        <v>68</v>
      </c>
      <c r="AN374" s="1" t="s">
        <v>68</v>
      </c>
      <c r="AO374" s="1" t="s">
        <v>68</v>
      </c>
      <c r="AP374" s="306">
        <v>0</v>
      </c>
      <c r="AQ374" s="1211">
        <v>73535.570000000007</v>
      </c>
      <c r="AR374" s="1038">
        <v>159100.31</v>
      </c>
      <c r="AS374" s="1027"/>
      <c r="AT374" s="68" t="s">
        <v>74</v>
      </c>
      <c r="AU374" s="12"/>
      <c r="AV374" s="243"/>
      <c r="AW374" s="54"/>
      <c r="AX374" s="75">
        <v>43830</v>
      </c>
      <c r="AY374" s="5">
        <v>43819</v>
      </c>
      <c r="AZ374" s="5">
        <v>43830</v>
      </c>
      <c r="BA374" s="12">
        <v>43830</v>
      </c>
      <c r="BB374" s="359">
        <v>43830</v>
      </c>
      <c r="BC374" s="1951"/>
      <c r="BD374" s="5">
        <v>43819</v>
      </c>
      <c r="BE374" s="5">
        <v>43830</v>
      </c>
      <c r="BF374" s="5">
        <v>43830</v>
      </c>
      <c r="BG374" s="270">
        <f>AQ374+AR374+0.3</f>
        <v>232636.18</v>
      </c>
      <c r="BH374" s="14" t="s">
        <v>68</v>
      </c>
      <c r="BI374" s="372">
        <v>43750</v>
      </c>
      <c r="BJ374" s="1052" t="s">
        <v>68</v>
      </c>
      <c r="BK374" s="1052" t="s">
        <v>68</v>
      </c>
      <c r="BL374" s="1052"/>
      <c r="BM374" s="1052"/>
      <c r="BN374" s="1052"/>
      <c r="BO374" s="1052"/>
      <c r="BP374" s="1052" t="s">
        <v>68</v>
      </c>
      <c r="BQ374" s="1053"/>
      <c r="BR374" s="372" t="s">
        <v>68</v>
      </c>
      <c r="BS374" s="1053" t="s">
        <v>68</v>
      </c>
      <c r="BT374" s="14"/>
      <c r="BU374" s="14"/>
      <c r="BV374" s="14"/>
      <c r="BW374" s="14"/>
      <c r="BX374" s="14"/>
      <c r="BY374" s="1433" t="s">
        <v>2098</v>
      </c>
      <c r="BZ374" s="356" t="s">
        <v>2846</v>
      </c>
      <c r="CA374" s="582"/>
      <c r="CB374" s="582"/>
      <c r="CC374" s="582"/>
      <c r="CD374" s="582"/>
      <c r="CE374" s="582"/>
      <c r="CF374" s="582"/>
      <c r="CG374" s="582"/>
      <c r="CH374" s="16"/>
    </row>
    <row r="375" spans="2:86" s="1241" customFormat="1" ht="37.5" hidden="1" customHeight="1">
      <c r="B375" s="1242"/>
      <c r="C375" s="1242"/>
      <c r="D375" s="1242"/>
      <c r="E375" s="1243"/>
      <c r="F375" s="1243"/>
      <c r="G375" s="610"/>
      <c r="H375" s="700"/>
      <c r="I375" s="1244">
        <v>2019</v>
      </c>
      <c r="J375" s="1683">
        <v>191.23</v>
      </c>
      <c r="K375" s="1245"/>
      <c r="L375" s="1246" t="s">
        <v>1222</v>
      </c>
      <c r="M375" s="904" t="s">
        <v>251</v>
      </c>
      <c r="N375" s="1247"/>
      <c r="O375" s="1247"/>
      <c r="P375" s="1248"/>
      <c r="Q375" s="1249"/>
      <c r="R375" s="1250"/>
      <c r="S375" s="1251"/>
      <c r="T375" s="1252" t="s">
        <v>68</v>
      </c>
      <c r="U375" s="1246" t="s">
        <v>1177</v>
      </c>
      <c r="V375" s="1245"/>
      <c r="W375" s="1253"/>
      <c r="X375" s="1630"/>
      <c r="Y375" s="340"/>
      <c r="Z375" s="1254"/>
      <c r="AA375" s="1255"/>
      <c r="AB375" s="1255"/>
      <c r="AC375" s="1256"/>
      <c r="AD375" s="1257" t="s">
        <v>68</v>
      </c>
      <c r="AE375" s="1258" t="s">
        <v>68</v>
      </c>
      <c r="AF375" s="1258" t="s">
        <v>68</v>
      </c>
      <c r="AG375" s="1259" t="s">
        <v>68</v>
      </c>
      <c r="AH375" s="1260" t="s">
        <v>68</v>
      </c>
      <c r="AI375" s="340" t="s">
        <v>68</v>
      </c>
      <c r="AJ375" s="1261" t="s">
        <v>68</v>
      </c>
      <c r="AK375" s="1262" t="s">
        <v>68</v>
      </c>
      <c r="AL375" s="1261" t="s">
        <v>68</v>
      </c>
      <c r="AM375" s="1262" t="s">
        <v>68</v>
      </c>
      <c r="AN375" s="1261" t="s">
        <v>68</v>
      </c>
      <c r="AO375" s="1261" t="s">
        <v>68</v>
      </c>
      <c r="AP375" s="1263">
        <v>0</v>
      </c>
      <c r="AQ375" s="1264"/>
      <c r="AR375" s="1265"/>
      <c r="AS375" s="1266"/>
      <c r="AT375" s="1267"/>
      <c r="AU375" s="1268"/>
      <c r="AV375" s="1269"/>
      <c r="AW375" s="1270"/>
      <c r="AX375" s="955"/>
      <c r="AY375" s="1261"/>
      <c r="AZ375" s="1261"/>
      <c r="BA375" s="1271"/>
      <c r="BB375" s="1267"/>
      <c r="BC375" s="1944"/>
      <c r="BD375" s="1262"/>
      <c r="BE375" s="1262"/>
      <c r="BF375" s="1261"/>
      <c r="BG375" s="1272"/>
      <c r="BH375" s="1273" t="s">
        <v>68</v>
      </c>
      <c r="BI375" s="1274"/>
      <c r="BJ375" s="1275" t="s">
        <v>68</v>
      </c>
      <c r="BK375" s="1275" t="s">
        <v>68</v>
      </c>
      <c r="BL375" s="1275"/>
      <c r="BM375" s="1275"/>
      <c r="BN375" s="1275"/>
      <c r="BO375" s="1275"/>
      <c r="BP375" s="1275" t="s">
        <v>68</v>
      </c>
      <c r="BQ375" s="1274"/>
      <c r="BR375" s="1761" t="s">
        <v>68</v>
      </c>
      <c r="BS375" s="1274" t="s">
        <v>68</v>
      </c>
      <c r="BT375" s="1273"/>
      <c r="BU375" s="1273"/>
      <c r="BV375" s="1273"/>
      <c r="BW375" s="1273"/>
      <c r="BX375" s="1273"/>
      <c r="BY375" s="1769" t="s">
        <v>2098</v>
      </c>
      <c r="BZ375" s="1276"/>
      <c r="CA375" s="903"/>
      <c r="CB375" s="903"/>
      <c r="CC375" s="903"/>
      <c r="CD375" s="903"/>
      <c r="CE375" s="903"/>
      <c r="CF375" s="903"/>
      <c r="CG375" s="903"/>
      <c r="CH375" s="1277"/>
    </row>
    <row r="376" spans="2:86" customFormat="1" ht="70.5" hidden="1" customHeight="1">
      <c r="B376" s="23"/>
      <c r="C376" s="23"/>
      <c r="D376" s="23"/>
      <c r="E376" s="1051">
        <v>44075</v>
      </c>
      <c r="F376" s="1051"/>
      <c r="G376" s="1055">
        <v>44008</v>
      </c>
      <c r="H376" s="365"/>
      <c r="I376" s="182">
        <v>2019</v>
      </c>
      <c r="J376" s="1684">
        <v>191.24</v>
      </c>
      <c r="K376" s="183" t="s">
        <v>77</v>
      </c>
      <c r="L376" s="739" t="s">
        <v>1227</v>
      </c>
      <c r="M376" s="2" t="s">
        <v>4077</v>
      </c>
      <c r="N376" s="186" t="s">
        <v>1228</v>
      </c>
      <c r="O376" s="186" t="s">
        <v>2574</v>
      </c>
      <c r="P376" s="187">
        <v>11470</v>
      </c>
      <c r="Q376" s="657">
        <v>43801</v>
      </c>
      <c r="R376" s="189">
        <v>43825</v>
      </c>
      <c r="S376" s="190">
        <v>43830</v>
      </c>
      <c r="T376" s="111" t="s">
        <v>68</v>
      </c>
      <c r="U376" s="191" t="s">
        <v>1177</v>
      </c>
      <c r="V376" s="183" t="s">
        <v>3087</v>
      </c>
      <c r="W376" s="505" t="s">
        <v>68</v>
      </c>
      <c r="X376" s="1623"/>
      <c r="Y376" s="266" t="s">
        <v>1229</v>
      </c>
      <c r="Z376" s="9">
        <v>43825</v>
      </c>
      <c r="AA376" s="4">
        <v>11470.58</v>
      </c>
      <c r="AB376" s="4"/>
      <c r="AC376" s="34"/>
      <c r="AD376" s="36" t="s">
        <v>68</v>
      </c>
      <c r="AE376" s="119" t="s">
        <v>68</v>
      </c>
      <c r="AF376" s="119" t="s">
        <v>68</v>
      </c>
      <c r="AG376" s="7" t="s">
        <v>68</v>
      </c>
      <c r="AH376" s="116" t="s">
        <v>68</v>
      </c>
      <c r="AI376" s="35" t="s">
        <v>68</v>
      </c>
      <c r="AJ376" s="1" t="s">
        <v>68</v>
      </c>
      <c r="AK376" s="5" t="s">
        <v>68</v>
      </c>
      <c r="AL376" s="1" t="s">
        <v>68</v>
      </c>
      <c r="AM376" s="5" t="s">
        <v>68</v>
      </c>
      <c r="AN376" s="1" t="s">
        <v>68</v>
      </c>
      <c r="AO376" s="1" t="s">
        <v>68</v>
      </c>
      <c r="AP376" s="306">
        <v>0</v>
      </c>
      <c r="AQ376" s="74"/>
      <c r="AR376" s="1032">
        <v>11470</v>
      </c>
      <c r="AS376" s="1027"/>
      <c r="AT376" s="68" t="s">
        <v>74</v>
      </c>
      <c r="AU376" s="12"/>
      <c r="AV376" s="243"/>
      <c r="AW376" s="54"/>
      <c r="AX376" s="359">
        <v>43830</v>
      </c>
      <c r="AY376" s="5">
        <v>43825</v>
      </c>
      <c r="AZ376" s="5">
        <v>43830</v>
      </c>
      <c r="BA376" s="18"/>
      <c r="BB376" s="359">
        <v>43832</v>
      </c>
      <c r="BC376" s="1951"/>
      <c r="BD376" s="5">
        <v>43825</v>
      </c>
      <c r="BE376" s="5">
        <v>43830</v>
      </c>
      <c r="BF376" s="5">
        <v>43830</v>
      </c>
      <c r="BG376" s="361">
        <v>11470</v>
      </c>
      <c r="BH376" s="14" t="s">
        <v>68</v>
      </c>
      <c r="BI376" s="372">
        <v>43820</v>
      </c>
      <c r="BJ376" s="1052" t="s">
        <v>68</v>
      </c>
      <c r="BK376" s="1052" t="s">
        <v>68</v>
      </c>
      <c r="BL376" s="1052"/>
      <c r="BM376" s="1052"/>
      <c r="BN376" s="1052"/>
      <c r="BO376" s="1052"/>
      <c r="BP376" s="1052" t="s">
        <v>68</v>
      </c>
      <c r="BQ376" s="1053"/>
      <c r="BR376" s="372" t="s">
        <v>68</v>
      </c>
      <c r="BS376" s="1053" t="s">
        <v>68</v>
      </c>
      <c r="BT376" s="14"/>
      <c r="BU376" s="14"/>
      <c r="BV376" s="14"/>
      <c r="BW376" s="14"/>
      <c r="BX376" s="14"/>
      <c r="BY376" s="1433" t="s">
        <v>2098</v>
      </c>
      <c r="BZ376" s="40"/>
      <c r="CA376" s="582"/>
      <c r="CB376" s="582"/>
      <c r="CC376" s="582"/>
      <c r="CD376" s="582"/>
      <c r="CE376" s="582"/>
      <c r="CF376" s="582"/>
      <c r="CG376" s="582"/>
      <c r="CH376" s="16"/>
    </row>
    <row r="377" spans="2:86" s="1241" customFormat="1" ht="37.5" hidden="1" customHeight="1">
      <c r="B377" s="1242"/>
      <c r="C377" s="1242"/>
      <c r="D377" s="1242"/>
      <c r="E377" s="1243"/>
      <c r="F377" s="1243"/>
      <c r="G377" s="610"/>
      <c r="H377" s="700"/>
      <c r="I377" s="1244">
        <v>2019</v>
      </c>
      <c r="J377" s="1683">
        <v>191.25</v>
      </c>
      <c r="K377" s="1245"/>
      <c r="L377" s="1246" t="s">
        <v>1230</v>
      </c>
      <c r="M377" s="904" t="s">
        <v>251</v>
      </c>
      <c r="N377" s="1247"/>
      <c r="O377" s="1247"/>
      <c r="P377" s="1248"/>
      <c r="Q377" s="1249"/>
      <c r="R377" s="1250"/>
      <c r="S377" s="1251"/>
      <c r="T377" s="1252" t="s">
        <v>68</v>
      </c>
      <c r="U377" s="1246" t="s">
        <v>68</v>
      </c>
      <c r="V377" s="1245"/>
      <c r="W377" s="1253"/>
      <c r="X377" s="1630"/>
      <c r="Y377" s="340"/>
      <c r="Z377" s="1254"/>
      <c r="AA377" s="1255"/>
      <c r="AB377" s="1255"/>
      <c r="AC377" s="1256"/>
      <c r="AD377" s="1257" t="s">
        <v>68</v>
      </c>
      <c r="AE377" s="1258" t="s">
        <v>68</v>
      </c>
      <c r="AF377" s="1258" t="s">
        <v>68</v>
      </c>
      <c r="AG377" s="1259" t="s">
        <v>68</v>
      </c>
      <c r="AH377" s="1260" t="s">
        <v>68</v>
      </c>
      <c r="AI377" s="340" t="s">
        <v>68</v>
      </c>
      <c r="AJ377" s="1261" t="s">
        <v>68</v>
      </c>
      <c r="AK377" s="1262" t="s">
        <v>68</v>
      </c>
      <c r="AL377" s="1261" t="s">
        <v>68</v>
      </c>
      <c r="AM377" s="1262" t="s">
        <v>68</v>
      </c>
      <c r="AN377" s="1261" t="s">
        <v>68</v>
      </c>
      <c r="AO377" s="1261" t="s">
        <v>68</v>
      </c>
      <c r="AP377" s="1263">
        <v>0</v>
      </c>
      <c r="AQ377" s="1264"/>
      <c r="AR377" s="1265"/>
      <c r="AS377" s="1266"/>
      <c r="AT377" s="1267"/>
      <c r="AU377" s="1268"/>
      <c r="AV377" s="1269"/>
      <c r="AW377" s="1270"/>
      <c r="AX377" s="955"/>
      <c r="AY377" s="1261"/>
      <c r="AZ377" s="1261"/>
      <c r="BA377" s="1271"/>
      <c r="BB377" s="1267"/>
      <c r="BC377" s="1944"/>
      <c r="BD377" s="1262"/>
      <c r="BE377" s="1262"/>
      <c r="BF377" s="1261"/>
      <c r="BG377" s="1272"/>
      <c r="BH377" s="1273" t="s">
        <v>68</v>
      </c>
      <c r="BI377" s="1274"/>
      <c r="BJ377" s="1275" t="s">
        <v>68</v>
      </c>
      <c r="BK377" s="1275" t="s">
        <v>68</v>
      </c>
      <c r="BL377" s="1275"/>
      <c r="BM377" s="1275"/>
      <c r="BN377" s="1275"/>
      <c r="BO377" s="1275"/>
      <c r="BP377" s="1275" t="s">
        <v>68</v>
      </c>
      <c r="BQ377" s="1274"/>
      <c r="BR377" s="1761" t="s">
        <v>68</v>
      </c>
      <c r="BS377" s="1274" t="s">
        <v>68</v>
      </c>
      <c r="BT377" s="1273"/>
      <c r="BU377" s="1273"/>
      <c r="BV377" s="1273"/>
      <c r="BW377" s="1273"/>
      <c r="BX377" s="1273"/>
      <c r="BY377" s="1769" t="s">
        <v>2098</v>
      </c>
      <c r="BZ377" s="1276"/>
      <c r="CA377" s="903"/>
      <c r="CB377" s="903"/>
      <c r="CC377" s="903"/>
      <c r="CD377" s="903"/>
      <c r="CE377" s="903"/>
      <c r="CF377" s="903"/>
      <c r="CG377" s="903"/>
      <c r="CH377" s="1277"/>
    </row>
    <row r="378" spans="2:86" customFormat="1" ht="87.75" hidden="1" customHeight="1">
      <c r="B378" s="23"/>
      <c r="C378" s="1719">
        <v>44298</v>
      </c>
      <c r="D378" s="1719"/>
      <c r="E378" s="1051">
        <v>44075</v>
      </c>
      <c r="F378" s="1051"/>
      <c r="G378" s="1055">
        <v>43826</v>
      </c>
      <c r="H378" s="365">
        <v>43837</v>
      </c>
      <c r="I378" s="182">
        <v>2019</v>
      </c>
      <c r="J378" s="1684">
        <v>192.1</v>
      </c>
      <c r="K378" s="183" t="s">
        <v>1151</v>
      </c>
      <c r="L378" s="739" t="s">
        <v>1231</v>
      </c>
      <c r="M378" s="185" t="s">
        <v>1232</v>
      </c>
      <c r="N378" s="186" t="s">
        <v>1233</v>
      </c>
      <c r="O378" s="186" t="s">
        <v>1979</v>
      </c>
      <c r="P378" s="187">
        <v>1688681.79</v>
      </c>
      <c r="Q378" s="657">
        <v>43776</v>
      </c>
      <c r="R378" s="189">
        <v>43783</v>
      </c>
      <c r="S378" s="190">
        <v>43814</v>
      </c>
      <c r="T378" s="111" t="s">
        <v>68</v>
      </c>
      <c r="U378" s="191" t="s">
        <v>1234</v>
      </c>
      <c r="V378" s="183" t="s">
        <v>213</v>
      </c>
      <c r="W378" s="1292" t="s">
        <v>68</v>
      </c>
      <c r="X378" s="1633"/>
      <c r="Y378" s="180" t="s">
        <v>1154</v>
      </c>
      <c r="Z378" s="9">
        <v>43722</v>
      </c>
      <c r="AA378" s="4">
        <v>4496816.92</v>
      </c>
      <c r="AB378" s="4"/>
      <c r="AC378" s="34"/>
      <c r="AD378" s="36" t="s">
        <v>68</v>
      </c>
      <c r="AE378" s="119" t="s">
        <v>68</v>
      </c>
      <c r="AF378" s="119" t="s">
        <v>68</v>
      </c>
      <c r="AG378" s="7" t="s">
        <v>68</v>
      </c>
      <c r="AH378" s="116" t="s">
        <v>68</v>
      </c>
      <c r="AI378" s="35" t="s">
        <v>68</v>
      </c>
      <c r="AJ378" s="1" t="s">
        <v>68</v>
      </c>
      <c r="AK378" s="5" t="s">
        <v>68</v>
      </c>
      <c r="AL378" s="1" t="s">
        <v>68</v>
      </c>
      <c r="AM378" s="5" t="s">
        <v>68</v>
      </c>
      <c r="AN378" s="1" t="s">
        <v>68</v>
      </c>
      <c r="AO378" s="1" t="s">
        <v>68</v>
      </c>
      <c r="AP378" s="306">
        <v>0</v>
      </c>
      <c r="AQ378" s="74" t="s">
        <v>68</v>
      </c>
      <c r="AR378" s="1032" t="s">
        <v>68</v>
      </c>
      <c r="AS378" s="1019" t="s">
        <v>68</v>
      </c>
      <c r="AT378" s="78" t="s">
        <v>68</v>
      </c>
      <c r="AU378" s="12" t="s">
        <v>68</v>
      </c>
      <c r="AV378" s="243" t="s">
        <v>68</v>
      </c>
      <c r="AW378" s="54" t="s">
        <v>68</v>
      </c>
      <c r="AX378" s="174" t="s">
        <v>68</v>
      </c>
      <c r="AY378" s="1" t="s">
        <v>68</v>
      </c>
      <c r="AZ378" s="1" t="s">
        <v>68</v>
      </c>
      <c r="BA378" s="18" t="s">
        <v>68</v>
      </c>
      <c r="BB378" s="78" t="s">
        <v>68</v>
      </c>
      <c r="BC378" s="344"/>
      <c r="BD378" s="5" t="s">
        <v>68</v>
      </c>
      <c r="BE378" s="5" t="s">
        <v>68</v>
      </c>
      <c r="BF378" s="1" t="s">
        <v>68</v>
      </c>
      <c r="BG378" s="38" t="s">
        <v>68</v>
      </c>
      <c r="BH378" s="14" t="s">
        <v>68</v>
      </c>
      <c r="BI378" s="1053" t="s">
        <v>68</v>
      </c>
      <c r="BJ378" s="1052" t="s">
        <v>68</v>
      </c>
      <c r="BK378" s="1052" t="s">
        <v>68</v>
      </c>
      <c r="BL378" s="1052"/>
      <c r="BM378" s="1052"/>
      <c r="BN378" s="1052"/>
      <c r="BO378" s="1052"/>
      <c r="BP378" s="1052" t="s">
        <v>68</v>
      </c>
      <c r="BQ378" s="1053"/>
      <c r="BR378" s="372" t="s">
        <v>68</v>
      </c>
      <c r="BS378" s="1053" t="s">
        <v>68</v>
      </c>
      <c r="BT378" s="14"/>
      <c r="BU378" s="14"/>
      <c r="BV378" s="14"/>
      <c r="BW378" s="14"/>
      <c r="BX378" s="14"/>
      <c r="BY378" s="1433" t="s">
        <v>2098</v>
      </c>
      <c r="BZ378" s="649" t="s">
        <v>1143</v>
      </c>
      <c r="CA378" s="582"/>
      <c r="CB378" s="582"/>
      <c r="CC378" s="582"/>
      <c r="CD378" s="582"/>
      <c r="CE378" s="582"/>
      <c r="CF378" s="582"/>
      <c r="CG378" s="582"/>
      <c r="CH378" s="16"/>
    </row>
    <row r="379" spans="2:86" customFormat="1" ht="72" hidden="1" customHeight="1">
      <c r="B379" s="23"/>
      <c r="C379" s="1719">
        <v>44298</v>
      </c>
      <c r="D379" s="1719"/>
      <c r="E379" s="1051"/>
      <c r="F379" s="1051"/>
      <c r="G379" s="1055"/>
      <c r="H379" s="365"/>
      <c r="I379" s="182">
        <v>2019</v>
      </c>
      <c r="J379" s="1684">
        <v>192.2</v>
      </c>
      <c r="K379" s="183" t="s">
        <v>1148</v>
      </c>
      <c r="L379" s="739" t="s">
        <v>1235</v>
      </c>
      <c r="M379" s="185" t="s">
        <v>1232</v>
      </c>
      <c r="N379" s="495" t="s">
        <v>1236</v>
      </c>
      <c r="O379" s="495" t="s">
        <v>2613</v>
      </c>
      <c r="P379" s="187">
        <v>256520.08</v>
      </c>
      <c r="Q379" s="657">
        <v>43759</v>
      </c>
      <c r="R379" s="189" t="s">
        <v>68</v>
      </c>
      <c r="S379" s="190" t="s">
        <v>68</v>
      </c>
      <c r="T379" s="111" t="s">
        <v>68</v>
      </c>
      <c r="U379" s="191" t="s">
        <v>1237</v>
      </c>
      <c r="V379" s="183" t="s">
        <v>3087</v>
      </c>
      <c r="W379" s="1292" t="s">
        <v>68</v>
      </c>
      <c r="X379" s="1633"/>
      <c r="Y379" s="180" t="s">
        <v>2902</v>
      </c>
      <c r="Z379" s="9">
        <v>43637</v>
      </c>
      <c r="AA379" s="4">
        <f>543500*2</f>
        <v>1087000</v>
      </c>
      <c r="AB379" s="261" t="s">
        <v>1208</v>
      </c>
      <c r="AC379" s="34">
        <f>1302585.85</f>
        <v>1302585.8500000001</v>
      </c>
      <c r="AD379" s="36" t="s">
        <v>68</v>
      </c>
      <c r="AE379" s="119" t="s">
        <v>68</v>
      </c>
      <c r="AF379" s="119" t="s">
        <v>68</v>
      </c>
      <c r="AG379" s="7" t="s">
        <v>68</v>
      </c>
      <c r="AH379" s="116" t="s">
        <v>68</v>
      </c>
      <c r="AI379" s="35" t="s">
        <v>68</v>
      </c>
      <c r="AJ379" s="1" t="s">
        <v>68</v>
      </c>
      <c r="AK379" s="5" t="s">
        <v>68</v>
      </c>
      <c r="AL379" s="1" t="s">
        <v>68</v>
      </c>
      <c r="AM379" s="5" t="s">
        <v>68</v>
      </c>
      <c r="AN379" s="1" t="s">
        <v>68</v>
      </c>
      <c r="AO379" s="1" t="s">
        <v>68</v>
      </c>
      <c r="AP379" s="306">
        <v>0</v>
      </c>
      <c r="AQ379" s="74">
        <v>0</v>
      </c>
      <c r="AR379" s="1032">
        <v>256520.08</v>
      </c>
      <c r="AS379" s="1019" t="s">
        <v>68</v>
      </c>
      <c r="AT379" s="78" t="s">
        <v>68</v>
      </c>
      <c r="AU379" s="12" t="s">
        <v>68</v>
      </c>
      <c r="AV379" s="243" t="s">
        <v>68</v>
      </c>
      <c r="AW379" s="54" t="s">
        <v>68</v>
      </c>
      <c r="AX379" s="174" t="s">
        <v>68</v>
      </c>
      <c r="AY379" s="1" t="s">
        <v>68</v>
      </c>
      <c r="AZ379" s="1" t="s">
        <v>68</v>
      </c>
      <c r="BA379" s="18" t="s">
        <v>68</v>
      </c>
      <c r="BB379" s="78" t="s">
        <v>68</v>
      </c>
      <c r="BC379" s="344"/>
      <c r="BD379" s="5" t="s">
        <v>68</v>
      </c>
      <c r="BE379" s="5" t="s">
        <v>68</v>
      </c>
      <c r="BF379" s="1" t="s">
        <v>68</v>
      </c>
      <c r="BG379" s="1221">
        <f>AQ379+AR379</f>
        <v>256520.08</v>
      </c>
      <c r="BH379" s="14" t="s">
        <v>68</v>
      </c>
      <c r="BI379" s="1053" t="s">
        <v>68</v>
      </c>
      <c r="BJ379" s="1052" t="s">
        <v>68</v>
      </c>
      <c r="BK379" s="1052" t="s">
        <v>68</v>
      </c>
      <c r="BL379" s="1052"/>
      <c r="BM379" s="1052"/>
      <c r="BN379" s="1052"/>
      <c r="BO379" s="1052"/>
      <c r="BP379" s="1052" t="s">
        <v>68</v>
      </c>
      <c r="BQ379" s="1053"/>
      <c r="BR379" s="372" t="s">
        <v>68</v>
      </c>
      <c r="BS379" s="1053" t="s">
        <v>68</v>
      </c>
      <c r="BT379" s="14"/>
      <c r="BU379" s="14"/>
      <c r="BV379" s="14"/>
      <c r="BW379" s="14"/>
      <c r="BX379" s="14"/>
      <c r="BY379" s="1433" t="s">
        <v>2098</v>
      </c>
      <c r="BZ379" s="649" t="s">
        <v>1143</v>
      </c>
      <c r="CA379" s="582"/>
      <c r="CB379" s="582"/>
      <c r="CC379" s="582"/>
      <c r="CD379" s="582"/>
      <c r="CE379" s="582"/>
      <c r="CF379" s="582"/>
      <c r="CG379" s="582"/>
      <c r="CH379" s="16"/>
    </row>
    <row r="380" spans="2:86" customFormat="1" ht="57" hidden="1" customHeight="1">
      <c r="B380" s="23"/>
      <c r="C380" s="129"/>
      <c r="D380" s="129"/>
      <c r="E380" s="1051"/>
      <c r="F380" s="1051"/>
      <c r="G380" s="1055"/>
      <c r="H380" s="365"/>
      <c r="I380" s="182">
        <v>2019</v>
      </c>
      <c r="J380" s="1684">
        <v>192.3</v>
      </c>
      <c r="K380" s="183" t="s">
        <v>1148</v>
      </c>
      <c r="L380" s="739" t="s">
        <v>1238</v>
      </c>
      <c r="M380" s="185" t="s">
        <v>1232</v>
      </c>
      <c r="N380" s="495" t="s">
        <v>1239</v>
      </c>
      <c r="O380" s="495" t="s">
        <v>4458</v>
      </c>
      <c r="P380" s="187">
        <v>256520.08</v>
      </c>
      <c r="Q380" s="657">
        <v>43759</v>
      </c>
      <c r="R380" s="189" t="s">
        <v>68</v>
      </c>
      <c r="S380" s="190" t="s">
        <v>68</v>
      </c>
      <c r="T380" s="111" t="s">
        <v>68</v>
      </c>
      <c r="U380" s="191" t="s">
        <v>1237</v>
      </c>
      <c r="V380" s="716" t="s">
        <v>984</v>
      </c>
      <c r="W380" s="1292" t="s">
        <v>68</v>
      </c>
      <c r="X380" s="1633"/>
      <c r="Y380" s="180" t="s">
        <v>2902</v>
      </c>
      <c r="Z380" s="9">
        <v>43637</v>
      </c>
      <c r="AA380" s="4">
        <f>543500*2</f>
        <v>1087000</v>
      </c>
      <c r="AB380" s="261" t="s">
        <v>1208</v>
      </c>
      <c r="AC380" s="34">
        <v>1248920.79</v>
      </c>
      <c r="AD380" s="36" t="s">
        <v>68</v>
      </c>
      <c r="AE380" s="119" t="s">
        <v>68</v>
      </c>
      <c r="AF380" s="119" t="s">
        <v>68</v>
      </c>
      <c r="AG380" s="7" t="s">
        <v>68</v>
      </c>
      <c r="AH380" s="116" t="s">
        <v>68</v>
      </c>
      <c r="AI380" s="35" t="s">
        <v>68</v>
      </c>
      <c r="AJ380" s="1" t="s">
        <v>68</v>
      </c>
      <c r="AK380" s="5" t="s">
        <v>68</v>
      </c>
      <c r="AL380" s="1" t="s">
        <v>68</v>
      </c>
      <c r="AM380" s="5" t="s">
        <v>68</v>
      </c>
      <c r="AN380" s="1" t="s">
        <v>68</v>
      </c>
      <c r="AO380" s="1" t="s">
        <v>68</v>
      </c>
      <c r="AP380" s="306">
        <v>0</v>
      </c>
      <c r="AQ380" s="74">
        <v>0</v>
      </c>
      <c r="AR380" s="1032">
        <v>256520.08</v>
      </c>
      <c r="AS380" s="1019" t="s">
        <v>68</v>
      </c>
      <c r="AT380" s="78" t="s">
        <v>68</v>
      </c>
      <c r="AU380" s="12" t="s">
        <v>68</v>
      </c>
      <c r="AV380" s="243" t="s">
        <v>68</v>
      </c>
      <c r="AW380" s="54" t="s">
        <v>68</v>
      </c>
      <c r="AX380" s="174" t="s">
        <v>68</v>
      </c>
      <c r="AY380" s="1" t="s">
        <v>68</v>
      </c>
      <c r="AZ380" s="1" t="s">
        <v>68</v>
      </c>
      <c r="BA380" s="18" t="s">
        <v>68</v>
      </c>
      <c r="BB380" s="78" t="s">
        <v>68</v>
      </c>
      <c r="BC380" s="344"/>
      <c r="BD380" s="5" t="s">
        <v>68</v>
      </c>
      <c r="BE380" s="5" t="s">
        <v>68</v>
      </c>
      <c r="BF380" s="1" t="s">
        <v>68</v>
      </c>
      <c r="BG380" s="38">
        <f>AQ380+AR380</f>
        <v>256520.08</v>
      </c>
      <c r="BH380" s="14" t="s">
        <v>68</v>
      </c>
      <c r="BI380" s="1053" t="s">
        <v>68</v>
      </c>
      <c r="BJ380" s="1052" t="s">
        <v>68</v>
      </c>
      <c r="BK380" s="1052" t="s">
        <v>68</v>
      </c>
      <c r="BL380" s="1052"/>
      <c r="BM380" s="1052"/>
      <c r="BN380" s="1052"/>
      <c r="BO380" s="1052"/>
      <c r="BP380" s="1052" t="s">
        <v>68</v>
      </c>
      <c r="BQ380" s="1053"/>
      <c r="BR380" s="372" t="s">
        <v>68</v>
      </c>
      <c r="BS380" s="1053" t="s">
        <v>68</v>
      </c>
      <c r="BT380" s="14"/>
      <c r="BU380" s="14"/>
      <c r="BV380" s="14"/>
      <c r="BW380" s="14"/>
      <c r="BX380" s="14"/>
      <c r="BY380" s="1433" t="s">
        <v>2098</v>
      </c>
      <c r="BZ380" s="649" t="s">
        <v>1143</v>
      </c>
      <c r="CA380" s="582"/>
      <c r="CB380" s="582"/>
      <c r="CC380" s="582"/>
      <c r="CD380" s="582"/>
      <c r="CE380" s="582"/>
      <c r="CF380" s="582"/>
      <c r="CG380" s="582"/>
      <c r="CH380" s="16"/>
    </row>
    <row r="381" spans="2:86" customFormat="1" ht="70.5" hidden="1" customHeight="1">
      <c r="B381" s="23"/>
      <c r="C381" s="23"/>
      <c r="D381" s="23"/>
      <c r="E381" s="1051"/>
      <c r="F381" s="1051"/>
      <c r="G381" s="1055"/>
      <c r="H381" s="365"/>
      <c r="I381" s="182">
        <v>2019</v>
      </c>
      <c r="J381" s="1684">
        <v>193.1</v>
      </c>
      <c r="K381" s="183" t="s">
        <v>166</v>
      </c>
      <c r="L381" s="739" t="s">
        <v>1240</v>
      </c>
      <c r="M381" s="185" t="s">
        <v>46</v>
      </c>
      <c r="N381" s="186" t="s">
        <v>1241</v>
      </c>
      <c r="O381" s="186" t="s">
        <v>2699</v>
      </c>
      <c r="P381" s="187">
        <v>4800</v>
      </c>
      <c r="Q381" s="657">
        <v>43699</v>
      </c>
      <c r="R381" s="189">
        <v>43699</v>
      </c>
      <c r="S381" s="190">
        <v>43821</v>
      </c>
      <c r="T381" s="111" t="s">
        <v>68</v>
      </c>
      <c r="U381" s="191" t="s">
        <v>2800</v>
      </c>
      <c r="V381" s="716" t="s">
        <v>68</v>
      </c>
      <c r="W381" s="1292" t="s">
        <v>68</v>
      </c>
      <c r="X381" s="1633"/>
      <c r="Y381" s="180" t="s">
        <v>2903</v>
      </c>
      <c r="Z381" s="9">
        <v>43793</v>
      </c>
      <c r="AA381" s="4">
        <v>885535.63</v>
      </c>
      <c r="AB381" s="4"/>
      <c r="AC381" s="34"/>
      <c r="AD381" s="36" t="s">
        <v>68</v>
      </c>
      <c r="AE381" s="119" t="s">
        <v>68</v>
      </c>
      <c r="AF381" s="119" t="s">
        <v>68</v>
      </c>
      <c r="AG381" s="7" t="s">
        <v>68</v>
      </c>
      <c r="AH381" s="116" t="s">
        <v>68</v>
      </c>
      <c r="AI381" s="35" t="s">
        <v>68</v>
      </c>
      <c r="AJ381" s="1" t="s">
        <v>68</v>
      </c>
      <c r="AK381" s="5" t="s">
        <v>68</v>
      </c>
      <c r="AL381" s="1" t="s">
        <v>68</v>
      </c>
      <c r="AM381" s="5" t="s">
        <v>68</v>
      </c>
      <c r="AN381" s="1" t="s">
        <v>68</v>
      </c>
      <c r="AO381" s="1" t="s">
        <v>68</v>
      </c>
      <c r="AP381" s="306">
        <v>0</v>
      </c>
      <c r="AQ381" s="74">
        <v>0</v>
      </c>
      <c r="AR381" s="1032">
        <v>0</v>
      </c>
      <c r="AS381" s="1027">
        <v>0</v>
      </c>
      <c r="AT381" s="78" t="s">
        <v>68</v>
      </c>
      <c r="AU381" s="12" t="s">
        <v>68</v>
      </c>
      <c r="AV381" s="243" t="s">
        <v>68</v>
      </c>
      <c r="AW381" s="54" t="s">
        <v>68</v>
      </c>
      <c r="AX381" s="174" t="s">
        <v>68</v>
      </c>
      <c r="AY381" s="1" t="s">
        <v>68</v>
      </c>
      <c r="AZ381" s="1" t="s">
        <v>68</v>
      </c>
      <c r="BA381" s="18" t="s">
        <v>68</v>
      </c>
      <c r="BB381" s="78" t="s">
        <v>68</v>
      </c>
      <c r="BC381" s="344"/>
      <c r="BD381" s="5" t="s">
        <v>68</v>
      </c>
      <c r="BE381" s="5" t="s">
        <v>68</v>
      </c>
      <c r="BF381" s="1" t="s">
        <v>68</v>
      </c>
      <c r="BG381" s="38">
        <v>0</v>
      </c>
      <c r="BH381" s="14" t="s">
        <v>68</v>
      </c>
      <c r="BI381" s="1053" t="s">
        <v>68</v>
      </c>
      <c r="BJ381" s="1052" t="s">
        <v>68</v>
      </c>
      <c r="BK381" s="1052" t="s">
        <v>68</v>
      </c>
      <c r="BL381" s="1052"/>
      <c r="BM381" s="1052"/>
      <c r="BN381" s="1052"/>
      <c r="BO381" s="1052"/>
      <c r="BP381" s="1052" t="s">
        <v>68</v>
      </c>
      <c r="BQ381" s="1053"/>
      <c r="BR381" s="1053"/>
      <c r="BS381" s="1053"/>
      <c r="BT381" s="14"/>
      <c r="BU381" s="14"/>
      <c r="BV381" s="14"/>
      <c r="BW381" s="14"/>
      <c r="BX381" s="14"/>
      <c r="BY381" s="1433" t="s">
        <v>2098</v>
      </c>
      <c r="BZ381" s="649" t="s">
        <v>1143</v>
      </c>
      <c r="CA381" s="582"/>
      <c r="CB381" s="582"/>
      <c r="CC381" s="582"/>
      <c r="CD381" s="582"/>
      <c r="CE381" s="582"/>
      <c r="CF381" s="582"/>
      <c r="CG381" s="582"/>
      <c r="CH381" s="16"/>
    </row>
    <row r="382" spans="2:86" customFormat="1" ht="101.25" hidden="1" customHeight="1">
      <c r="B382" s="23"/>
      <c r="C382" s="23"/>
      <c r="D382" s="23"/>
      <c r="E382" s="1051"/>
      <c r="F382" s="1051"/>
      <c r="G382" s="1055">
        <v>44021</v>
      </c>
      <c r="H382" s="365">
        <v>44021</v>
      </c>
      <c r="I382" s="182">
        <v>2019</v>
      </c>
      <c r="J382" s="1684">
        <v>195.1</v>
      </c>
      <c r="K382" s="183" t="s">
        <v>77</v>
      </c>
      <c r="L382" s="739" t="s">
        <v>2948</v>
      </c>
      <c r="M382" s="185" t="s">
        <v>45</v>
      </c>
      <c r="N382" s="186" t="s">
        <v>2949</v>
      </c>
      <c r="O382" s="186" t="s">
        <v>2611</v>
      </c>
      <c r="P382" s="187">
        <v>250096</v>
      </c>
      <c r="Q382" s="657">
        <v>43637</v>
      </c>
      <c r="R382" s="189">
        <v>43640</v>
      </c>
      <c r="S382" s="190">
        <v>43830</v>
      </c>
      <c r="T382" s="111" t="s">
        <v>68</v>
      </c>
      <c r="U382" s="191" t="s">
        <v>1225</v>
      </c>
      <c r="V382" s="716" t="s">
        <v>68</v>
      </c>
      <c r="W382" s="1292" t="s">
        <v>68</v>
      </c>
      <c r="X382" s="1633"/>
      <c r="Y382" s="180" t="s">
        <v>68</v>
      </c>
      <c r="Z382" s="9"/>
      <c r="AA382" s="4"/>
      <c r="AB382" s="4"/>
      <c r="AC382" s="34"/>
      <c r="AD382" s="36" t="s">
        <v>68</v>
      </c>
      <c r="AE382" s="119" t="s">
        <v>68</v>
      </c>
      <c r="AF382" s="119" t="s">
        <v>68</v>
      </c>
      <c r="AG382" s="7" t="s">
        <v>68</v>
      </c>
      <c r="AH382" s="116" t="s">
        <v>68</v>
      </c>
      <c r="AI382" s="35" t="s">
        <v>68</v>
      </c>
      <c r="AJ382" s="1" t="s">
        <v>68</v>
      </c>
      <c r="AK382" s="5"/>
      <c r="AL382" s="1" t="s">
        <v>68</v>
      </c>
      <c r="AM382" s="5"/>
      <c r="AN382" s="1" t="s">
        <v>68</v>
      </c>
      <c r="AO382" s="1"/>
      <c r="AP382" s="306">
        <v>0</v>
      </c>
      <c r="AQ382" s="74">
        <v>0</v>
      </c>
      <c r="AR382" s="1032">
        <v>0</v>
      </c>
      <c r="AS382" s="1027">
        <v>0</v>
      </c>
      <c r="AT382" s="78" t="s">
        <v>68</v>
      </c>
      <c r="AU382" s="12" t="s">
        <v>68</v>
      </c>
      <c r="AV382" s="243" t="s">
        <v>68</v>
      </c>
      <c r="AW382" s="54" t="s">
        <v>68</v>
      </c>
      <c r="AX382" s="174" t="s">
        <v>68</v>
      </c>
      <c r="AY382" s="1" t="s">
        <v>68</v>
      </c>
      <c r="AZ382" s="1" t="s">
        <v>68</v>
      </c>
      <c r="BA382" s="18" t="s">
        <v>68</v>
      </c>
      <c r="BB382" s="78" t="s">
        <v>68</v>
      </c>
      <c r="BC382" s="344"/>
      <c r="BD382" s="5" t="s">
        <v>68</v>
      </c>
      <c r="BE382" s="5" t="s">
        <v>68</v>
      </c>
      <c r="BF382" s="1" t="s">
        <v>68</v>
      </c>
      <c r="BG382" s="38">
        <v>0</v>
      </c>
      <c r="BH382" s="14" t="s">
        <v>68</v>
      </c>
      <c r="BI382" s="1053" t="s">
        <v>68</v>
      </c>
      <c r="BJ382" s="1052" t="s">
        <v>68</v>
      </c>
      <c r="BK382" s="1052" t="s">
        <v>68</v>
      </c>
      <c r="BL382" s="1052"/>
      <c r="BM382" s="1052"/>
      <c r="BN382" s="1052"/>
      <c r="BO382" s="1052"/>
      <c r="BP382" s="1052" t="s">
        <v>68</v>
      </c>
      <c r="BQ382" s="1053"/>
      <c r="BR382" s="1053" t="s">
        <v>68</v>
      </c>
      <c r="BS382" s="1053" t="s">
        <v>68</v>
      </c>
      <c r="BT382" s="14"/>
      <c r="BU382" s="14"/>
      <c r="BV382" s="14"/>
      <c r="BW382" s="14"/>
      <c r="BX382" s="14"/>
      <c r="BY382" s="1433" t="s">
        <v>2098</v>
      </c>
      <c r="BZ382" s="649" t="s">
        <v>1143</v>
      </c>
      <c r="CA382" s="582"/>
      <c r="CB382" s="582"/>
      <c r="CC382" s="582"/>
      <c r="CD382" s="582"/>
      <c r="CE382" s="582"/>
      <c r="CF382" s="582"/>
      <c r="CG382" s="582"/>
      <c r="CH382" s="16"/>
    </row>
    <row r="383" spans="2:86" customFormat="1" ht="133.5" hidden="1" customHeight="1">
      <c r="B383" s="23"/>
      <c r="C383" s="23"/>
      <c r="D383" s="23"/>
      <c r="E383" s="1051">
        <v>43709</v>
      </c>
      <c r="F383" s="1051"/>
      <c r="G383" s="1055">
        <v>44008</v>
      </c>
      <c r="H383" s="365">
        <v>43685</v>
      </c>
      <c r="I383" s="182">
        <v>2019</v>
      </c>
      <c r="J383" s="1684">
        <v>196.01</v>
      </c>
      <c r="K383" s="183" t="s">
        <v>77</v>
      </c>
      <c r="L383" s="739" t="s">
        <v>1242</v>
      </c>
      <c r="M383" s="185" t="s">
        <v>79</v>
      </c>
      <c r="N383" s="186" t="s">
        <v>1243</v>
      </c>
      <c r="O383" s="186" t="s">
        <v>4458</v>
      </c>
      <c r="P383" s="187">
        <v>731445.69</v>
      </c>
      <c r="Q383" s="188">
        <v>43529</v>
      </c>
      <c r="R383" s="189">
        <v>43530</v>
      </c>
      <c r="S383" s="190">
        <v>43616</v>
      </c>
      <c r="T383" s="111">
        <v>43621</v>
      </c>
      <c r="U383" s="191" t="s">
        <v>1225</v>
      </c>
      <c r="V383" s="183" t="s">
        <v>449</v>
      </c>
      <c r="W383" s="688">
        <v>43515</v>
      </c>
      <c r="X383" s="1624"/>
      <c r="Y383" s="35" t="s">
        <v>1244</v>
      </c>
      <c r="Z383" s="9">
        <v>43494</v>
      </c>
      <c r="AA383" s="4">
        <f>327037.92+278571.44+125836.33</f>
        <v>731445.69</v>
      </c>
      <c r="AB383" s="4"/>
      <c r="AC383" s="34"/>
      <c r="AD383" s="36" t="s">
        <v>68</v>
      </c>
      <c r="AE383" s="119" t="s">
        <v>68</v>
      </c>
      <c r="AF383" s="119" t="s">
        <v>68</v>
      </c>
      <c r="AG383" s="7" t="s">
        <v>68</v>
      </c>
      <c r="AH383" s="116" t="s">
        <v>68</v>
      </c>
      <c r="AI383" s="35" t="s">
        <v>855</v>
      </c>
      <c r="AJ383" s="1" t="s">
        <v>68</v>
      </c>
      <c r="AK383" s="5"/>
      <c r="AL383" s="1">
        <v>192021</v>
      </c>
      <c r="AM383" s="5">
        <v>43530</v>
      </c>
      <c r="AN383" s="71">
        <v>192052</v>
      </c>
      <c r="AO383" s="5">
        <v>43559</v>
      </c>
      <c r="AP383" s="601">
        <f>73144.56*2</f>
        <v>146289.12</v>
      </c>
      <c r="AQ383" s="74">
        <v>0</v>
      </c>
      <c r="AR383" s="1032">
        <v>726896.94</v>
      </c>
      <c r="AS383" s="1019">
        <v>726896.94</v>
      </c>
      <c r="AT383" s="78">
        <v>43530</v>
      </c>
      <c r="AU383" s="12">
        <v>43559</v>
      </c>
      <c r="AV383" s="243" t="s">
        <v>68</v>
      </c>
      <c r="AW383" s="54" t="s">
        <v>68</v>
      </c>
      <c r="AX383" s="78">
        <v>43559</v>
      </c>
      <c r="AY383" s="5">
        <v>43530</v>
      </c>
      <c r="AZ383" s="5">
        <v>43616</v>
      </c>
      <c r="BA383" s="12">
        <v>43559</v>
      </c>
      <c r="BB383" s="78">
        <v>43560</v>
      </c>
      <c r="BC383" s="344"/>
      <c r="BD383" s="5">
        <v>43530</v>
      </c>
      <c r="BE383" s="5">
        <v>43616</v>
      </c>
      <c r="BF383" s="5">
        <v>43559</v>
      </c>
      <c r="BG383" s="38">
        <f>AQ383+AR383</f>
        <v>726896.94</v>
      </c>
      <c r="BH383" s="64">
        <v>43560</v>
      </c>
      <c r="BI383" s="372">
        <v>43524</v>
      </c>
      <c r="BJ383" s="76">
        <v>43531</v>
      </c>
      <c r="BK383" s="76">
        <v>43531</v>
      </c>
      <c r="BL383" s="76"/>
      <c r="BM383" s="76"/>
      <c r="BN383" s="76"/>
      <c r="BO383" s="76"/>
      <c r="BP383" s="76">
        <v>43559</v>
      </c>
      <c r="BQ383" s="372"/>
      <c r="BR383" s="372"/>
      <c r="BS383" s="1053" t="s">
        <v>68</v>
      </c>
      <c r="BT383" s="14"/>
      <c r="BU383" s="14" t="s">
        <v>1245</v>
      </c>
      <c r="BV383" s="14"/>
      <c r="BW383" s="14"/>
      <c r="BX383" s="14"/>
      <c r="BY383" s="1433" t="s">
        <v>2098</v>
      </c>
      <c r="BZ383" s="649" t="s">
        <v>1143</v>
      </c>
      <c r="CA383" s="582"/>
      <c r="CB383" s="582"/>
      <c r="CC383" s="582"/>
      <c r="CD383" s="582"/>
      <c r="CE383" s="582"/>
      <c r="CF383" s="582"/>
      <c r="CG383" s="582"/>
      <c r="CH383" s="16"/>
    </row>
    <row r="384" spans="2:86" customFormat="1" ht="73.5" hidden="1" customHeight="1">
      <c r="B384" s="23"/>
      <c r="C384" s="23"/>
      <c r="D384" s="23"/>
      <c r="E384" s="1051">
        <v>43709</v>
      </c>
      <c r="F384" s="1051"/>
      <c r="G384" s="1055">
        <v>44008</v>
      </c>
      <c r="H384" s="365">
        <v>43647</v>
      </c>
      <c r="I384" s="182">
        <v>2019</v>
      </c>
      <c r="J384" s="1684">
        <v>196.02</v>
      </c>
      <c r="K384" s="183" t="s">
        <v>166</v>
      </c>
      <c r="L384" s="739" t="s">
        <v>1246</v>
      </c>
      <c r="M384" s="185" t="s">
        <v>79</v>
      </c>
      <c r="N384" s="186" t="s">
        <v>1247</v>
      </c>
      <c r="O384" s="186" t="s">
        <v>1979</v>
      </c>
      <c r="P384" s="187">
        <v>140710.85999999999</v>
      </c>
      <c r="Q384" s="188">
        <v>43592</v>
      </c>
      <c r="R384" s="189">
        <v>43593</v>
      </c>
      <c r="S384" s="190">
        <v>43624</v>
      </c>
      <c r="T384" s="111">
        <v>43591</v>
      </c>
      <c r="U384" s="191" t="s">
        <v>1225</v>
      </c>
      <c r="V384" s="183" t="s">
        <v>3087</v>
      </c>
      <c r="W384" s="1293" t="s">
        <v>68</v>
      </c>
      <c r="X384" s="1635"/>
      <c r="Y384" s="35" t="s">
        <v>1164</v>
      </c>
      <c r="Z384" s="9">
        <v>43494</v>
      </c>
      <c r="AA384" s="4">
        <v>140710.85999999999</v>
      </c>
      <c r="AB384" s="4"/>
      <c r="AC384" s="34"/>
      <c r="AD384" s="36" t="s">
        <v>68</v>
      </c>
      <c r="AE384" s="119" t="s">
        <v>68</v>
      </c>
      <c r="AF384" s="119" t="s">
        <v>68</v>
      </c>
      <c r="AG384" s="7" t="s">
        <v>68</v>
      </c>
      <c r="AH384" s="116" t="s">
        <v>68</v>
      </c>
      <c r="AI384" s="35" t="s">
        <v>855</v>
      </c>
      <c r="AJ384" s="1" t="s">
        <v>68</v>
      </c>
      <c r="AK384" s="5"/>
      <c r="AL384" s="1">
        <v>1997670</v>
      </c>
      <c r="AM384" s="5">
        <v>43593</v>
      </c>
      <c r="AN384" s="1">
        <v>1997671</v>
      </c>
      <c r="AO384" s="5">
        <v>43624</v>
      </c>
      <c r="AP384" s="306">
        <f>114071.08+4071.08</f>
        <v>118142.16</v>
      </c>
      <c r="AQ384" s="37">
        <v>0</v>
      </c>
      <c r="AR384" s="1031">
        <v>140099.94</v>
      </c>
      <c r="AS384" s="1027"/>
      <c r="AT384" s="68" t="s">
        <v>74</v>
      </c>
      <c r="AU384" s="12"/>
      <c r="AV384" s="243" t="s">
        <v>68</v>
      </c>
      <c r="AW384" s="54" t="s">
        <v>68</v>
      </c>
      <c r="AX384" s="78">
        <v>43608</v>
      </c>
      <c r="AY384" s="5">
        <v>43593</v>
      </c>
      <c r="AZ384" s="5">
        <v>43608</v>
      </c>
      <c r="BA384" s="5">
        <v>43608</v>
      </c>
      <c r="BB384" s="247">
        <v>43609</v>
      </c>
      <c r="BC384" s="1942"/>
      <c r="BD384" s="5">
        <v>43593</v>
      </c>
      <c r="BE384" s="5">
        <v>43624</v>
      </c>
      <c r="BF384" s="5">
        <v>43608</v>
      </c>
      <c r="BG384" s="38">
        <f>AQ384+AR384</f>
        <v>140099.94</v>
      </c>
      <c r="BH384" s="216">
        <v>43609</v>
      </c>
      <c r="BI384" s="372">
        <v>43591</v>
      </c>
      <c r="BJ384" s="76" t="s">
        <v>1248</v>
      </c>
      <c r="BK384" s="76">
        <v>43593</v>
      </c>
      <c r="BL384" s="76"/>
      <c r="BM384" s="76"/>
      <c r="BN384" s="76"/>
      <c r="BO384" s="76"/>
      <c r="BP384" s="76">
        <v>43608</v>
      </c>
      <c r="BQ384" s="372"/>
      <c r="BR384" s="372" t="s">
        <v>68</v>
      </c>
      <c r="BS384" s="1053" t="s">
        <v>68</v>
      </c>
      <c r="BT384" s="14"/>
      <c r="BU384" s="14"/>
      <c r="BV384" s="14"/>
      <c r="BW384" s="14"/>
      <c r="BX384" s="14"/>
      <c r="BY384" s="1433" t="s">
        <v>2098</v>
      </c>
      <c r="BZ384" s="40"/>
      <c r="CA384" s="582"/>
      <c r="CB384" s="582"/>
      <c r="CC384" s="582"/>
      <c r="CD384" s="582"/>
      <c r="CE384" s="582"/>
      <c r="CF384" s="582"/>
      <c r="CG384" s="582"/>
      <c r="CH384" s="16"/>
    </row>
    <row r="385" spans="1:86" ht="81" hidden="1" customHeight="1">
      <c r="A385"/>
      <c r="B385" s="23"/>
      <c r="C385" s="23"/>
      <c r="D385" s="23"/>
      <c r="E385" s="1051">
        <v>43709</v>
      </c>
      <c r="F385" s="1051"/>
      <c r="G385" s="1055">
        <v>44008</v>
      </c>
      <c r="H385" s="365">
        <v>43685</v>
      </c>
      <c r="I385" s="182">
        <v>2019</v>
      </c>
      <c r="J385" s="1684">
        <v>196.03</v>
      </c>
      <c r="K385" s="183" t="s">
        <v>77</v>
      </c>
      <c r="L385" s="739" t="s">
        <v>1249</v>
      </c>
      <c r="M385" s="185" t="s">
        <v>251</v>
      </c>
      <c r="N385" s="186" t="s">
        <v>1250</v>
      </c>
      <c r="O385" s="186" t="s">
        <v>4458</v>
      </c>
      <c r="P385" s="187">
        <v>400650.13</v>
      </c>
      <c r="Q385" s="657">
        <v>43609</v>
      </c>
      <c r="R385" s="664">
        <v>43612</v>
      </c>
      <c r="S385" s="665">
        <v>43629</v>
      </c>
      <c r="T385" s="578">
        <v>43608</v>
      </c>
      <c r="U385" s="191" t="s">
        <v>1251</v>
      </c>
      <c r="V385" s="183" t="s">
        <v>3087</v>
      </c>
      <c r="W385" s="688">
        <v>43599</v>
      </c>
      <c r="X385" s="1624"/>
      <c r="Y385" s="491" t="s">
        <v>1252</v>
      </c>
      <c r="Z385" s="80">
        <v>43600</v>
      </c>
      <c r="AA385" s="81">
        <v>237600.97</v>
      </c>
      <c r="AB385" s="4"/>
      <c r="AC385" s="34"/>
      <c r="AD385" s="36" t="s">
        <v>68</v>
      </c>
      <c r="AE385" s="119" t="s">
        <v>68</v>
      </c>
      <c r="AF385" s="119" t="s">
        <v>68</v>
      </c>
      <c r="AG385" s="7" t="s">
        <v>68</v>
      </c>
      <c r="AH385" s="116" t="s">
        <v>68</v>
      </c>
      <c r="AI385" s="35" t="s">
        <v>855</v>
      </c>
      <c r="AJ385" s="1" t="s">
        <v>68</v>
      </c>
      <c r="AK385" s="5"/>
      <c r="AL385" s="1">
        <v>190435</v>
      </c>
      <c r="AM385" s="5">
        <v>43612</v>
      </c>
      <c r="AN385" s="1">
        <v>190436</v>
      </c>
      <c r="AO385" s="5">
        <v>43612</v>
      </c>
      <c r="AP385" s="306">
        <f>40065.01*2</f>
        <v>80130.02</v>
      </c>
      <c r="AQ385" s="37">
        <v>0</v>
      </c>
      <c r="AR385" s="1031">
        <v>398930.6</v>
      </c>
      <c r="AS385" s="1018">
        <v>398930.6</v>
      </c>
      <c r="AT385" s="68" t="s">
        <v>74</v>
      </c>
      <c r="AU385" s="12"/>
      <c r="AV385" s="243" t="s">
        <v>68</v>
      </c>
      <c r="AW385" s="54" t="s">
        <v>68</v>
      </c>
      <c r="AX385" s="32">
        <v>43627</v>
      </c>
      <c r="AY385" s="5">
        <v>43612</v>
      </c>
      <c r="AZ385" s="5">
        <v>43629</v>
      </c>
      <c r="BA385" s="5">
        <v>43626</v>
      </c>
      <c r="BB385" s="32">
        <v>43628</v>
      </c>
      <c r="BC385" s="341"/>
      <c r="BD385" s="5">
        <v>43612</v>
      </c>
      <c r="BE385" s="5">
        <v>43629</v>
      </c>
      <c r="BF385" s="5">
        <v>43626</v>
      </c>
      <c r="BG385" s="38">
        <f>AQ385+AR385</f>
        <v>398930.6</v>
      </c>
      <c r="BH385" s="64">
        <v>43629</v>
      </c>
      <c r="BI385" s="372">
        <v>43608</v>
      </c>
      <c r="BJ385" s="76">
        <v>43612</v>
      </c>
      <c r="BK385" s="76">
        <v>43612</v>
      </c>
      <c r="BL385" s="1054"/>
      <c r="BM385" s="1054"/>
      <c r="BN385" s="1054"/>
      <c r="BO385" s="1054"/>
      <c r="BP385" s="1220">
        <v>43623</v>
      </c>
      <c r="BQ385" s="1657"/>
      <c r="BR385" s="1134"/>
      <c r="BS385" s="1053" t="s">
        <v>68</v>
      </c>
      <c r="BT385" s="14"/>
      <c r="BU385" s="14"/>
      <c r="BV385" s="14"/>
      <c r="BW385" s="14"/>
      <c r="BX385" s="14"/>
      <c r="BY385" s="1433" t="s">
        <v>2098</v>
      </c>
      <c r="BZ385" s="40"/>
      <c r="CA385" s="582"/>
      <c r="CB385" s="582"/>
      <c r="CC385" s="582"/>
      <c r="CD385" s="582"/>
      <c r="CE385" s="582"/>
      <c r="CF385" s="582"/>
      <c r="CG385" s="582"/>
      <c r="CH385" s="16"/>
    </row>
    <row r="386" spans="1:86" ht="63" hidden="1" customHeight="1">
      <c r="A386"/>
      <c r="B386" s="23"/>
      <c r="C386" s="23"/>
      <c r="D386" s="23"/>
      <c r="E386" s="1051">
        <v>43709</v>
      </c>
      <c r="F386" s="1051"/>
      <c r="G386" s="1055">
        <v>44008</v>
      </c>
      <c r="H386" s="365">
        <v>43647</v>
      </c>
      <c r="I386" s="182">
        <v>2019</v>
      </c>
      <c r="J386" s="1684">
        <v>196.04</v>
      </c>
      <c r="K386" s="183" t="s">
        <v>77</v>
      </c>
      <c r="L386" s="739" t="s">
        <v>1253</v>
      </c>
      <c r="M386" s="185" t="s">
        <v>79</v>
      </c>
      <c r="N386" s="186" t="s">
        <v>1254</v>
      </c>
      <c r="O386" s="186" t="s">
        <v>2574</v>
      </c>
      <c r="P386" s="187">
        <v>149018.54</v>
      </c>
      <c r="Q386" s="657">
        <v>43609</v>
      </c>
      <c r="R386" s="664">
        <v>43612</v>
      </c>
      <c r="S386" s="665">
        <v>43626</v>
      </c>
      <c r="T386" s="578">
        <v>43608</v>
      </c>
      <c r="U386" s="191" t="s">
        <v>1225</v>
      </c>
      <c r="V386" s="183" t="s">
        <v>3087</v>
      </c>
      <c r="W386" s="688">
        <v>43612</v>
      </c>
      <c r="X386" s="1624"/>
      <c r="Y386" s="35" t="s">
        <v>1255</v>
      </c>
      <c r="Z386" s="9">
        <v>43600</v>
      </c>
      <c r="AA386" s="4">
        <v>149679.76</v>
      </c>
      <c r="AB386" s="4"/>
      <c r="AC386" s="34"/>
      <c r="AD386" s="36" t="s">
        <v>68</v>
      </c>
      <c r="AE386" s="119" t="s">
        <v>68</v>
      </c>
      <c r="AF386" s="119" t="s">
        <v>68</v>
      </c>
      <c r="AG386" s="7" t="s">
        <v>68</v>
      </c>
      <c r="AH386" s="116" t="s">
        <v>68</v>
      </c>
      <c r="AI386" s="35" t="s">
        <v>1256</v>
      </c>
      <c r="AJ386" s="1" t="s">
        <v>68</v>
      </c>
      <c r="AK386" s="5"/>
      <c r="AL386" s="1">
        <v>190433</v>
      </c>
      <c r="AM386" s="5">
        <v>43612</v>
      </c>
      <c r="AN386" s="1">
        <v>190434</v>
      </c>
      <c r="AO386" s="5">
        <v>43612</v>
      </c>
      <c r="AP386" s="306">
        <f>14901.85+14901.85</f>
        <v>29803.7</v>
      </c>
      <c r="AQ386" s="37">
        <v>0</v>
      </c>
      <c r="AR386" s="1031">
        <v>148378.85</v>
      </c>
      <c r="AS386" s="1031">
        <v>148378.85</v>
      </c>
      <c r="AT386" s="359">
        <v>43612</v>
      </c>
      <c r="AU386" s="12">
        <v>43624</v>
      </c>
      <c r="AV386" s="243" t="s">
        <v>68</v>
      </c>
      <c r="AW386" s="54" t="s">
        <v>68</v>
      </c>
      <c r="AX386" s="32">
        <v>43626</v>
      </c>
      <c r="AY386" s="5">
        <v>43612</v>
      </c>
      <c r="AZ386" s="5">
        <v>43626</v>
      </c>
      <c r="BA386" s="5">
        <v>43626</v>
      </c>
      <c r="BB386" s="247">
        <v>43627</v>
      </c>
      <c r="BC386" s="1942"/>
      <c r="BD386" s="5">
        <v>43612</v>
      </c>
      <c r="BE386" s="5">
        <v>43626</v>
      </c>
      <c r="BF386" s="5">
        <v>43626</v>
      </c>
      <c r="BG386" s="38">
        <v>149018.54</v>
      </c>
      <c r="BH386" s="64">
        <v>43627</v>
      </c>
      <c r="BI386" s="372">
        <v>43608</v>
      </c>
      <c r="BJ386" s="76">
        <v>43612</v>
      </c>
      <c r="BK386" s="76">
        <v>43612</v>
      </c>
      <c r="BL386" s="1054"/>
      <c r="BM386" s="1054"/>
      <c r="BN386" s="1054"/>
      <c r="BO386" s="1054"/>
      <c r="BP386" s="1054">
        <v>43626</v>
      </c>
      <c r="BQ386" s="372"/>
      <c r="BR386" s="372"/>
      <c r="BS386" s="1053" t="s">
        <v>68</v>
      </c>
      <c r="BT386" s="14"/>
      <c r="BU386" s="14"/>
      <c r="BV386" s="14"/>
      <c r="BW386" s="14"/>
      <c r="BX386" s="14"/>
      <c r="BY386" s="1433" t="s">
        <v>2098</v>
      </c>
      <c r="BZ386" s="1294" t="s">
        <v>1143</v>
      </c>
      <c r="CA386" s="582"/>
      <c r="CB386" s="582"/>
      <c r="CC386" s="582"/>
      <c r="CD386" s="582"/>
      <c r="CE386" s="582"/>
      <c r="CF386" s="582"/>
      <c r="CG386" s="582"/>
      <c r="CH386" s="16"/>
    </row>
    <row r="387" spans="1:86" ht="104.25" hidden="1" customHeight="1">
      <c r="A387"/>
      <c r="B387" s="23"/>
      <c r="C387" s="23"/>
      <c r="D387" s="23"/>
      <c r="E387" s="1051">
        <v>43709</v>
      </c>
      <c r="F387" s="1051"/>
      <c r="G387" s="1055">
        <v>44008</v>
      </c>
      <c r="H387" s="365">
        <v>43647</v>
      </c>
      <c r="I387" s="182">
        <v>2019</v>
      </c>
      <c r="J387" s="1684">
        <v>196.05</v>
      </c>
      <c r="K387" s="183" t="s">
        <v>77</v>
      </c>
      <c r="L387" s="739" t="s">
        <v>1257</v>
      </c>
      <c r="M387" s="185" t="s">
        <v>79</v>
      </c>
      <c r="N387" s="186" t="s">
        <v>1258</v>
      </c>
      <c r="O387" s="186" t="s">
        <v>1979</v>
      </c>
      <c r="P387" s="187">
        <v>603785.16</v>
      </c>
      <c r="Q387" s="657">
        <v>43606</v>
      </c>
      <c r="R387" s="664">
        <v>43608</v>
      </c>
      <c r="S387" s="665">
        <v>43677</v>
      </c>
      <c r="T387" s="578">
        <v>43614</v>
      </c>
      <c r="U387" s="191" t="s">
        <v>1259</v>
      </c>
      <c r="V387" s="183" t="s">
        <v>449</v>
      </c>
      <c r="W387" s="688">
        <v>43593</v>
      </c>
      <c r="X387" s="1624"/>
      <c r="Y387" s="35" t="s">
        <v>1260</v>
      </c>
      <c r="Z387" s="9">
        <v>43600</v>
      </c>
      <c r="AA387" s="4">
        <v>611206.81999999995</v>
      </c>
      <c r="AB387" s="4"/>
      <c r="AC387" s="34"/>
      <c r="AD387" s="36" t="s">
        <v>68</v>
      </c>
      <c r="AE387" s="119" t="s">
        <v>68</v>
      </c>
      <c r="AF387" s="119" t="s">
        <v>68</v>
      </c>
      <c r="AG387" s="7" t="s">
        <v>68</v>
      </c>
      <c r="AH387" s="116" t="s">
        <v>68</v>
      </c>
      <c r="AI387" s="35" t="s">
        <v>1261</v>
      </c>
      <c r="AJ387" s="1">
        <v>1997003</v>
      </c>
      <c r="AK387" s="5">
        <v>43606</v>
      </c>
      <c r="AL387" s="1">
        <v>1997004</v>
      </c>
      <c r="AM387" s="5">
        <v>43606</v>
      </c>
      <c r="AN387" s="379">
        <v>2014045</v>
      </c>
      <c r="AO387" s="5">
        <v>43661</v>
      </c>
      <c r="AP387" s="306">
        <f>150946.29+60378.52+60119.38</f>
        <v>271444.19</v>
      </c>
      <c r="AQ387" s="37">
        <v>0</v>
      </c>
      <c r="AR387" s="1218">
        <v>554784.07999999996</v>
      </c>
      <c r="AS387" s="1219">
        <v>552463.77</v>
      </c>
      <c r="AT387" s="68" t="s">
        <v>74</v>
      </c>
      <c r="AU387" s="12"/>
      <c r="AV387" s="243" t="s">
        <v>68</v>
      </c>
      <c r="AW387" s="54" t="s">
        <v>68</v>
      </c>
      <c r="AX387" s="359">
        <v>43659</v>
      </c>
      <c r="AY387" s="5">
        <v>43608</v>
      </c>
      <c r="AZ387" s="5">
        <v>43677</v>
      </c>
      <c r="BA387" s="5">
        <v>43659</v>
      </c>
      <c r="BB387" s="359">
        <v>43661</v>
      </c>
      <c r="BC387" s="1951"/>
      <c r="BD387" s="360">
        <v>43608</v>
      </c>
      <c r="BE387" s="360">
        <v>43677</v>
      </c>
      <c r="BF387" s="360">
        <v>43659</v>
      </c>
      <c r="BG387" s="361">
        <v>601193.81000000006</v>
      </c>
      <c r="BH387" s="1209">
        <v>43661</v>
      </c>
      <c r="BI387" s="1212">
        <v>43605</v>
      </c>
      <c r="BJ387" s="793" t="s">
        <v>74</v>
      </c>
      <c r="BK387" s="793" t="s">
        <v>74</v>
      </c>
      <c r="BL387" s="793"/>
      <c r="BM387" s="793"/>
      <c r="BN387" s="793"/>
      <c r="BO387" s="793"/>
      <c r="BP387" s="360">
        <v>43659</v>
      </c>
      <c r="BQ387" s="1212"/>
      <c r="BR387" s="1053"/>
      <c r="BS387" s="1053" t="s">
        <v>68</v>
      </c>
      <c r="BT387" s="14"/>
      <c r="BU387" s="14" t="s">
        <v>1262</v>
      </c>
      <c r="BV387" s="14"/>
      <c r="BW387" s="14"/>
      <c r="BX387" s="14"/>
      <c r="BY387" s="1433" t="s">
        <v>2098</v>
      </c>
      <c r="BZ387" s="40"/>
      <c r="CA387" s="582"/>
      <c r="CB387" s="582"/>
      <c r="CC387" s="582"/>
      <c r="CD387" s="582"/>
      <c r="CE387" s="582"/>
      <c r="CF387" s="582"/>
      <c r="CG387" s="582"/>
      <c r="CH387" s="16"/>
    </row>
    <row r="388" spans="1:86" ht="99.75" hidden="1" customHeight="1">
      <c r="A388"/>
      <c r="B388" s="23"/>
      <c r="C388" s="23"/>
      <c r="D388" s="23"/>
      <c r="E388" s="1051">
        <v>43709</v>
      </c>
      <c r="F388" s="1051"/>
      <c r="G388" s="1055">
        <v>44008</v>
      </c>
      <c r="H388" s="365">
        <v>43685</v>
      </c>
      <c r="I388" s="182">
        <v>2019</v>
      </c>
      <c r="J388" s="1684">
        <v>196.06</v>
      </c>
      <c r="K388" s="183" t="s">
        <v>77</v>
      </c>
      <c r="L388" s="739" t="s">
        <v>1263</v>
      </c>
      <c r="M388" s="185" t="s">
        <v>79</v>
      </c>
      <c r="N388" s="495" t="s">
        <v>1264</v>
      </c>
      <c r="O388" s="495" t="s">
        <v>1979</v>
      </c>
      <c r="P388" s="187">
        <v>619003.23</v>
      </c>
      <c r="Q388" s="657">
        <v>43606</v>
      </c>
      <c r="R388" s="664">
        <v>43608</v>
      </c>
      <c r="S388" s="665">
        <v>43677</v>
      </c>
      <c r="T388" s="578">
        <v>43614</v>
      </c>
      <c r="U388" s="191" t="s">
        <v>1259</v>
      </c>
      <c r="V388" s="183" t="s">
        <v>449</v>
      </c>
      <c r="W388" s="688">
        <v>43593</v>
      </c>
      <c r="X388" s="1624"/>
      <c r="Y388" s="35" t="s">
        <v>1265</v>
      </c>
      <c r="Z388" s="9">
        <v>43600</v>
      </c>
      <c r="AA388" s="4">
        <v>631010.96</v>
      </c>
      <c r="AB388" s="4"/>
      <c r="AC388" s="34"/>
      <c r="AD388" s="36" t="s">
        <v>68</v>
      </c>
      <c r="AE388" s="119" t="s">
        <v>68</v>
      </c>
      <c r="AF388" s="119" t="s">
        <v>68</v>
      </c>
      <c r="AG388" s="7" t="s">
        <v>68</v>
      </c>
      <c r="AH388" s="116" t="s">
        <v>68</v>
      </c>
      <c r="AI388" s="35" t="s">
        <v>1261</v>
      </c>
      <c r="AJ388" s="1">
        <v>1997001</v>
      </c>
      <c r="AK388" s="5">
        <v>43606</v>
      </c>
      <c r="AL388" s="1">
        <v>1997002</v>
      </c>
      <c r="AM388" s="5">
        <v>43606</v>
      </c>
      <c r="AN388" s="379">
        <v>2014047</v>
      </c>
      <c r="AO388" s="5">
        <v>43661</v>
      </c>
      <c r="AP388" s="306">
        <f>154750.8+61900.32+61634.66</f>
        <v>278285.78000000003</v>
      </c>
      <c r="AQ388" s="37">
        <v>0</v>
      </c>
      <c r="AR388" s="1040">
        <v>569953.75</v>
      </c>
      <c r="AS388" s="1027">
        <v>567567.53</v>
      </c>
      <c r="AT388" s="68" t="s">
        <v>74</v>
      </c>
      <c r="AU388" s="12"/>
      <c r="AV388" s="243" t="s">
        <v>68</v>
      </c>
      <c r="AW388" s="54" t="s">
        <v>68</v>
      </c>
      <c r="AX388" s="359">
        <v>43659</v>
      </c>
      <c r="AY388" s="5">
        <v>43608</v>
      </c>
      <c r="AZ388" s="5">
        <v>43677</v>
      </c>
      <c r="BA388" s="5">
        <v>43659</v>
      </c>
      <c r="BB388" s="359">
        <v>43661</v>
      </c>
      <c r="BC388" s="1951"/>
      <c r="BD388" s="5">
        <v>43608</v>
      </c>
      <c r="BE388" s="5">
        <v>43677</v>
      </c>
      <c r="BF388" s="5">
        <v>43659</v>
      </c>
      <c r="BG388" s="1216">
        <v>616346.56999999995</v>
      </c>
      <c r="BH388" s="1209">
        <v>43661</v>
      </c>
      <c r="BI388" s="372">
        <v>43605</v>
      </c>
      <c r="BJ388" s="793" t="s">
        <v>74</v>
      </c>
      <c r="BK388" s="793" t="s">
        <v>74</v>
      </c>
      <c r="BL388" s="793"/>
      <c r="BM388" s="793"/>
      <c r="BN388" s="793"/>
      <c r="BO388" s="793"/>
      <c r="BP388" s="360">
        <v>43659</v>
      </c>
      <c r="BQ388" s="1212"/>
      <c r="BR388" s="1053"/>
      <c r="BS388" s="1053" t="s">
        <v>68</v>
      </c>
      <c r="BT388" s="14"/>
      <c r="BU388" s="14" t="s">
        <v>1262</v>
      </c>
      <c r="BV388" s="14"/>
      <c r="BW388" s="14"/>
      <c r="BX388" s="14"/>
      <c r="BY388" s="1433" t="s">
        <v>2098</v>
      </c>
      <c r="BZ388" s="40"/>
      <c r="CA388" s="582"/>
      <c r="CB388" s="582"/>
      <c r="CC388" s="582"/>
      <c r="CD388" s="582"/>
      <c r="CE388" s="582"/>
      <c r="CF388" s="582"/>
      <c r="CG388" s="582"/>
      <c r="CH388" s="16"/>
    </row>
    <row r="389" spans="1:86" ht="76.5" hidden="1" customHeight="1">
      <c r="A389"/>
      <c r="B389" s="23"/>
      <c r="C389" s="23"/>
      <c r="D389" s="23"/>
      <c r="E389" s="1051">
        <v>43709</v>
      </c>
      <c r="F389" s="1051"/>
      <c r="G389" s="1055">
        <v>44013</v>
      </c>
      <c r="H389" s="365">
        <v>43647</v>
      </c>
      <c r="I389" s="182">
        <v>2019</v>
      </c>
      <c r="J389" s="1684">
        <v>196.07</v>
      </c>
      <c r="K389" s="183" t="s">
        <v>77</v>
      </c>
      <c r="L389" s="739" t="s">
        <v>1266</v>
      </c>
      <c r="M389" s="185" t="s">
        <v>251</v>
      </c>
      <c r="N389" s="186" t="s">
        <v>1267</v>
      </c>
      <c r="O389" s="186" t="s">
        <v>4458</v>
      </c>
      <c r="P389" s="187">
        <v>949742.46</v>
      </c>
      <c r="Q389" s="657">
        <v>43606</v>
      </c>
      <c r="R389" s="664">
        <v>43612</v>
      </c>
      <c r="S389" s="665">
        <v>43643</v>
      </c>
      <c r="T389" s="578">
        <v>43605</v>
      </c>
      <c r="U389" s="191" t="s">
        <v>1268</v>
      </c>
      <c r="V389" s="183" t="s">
        <v>3087</v>
      </c>
      <c r="W389" s="688">
        <v>43598</v>
      </c>
      <c r="X389" s="1624"/>
      <c r="Y389" s="180" t="s">
        <v>1269</v>
      </c>
      <c r="Z389" s="9">
        <v>43600</v>
      </c>
      <c r="AA389" s="4">
        <v>949742.46</v>
      </c>
      <c r="AB389" s="4"/>
      <c r="AC389" s="34"/>
      <c r="AD389" s="36" t="s">
        <v>68</v>
      </c>
      <c r="AE389" s="119" t="s">
        <v>68</v>
      </c>
      <c r="AF389" s="119" t="s">
        <v>68</v>
      </c>
      <c r="AG389" s="7" t="s">
        <v>68</v>
      </c>
      <c r="AH389" s="116" t="s">
        <v>68</v>
      </c>
      <c r="AI389" s="35" t="s">
        <v>1270</v>
      </c>
      <c r="AJ389" s="1" t="s">
        <v>1271</v>
      </c>
      <c r="AK389" s="5">
        <v>43606</v>
      </c>
      <c r="AL389" s="1" t="s">
        <v>1272</v>
      </c>
      <c r="AM389" s="5">
        <v>43606</v>
      </c>
      <c r="AN389" s="71" t="s">
        <v>1273</v>
      </c>
      <c r="AO389" s="5">
        <v>43668</v>
      </c>
      <c r="AP389" s="306">
        <f>237435.62+94974.24+94974.24</f>
        <v>427384.1</v>
      </c>
      <c r="AQ389" s="37">
        <v>0</v>
      </c>
      <c r="AR389" s="1031">
        <v>949738.6</v>
      </c>
      <c r="AS389" s="1027"/>
      <c r="AT389" s="271">
        <v>43612</v>
      </c>
      <c r="AU389" s="12">
        <v>43631</v>
      </c>
      <c r="AV389" s="243" t="s">
        <v>68</v>
      </c>
      <c r="AW389" s="54" t="s">
        <v>68</v>
      </c>
      <c r="AX389" s="247">
        <v>43641</v>
      </c>
      <c r="AY389" s="60">
        <v>43612</v>
      </c>
      <c r="AZ389" s="60">
        <v>43643</v>
      </c>
      <c r="BA389" s="61">
        <v>43638</v>
      </c>
      <c r="BB389" s="247">
        <v>43641</v>
      </c>
      <c r="BC389" s="1942"/>
      <c r="BD389" s="5">
        <v>43612</v>
      </c>
      <c r="BE389" s="5">
        <v>43643</v>
      </c>
      <c r="BF389" s="5">
        <v>43638</v>
      </c>
      <c r="BG389" s="38">
        <f>AQ389+AR389</f>
        <v>949738.6</v>
      </c>
      <c r="BH389" s="415">
        <v>43641</v>
      </c>
      <c r="BI389" s="372">
        <v>43608</v>
      </c>
      <c r="BJ389" s="793" t="s">
        <v>74</v>
      </c>
      <c r="BK389" s="793" t="s">
        <v>74</v>
      </c>
      <c r="BL389" s="1480"/>
      <c r="BM389" s="1480"/>
      <c r="BN389" s="1480"/>
      <c r="BO389" s="1480"/>
      <c r="BP389" s="1054">
        <v>43636</v>
      </c>
      <c r="BQ389" s="372"/>
      <c r="BR389" s="372">
        <v>43632</v>
      </c>
      <c r="BS389" s="372" t="s">
        <v>68</v>
      </c>
      <c r="BT389" s="14"/>
      <c r="BU389" s="14"/>
      <c r="BV389" s="14"/>
      <c r="BW389" s="14"/>
      <c r="BX389" s="14"/>
      <c r="BY389" s="1433" t="s">
        <v>2098</v>
      </c>
      <c r="BZ389" s="40"/>
      <c r="CA389" s="582"/>
      <c r="CB389" s="582"/>
      <c r="CC389" s="582"/>
      <c r="CD389" s="582"/>
      <c r="CE389" s="582"/>
      <c r="CF389" s="582"/>
      <c r="CG389" s="582"/>
      <c r="CH389" s="16"/>
    </row>
    <row r="390" spans="1:86" ht="74.25" hidden="1" customHeight="1">
      <c r="A390"/>
      <c r="B390" s="23"/>
      <c r="C390" s="1719">
        <v>44298</v>
      </c>
      <c r="D390" s="1719"/>
      <c r="E390" s="1051">
        <v>43709</v>
      </c>
      <c r="F390" s="1051"/>
      <c r="G390" s="1055">
        <v>44011</v>
      </c>
      <c r="H390" s="365">
        <v>43685</v>
      </c>
      <c r="I390" s="182">
        <v>2019</v>
      </c>
      <c r="J390" s="1684">
        <v>196.08</v>
      </c>
      <c r="K390" s="183" t="s">
        <v>166</v>
      </c>
      <c r="L390" s="739" t="s">
        <v>1274</v>
      </c>
      <c r="M390" s="185" t="s">
        <v>79</v>
      </c>
      <c r="N390" s="186" t="s">
        <v>1275</v>
      </c>
      <c r="O390" s="186" t="s">
        <v>4459</v>
      </c>
      <c r="P390" s="187">
        <v>643537.42000000004</v>
      </c>
      <c r="Q390" s="657">
        <v>43606</v>
      </c>
      <c r="R390" s="664">
        <v>43614</v>
      </c>
      <c r="S390" s="665">
        <v>43675</v>
      </c>
      <c r="T390" s="578">
        <v>43605</v>
      </c>
      <c r="U390" s="191" t="s">
        <v>1268</v>
      </c>
      <c r="V390" s="716" t="s">
        <v>114</v>
      </c>
      <c r="W390" s="1293" t="s">
        <v>68</v>
      </c>
      <c r="X390" s="1635"/>
      <c r="Y390" s="180" t="s">
        <v>1276</v>
      </c>
      <c r="Z390" s="9">
        <v>43600</v>
      </c>
      <c r="AA390" s="4">
        <v>643537.42000000004</v>
      </c>
      <c r="AB390" s="4"/>
      <c r="AC390" s="34"/>
      <c r="AD390" s="36" t="s">
        <v>68</v>
      </c>
      <c r="AE390" s="119" t="s">
        <v>68</v>
      </c>
      <c r="AF390" s="119" t="s">
        <v>68</v>
      </c>
      <c r="AG390" s="7" t="s">
        <v>68</v>
      </c>
      <c r="AH390" s="116" t="s">
        <v>68</v>
      </c>
      <c r="AI390" s="35" t="s">
        <v>1270</v>
      </c>
      <c r="AJ390" s="202" t="s">
        <v>1277</v>
      </c>
      <c r="AK390" s="5">
        <v>43606</v>
      </c>
      <c r="AL390" s="202" t="s">
        <v>1278</v>
      </c>
      <c r="AM390" s="5">
        <v>43606</v>
      </c>
      <c r="AN390" s="202" t="s">
        <v>1279</v>
      </c>
      <c r="AO390" s="5">
        <v>43668</v>
      </c>
      <c r="AP390" s="306">
        <f>160884.36+64353.74+64353.74</f>
        <v>289591.83999999997</v>
      </c>
      <c r="AQ390" s="37">
        <v>0</v>
      </c>
      <c r="AR390" s="1032">
        <v>707135.33</v>
      </c>
      <c r="AS390" s="1027"/>
      <c r="AT390" s="32">
        <v>43614</v>
      </c>
      <c r="AU390" s="12">
        <v>43675</v>
      </c>
      <c r="AV390" s="243" t="s">
        <v>68</v>
      </c>
      <c r="AW390" s="54" t="s">
        <v>68</v>
      </c>
      <c r="AX390" s="78">
        <v>43675</v>
      </c>
      <c r="AY390" s="255">
        <v>43614</v>
      </c>
      <c r="AZ390" s="255">
        <v>43675</v>
      </c>
      <c r="BA390" s="245">
        <v>43673</v>
      </c>
      <c r="BB390" s="78">
        <v>43675</v>
      </c>
      <c r="BC390" s="344"/>
      <c r="BD390" s="5">
        <v>43614</v>
      </c>
      <c r="BE390" s="5">
        <v>43675</v>
      </c>
      <c r="BF390" s="5">
        <v>43673</v>
      </c>
      <c r="BG390" s="66">
        <f>AQ390+AR390</f>
        <v>707135.33</v>
      </c>
      <c r="BH390" s="415">
        <v>43675</v>
      </c>
      <c r="BI390" s="1212">
        <v>43581</v>
      </c>
      <c r="BJ390" s="793" t="s">
        <v>74</v>
      </c>
      <c r="BK390" s="793" t="s">
        <v>74</v>
      </c>
      <c r="BL390" s="1480"/>
      <c r="BM390" s="1480"/>
      <c r="BN390" s="1480"/>
      <c r="BO390" s="1480"/>
      <c r="BP390" s="1054">
        <v>43671</v>
      </c>
      <c r="BQ390" s="372"/>
      <c r="BR390" s="372">
        <v>43633</v>
      </c>
      <c r="BS390" s="372">
        <v>43636</v>
      </c>
      <c r="BT390" s="14"/>
      <c r="BU390" s="14" t="s">
        <v>1280</v>
      </c>
      <c r="BV390" s="14"/>
      <c r="BW390" s="14"/>
      <c r="BX390" s="14"/>
      <c r="BY390" s="1433" t="s">
        <v>2098</v>
      </c>
      <c r="BZ390" s="40"/>
      <c r="CA390" s="582"/>
      <c r="CB390" s="582"/>
      <c r="CC390" s="582"/>
      <c r="CD390" s="582"/>
      <c r="CE390" s="582"/>
      <c r="CF390" s="582"/>
      <c r="CG390" s="582"/>
      <c r="CH390" s="16"/>
    </row>
    <row r="391" spans="1:86" ht="82.5" hidden="1" customHeight="1">
      <c r="A391"/>
      <c r="B391" s="23"/>
      <c r="C391" s="1719">
        <v>44298</v>
      </c>
      <c r="D391" s="1719"/>
      <c r="E391" s="1051">
        <v>43709</v>
      </c>
      <c r="F391" s="1051"/>
      <c r="G391" s="1055">
        <v>44008</v>
      </c>
      <c r="H391" s="365">
        <v>43838</v>
      </c>
      <c r="I391" s="182">
        <v>2019</v>
      </c>
      <c r="J391" s="1684">
        <v>196.09</v>
      </c>
      <c r="K391" s="183" t="s">
        <v>166</v>
      </c>
      <c r="L391" s="739" t="s">
        <v>1281</v>
      </c>
      <c r="M391" s="185" t="s">
        <v>79</v>
      </c>
      <c r="N391" s="186" t="s">
        <v>1282</v>
      </c>
      <c r="O391" s="186" t="s">
        <v>1979</v>
      </c>
      <c r="P391" s="187">
        <v>413006.4</v>
      </c>
      <c r="Q391" s="656">
        <v>43607</v>
      </c>
      <c r="R391" s="686">
        <v>43619</v>
      </c>
      <c r="S391" s="687">
        <v>43645</v>
      </c>
      <c r="T391" s="70">
        <v>43607</v>
      </c>
      <c r="U391" s="191" t="s">
        <v>1268</v>
      </c>
      <c r="V391" s="716" t="s">
        <v>709</v>
      </c>
      <c r="W391" s="1293" t="s">
        <v>68</v>
      </c>
      <c r="X391" s="1635"/>
      <c r="Y391" s="180" t="s">
        <v>1283</v>
      </c>
      <c r="Z391" s="9">
        <v>43600</v>
      </c>
      <c r="AA391" s="4">
        <v>1995780</v>
      </c>
      <c r="AB391" s="4"/>
      <c r="AC391" s="34"/>
      <c r="AD391" s="36" t="s">
        <v>68</v>
      </c>
      <c r="AE391" s="119" t="s">
        <v>68</v>
      </c>
      <c r="AF391" s="119" t="s">
        <v>68</v>
      </c>
      <c r="AG391" s="7" t="s">
        <v>68</v>
      </c>
      <c r="AH391" s="116" t="s">
        <v>68</v>
      </c>
      <c r="AI391" s="180" t="s">
        <v>1270</v>
      </c>
      <c r="AJ391" s="1" t="s">
        <v>68</v>
      </c>
      <c r="AK391" s="5"/>
      <c r="AL391" s="2" t="s">
        <v>1284</v>
      </c>
      <c r="AM391" s="5">
        <v>43607</v>
      </c>
      <c r="AN391" s="2" t="s">
        <v>1285</v>
      </c>
      <c r="AO391" s="5">
        <v>43704</v>
      </c>
      <c r="AP391" s="306">
        <f>41300.64+41300.64</f>
        <v>82601.279999999999</v>
      </c>
      <c r="AQ391" s="37">
        <v>0</v>
      </c>
      <c r="AR391" s="1031">
        <v>413006.4</v>
      </c>
      <c r="AS391" s="1027"/>
      <c r="AT391" s="68" t="s">
        <v>74</v>
      </c>
      <c r="AU391" s="12"/>
      <c r="AV391" s="243" t="s">
        <v>68</v>
      </c>
      <c r="AW391" s="54" t="s">
        <v>68</v>
      </c>
      <c r="AX391" s="32">
        <v>43645</v>
      </c>
      <c r="AY391" s="5">
        <v>43619</v>
      </c>
      <c r="AZ391" s="5">
        <v>43645</v>
      </c>
      <c r="BA391" s="12">
        <v>43644</v>
      </c>
      <c r="BB391" s="32">
        <v>43648</v>
      </c>
      <c r="BC391" s="341"/>
      <c r="BD391" s="5">
        <v>43619</v>
      </c>
      <c r="BE391" s="5">
        <v>43645</v>
      </c>
      <c r="BF391" s="5">
        <v>43644</v>
      </c>
      <c r="BG391" s="38">
        <f>AQ391+AR391</f>
        <v>413006.4</v>
      </c>
      <c r="BH391" s="64">
        <v>43648</v>
      </c>
      <c r="BI391" s="1212">
        <v>43676</v>
      </c>
      <c r="BJ391" s="793" t="s">
        <v>74</v>
      </c>
      <c r="BK391" s="793" t="s">
        <v>74</v>
      </c>
      <c r="BL391" s="1480"/>
      <c r="BM391" s="1480"/>
      <c r="BN391" s="1480"/>
      <c r="BO391" s="1480"/>
      <c r="BP391" s="1054">
        <v>43641</v>
      </c>
      <c r="BQ391" s="372"/>
      <c r="BR391" s="372" t="s">
        <v>68</v>
      </c>
      <c r="BS391" s="372" t="s">
        <v>68</v>
      </c>
      <c r="BT391" s="14"/>
      <c r="BU391" s="14" t="s">
        <v>1286</v>
      </c>
      <c r="BV391" s="14"/>
      <c r="BW391" s="14"/>
      <c r="BX391" s="14"/>
      <c r="BY391" s="1433" t="s">
        <v>2098</v>
      </c>
      <c r="BZ391" s="40"/>
      <c r="CA391" s="582"/>
      <c r="CB391" s="582"/>
      <c r="CC391" s="582"/>
      <c r="CD391" s="582"/>
      <c r="CE391" s="582"/>
      <c r="CF391" s="582"/>
      <c r="CG391" s="582"/>
      <c r="CH391" s="16"/>
    </row>
    <row r="392" spans="1:86" ht="69" hidden="1" customHeight="1">
      <c r="A392"/>
      <c r="B392" s="23"/>
      <c r="C392" s="1719">
        <v>44298</v>
      </c>
      <c r="D392" s="1719"/>
      <c r="E392" s="1051">
        <v>43709</v>
      </c>
      <c r="F392" s="1051"/>
      <c r="G392" s="1055">
        <v>44011</v>
      </c>
      <c r="H392" s="365">
        <v>43805</v>
      </c>
      <c r="I392" s="182">
        <v>2019</v>
      </c>
      <c r="J392" s="1684">
        <v>196.1</v>
      </c>
      <c r="K392" s="183" t="s">
        <v>166</v>
      </c>
      <c r="L392" s="739" t="s">
        <v>1287</v>
      </c>
      <c r="M392" s="185" t="s">
        <v>79</v>
      </c>
      <c r="N392" s="186" t="s">
        <v>1288</v>
      </c>
      <c r="O392" s="186" t="s">
        <v>1979</v>
      </c>
      <c r="P392" s="187">
        <v>1649201.51</v>
      </c>
      <c r="Q392" s="656">
        <v>43637</v>
      </c>
      <c r="R392" s="686">
        <v>43640</v>
      </c>
      <c r="S392" s="687">
        <v>43707</v>
      </c>
      <c r="T392" s="70">
        <v>43607</v>
      </c>
      <c r="U392" s="191" t="s">
        <v>1225</v>
      </c>
      <c r="V392" s="716" t="s">
        <v>449</v>
      </c>
      <c r="W392" s="1293" t="s">
        <v>68</v>
      </c>
      <c r="X392" s="1635"/>
      <c r="Y392" s="180" t="s">
        <v>1283</v>
      </c>
      <c r="Z392" s="9">
        <v>43600</v>
      </c>
      <c r="AA392" s="4">
        <v>1995780</v>
      </c>
      <c r="AB392" s="4"/>
      <c r="AC392" s="34"/>
      <c r="AD392" s="36" t="s">
        <v>68</v>
      </c>
      <c r="AE392" s="119" t="s">
        <v>68</v>
      </c>
      <c r="AF392" s="119" t="s">
        <v>68</v>
      </c>
      <c r="AG392" s="7" t="s">
        <v>68</v>
      </c>
      <c r="AH392" s="116" t="s">
        <v>68</v>
      </c>
      <c r="AI392" s="180" t="s">
        <v>1289</v>
      </c>
      <c r="AJ392" s="1" t="s">
        <v>68</v>
      </c>
      <c r="AK392" s="5"/>
      <c r="AL392" s="71">
        <v>199701</v>
      </c>
      <c r="AM392" s="5">
        <v>43640</v>
      </c>
      <c r="AN392" s="1">
        <v>199791</v>
      </c>
      <c r="AO392" s="5">
        <v>43754</v>
      </c>
      <c r="AP392" s="306">
        <f>164920.15</f>
        <v>164920.15</v>
      </c>
      <c r="AQ392" s="37">
        <v>0</v>
      </c>
      <c r="AR392" s="1031">
        <v>1661297.6</v>
      </c>
      <c r="AS392" s="1027"/>
      <c r="AT392" s="68" t="s">
        <v>74</v>
      </c>
      <c r="AU392" s="12"/>
      <c r="AV392" s="243" t="s">
        <v>68</v>
      </c>
      <c r="AW392" s="54" t="s">
        <v>68</v>
      </c>
      <c r="AX392" s="32">
        <v>43768</v>
      </c>
      <c r="AY392" s="5">
        <v>43640</v>
      </c>
      <c r="AZ392" s="5">
        <v>43784</v>
      </c>
      <c r="BA392" s="5">
        <v>43799</v>
      </c>
      <c r="BB392" s="32">
        <v>43769</v>
      </c>
      <c r="BC392" s="341"/>
      <c r="BD392" s="5">
        <v>43640</v>
      </c>
      <c r="BE392" s="5">
        <v>43784</v>
      </c>
      <c r="BF392" s="5">
        <v>43799</v>
      </c>
      <c r="BG392" s="38">
        <f>AQ392+AR392</f>
        <v>1661297.6</v>
      </c>
      <c r="BH392" s="64">
        <v>43770</v>
      </c>
      <c r="BI392" s="1212">
        <v>43636</v>
      </c>
      <c r="BJ392" s="76">
        <v>43640</v>
      </c>
      <c r="BK392" s="76">
        <v>43640</v>
      </c>
      <c r="BL392" s="1054"/>
      <c r="BM392" s="1054"/>
      <c r="BN392" s="1054"/>
      <c r="BO392" s="1054"/>
      <c r="BP392" s="1054">
        <v>43766</v>
      </c>
      <c r="BQ392" s="372"/>
      <c r="BR392" s="372">
        <v>43754</v>
      </c>
      <c r="BS392" s="372" t="s">
        <v>68</v>
      </c>
      <c r="BT392" s="14"/>
      <c r="BU392" s="14" t="s">
        <v>1280</v>
      </c>
      <c r="BV392" s="14"/>
      <c r="BW392" s="14"/>
      <c r="BX392" s="14"/>
      <c r="BY392" s="1433" t="s">
        <v>2098</v>
      </c>
      <c r="BZ392" s="40"/>
      <c r="CA392" s="582"/>
      <c r="CB392" s="582"/>
      <c r="CC392" s="582"/>
      <c r="CD392" s="582"/>
      <c r="CE392" s="582"/>
      <c r="CF392" s="582"/>
      <c r="CG392" s="582"/>
      <c r="CH392" s="16"/>
    </row>
    <row r="393" spans="1:86" ht="90" hidden="1" customHeight="1">
      <c r="A393"/>
      <c r="B393" s="23"/>
      <c r="C393" s="1718">
        <v>44494</v>
      </c>
      <c r="D393" s="1718"/>
      <c r="E393" s="1051">
        <v>44494</v>
      </c>
      <c r="F393" s="1051"/>
      <c r="G393" s="1055">
        <v>44011</v>
      </c>
      <c r="H393" s="365">
        <v>43891</v>
      </c>
      <c r="I393" s="182">
        <v>2019</v>
      </c>
      <c r="J393" s="1684">
        <v>196.11</v>
      </c>
      <c r="K393" s="183" t="s">
        <v>166</v>
      </c>
      <c r="L393" s="739" t="s">
        <v>1290</v>
      </c>
      <c r="M393" s="185" t="s">
        <v>79</v>
      </c>
      <c r="N393" s="186" t="s">
        <v>1291</v>
      </c>
      <c r="O393" s="186" t="s">
        <v>4877</v>
      </c>
      <c r="P393" s="187">
        <v>643537.42000000004</v>
      </c>
      <c r="Q393" s="656">
        <v>43705</v>
      </c>
      <c r="R393" s="686">
        <v>43710</v>
      </c>
      <c r="S393" s="687">
        <v>43785</v>
      </c>
      <c r="T393" s="70">
        <v>43704</v>
      </c>
      <c r="U393" s="191" t="s">
        <v>1292</v>
      </c>
      <c r="V393" s="716" t="s">
        <v>114</v>
      </c>
      <c r="W393" s="1293" t="s">
        <v>68</v>
      </c>
      <c r="X393" s="1635"/>
      <c r="Y393" s="266" t="s">
        <v>1293</v>
      </c>
      <c r="Z393" s="9">
        <v>43600</v>
      </c>
      <c r="AA393" s="4">
        <v>643537.42000000004</v>
      </c>
      <c r="AB393" s="4"/>
      <c r="AC393" s="34"/>
      <c r="AD393" s="36" t="s">
        <v>68</v>
      </c>
      <c r="AE393" s="119" t="s">
        <v>68</v>
      </c>
      <c r="AF393" s="119" t="s">
        <v>68</v>
      </c>
      <c r="AG393" s="7" t="s">
        <v>68</v>
      </c>
      <c r="AH393" s="116" t="s">
        <v>68</v>
      </c>
      <c r="AI393" s="180" t="s">
        <v>1294</v>
      </c>
      <c r="AJ393" s="71">
        <v>3563</v>
      </c>
      <c r="AK393" s="255">
        <v>43705</v>
      </c>
      <c r="AL393" s="71">
        <v>3565</v>
      </c>
      <c r="AM393" s="5">
        <v>43705</v>
      </c>
      <c r="AN393" s="267" t="s">
        <v>2904</v>
      </c>
      <c r="AO393" s="5">
        <v>43958</v>
      </c>
      <c r="AP393" s="306">
        <f>160884.36+64353.74</f>
        <v>225238.09999999998</v>
      </c>
      <c r="AQ393" s="37">
        <v>0</v>
      </c>
      <c r="AR393" s="1032">
        <v>643537.42000000004</v>
      </c>
      <c r="AS393" s="1027"/>
      <c r="AT393" s="32">
        <v>43710</v>
      </c>
      <c r="AU393" s="12">
        <v>43771</v>
      </c>
      <c r="AV393" s="243" t="s">
        <v>68</v>
      </c>
      <c r="AW393" s="54" t="s">
        <v>68</v>
      </c>
      <c r="AX393" s="247">
        <v>43771</v>
      </c>
      <c r="AY393" s="5">
        <v>43710</v>
      </c>
      <c r="AZ393" s="5">
        <v>47438</v>
      </c>
      <c r="BA393" s="12">
        <v>43769</v>
      </c>
      <c r="BB393" s="32">
        <v>43773</v>
      </c>
      <c r="BC393" s="341"/>
      <c r="BD393" s="5">
        <v>43710</v>
      </c>
      <c r="BE393" s="5">
        <v>43785</v>
      </c>
      <c r="BF393" s="5">
        <v>43769</v>
      </c>
      <c r="BG393" s="38">
        <v>641473.49</v>
      </c>
      <c r="BH393" s="64">
        <v>43773</v>
      </c>
      <c r="BI393" s="1212">
        <v>43706</v>
      </c>
      <c r="BJ393" s="76" t="s">
        <v>3091</v>
      </c>
      <c r="BK393" s="793" t="s">
        <v>74</v>
      </c>
      <c r="BL393" s="1480"/>
      <c r="BM393" s="1480"/>
      <c r="BN393" s="1480"/>
      <c r="BO393" s="1480"/>
      <c r="BP393" s="1054">
        <v>43767</v>
      </c>
      <c r="BQ393" s="372"/>
      <c r="BR393" s="794" t="s">
        <v>68</v>
      </c>
      <c r="BS393" s="794" t="s">
        <v>68</v>
      </c>
      <c r="BT393" s="14"/>
      <c r="BU393" s="14"/>
      <c r="BV393" s="14"/>
      <c r="BW393" s="14"/>
      <c r="BX393" s="14"/>
      <c r="BY393" s="1433" t="s">
        <v>2098</v>
      </c>
      <c r="BZ393" s="40"/>
      <c r="CA393" s="582"/>
      <c r="CB393" s="582"/>
      <c r="CC393" s="582"/>
      <c r="CD393" s="582"/>
      <c r="CE393" s="582"/>
      <c r="CF393" s="582"/>
      <c r="CG393" s="582"/>
      <c r="CH393" s="16"/>
    </row>
    <row r="394" spans="1:86" s="1241" customFormat="1" ht="34.5" hidden="1" customHeight="1">
      <c r="B394" s="1242"/>
      <c r="C394" s="1242"/>
      <c r="D394" s="1242"/>
      <c r="E394" s="1243"/>
      <c r="F394" s="1243"/>
      <c r="G394" s="610"/>
      <c r="H394" s="700"/>
      <c r="I394" s="1244">
        <v>2019</v>
      </c>
      <c r="J394" s="1683">
        <v>196.12</v>
      </c>
      <c r="K394" s="1245"/>
      <c r="L394" s="1246" t="s">
        <v>1296</v>
      </c>
      <c r="M394" s="904" t="s">
        <v>251</v>
      </c>
      <c r="N394" s="1247"/>
      <c r="O394" s="1247"/>
      <c r="P394" s="1248"/>
      <c r="Q394" s="1249"/>
      <c r="R394" s="1250"/>
      <c r="S394" s="1251"/>
      <c r="T394" s="1252"/>
      <c r="U394" s="1246"/>
      <c r="V394" s="1245"/>
      <c r="W394" s="1253"/>
      <c r="X394" s="1630"/>
      <c r="Y394" s="340"/>
      <c r="Z394" s="1254"/>
      <c r="AA394" s="1255"/>
      <c r="AB394" s="1255"/>
      <c r="AC394" s="1256"/>
      <c r="AD394" s="1257" t="s">
        <v>68</v>
      </c>
      <c r="AE394" s="1258" t="s">
        <v>68</v>
      </c>
      <c r="AF394" s="1258" t="s">
        <v>68</v>
      </c>
      <c r="AG394" s="1259" t="s">
        <v>68</v>
      </c>
      <c r="AH394" s="1260" t="s">
        <v>68</v>
      </c>
      <c r="AI394" s="340"/>
      <c r="AJ394" s="1261"/>
      <c r="AK394" s="1262"/>
      <c r="AL394" s="1261"/>
      <c r="AM394" s="1262"/>
      <c r="AN394" s="1261"/>
      <c r="AO394" s="1262"/>
      <c r="AP394" s="1263"/>
      <c r="AQ394" s="1264">
        <v>0</v>
      </c>
      <c r="AR394" s="1265"/>
      <c r="AS394" s="1266"/>
      <c r="AT394" s="1267"/>
      <c r="AU394" s="1268"/>
      <c r="AV394" s="1269"/>
      <c r="AW394" s="1270"/>
      <c r="AX394" s="1267"/>
      <c r="AY394" s="1262"/>
      <c r="AZ394" s="1262"/>
      <c r="BA394" s="1268"/>
      <c r="BB394" s="1267"/>
      <c r="BC394" s="1944"/>
      <c r="BD394" s="1262"/>
      <c r="BE394" s="1262"/>
      <c r="BF394" s="1262"/>
      <c r="BG394" s="1272">
        <f>AQ394+AR394</f>
        <v>0</v>
      </c>
      <c r="BH394" s="1273"/>
      <c r="BI394" s="1753"/>
      <c r="BJ394" s="1754"/>
      <c r="BK394" s="1754"/>
      <c r="BL394" s="1770"/>
      <c r="BM394" s="1770"/>
      <c r="BN394" s="1770"/>
      <c r="BO394" s="1770"/>
      <c r="BP394" s="1770"/>
      <c r="BQ394" s="1753"/>
      <c r="BR394" s="1753"/>
      <c r="BS394" s="1753" t="s">
        <v>68</v>
      </c>
      <c r="BT394" s="1273"/>
      <c r="BU394" s="1273"/>
      <c r="BV394" s="1273"/>
      <c r="BW394" s="1273"/>
      <c r="BX394" s="1273"/>
      <c r="BY394" s="1769" t="s">
        <v>2098</v>
      </c>
      <c r="BZ394" s="1276"/>
      <c r="CA394" s="903"/>
      <c r="CB394" s="903"/>
      <c r="CC394" s="903"/>
      <c r="CD394" s="903"/>
      <c r="CE394" s="903"/>
      <c r="CF394" s="903"/>
      <c r="CG394" s="903"/>
      <c r="CH394" s="1277"/>
    </row>
    <row r="395" spans="1:86" ht="72" hidden="1" customHeight="1">
      <c r="A395"/>
      <c r="B395" s="23"/>
      <c r="C395" s="23"/>
      <c r="D395" s="23"/>
      <c r="E395" s="1051">
        <v>43709</v>
      </c>
      <c r="F395" s="1051"/>
      <c r="G395" s="1055">
        <v>44013</v>
      </c>
      <c r="H395" s="365">
        <v>43647</v>
      </c>
      <c r="I395" s="182">
        <v>2019</v>
      </c>
      <c r="J395" s="1684">
        <v>196.13</v>
      </c>
      <c r="K395" s="183" t="s">
        <v>77</v>
      </c>
      <c r="L395" s="739" t="s">
        <v>1297</v>
      </c>
      <c r="M395" s="185" t="s">
        <v>79</v>
      </c>
      <c r="N395" s="186" t="s">
        <v>1298</v>
      </c>
      <c r="O395" s="186" t="s">
        <v>2574</v>
      </c>
      <c r="P395" s="187">
        <v>75313.95</v>
      </c>
      <c r="Q395" s="657">
        <v>43626</v>
      </c>
      <c r="R395" s="664">
        <v>43627</v>
      </c>
      <c r="S395" s="665">
        <v>43637</v>
      </c>
      <c r="T395" s="578">
        <v>43608</v>
      </c>
      <c r="U395" s="191" t="s">
        <v>1225</v>
      </c>
      <c r="V395" s="183" t="s">
        <v>3087</v>
      </c>
      <c r="W395" s="688">
        <v>43623</v>
      </c>
      <c r="X395" s="1624"/>
      <c r="Y395" s="180" t="s">
        <v>1299</v>
      </c>
      <c r="Z395" s="9">
        <v>43600</v>
      </c>
      <c r="AA395" s="4">
        <v>75407.14</v>
      </c>
      <c r="AB395" s="4"/>
      <c r="AC395" s="34"/>
      <c r="AD395" s="36" t="s">
        <v>68</v>
      </c>
      <c r="AE395" s="119" t="s">
        <v>68</v>
      </c>
      <c r="AF395" s="119" t="s">
        <v>68</v>
      </c>
      <c r="AG395" s="7" t="s">
        <v>68</v>
      </c>
      <c r="AH395" s="116" t="s">
        <v>68</v>
      </c>
      <c r="AI395" s="35" t="s">
        <v>1289</v>
      </c>
      <c r="AJ395" s="71" t="s">
        <v>68</v>
      </c>
      <c r="AK395" s="5"/>
      <c r="AL395" s="1">
        <v>1908484</v>
      </c>
      <c r="AM395" s="5">
        <v>43627</v>
      </c>
      <c r="AN395" s="1">
        <v>19978790</v>
      </c>
      <c r="AO395" s="5">
        <v>43637</v>
      </c>
      <c r="AP395" s="306">
        <f>7531.39*2</f>
        <v>15062.78</v>
      </c>
      <c r="AQ395" s="37">
        <v>0</v>
      </c>
      <c r="AR395" s="1032">
        <v>74990.720000000001</v>
      </c>
      <c r="AS395" s="1032">
        <v>74990.720000000001</v>
      </c>
      <c r="AT395" s="68" t="s">
        <v>74</v>
      </c>
      <c r="AU395" s="12"/>
      <c r="AV395" s="243" t="s">
        <v>68</v>
      </c>
      <c r="AW395" s="54" t="s">
        <v>68</v>
      </c>
      <c r="AX395" s="359">
        <v>43640</v>
      </c>
      <c r="AY395" s="5">
        <v>43627</v>
      </c>
      <c r="AZ395" s="5">
        <v>43637</v>
      </c>
      <c r="BA395" s="12">
        <v>43637</v>
      </c>
      <c r="BB395" s="359">
        <v>43641</v>
      </c>
      <c r="BC395" s="1951"/>
      <c r="BD395" s="5">
        <v>43627</v>
      </c>
      <c r="BE395" s="5">
        <v>43637</v>
      </c>
      <c r="BF395" s="5">
        <v>43637</v>
      </c>
      <c r="BG395" s="38">
        <f>AQ395+AR395</f>
        <v>74990.720000000001</v>
      </c>
      <c r="BH395" s="1209">
        <v>43642</v>
      </c>
      <c r="BI395" s="1212">
        <v>43613</v>
      </c>
      <c r="BJ395" s="76">
        <v>43626</v>
      </c>
      <c r="BK395" s="76">
        <v>43626</v>
      </c>
      <c r="BL395" s="1054"/>
      <c r="BM395" s="1054"/>
      <c r="BN395" s="1054"/>
      <c r="BO395" s="1054"/>
      <c r="BP395" s="1054">
        <v>43640</v>
      </c>
      <c r="BQ395" s="372"/>
      <c r="BR395" s="372" t="s">
        <v>68</v>
      </c>
      <c r="BS395" s="372" t="s">
        <v>68</v>
      </c>
      <c r="BT395" s="14"/>
      <c r="BU395" s="14"/>
      <c r="BV395" s="14"/>
      <c r="BW395" s="14"/>
      <c r="BX395" s="14"/>
      <c r="BY395" s="1433" t="s">
        <v>2098</v>
      </c>
      <c r="BZ395" s="40"/>
      <c r="CA395" s="582"/>
      <c r="CB395" s="582"/>
      <c r="CC395" s="582"/>
      <c r="CD395" s="582"/>
      <c r="CE395" s="582"/>
      <c r="CF395" s="582"/>
      <c r="CG395" s="582"/>
      <c r="CH395" s="16"/>
    </row>
    <row r="396" spans="1:86" ht="78.75" hidden="1" customHeight="1">
      <c r="A396"/>
      <c r="B396" s="23"/>
      <c r="C396" s="23"/>
      <c r="D396" s="23"/>
      <c r="E396" s="1051">
        <v>43709</v>
      </c>
      <c r="F396" s="1051"/>
      <c r="G396" s="1055">
        <v>44008</v>
      </c>
      <c r="H396" s="365">
        <v>43714</v>
      </c>
      <c r="I396" s="182">
        <v>2019</v>
      </c>
      <c r="J396" s="1684">
        <v>196.14</v>
      </c>
      <c r="K396" s="183" t="s">
        <v>77</v>
      </c>
      <c r="L396" s="739" t="s">
        <v>1300</v>
      </c>
      <c r="M396" s="185" t="s">
        <v>79</v>
      </c>
      <c r="N396" s="186" t="s">
        <v>1301</v>
      </c>
      <c r="O396" s="186" t="s">
        <v>2574</v>
      </c>
      <c r="P396" s="661">
        <v>179219.86</v>
      </c>
      <c r="Q396" s="657">
        <v>43670</v>
      </c>
      <c r="R396" s="664">
        <v>43671</v>
      </c>
      <c r="S396" s="665">
        <v>43687</v>
      </c>
      <c r="T396" s="578">
        <v>43669</v>
      </c>
      <c r="U396" s="191" t="s">
        <v>1302</v>
      </c>
      <c r="V396" s="183" t="s">
        <v>3087</v>
      </c>
      <c r="W396" s="688">
        <v>43684</v>
      </c>
      <c r="X396" s="1624"/>
      <c r="Y396" s="180" t="s">
        <v>1303</v>
      </c>
      <c r="Z396" s="9">
        <v>43668</v>
      </c>
      <c r="AA396" s="4">
        <v>179992.76</v>
      </c>
      <c r="AB396" s="4"/>
      <c r="AC396" s="34"/>
      <c r="AD396" s="36" t="s">
        <v>68</v>
      </c>
      <c r="AE396" s="119" t="s">
        <v>68</v>
      </c>
      <c r="AF396" s="119" t="s">
        <v>68</v>
      </c>
      <c r="AG396" s="7" t="s">
        <v>68</v>
      </c>
      <c r="AH396" s="116" t="s">
        <v>68</v>
      </c>
      <c r="AI396" s="35" t="s">
        <v>1289</v>
      </c>
      <c r="AJ396" s="71" t="s">
        <v>68</v>
      </c>
      <c r="AK396" s="5"/>
      <c r="AL396" s="238" t="s">
        <v>74</v>
      </c>
      <c r="AM396" s="5"/>
      <c r="AN396" s="1">
        <v>19070</v>
      </c>
      <c r="AO396" s="5">
        <v>43696</v>
      </c>
      <c r="AP396" s="729">
        <f>17921.98</f>
        <v>17921.98</v>
      </c>
      <c r="AQ396" s="37">
        <v>0</v>
      </c>
      <c r="AR396" s="1031">
        <v>185760.77</v>
      </c>
      <c r="AS396" s="1027"/>
      <c r="AT396" s="271">
        <v>43671</v>
      </c>
      <c r="AU396" s="12">
        <v>43686</v>
      </c>
      <c r="AV396" s="243" t="s">
        <v>68</v>
      </c>
      <c r="AW396" s="54" t="s">
        <v>68</v>
      </c>
      <c r="AX396" s="32">
        <v>43689</v>
      </c>
      <c r="AY396" s="5">
        <v>43671</v>
      </c>
      <c r="AZ396" s="5">
        <v>43687</v>
      </c>
      <c r="BA396" s="5">
        <v>43687</v>
      </c>
      <c r="BB396" s="32">
        <v>43690</v>
      </c>
      <c r="BC396" s="341"/>
      <c r="BD396" s="5">
        <v>43671</v>
      </c>
      <c r="BE396" s="5">
        <v>43687</v>
      </c>
      <c r="BF396" s="5">
        <v>43687</v>
      </c>
      <c r="BG396" s="38">
        <f>AQ396+AR396</f>
        <v>185760.77</v>
      </c>
      <c r="BH396" s="64">
        <v>43691</v>
      </c>
      <c r="BI396" s="1212">
        <v>43669</v>
      </c>
      <c r="BJ396" s="76">
        <v>43671</v>
      </c>
      <c r="BK396" s="76">
        <v>43671</v>
      </c>
      <c r="BL396" s="1054"/>
      <c r="BM396" s="1054"/>
      <c r="BN396" s="1054"/>
      <c r="BO396" s="1054"/>
      <c r="BP396" s="1054">
        <v>43689</v>
      </c>
      <c r="BQ396" s="372"/>
      <c r="BR396" s="372">
        <v>43682</v>
      </c>
      <c r="BS396" s="794" t="s">
        <v>68</v>
      </c>
      <c r="BT396" s="14"/>
      <c r="BU396" s="14"/>
      <c r="BV396" s="14"/>
      <c r="BW396" s="14"/>
      <c r="BX396" s="14"/>
      <c r="BY396" s="1433" t="s">
        <v>2098</v>
      </c>
      <c r="BZ396" s="40"/>
      <c r="CA396" s="582"/>
      <c r="CB396" s="582"/>
      <c r="CC396" s="582"/>
      <c r="CD396" s="582"/>
      <c r="CE396" s="582"/>
      <c r="CF396" s="582"/>
      <c r="CG396" s="582"/>
      <c r="CH396" s="16"/>
    </row>
    <row r="397" spans="1:86" ht="83.25" hidden="1" customHeight="1">
      <c r="A397"/>
      <c r="B397" s="23"/>
      <c r="C397" s="23"/>
      <c r="D397" s="23"/>
      <c r="E397" s="1051">
        <v>43466</v>
      </c>
      <c r="F397" s="1051"/>
      <c r="G397" s="1055">
        <v>44008</v>
      </c>
      <c r="H397" s="365">
        <v>43777</v>
      </c>
      <c r="I397" s="182">
        <v>2019</v>
      </c>
      <c r="J397" s="1684">
        <v>196.15</v>
      </c>
      <c r="K397" s="183" t="s">
        <v>77</v>
      </c>
      <c r="L397" s="739" t="s">
        <v>1304</v>
      </c>
      <c r="M397" s="185" t="s">
        <v>79</v>
      </c>
      <c r="N397" s="186" t="s">
        <v>1305</v>
      </c>
      <c r="O397" s="186" t="s">
        <v>4458</v>
      </c>
      <c r="P397" s="187">
        <v>77778.12</v>
      </c>
      <c r="Q397" s="657">
        <v>43694</v>
      </c>
      <c r="R397" s="664">
        <v>43703</v>
      </c>
      <c r="S397" s="665">
        <v>43742</v>
      </c>
      <c r="T397" s="578">
        <v>43693</v>
      </c>
      <c r="U397" s="191" t="s">
        <v>1306</v>
      </c>
      <c r="V397" s="183" t="s">
        <v>3087</v>
      </c>
      <c r="W397" s="685">
        <v>43684</v>
      </c>
      <c r="X397" s="1625"/>
      <c r="Y397" s="180" t="s">
        <v>1307</v>
      </c>
      <c r="Z397" s="9">
        <v>43668</v>
      </c>
      <c r="AA397" s="4">
        <v>77778.12</v>
      </c>
      <c r="AB397" s="4"/>
      <c r="AC397" s="34"/>
      <c r="AD397" s="36" t="s">
        <v>68</v>
      </c>
      <c r="AE397" s="119" t="s">
        <v>68</v>
      </c>
      <c r="AF397" s="119" t="s">
        <v>68</v>
      </c>
      <c r="AG397" s="7" t="s">
        <v>68</v>
      </c>
      <c r="AH397" s="116" t="s">
        <v>68</v>
      </c>
      <c r="AI397" s="180" t="s">
        <v>1308</v>
      </c>
      <c r="AJ397" s="71">
        <v>2019466</v>
      </c>
      <c r="AK397" s="5">
        <v>43693</v>
      </c>
      <c r="AL397" s="202" t="s">
        <v>1309</v>
      </c>
      <c r="AM397" s="5">
        <v>43694</v>
      </c>
      <c r="AN397" s="202" t="s">
        <v>1309</v>
      </c>
      <c r="AO397" s="5">
        <v>43694</v>
      </c>
      <c r="AP397" s="306">
        <f>19444.53+7777.81+7777.81</f>
        <v>35000.15</v>
      </c>
      <c r="AQ397" s="37">
        <v>0</v>
      </c>
      <c r="AR397" s="1032">
        <v>74815.27</v>
      </c>
      <c r="AS397" s="1027"/>
      <c r="AT397" s="68" t="s">
        <v>74</v>
      </c>
      <c r="AU397" s="12"/>
      <c r="AV397" s="243" t="s">
        <v>68</v>
      </c>
      <c r="AW397" s="54" t="s">
        <v>68</v>
      </c>
      <c r="AX397" s="78">
        <v>43742</v>
      </c>
      <c r="AY397" s="255">
        <v>43703</v>
      </c>
      <c r="AZ397" s="255">
        <v>43742</v>
      </c>
      <c r="BA397" s="245">
        <v>43740</v>
      </c>
      <c r="BB397" s="78">
        <v>43745</v>
      </c>
      <c r="BC397" s="344"/>
      <c r="BD397" s="5">
        <v>43703</v>
      </c>
      <c r="BE397" s="5">
        <v>43742</v>
      </c>
      <c r="BF397" s="5">
        <v>43740</v>
      </c>
      <c r="BG397" s="38">
        <v>74815.27</v>
      </c>
      <c r="BH397" s="216">
        <v>43746</v>
      </c>
      <c r="BI397" s="372">
        <v>43693</v>
      </c>
      <c r="BJ397" s="76">
        <v>43703</v>
      </c>
      <c r="BK397" s="76">
        <v>43703</v>
      </c>
      <c r="BL397" s="1054"/>
      <c r="BM397" s="1054"/>
      <c r="BN397" s="1054"/>
      <c r="BO397" s="1054"/>
      <c r="BP397" s="1054">
        <v>43711</v>
      </c>
      <c r="BQ397" s="372"/>
      <c r="BR397" s="372">
        <v>43732</v>
      </c>
      <c r="BS397" s="794" t="s">
        <v>68</v>
      </c>
      <c r="BT397" s="14"/>
      <c r="BU397" s="14"/>
      <c r="BV397" s="14"/>
      <c r="BW397" s="14"/>
      <c r="BX397" s="14"/>
      <c r="BY397" s="1433" t="s">
        <v>2098</v>
      </c>
      <c r="BZ397" s="40"/>
      <c r="CA397" s="582"/>
      <c r="CB397" s="582"/>
      <c r="CC397" s="582"/>
      <c r="CD397" s="582"/>
      <c r="CE397" s="582"/>
      <c r="CF397" s="582"/>
      <c r="CG397" s="582"/>
      <c r="CH397" s="16"/>
    </row>
    <row r="398" spans="1:86" ht="92.25" hidden="1" customHeight="1">
      <c r="A398" s="1214"/>
      <c r="B398" s="23"/>
      <c r="C398" s="23"/>
      <c r="D398" s="23"/>
      <c r="E398" s="1051">
        <v>43466</v>
      </c>
      <c r="F398" s="1051"/>
      <c r="G398" s="1055">
        <v>44011</v>
      </c>
      <c r="H398" s="365">
        <v>43777</v>
      </c>
      <c r="I398" s="182">
        <v>2019</v>
      </c>
      <c r="J398" s="1684">
        <v>196.16</v>
      </c>
      <c r="K398" s="183" t="s">
        <v>77</v>
      </c>
      <c r="L398" s="739" t="s">
        <v>1310</v>
      </c>
      <c r="M398" s="185" t="s">
        <v>79</v>
      </c>
      <c r="N398" s="186" t="s">
        <v>1311</v>
      </c>
      <c r="O398" s="186" t="s">
        <v>4458</v>
      </c>
      <c r="P398" s="187">
        <v>108744.95</v>
      </c>
      <c r="Q398" s="657">
        <v>43694</v>
      </c>
      <c r="R398" s="189">
        <v>43703</v>
      </c>
      <c r="S398" s="190">
        <v>43742</v>
      </c>
      <c r="T398" s="578">
        <v>43693</v>
      </c>
      <c r="U398" s="191" t="s">
        <v>1312</v>
      </c>
      <c r="V398" s="183" t="s">
        <v>3087</v>
      </c>
      <c r="W398" s="685">
        <v>43684</v>
      </c>
      <c r="X398" s="1625"/>
      <c r="Y398" s="180" t="s">
        <v>1313</v>
      </c>
      <c r="Z398" s="9">
        <v>43668</v>
      </c>
      <c r="AA398" s="4">
        <v>108744.95</v>
      </c>
      <c r="AB398" s="4"/>
      <c r="AC398" s="34"/>
      <c r="AD398" s="36" t="s">
        <v>68</v>
      </c>
      <c r="AE398" s="119" t="s">
        <v>68</v>
      </c>
      <c r="AF398" s="119" t="s">
        <v>68</v>
      </c>
      <c r="AG398" s="7" t="s">
        <v>68</v>
      </c>
      <c r="AH398" s="116" t="s">
        <v>68</v>
      </c>
      <c r="AI398" s="1145" t="s">
        <v>1314</v>
      </c>
      <c r="AJ398" s="71">
        <v>2019467</v>
      </c>
      <c r="AK398" s="5">
        <v>43693</v>
      </c>
      <c r="AL398" s="2" t="s">
        <v>1315</v>
      </c>
      <c r="AM398" s="5">
        <v>43694</v>
      </c>
      <c r="AN398" s="2" t="s">
        <v>1316</v>
      </c>
      <c r="AO398" s="5">
        <v>43742</v>
      </c>
      <c r="AP398" s="306">
        <f>27186.24+10874.49+10874.49</f>
        <v>48935.22</v>
      </c>
      <c r="AQ398" s="37">
        <v>0</v>
      </c>
      <c r="AR398" s="1031">
        <v>131515.03</v>
      </c>
      <c r="AS398" s="1027"/>
      <c r="AT398" s="68" t="s">
        <v>74</v>
      </c>
      <c r="AU398" s="12"/>
      <c r="AV398" s="243" t="s">
        <v>68</v>
      </c>
      <c r="AW398" s="54" t="s">
        <v>68</v>
      </c>
      <c r="AX398" s="32">
        <v>43742</v>
      </c>
      <c r="AY398" s="5">
        <v>43703</v>
      </c>
      <c r="AZ398" s="5">
        <v>43742</v>
      </c>
      <c r="BA398" s="5">
        <v>43740</v>
      </c>
      <c r="BB398" s="32">
        <v>43745</v>
      </c>
      <c r="BC398" s="341"/>
      <c r="BD398" s="5">
        <v>43703</v>
      </c>
      <c r="BE398" s="5">
        <v>43742</v>
      </c>
      <c r="BF398" s="5">
        <v>43740</v>
      </c>
      <c r="BG398" s="38">
        <f t="shared" ref="BG398:BG403" si="11">AQ398+AR398</f>
        <v>131515.03</v>
      </c>
      <c r="BH398" s="64">
        <v>43746</v>
      </c>
      <c r="BI398" s="1212">
        <v>43693</v>
      </c>
      <c r="BJ398" s="76">
        <v>43703</v>
      </c>
      <c r="BK398" s="76">
        <v>43703</v>
      </c>
      <c r="BL398" s="372"/>
      <c r="BM398" s="372"/>
      <c r="BN398" s="372"/>
      <c r="BO398" s="1054"/>
      <c r="BP398" s="1291" t="s">
        <v>74</v>
      </c>
      <c r="BQ398" s="1291"/>
      <c r="BR398" s="372">
        <v>43726</v>
      </c>
      <c r="BS398" s="794" t="s">
        <v>68</v>
      </c>
      <c r="BT398" s="14"/>
      <c r="BU398" s="14"/>
      <c r="BV398" s="14"/>
      <c r="BW398" s="14"/>
      <c r="BX398" s="14"/>
      <c r="BY398" s="1433" t="s">
        <v>2098</v>
      </c>
      <c r="BZ398" s="40"/>
      <c r="CA398" s="582"/>
      <c r="CB398" s="582"/>
      <c r="CC398" s="582"/>
      <c r="CD398" s="582"/>
      <c r="CE398" s="582"/>
      <c r="CF398" s="582"/>
      <c r="CG398" s="582"/>
      <c r="CH398" s="16"/>
    </row>
    <row r="399" spans="1:86" ht="96" hidden="1" customHeight="1">
      <c r="A399"/>
      <c r="B399" s="23"/>
      <c r="C399" s="23"/>
      <c r="D399" s="23"/>
      <c r="E399" s="1051">
        <v>44075</v>
      </c>
      <c r="F399" s="1051"/>
      <c r="G399" s="1055">
        <v>44011</v>
      </c>
      <c r="H399" s="365">
        <v>43837</v>
      </c>
      <c r="I399" s="182">
        <v>2019</v>
      </c>
      <c r="J399" s="1684">
        <v>196.17</v>
      </c>
      <c r="K399" s="183" t="s">
        <v>77</v>
      </c>
      <c r="L399" s="739" t="s">
        <v>1317</v>
      </c>
      <c r="M399" s="185" t="s">
        <v>79</v>
      </c>
      <c r="N399" s="186" t="s">
        <v>1318</v>
      </c>
      <c r="O399" s="186" t="s">
        <v>1979</v>
      </c>
      <c r="P399" s="187">
        <v>983216.32</v>
      </c>
      <c r="Q399" s="657">
        <v>43707</v>
      </c>
      <c r="R399" s="664">
        <v>43710</v>
      </c>
      <c r="S399" s="665">
        <v>43785</v>
      </c>
      <c r="T399" s="578">
        <v>43705</v>
      </c>
      <c r="U399" s="191" t="s">
        <v>1319</v>
      </c>
      <c r="V399" s="183" t="s">
        <v>449</v>
      </c>
      <c r="W399" s="1191">
        <v>43684</v>
      </c>
      <c r="X399" s="1632"/>
      <c r="Y399" s="180" t="s">
        <v>1320</v>
      </c>
      <c r="Z399" s="9">
        <v>43704</v>
      </c>
      <c r="AA399" s="4">
        <v>983216.32</v>
      </c>
      <c r="AB399" s="4"/>
      <c r="AC399" s="34"/>
      <c r="AD399" s="36" t="s">
        <v>68</v>
      </c>
      <c r="AE399" s="119" t="s">
        <v>68</v>
      </c>
      <c r="AF399" s="119" t="s">
        <v>68</v>
      </c>
      <c r="AG399" s="7" t="s">
        <v>68</v>
      </c>
      <c r="AH399" s="116" t="s">
        <v>68</v>
      </c>
      <c r="AI399" s="491" t="s">
        <v>1321</v>
      </c>
      <c r="AJ399" s="71">
        <v>2354441</v>
      </c>
      <c r="AK399" s="255">
        <v>43726</v>
      </c>
      <c r="AL399" s="71">
        <v>2353555</v>
      </c>
      <c r="AM399" s="5">
        <v>43721</v>
      </c>
      <c r="AN399" s="379">
        <v>2353905</v>
      </c>
      <c r="AO399" s="5">
        <v>43725</v>
      </c>
      <c r="AP399" s="306">
        <f>245804.08+98321.63+98321.63</f>
        <v>442447.33999999997</v>
      </c>
      <c r="AQ399" s="37">
        <v>0</v>
      </c>
      <c r="AR399" s="1032">
        <v>997930.57</v>
      </c>
      <c r="AS399" s="1027"/>
      <c r="AT399" s="68" t="s">
        <v>74</v>
      </c>
      <c r="AU399" s="12"/>
      <c r="AV399" s="243" t="s">
        <v>68</v>
      </c>
      <c r="AW399" s="54" t="s">
        <v>68</v>
      </c>
      <c r="AX399" s="359">
        <v>43801</v>
      </c>
      <c r="AY399" s="5">
        <v>43710</v>
      </c>
      <c r="AZ399" s="5">
        <v>43785</v>
      </c>
      <c r="BA399" s="12">
        <v>43799</v>
      </c>
      <c r="BB399" s="359">
        <v>43801</v>
      </c>
      <c r="BC399" s="1951"/>
      <c r="BD399" s="5">
        <v>43710</v>
      </c>
      <c r="BE399" s="5">
        <v>43785</v>
      </c>
      <c r="BF399" s="5">
        <v>43799</v>
      </c>
      <c r="BG399" s="38">
        <f t="shared" si="11"/>
        <v>997930.57</v>
      </c>
      <c r="BH399" s="1209">
        <v>43801</v>
      </c>
      <c r="BI399" s="1212">
        <v>43707</v>
      </c>
      <c r="BJ399" s="793" t="s">
        <v>74</v>
      </c>
      <c r="BK399" s="793" t="s">
        <v>74</v>
      </c>
      <c r="BL399" s="793"/>
      <c r="BM399" s="793"/>
      <c r="BN399" s="793"/>
      <c r="BO399" s="1054"/>
      <c r="BP399" s="793" t="s">
        <v>74</v>
      </c>
      <c r="BQ399" s="1291"/>
      <c r="BR399" s="794"/>
      <c r="BS399" s="794" t="s">
        <v>68</v>
      </c>
      <c r="BT399" s="14"/>
      <c r="BU399" s="14" t="s">
        <v>1212</v>
      </c>
      <c r="BV399" s="14"/>
      <c r="BW399" s="14"/>
      <c r="BX399" s="14"/>
      <c r="BY399" s="1433" t="s">
        <v>2098</v>
      </c>
      <c r="BZ399" s="40"/>
      <c r="CA399" s="582"/>
      <c r="CB399" s="582"/>
      <c r="CC399" s="582"/>
      <c r="CD399" s="582"/>
      <c r="CE399" s="582"/>
      <c r="CF399" s="582"/>
      <c r="CG399" s="582"/>
      <c r="CH399" s="16"/>
    </row>
    <row r="400" spans="1:86" ht="99" hidden="1" customHeight="1">
      <c r="A400"/>
      <c r="B400" s="23"/>
      <c r="C400" s="23"/>
      <c r="D400" s="23"/>
      <c r="E400" s="1051">
        <v>44075</v>
      </c>
      <c r="F400" s="1051"/>
      <c r="G400" s="1055">
        <v>44008</v>
      </c>
      <c r="H400" s="365">
        <v>43837</v>
      </c>
      <c r="I400" s="182">
        <v>2019</v>
      </c>
      <c r="J400" s="1684">
        <v>196.18</v>
      </c>
      <c r="K400" s="183" t="s">
        <v>77</v>
      </c>
      <c r="L400" s="734" t="s">
        <v>1322</v>
      </c>
      <c r="M400" s="185" t="s">
        <v>79</v>
      </c>
      <c r="N400" s="495" t="s">
        <v>1323</v>
      </c>
      <c r="O400" s="495" t="s">
        <v>1979</v>
      </c>
      <c r="P400" s="661">
        <v>872749.01</v>
      </c>
      <c r="Q400" s="657">
        <v>43707</v>
      </c>
      <c r="R400" s="664">
        <v>43710</v>
      </c>
      <c r="S400" s="665">
        <v>43785</v>
      </c>
      <c r="T400" s="578">
        <v>43705</v>
      </c>
      <c r="U400" s="739" t="s">
        <v>1319</v>
      </c>
      <c r="V400" s="183" t="s">
        <v>449</v>
      </c>
      <c r="W400" s="688">
        <v>43684</v>
      </c>
      <c r="X400" s="1624"/>
      <c r="Y400" s="180" t="s">
        <v>1324</v>
      </c>
      <c r="Z400" s="9">
        <v>43704</v>
      </c>
      <c r="AA400" s="4">
        <v>872749.01</v>
      </c>
      <c r="AB400" s="4"/>
      <c r="AC400" s="34"/>
      <c r="AD400" s="36" t="s">
        <v>68</v>
      </c>
      <c r="AE400" s="119" t="s">
        <v>68</v>
      </c>
      <c r="AF400" s="119" t="s">
        <v>68</v>
      </c>
      <c r="AG400" s="7" t="s">
        <v>68</v>
      </c>
      <c r="AH400" s="116" t="s">
        <v>68</v>
      </c>
      <c r="AI400" s="180" t="s">
        <v>1321</v>
      </c>
      <c r="AJ400" s="71">
        <v>2354410</v>
      </c>
      <c r="AK400" s="5">
        <v>43726</v>
      </c>
      <c r="AL400" s="1">
        <v>2353563</v>
      </c>
      <c r="AM400" s="5">
        <v>43721</v>
      </c>
      <c r="AN400" s="379">
        <v>2353933</v>
      </c>
      <c r="AO400" s="5">
        <v>43725</v>
      </c>
      <c r="AP400" s="306">
        <f>218187.25+87274.9+87274.9</f>
        <v>392737.05000000005</v>
      </c>
      <c r="AQ400" s="37">
        <v>0</v>
      </c>
      <c r="AR400" s="1031">
        <v>911481</v>
      </c>
      <c r="AS400" s="1027"/>
      <c r="AT400" s="68" t="s">
        <v>74</v>
      </c>
      <c r="AU400" s="12"/>
      <c r="AV400" s="243" t="s">
        <v>68</v>
      </c>
      <c r="AW400" s="54" t="s">
        <v>68</v>
      </c>
      <c r="AX400" s="359">
        <v>43811</v>
      </c>
      <c r="AY400" s="5">
        <v>43710</v>
      </c>
      <c r="AZ400" s="5">
        <v>43785</v>
      </c>
      <c r="BA400" s="12">
        <v>43810</v>
      </c>
      <c r="BB400" s="359">
        <v>43811</v>
      </c>
      <c r="BC400" s="1951"/>
      <c r="BD400" s="5">
        <v>43710</v>
      </c>
      <c r="BE400" s="5">
        <v>43785</v>
      </c>
      <c r="BF400" s="5">
        <v>43810</v>
      </c>
      <c r="BG400" s="38">
        <f t="shared" si="11"/>
        <v>911481</v>
      </c>
      <c r="BH400" s="1209">
        <v>43811</v>
      </c>
      <c r="BI400" s="1212">
        <v>43707</v>
      </c>
      <c r="BJ400" s="793" t="s">
        <v>74</v>
      </c>
      <c r="BK400" s="793" t="s">
        <v>74</v>
      </c>
      <c r="BL400" s="793"/>
      <c r="BM400" s="793"/>
      <c r="BN400" s="793"/>
      <c r="BO400" s="1054"/>
      <c r="BP400" s="689">
        <v>43784</v>
      </c>
      <c r="BQ400" s="1476"/>
      <c r="BR400" s="794"/>
      <c r="BS400" s="794" t="s">
        <v>68</v>
      </c>
      <c r="BT400" s="14"/>
      <c r="BU400" s="14" t="s">
        <v>1212</v>
      </c>
      <c r="BV400" s="14"/>
      <c r="BW400" s="14"/>
      <c r="BX400" s="14"/>
      <c r="BY400" s="1433" t="s">
        <v>2098</v>
      </c>
      <c r="BZ400" s="40"/>
      <c r="CA400" s="582"/>
      <c r="CB400" s="582"/>
      <c r="CC400" s="582"/>
      <c r="CD400" s="582"/>
      <c r="CE400" s="582"/>
      <c r="CF400" s="582"/>
      <c r="CG400" s="582"/>
      <c r="CH400" s="16"/>
    </row>
    <row r="401" spans="2:86" customFormat="1" ht="96" hidden="1" customHeight="1">
      <c r="B401" s="23"/>
      <c r="C401" s="23"/>
      <c r="D401" s="23"/>
      <c r="E401" s="1051">
        <v>44075</v>
      </c>
      <c r="F401" s="1051"/>
      <c r="G401" s="1055">
        <v>44011</v>
      </c>
      <c r="H401" s="365">
        <v>43777</v>
      </c>
      <c r="I401" s="182">
        <v>2019</v>
      </c>
      <c r="J401" s="1684">
        <v>196.191</v>
      </c>
      <c r="K401" s="183" t="s">
        <v>77</v>
      </c>
      <c r="L401" s="739" t="s">
        <v>1325</v>
      </c>
      <c r="M401" s="185" t="s">
        <v>79</v>
      </c>
      <c r="N401" s="186" t="s">
        <v>1326</v>
      </c>
      <c r="O401" s="186" t="s">
        <v>4458</v>
      </c>
      <c r="P401" s="187">
        <v>99707.9</v>
      </c>
      <c r="Q401" s="598">
        <v>43707</v>
      </c>
      <c r="R401" s="1146">
        <v>43710</v>
      </c>
      <c r="S401" s="1147">
        <v>43731</v>
      </c>
      <c r="T401" s="1148">
        <v>43705</v>
      </c>
      <c r="U401" s="191" t="s">
        <v>1302</v>
      </c>
      <c r="V401" s="183" t="s">
        <v>3087</v>
      </c>
      <c r="W401" s="685">
        <v>43710</v>
      </c>
      <c r="X401" s="1625"/>
      <c r="Y401" s="266" t="s">
        <v>1327</v>
      </c>
      <c r="Z401" s="9">
        <v>43704</v>
      </c>
      <c r="AA401" s="187">
        <v>99707.04</v>
      </c>
      <c r="AB401" s="4"/>
      <c r="AC401" s="34"/>
      <c r="AD401" s="36" t="s">
        <v>68</v>
      </c>
      <c r="AE401" s="119" t="s">
        <v>68</v>
      </c>
      <c r="AF401" s="119" t="s">
        <v>68</v>
      </c>
      <c r="AG401" s="7" t="s">
        <v>68</v>
      </c>
      <c r="AH401" s="116" t="s">
        <v>68</v>
      </c>
      <c r="AI401" s="35" t="s">
        <v>1289</v>
      </c>
      <c r="AJ401" s="1" t="s">
        <v>68</v>
      </c>
      <c r="AK401" s="5"/>
      <c r="AL401" s="1">
        <v>19244</v>
      </c>
      <c r="AM401" s="5">
        <v>43707</v>
      </c>
      <c r="AN401" s="1">
        <v>19270</v>
      </c>
      <c r="AO401" s="5">
        <v>43731</v>
      </c>
      <c r="AP401" s="306">
        <f>21789.66*2</f>
        <v>43579.32</v>
      </c>
      <c r="AQ401" s="37"/>
      <c r="AR401" s="1031">
        <v>99707.9</v>
      </c>
      <c r="AS401" s="1027"/>
      <c r="AT401" s="68" t="s">
        <v>74</v>
      </c>
      <c r="AU401" s="12"/>
      <c r="AV401" s="243" t="s">
        <v>68</v>
      </c>
      <c r="AW401" s="54" t="s">
        <v>68</v>
      </c>
      <c r="AX401" s="32">
        <v>43734</v>
      </c>
      <c r="AY401" s="5">
        <v>43710</v>
      </c>
      <c r="AZ401" s="5">
        <v>43731</v>
      </c>
      <c r="BA401" s="12" t="s">
        <v>68</v>
      </c>
      <c r="BB401" s="32">
        <v>43735</v>
      </c>
      <c r="BC401" s="341"/>
      <c r="BD401" s="5">
        <v>43710</v>
      </c>
      <c r="BE401" s="5">
        <v>43731</v>
      </c>
      <c r="BF401" s="5">
        <v>43731</v>
      </c>
      <c r="BG401" s="38">
        <f t="shared" si="11"/>
        <v>99707.9</v>
      </c>
      <c r="BH401" s="64">
        <v>43735</v>
      </c>
      <c r="BI401" s="1212">
        <v>44072</v>
      </c>
      <c r="BJ401" s="76">
        <v>43710</v>
      </c>
      <c r="BK401" s="76">
        <v>43710</v>
      </c>
      <c r="BL401" s="372"/>
      <c r="BM401" s="372"/>
      <c r="BN401" s="372"/>
      <c r="BO401" s="1054"/>
      <c r="BP401" s="1291" t="s">
        <v>74</v>
      </c>
      <c r="BQ401" s="1291"/>
      <c r="BR401" s="372">
        <v>43726</v>
      </c>
      <c r="BS401" s="794" t="s">
        <v>68</v>
      </c>
      <c r="BT401" s="14"/>
      <c r="BU401" s="14"/>
      <c r="BV401" s="14"/>
      <c r="BW401" s="14"/>
      <c r="BX401" s="14"/>
      <c r="BY401" s="1433" t="s">
        <v>2098</v>
      </c>
      <c r="BZ401" s="40"/>
      <c r="CA401" s="582"/>
      <c r="CB401" s="582"/>
      <c r="CC401" s="582"/>
      <c r="CD401" s="582"/>
      <c r="CE401" s="582"/>
      <c r="CF401" s="582"/>
      <c r="CG401" s="582"/>
      <c r="CH401" s="16"/>
    </row>
    <row r="402" spans="2:86" customFormat="1" ht="85.5" hidden="1" customHeight="1">
      <c r="B402" s="23"/>
      <c r="C402" s="23"/>
      <c r="D402" s="23"/>
      <c r="E402" s="1051">
        <v>44075</v>
      </c>
      <c r="F402" s="1051"/>
      <c r="G402" s="1055">
        <v>44011</v>
      </c>
      <c r="H402" s="365">
        <v>43777</v>
      </c>
      <c r="I402" s="182">
        <v>2019</v>
      </c>
      <c r="J402" s="1684">
        <v>196.19200000000001</v>
      </c>
      <c r="K402" s="183" t="s">
        <v>77</v>
      </c>
      <c r="L402" s="739" t="s">
        <v>1325</v>
      </c>
      <c r="M402" s="185" t="s">
        <v>79</v>
      </c>
      <c r="N402" s="186" t="s">
        <v>1328</v>
      </c>
      <c r="O402" s="186" t="s">
        <v>4458</v>
      </c>
      <c r="P402" s="187">
        <v>118188.71</v>
      </c>
      <c r="Q402" s="598">
        <v>43707</v>
      </c>
      <c r="R402" s="1146">
        <v>43710</v>
      </c>
      <c r="S402" s="1147">
        <v>43731</v>
      </c>
      <c r="T402" s="1148">
        <v>43705</v>
      </c>
      <c r="U402" s="191" t="s">
        <v>1302</v>
      </c>
      <c r="V402" s="183" t="s">
        <v>3087</v>
      </c>
      <c r="W402" s="685">
        <v>43710</v>
      </c>
      <c r="X402" s="1625"/>
      <c r="Y402" s="266" t="s">
        <v>1329</v>
      </c>
      <c r="Z402" s="9">
        <v>43704</v>
      </c>
      <c r="AA402" s="187">
        <v>118188.7</v>
      </c>
      <c r="AB402" s="4"/>
      <c r="AC402" s="34" t="s">
        <v>68</v>
      </c>
      <c r="AD402" s="36"/>
      <c r="AE402" s="119"/>
      <c r="AF402" s="119"/>
      <c r="AG402" s="7"/>
      <c r="AH402" s="116"/>
      <c r="AI402" s="35" t="s">
        <v>1289</v>
      </c>
      <c r="AJ402" s="1" t="s">
        <v>68</v>
      </c>
      <c r="AK402" s="5"/>
      <c r="AL402" s="1">
        <v>19244</v>
      </c>
      <c r="AM402" s="5">
        <v>43707</v>
      </c>
      <c r="AN402" s="1">
        <v>19270</v>
      </c>
      <c r="AO402" s="5">
        <v>43731</v>
      </c>
      <c r="AP402" s="306">
        <f>21789.66*2</f>
        <v>43579.32</v>
      </c>
      <c r="AQ402" s="37">
        <v>0</v>
      </c>
      <c r="AR402" s="1031">
        <v>130875.44</v>
      </c>
      <c r="AS402" s="1027"/>
      <c r="AT402" s="68" t="s">
        <v>74</v>
      </c>
      <c r="AU402" s="12"/>
      <c r="AV402" s="243" t="s">
        <v>68</v>
      </c>
      <c r="AW402" s="54" t="s">
        <v>68</v>
      </c>
      <c r="AX402" s="32">
        <v>43734</v>
      </c>
      <c r="AY402" s="5">
        <v>43710</v>
      </c>
      <c r="AZ402" s="5">
        <v>43731</v>
      </c>
      <c r="BA402" s="12" t="s">
        <v>68</v>
      </c>
      <c r="BB402" s="32">
        <v>43735</v>
      </c>
      <c r="BC402" s="341"/>
      <c r="BD402" s="5">
        <v>43710</v>
      </c>
      <c r="BE402" s="5">
        <v>43731</v>
      </c>
      <c r="BF402" s="5">
        <v>43731</v>
      </c>
      <c r="BG402" s="38">
        <f t="shared" si="11"/>
        <v>130875.44</v>
      </c>
      <c r="BH402" s="64">
        <v>43735</v>
      </c>
      <c r="BI402" s="1212">
        <v>44072</v>
      </c>
      <c r="BJ402" s="76">
        <v>43710</v>
      </c>
      <c r="BK402" s="76">
        <v>43710</v>
      </c>
      <c r="BL402" s="372"/>
      <c r="BM402" s="372"/>
      <c r="BN402" s="372"/>
      <c r="BO402" s="1054"/>
      <c r="BP402" s="1291" t="s">
        <v>74</v>
      </c>
      <c r="BQ402" s="1291"/>
      <c r="BR402" s="372">
        <v>43726</v>
      </c>
      <c r="BS402" s="794" t="s">
        <v>68</v>
      </c>
      <c r="BT402" s="14"/>
      <c r="BU402" s="14"/>
      <c r="BV402" s="14"/>
      <c r="BW402" s="14"/>
      <c r="BX402" s="14"/>
      <c r="BY402" s="1433" t="s">
        <v>2098</v>
      </c>
      <c r="BZ402" s="40"/>
      <c r="CA402" s="582"/>
      <c r="CB402" s="582"/>
      <c r="CC402" s="582"/>
      <c r="CD402" s="582"/>
      <c r="CE402" s="582"/>
      <c r="CF402" s="582"/>
      <c r="CG402" s="582"/>
      <c r="CH402" s="16"/>
    </row>
    <row r="403" spans="2:86" customFormat="1" ht="93.75" hidden="1" customHeight="1">
      <c r="B403" s="23"/>
      <c r="C403" s="23"/>
      <c r="D403" s="23"/>
      <c r="E403" s="1051">
        <v>44075</v>
      </c>
      <c r="F403" s="1051"/>
      <c r="G403" s="1055">
        <v>44008</v>
      </c>
      <c r="H403" s="365">
        <v>43777</v>
      </c>
      <c r="I403" s="182">
        <v>2019</v>
      </c>
      <c r="J403" s="1684">
        <v>196.2</v>
      </c>
      <c r="K403" s="716" t="s">
        <v>77</v>
      </c>
      <c r="L403" s="739" t="s">
        <v>1330</v>
      </c>
      <c r="M403" s="663" t="s">
        <v>79</v>
      </c>
      <c r="N403" s="495" t="s">
        <v>1331</v>
      </c>
      <c r="O403" s="495" t="s">
        <v>4458</v>
      </c>
      <c r="P403" s="661">
        <v>104942</v>
      </c>
      <c r="Q403" s="657">
        <v>43740</v>
      </c>
      <c r="R403" s="664">
        <v>43741</v>
      </c>
      <c r="S403" s="665">
        <v>43768</v>
      </c>
      <c r="T403" s="578">
        <v>43739</v>
      </c>
      <c r="U403" s="191" t="s">
        <v>1302</v>
      </c>
      <c r="V403" s="183" t="s">
        <v>3087</v>
      </c>
      <c r="W403" s="685">
        <v>43738</v>
      </c>
      <c r="X403" s="1625"/>
      <c r="Y403" s="35" t="s">
        <v>1332</v>
      </c>
      <c r="Z403" s="9">
        <v>43704</v>
      </c>
      <c r="AA403" s="4">
        <v>107172.54</v>
      </c>
      <c r="AB403" s="4"/>
      <c r="AC403" s="34"/>
      <c r="AD403" s="36" t="s">
        <v>68</v>
      </c>
      <c r="AE403" s="119" t="s">
        <v>68</v>
      </c>
      <c r="AF403" s="119" t="s">
        <v>68</v>
      </c>
      <c r="AG403" s="7" t="s">
        <v>68</v>
      </c>
      <c r="AH403" s="116" t="s">
        <v>68</v>
      </c>
      <c r="AI403" s="35" t="s">
        <v>1289</v>
      </c>
      <c r="AJ403" s="1" t="s">
        <v>68</v>
      </c>
      <c r="AK403" s="5"/>
      <c r="AL403" s="1">
        <v>190489</v>
      </c>
      <c r="AM403" s="5">
        <v>43741</v>
      </c>
      <c r="AN403" s="1">
        <v>190522</v>
      </c>
      <c r="AO403" s="5">
        <v>43754</v>
      </c>
      <c r="AP403" s="306">
        <f>10494.2*2</f>
        <v>20988.400000000001</v>
      </c>
      <c r="AQ403" s="37">
        <v>0</v>
      </c>
      <c r="AR403" s="1032">
        <v>104942</v>
      </c>
      <c r="AS403" s="1027"/>
      <c r="AT403" s="68" t="s">
        <v>74</v>
      </c>
      <c r="AU403" s="12"/>
      <c r="AV403" s="243" t="s">
        <v>68</v>
      </c>
      <c r="AW403" s="54" t="s">
        <v>68</v>
      </c>
      <c r="AX403" s="32">
        <v>43754</v>
      </c>
      <c r="AY403" s="5">
        <v>43741</v>
      </c>
      <c r="AZ403" s="5">
        <v>43768</v>
      </c>
      <c r="BA403" s="5">
        <v>43768</v>
      </c>
      <c r="BB403" s="32">
        <v>43755</v>
      </c>
      <c r="BC403" s="341"/>
      <c r="BD403" s="5">
        <v>43741</v>
      </c>
      <c r="BE403" s="5">
        <v>43768</v>
      </c>
      <c r="BF403" s="5">
        <v>43754</v>
      </c>
      <c r="BG403" s="38">
        <f t="shared" si="11"/>
        <v>104942</v>
      </c>
      <c r="BH403" s="64">
        <v>43755</v>
      </c>
      <c r="BI403" s="1212">
        <v>43706</v>
      </c>
      <c r="BJ403" s="76">
        <v>43740</v>
      </c>
      <c r="BK403" s="76">
        <v>43740</v>
      </c>
      <c r="BL403" s="76"/>
      <c r="BM403" s="76"/>
      <c r="BN403" s="76"/>
      <c r="BO403" s="1054"/>
      <c r="BP403" s="76">
        <v>43752</v>
      </c>
      <c r="BQ403" s="372"/>
      <c r="BR403" s="372" t="s">
        <v>68</v>
      </c>
      <c r="BS403" s="372" t="s">
        <v>68</v>
      </c>
      <c r="BT403" s="14"/>
      <c r="BU403" s="14"/>
      <c r="BV403" s="14"/>
      <c r="BW403" s="14"/>
      <c r="BX403" s="14"/>
      <c r="BY403" s="1433" t="s">
        <v>2098</v>
      </c>
      <c r="BZ403" s="40"/>
      <c r="CA403" s="582"/>
      <c r="CB403" s="582"/>
      <c r="CC403" s="582"/>
      <c r="CD403" s="582"/>
      <c r="CE403" s="582"/>
      <c r="CF403" s="582"/>
      <c r="CG403" s="582"/>
      <c r="CH403" s="16"/>
    </row>
    <row r="404" spans="2:86" customFormat="1" ht="82.5" hidden="1" customHeight="1">
      <c r="B404" s="23"/>
      <c r="C404" s="23"/>
      <c r="D404" s="23"/>
      <c r="E404" s="1051">
        <v>44075</v>
      </c>
      <c r="F404" s="1051"/>
      <c r="G404" s="1055">
        <v>44008</v>
      </c>
      <c r="H404" s="365">
        <v>43777</v>
      </c>
      <c r="I404" s="182">
        <v>2019</v>
      </c>
      <c r="J404" s="1684">
        <v>196.21</v>
      </c>
      <c r="K404" s="716" t="s">
        <v>77</v>
      </c>
      <c r="L404" s="739" t="s">
        <v>1333</v>
      </c>
      <c r="M404" s="663" t="s">
        <v>79</v>
      </c>
      <c r="N404" s="495" t="s">
        <v>1334</v>
      </c>
      <c r="O404" s="495" t="s">
        <v>4458</v>
      </c>
      <c r="P404" s="661">
        <v>124713.47</v>
      </c>
      <c r="Q404" s="657">
        <v>43740</v>
      </c>
      <c r="R404" s="664">
        <v>43741</v>
      </c>
      <c r="S404" s="665">
        <v>43768</v>
      </c>
      <c r="T404" s="578">
        <v>43739</v>
      </c>
      <c r="U404" s="191" t="s">
        <v>1302</v>
      </c>
      <c r="V404" s="183" t="s">
        <v>3087</v>
      </c>
      <c r="W404" s="685">
        <v>43738</v>
      </c>
      <c r="X404" s="1625"/>
      <c r="Y404" s="35" t="s">
        <v>1335</v>
      </c>
      <c r="Z404" s="9">
        <v>43704</v>
      </c>
      <c r="AA404" s="4">
        <v>149693.72</v>
      </c>
      <c r="AB404" s="4"/>
      <c r="AC404" s="34"/>
      <c r="AD404" s="36" t="s">
        <v>68</v>
      </c>
      <c r="AE404" s="119" t="s">
        <v>68</v>
      </c>
      <c r="AF404" s="119" t="s">
        <v>68</v>
      </c>
      <c r="AG404" s="7" t="s">
        <v>68</v>
      </c>
      <c r="AH404" s="116" t="s">
        <v>68</v>
      </c>
      <c r="AI404" s="35" t="s">
        <v>1289</v>
      </c>
      <c r="AJ404" s="1" t="s">
        <v>68</v>
      </c>
      <c r="AK404" s="5"/>
      <c r="AL404" s="1">
        <v>190488</v>
      </c>
      <c r="AM404" s="5">
        <v>43741</v>
      </c>
      <c r="AN404" s="1">
        <v>190521</v>
      </c>
      <c r="AO404" s="5">
        <v>43754</v>
      </c>
      <c r="AP404" s="306">
        <f>12471.34+40065.01</f>
        <v>52536.350000000006</v>
      </c>
      <c r="AQ404" s="37">
        <v>0</v>
      </c>
      <c r="AR404" s="1032">
        <v>132810.69</v>
      </c>
      <c r="AS404" s="1027"/>
      <c r="AT404" s="68" t="s">
        <v>74</v>
      </c>
      <c r="AU404" s="12"/>
      <c r="AV404" s="243" t="s">
        <v>68</v>
      </c>
      <c r="AW404" s="54" t="s">
        <v>68</v>
      </c>
      <c r="AX404" s="32">
        <v>43754</v>
      </c>
      <c r="AY404" s="5">
        <v>43741</v>
      </c>
      <c r="AZ404" s="5">
        <v>43768</v>
      </c>
      <c r="BA404" s="5">
        <v>43754</v>
      </c>
      <c r="BB404" s="32">
        <v>43755</v>
      </c>
      <c r="BC404" s="341"/>
      <c r="BD404" s="5">
        <v>43741</v>
      </c>
      <c r="BE404" s="5">
        <v>43768</v>
      </c>
      <c r="BF404" s="5">
        <v>43754</v>
      </c>
      <c r="BG404" s="38">
        <f>AQ404+AR404+0.01</f>
        <v>132810.70000000001</v>
      </c>
      <c r="BH404" s="64">
        <v>43755</v>
      </c>
      <c r="BI404" s="1212">
        <v>43706</v>
      </c>
      <c r="BJ404" s="76">
        <v>43741</v>
      </c>
      <c r="BK404" s="76">
        <v>43741</v>
      </c>
      <c r="BL404" s="76"/>
      <c r="BM404" s="76"/>
      <c r="BN404" s="76"/>
      <c r="BO404" s="1054"/>
      <c r="BP404" s="76">
        <v>43752</v>
      </c>
      <c r="BQ404" s="372"/>
      <c r="BR404" s="372">
        <v>43745</v>
      </c>
      <c r="BS404" s="372" t="s">
        <v>68</v>
      </c>
      <c r="BT404" s="14"/>
      <c r="BU404" s="14"/>
      <c r="BV404" s="14"/>
      <c r="BW404" s="14"/>
      <c r="BX404" s="14"/>
      <c r="BY404" s="1433" t="s">
        <v>2098</v>
      </c>
      <c r="BZ404" s="40"/>
      <c r="CA404" s="582"/>
      <c r="CB404" s="582"/>
      <c r="CC404" s="582"/>
      <c r="CD404" s="582"/>
      <c r="CE404" s="582"/>
      <c r="CF404" s="582"/>
      <c r="CG404" s="582"/>
      <c r="CH404" s="16"/>
    </row>
    <row r="405" spans="2:86" s="1241" customFormat="1" ht="90.75" hidden="1" customHeight="1">
      <c r="B405" s="1242"/>
      <c r="C405" s="610"/>
      <c r="D405" s="610"/>
      <c r="E405" s="1243"/>
      <c r="F405" s="1243"/>
      <c r="G405" s="610"/>
      <c r="H405" s="700"/>
      <c r="I405" s="1244">
        <v>2019</v>
      </c>
      <c r="J405" s="1683">
        <v>196.22</v>
      </c>
      <c r="K405" s="1245" t="s">
        <v>1151</v>
      </c>
      <c r="L405" s="1246" t="s">
        <v>1336</v>
      </c>
      <c r="M405" s="904" t="s">
        <v>251</v>
      </c>
      <c r="N405" s="1247" t="s">
        <v>1337</v>
      </c>
      <c r="O405" s="1247"/>
      <c r="P405" s="1248">
        <v>1688433.48</v>
      </c>
      <c r="Q405" s="1249">
        <v>43709</v>
      </c>
      <c r="R405" s="1250">
        <v>43710</v>
      </c>
      <c r="S405" s="1251">
        <v>43785</v>
      </c>
      <c r="T405" s="1252"/>
      <c r="U405" s="1246" t="s">
        <v>1338</v>
      </c>
      <c r="V405" s="1245" t="s">
        <v>213</v>
      </c>
      <c r="W405" s="1253" t="s">
        <v>68</v>
      </c>
      <c r="X405" s="1630"/>
      <c r="Y405" s="340" t="s">
        <v>1154</v>
      </c>
      <c r="Z405" s="1254">
        <v>43722</v>
      </c>
      <c r="AA405" s="1255">
        <v>4496816.92</v>
      </c>
      <c r="AB405" s="1255"/>
      <c r="AC405" s="1256"/>
      <c r="AD405" s="1257" t="s">
        <v>68</v>
      </c>
      <c r="AE405" s="1258" t="s">
        <v>68</v>
      </c>
      <c r="AF405" s="1258" t="s">
        <v>68</v>
      </c>
      <c r="AG405" s="1259" t="s">
        <v>68</v>
      </c>
      <c r="AH405" s="1260" t="s">
        <v>68</v>
      </c>
      <c r="AI405" s="340"/>
      <c r="AJ405" s="1261"/>
      <c r="AK405" s="1262"/>
      <c r="AL405" s="1261"/>
      <c r="AM405" s="1262"/>
      <c r="AN405" s="1261"/>
      <c r="AO405" s="1262"/>
      <c r="AP405" s="1263"/>
      <c r="AQ405" s="1264">
        <v>0</v>
      </c>
      <c r="AR405" s="1265"/>
      <c r="AS405" s="1266"/>
      <c r="AT405" s="1267"/>
      <c r="AU405" s="1268"/>
      <c r="AV405" s="1269"/>
      <c r="AW405" s="1270"/>
      <c r="AX405" s="1267"/>
      <c r="AY405" s="1262"/>
      <c r="AZ405" s="1262"/>
      <c r="BA405" s="1268"/>
      <c r="BB405" s="1267"/>
      <c r="BC405" s="1944"/>
      <c r="BD405" s="1262"/>
      <c r="BE405" s="1262"/>
      <c r="BF405" s="1262"/>
      <c r="BG405" s="1272">
        <f t="shared" ref="BG405:BG419" si="12">AQ405+AR405</f>
        <v>0</v>
      </c>
      <c r="BH405" s="1273"/>
      <c r="BI405" s="1753" t="s">
        <v>68</v>
      </c>
      <c r="BJ405" s="1754" t="s">
        <v>68</v>
      </c>
      <c r="BK405" s="1754" t="s">
        <v>68</v>
      </c>
      <c r="BL405" s="1753"/>
      <c r="BM405" s="1753"/>
      <c r="BN405" s="1753"/>
      <c r="BO405" s="1054"/>
      <c r="BP405" s="1753"/>
      <c r="BQ405" s="1753"/>
      <c r="BR405" s="1753"/>
      <c r="BS405" s="1753" t="s">
        <v>68</v>
      </c>
      <c r="BT405" s="1273"/>
      <c r="BU405" s="1273"/>
      <c r="BV405" s="1273"/>
      <c r="BW405" s="1273"/>
      <c r="BX405" s="1273"/>
      <c r="BY405" s="1769" t="s">
        <v>2098</v>
      </c>
      <c r="BZ405" s="1276"/>
      <c r="CA405" s="903"/>
      <c r="CB405" s="903"/>
      <c r="CC405" s="903"/>
      <c r="CD405" s="903"/>
      <c r="CE405" s="903"/>
      <c r="CF405" s="903"/>
      <c r="CG405" s="903"/>
      <c r="CH405" s="1277"/>
    </row>
    <row r="406" spans="2:86" customFormat="1" ht="69.75" hidden="1" customHeight="1">
      <c r="B406" s="23"/>
      <c r="C406" s="1719">
        <v>44298</v>
      </c>
      <c r="D406" s="1719"/>
      <c r="E406" s="1051">
        <v>44075</v>
      </c>
      <c r="F406" s="1051"/>
      <c r="G406" s="1055">
        <v>44015</v>
      </c>
      <c r="H406" s="365">
        <v>43837</v>
      </c>
      <c r="I406" s="182">
        <v>2019</v>
      </c>
      <c r="J406" s="1684">
        <v>196.23</v>
      </c>
      <c r="K406" s="716" t="s">
        <v>1151</v>
      </c>
      <c r="L406" s="739" t="s">
        <v>1339</v>
      </c>
      <c r="M406" s="185" t="s">
        <v>79</v>
      </c>
      <c r="N406" s="662" t="s">
        <v>1340</v>
      </c>
      <c r="O406" s="662" t="s">
        <v>1979</v>
      </c>
      <c r="P406" s="661">
        <v>1393906.05</v>
      </c>
      <c r="Q406" s="657">
        <v>43755</v>
      </c>
      <c r="R406" s="664">
        <v>43759</v>
      </c>
      <c r="S406" s="665">
        <v>43830</v>
      </c>
      <c r="T406" s="578">
        <v>43754</v>
      </c>
      <c r="U406" s="739" t="s">
        <v>1341</v>
      </c>
      <c r="V406" s="183" t="s">
        <v>213</v>
      </c>
      <c r="W406" s="1210" t="s">
        <v>68</v>
      </c>
      <c r="X406" s="1634"/>
      <c r="Y406" s="180" t="s">
        <v>1154</v>
      </c>
      <c r="Z406" s="9">
        <v>43722</v>
      </c>
      <c r="AA406" s="4">
        <v>4496816.92</v>
      </c>
      <c r="AB406" s="4"/>
      <c r="AC406" s="34"/>
      <c r="AD406" s="36" t="s">
        <v>68</v>
      </c>
      <c r="AE406" s="119" t="s">
        <v>68</v>
      </c>
      <c r="AF406" s="119" t="s">
        <v>68</v>
      </c>
      <c r="AG406" s="7" t="s">
        <v>68</v>
      </c>
      <c r="AH406" s="116" t="s">
        <v>68</v>
      </c>
      <c r="AI406" s="180" t="s">
        <v>1342</v>
      </c>
      <c r="AJ406" s="202" t="s">
        <v>1343</v>
      </c>
      <c r="AK406" s="5">
        <v>43755</v>
      </c>
      <c r="AL406" s="202" t="s">
        <v>1344</v>
      </c>
      <c r="AM406" s="5">
        <v>43755</v>
      </c>
      <c r="AN406" s="202" t="s">
        <v>1345</v>
      </c>
      <c r="AO406" s="5">
        <v>43825</v>
      </c>
      <c r="AP406" s="306">
        <f>348476.51+139390.61+139390.44</f>
        <v>627257.56000000006</v>
      </c>
      <c r="AQ406" s="37">
        <v>0</v>
      </c>
      <c r="AR406" s="1038">
        <v>1393904.46</v>
      </c>
      <c r="AS406" s="1027"/>
      <c r="AT406" s="32">
        <v>43759</v>
      </c>
      <c r="AU406" s="12">
        <v>43823</v>
      </c>
      <c r="AV406" s="243" t="s">
        <v>68</v>
      </c>
      <c r="AW406" s="54" t="s">
        <v>68</v>
      </c>
      <c r="AX406" s="32">
        <v>43825</v>
      </c>
      <c r="AY406" s="5">
        <v>43759</v>
      </c>
      <c r="AZ406" s="5">
        <v>43830</v>
      </c>
      <c r="BA406" s="12">
        <v>43825</v>
      </c>
      <c r="BB406" s="32">
        <v>43825</v>
      </c>
      <c r="BC406" s="341"/>
      <c r="BD406" s="5">
        <v>43759</v>
      </c>
      <c r="BE406" s="5">
        <v>43830</v>
      </c>
      <c r="BF406" s="12">
        <v>43825</v>
      </c>
      <c r="BG406" s="38">
        <f t="shared" si="12"/>
        <v>1393904.46</v>
      </c>
      <c r="BH406" s="1212">
        <v>43823</v>
      </c>
      <c r="BI406" s="1212">
        <v>43755</v>
      </c>
      <c r="BJ406" s="238" t="s">
        <v>74</v>
      </c>
      <c r="BK406" s="238" t="s">
        <v>74</v>
      </c>
      <c r="BL406" s="1458"/>
      <c r="BM406" s="1458"/>
      <c r="BN406" s="1458"/>
      <c r="BO406" s="1054"/>
      <c r="BP406" s="372">
        <v>43823</v>
      </c>
      <c r="BQ406" s="372"/>
      <c r="BR406" s="1284"/>
      <c r="BS406" s="794" t="s">
        <v>68</v>
      </c>
      <c r="BT406" s="14"/>
      <c r="BU406" s="14"/>
      <c r="BV406" s="14"/>
      <c r="BW406" s="14"/>
      <c r="BX406" s="14"/>
      <c r="BY406" s="1433" t="s">
        <v>2098</v>
      </c>
      <c r="BZ406" s="40"/>
      <c r="CA406" s="582"/>
      <c r="CB406" s="582"/>
      <c r="CC406" s="582"/>
      <c r="CD406" s="582"/>
      <c r="CE406" s="582"/>
      <c r="CF406" s="582"/>
      <c r="CG406" s="582"/>
      <c r="CH406" s="16"/>
    </row>
    <row r="407" spans="2:86" customFormat="1" ht="91.5" hidden="1" customHeight="1">
      <c r="B407" s="23"/>
      <c r="C407" s="1719">
        <v>44494</v>
      </c>
      <c r="D407" s="1719"/>
      <c r="E407" s="1051">
        <v>44075</v>
      </c>
      <c r="F407" s="1051"/>
      <c r="G407" s="1055">
        <v>44015</v>
      </c>
      <c r="H407" s="365">
        <v>43837</v>
      </c>
      <c r="I407" s="182">
        <v>2019</v>
      </c>
      <c r="J407" s="1684">
        <v>196.24</v>
      </c>
      <c r="K407" s="716" t="s">
        <v>1151</v>
      </c>
      <c r="L407" s="739" t="s">
        <v>1346</v>
      </c>
      <c r="M407" s="663" t="s">
        <v>79</v>
      </c>
      <c r="N407" s="495" t="s">
        <v>1347</v>
      </c>
      <c r="O407" s="495" t="s">
        <v>1979</v>
      </c>
      <c r="P407" s="661">
        <v>1414229.08</v>
      </c>
      <c r="Q407" s="657">
        <v>43755</v>
      </c>
      <c r="R407" s="664">
        <v>43759</v>
      </c>
      <c r="S407" s="665">
        <v>43830</v>
      </c>
      <c r="T407" s="578">
        <v>43754</v>
      </c>
      <c r="U407" s="191" t="s">
        <v>1348</v>
      </c>
      <c r="V407" s="183" t="s">
        <v>213</v>
      </c>
      <c r="W407" s="1210" t="s">
        <v>68</v>
      </c>
      <c r="X407" s="1634"/>
      <c r="Y407" s="180" t="s">
        <v>1154</v>
      </c>
      <c r="Z407" s="9">
        <v>43722</v>
      </c>
      <c r="AA407" s="4">
        <v>4496816.92</v>
      </c>
      <c r="AB407" s="4"/>
      <c r="AC407" s="34"/>
      <c r="AD407" s="36" t="s">
        <v>68</v>
      </c>
      <c r="AE407" s="119" t="s">
        <v>68</v>
      </c>
      <c r="AF407" s="119" t="s">
        <v>68</v>
      </c>
      <c r="AG407" s="7" t="s">
        <v>68</v>
      </c>
      <c r="AH407" s="116" t="s">
        <v>68</v>
      </c>
      <c r="AI407" s="180" t="s">
        <v>1321</v>
      </c>
      <c r="AJ407" s="71">
        <v>2366229</v>
      </c>
      <c r="AK407" s="5">
        <v>43748</v>
      </c>
      <c r="AL407" s="1">
        <v>2366240</v>
      </c>
      <c r="AM407" s="5">
        <v>43755</v>
      </c>
      <c r="AN407" s="267">
        <v>2393144</v>
      </c>
      <c r="AO407" s="5">
        <v>43825</v>
      </c>
      <c r="AP407" s="306">
        <f>353557.27+141422.91+141422.91</f>
        <v>636403.09000000008</v>
      </c>
      <c r="AQ407" s="37">
        <v>0</v>
      </c>
      <c r="AR407" s="1038">
        <v>1414229.1</v>
      </c>
      <c r="AS407" s="1027"/>
      <c r="AT407" s="32">
        <v>43759</v>
      </c>
      <c r="AU407" s="12">
        <v>43830</v>
      </c>
      <c r="AV407" s="243" t="s">
        <v>68</v>
      </c>
      <c r="AW407" s="54" t="s">
        <v>68</v>
      </c>
      <c r="AX407" s="32">
        <v>43823</v>
      </c>
      <c r="AY407" s="5">
        <v>43759</v>
      </c>
      <c r="AZ407" s="5">
        <v>43830</v>
      </c>
      <c r="BA407" s="12">
        <v>43825</v>
      </c>
      <c r="BB407" s="32">
        <v>43823</v>
      </c>
      <c r="BC407" s="341"/>
      <c r="BD407" s="5">
        <v>43759</v>
      </c>
      <c r="BE407" s="5">
        <v>43830</v>
      </c>
      <c r="BF407" s="5">
        <v>43825</v>
      </c>
      <c r="BG407" s="38">
        <f t="shared" si="12"/>
        <v>1414229.1</v>
      </c>
      <c r="BH407" s="64" t="s">
        <v>1349</v>
      </c>
      <c r="BI407" s="1212">
        <v>43755</v>
      </c>
      <c r="BJ407" s="238" t="s">
        <v>74</v>
      </c>
      <c r="BK407" s="238" t="s">
        <v>74</v>
      </c>
      <c r="BL407" s="1458"/>
      <c r="BM407" s="1458"/>
      <c r="BN407" s="1458"/>
      <c r="BO407" s="1054"/>
      <c r="BP407" s="372">
        <v>43822</v>
      </c>
      <c r="BQ407" s="372"/>
      <c r="BR407" s="1284"/>
      <c r="BS407" s="794" t="s">
        <v>68</v>
      </c>
      <c r="BT407" s="14"/>
      <c r="BU407" s="14"/>
      <c r="BV407" s="14"/>
      <c r="BW407" s="14"/>
      <c r="BX407" s="14"/>
      <c r="BY407" s="1433" t="s">
        <v>2098</v>
      </c>
      <c r="BZ407" s="40"/>
      <c r="CA407" s="582"/>
      <c r="CB407" s="582"/>
      <c r="CC407" s="582"/>
      <c r="CD407" s="582"/>
      <c r="CE407" s="582"/>
      <c r="CF407" s="582"/>
      <c r="CG407" s="582"/>
      <c r="CH407" s="16"/>
    </row>
    <row r="408" spans="2:86" customFormat="1" ht="85.5" hidden="1" customHeight="1">
      <c r="B408" s="23"/>
      <c r="C408" s="23"/>
      <c r="D408" s="23"/>
      <c r="E408" s="1051">
        <v>44075</v>
      </c>
      <c r="F408" s="1051"/>
      <c r="G408" s="1055">
        <v>44011</v>
      </c>
      <c r="H408" s="365">
        <v>43805</v>
      </c>
      <c r="I408" s="182">
        <v>2019</v>
      </c>
      <c r="J408" s="1684">
        <v>196.25</v>
      </c>
      <c r="K408" s="716" t="s">
        <v>77</v>
      </c>
      <c r="L408" s="739" t="s">
        <v>1350</v>
      </c>
      <c r="M408" s="663" t="s">
        <v>79</v>
      </c>
      <c r="N408" s="495" t="s">
        <v>1351</v>
      </c>
      <c r="O408" s="495" t="s">
        <v>1979</v>
      </c>
      <c r="P408" s="661">
        <v>198328.91</v>
      </c>
      <c r="Q408" s="657">
        <v>43755</v>
      </c>
      <c r="R408" s="664">
        <v>43759</v>
      </c>
      <c r="S408" s="665">
        <v>43809</v>
      </c>
      <c r="T408" s="578">
        <v>43754</v>
      </c>
      <c r="U408" s="191" t="s">
        <v>1352</v>
      </c>
      <c r="V408" s="183" t="s">
        <v>3087</v>
      </c>
      <c r="W408" s="688">
        <v>43728</v>
      </c>
      <c r="X408" s="1624"/>
      <c r="Y408" s="35" t="s">
        <v>1353</v>
      </c>
      <c r="Z408" s="9">
        <v>43752</v>
      </c>
      <c r="AA408" s="4">
        <v>198328.45</v>
      </c>
      <c r="AB408" s="4"/>
      <c r="AC408" s="34"/>
      <c r="AD408" s="36" t="s">
        <v>68</v>
      </c>
      <c r="AE408" s="119" t="s">
        <v>68</v>
      </c>
      <c r="AF408" s="119" t="s">
        <v>68</v>
      </c>
      <c r="AG408" s="7" t="s">
        <v>68</v>
      </c>
      <c r="AH408" s="116" t="s">
        <v>68</v>
      </c>
      <c r="AI408" s="380" t="s">
        <v>1294</v>
      </c>
      <c r="AJ408" s="1"/>
      <c r="AK408" s="5"/>
      <c r="AL408" s="267" t="s">
        <v>1354</v>
      </c>
      <c r="AM408" s="5">
        <v>43759</v>
      </c>
      <c r="AN408" s="267" t="s">
        <v>1355</v>
      </c>
      <c r="AO408" s="5">
        <v>43791</v>
      </c>
      <c r="AP408" s="306">
        <f>19832.89+18550.04</f>
        <v>38382.93</v>
      </c>
      <c r="AQ408" s="37">
        <v>0</v>
      </c>
      <c r="AR408" s="1031">
        <v>185500.38</v>
      </c>
      <c r="AS408" s="1027"/>
      <c r="AT408" s="625">
        <v>43759</v>
      </c>
      <c r="AU408" s="12">
        <v>43773</v>
      </c>
      <c r="AV408" s="243"/>
      <c r="AW408" s="54"/>
      <c r="AX408" s="32">
        <v>43790</v>
      </c>
      <c r="AY408" s="5">
        <v>43759</v>
      </c>
      <c r="AZ408" s="5">
        <v>43809</v>
      </c>
      <c r="BA408" s="12">
        <v>43789</v>
      </c>
      <c r="BB408" s="32">
        <v>43791</v>
      </c>
      <c r="BC408" s="341"/>
      <c r="BD408" s="5">
        <v>43759</v>
      </c>
      <c r="BE408" s="5">
        <v>43809</v>
      </c>
      <c r="BF408" s="5">
        <v>43789</v>
      </c>
      <c r="BG408" s="38">
        <f t="shared" si="12"/>
        <v>185500.38</v>
      </c>
      <c r="BH408" s="64">
        <v>43794</v>
      </c>
      <c r="BI408" s="1212">
        <v>43755</v>
      </c>
      <c r="BJ408" s="76">
        <v>43756</v>
      </c>
      <c r="BK408" s="76">
        <v>43759</v>
      </c>
      <c r="BL408" s="372"/>
      <c r="BM408" s="372"/>
      <c r="BN408" s="372"/>
      <c r="BO408" s="1054"/>
      <c r="BP408" s="1212">
        <v>43787</v>
      </c>
      <c r="BQ408" s="1212"/>
      <c r="BR408" s="76"/>
      <c r="BS408" s="794" t="s">
        <v>68</v>
      </c>
      <c r="BT408" s="14"/>
      <c r="BU408" s="14"/>
      <c r="BV408" s="14"/>
      <c r="BW408" s="14"/>
      <c r="BX408" s="14"/>
      <c r="BY408" s="1433" t="s">
        <v>2098</v>
      </c>
      <c r="BZ408" s="40" t="s">
        <v>2905</v>
      </c>
      <c r="CA408" s="582"/>
      <c r="CB408" s="582"/>
      <c r="CC408" s="582"/>
      <c r="CD408" s="582"/>
      <c r="CE408" s="582"/>
      <c r="CF408" s="582"/>
      <c r="CG408" s="582"/>
      <c r="CH408" s="16"/>
    </row>
    <row r="409" spans="2:86" customFormat="1" ht="92.25" hidden="1" customHeight="1">
      <c r="B409" s="23"/>
      <c r="C409" s="23"/>
      <c r="D409" s="23"/>
      <c r="E409" s="1051">
        <v>44075</v>
      </c>
      <c r="F409" s="1051"/>
      <c r="G409" s="1055">
        <v>44008</v>
      </c>
      <c r="H409" s="365">
        <v>43805</v>
      </c>
      <c r="I409" s="182">
        <v>2019</v>
      </c>
      <c r="J409" s="1684">
        <v>196.26</v>
      </c>
      <c r="K409" s="716" t="s">
        <v>77</v>
      </c>
      <c r="L409" s="739" t="s">
        <v>1356</v>
      </c>
      <c r="M409" s="185" t="s">
        <v>79</v>
      </c>
      <c r="N409" s="495" t="s">
        <v>1357</v>
      </c>
      <c r="O409" s="495" t="s">
        <v>1979</v>
      </c>
      <c r="P409" s="661">
        <v>135637.59</v>
      </c>
      <c r="Q409" s="657">
        <v>43755</v>
      </c>
      <c r="R409" s="664">
        <v>43759</v>
      </c>
      <c r="S409" s="665">
        <v>43809</v>
      </c>
      <c r="T409" s="578">
        <v>43754</v>
      </c>
      <c r="U409" s="191" t="s">
        <v>1352</v>
      </c>
      <c r="V409" s="183" t="s">
        <v>3087</v>
      </c>
      <c r="W409" s="688">
        <v>43728</v>
      </c>
      <c r="X409" s="1624"/>
      <c r="Y409" s="35" t="s">
        <v>1358</v>
      </c>
      <c r="Z409" s="9">
        <v>43752</v>
      </c>
      <c r="AA409" s="4">
        <v>135636.20000000001</v>
      </c>
      <c r="AB409" s="4"/>
      <c r="AC409" s="34"/>
      <c r="AD409" s="36" t="s">
        <v>68</v>
      </c>
      <c r="AE409" s="119" t="s">
        <v>68</v>
      </c>
      <c r="AF409" s="119" t="s">
        <v>68</v>
      </c>
      <c r="AG409" s="7" t="s">
        <v>68</v>
      </c>
      <c r="AH409" s="116" t="s">
        <v>68</v>
      </c>
      <c r="AI409" s="380" t="s">
        <v>1294</v>
      </c>
      <c r="AJ409" s="1" t="s">
        <v>68</v>
      </c>
      <c r="AK409" s="5"/>
      <c r="AL409" s="5" t="s">
        <v>1359</v>
      </c>
      <c r="AM409" s="5">
        <v>43759</v>
      </c>
      <c r="AN409" s="267" t="s">
        <v>1360</v>
      </c>
      <c r="AO409" s="5">
        <v>43791</v>
      </c>
      <c r="AP409" s="306">
        <f>13563.76+14027.43</f>
        <v>27591.190000000002</v>
      </c>
      <c r="AQ409" s="37">
        <v>0</v>
      </c>
      <c r="AR409" s="1031">
        <v>140274.29</v>
      </c>
      <c r="AS409" s="1027"/>
      <c r="AT409" s="625">
        <v>43774</v>
      </c>
      <c r="AU409" s="12">
        <v>43782</v>
      </c>
      <c r="AV409" s="243"/>
      <c r="AW409" s="54"/>
      <c r="AX409" s="32">
        <v>43790</v>
      </c>
      <c r="AY409" s="5">
        <v>43759</v>
      </c>
      <c r="AZ409" s="5">
        <v>43809</v>
      </c>
      <c r="BA409" s="12">
        <v>43789</v>
      </c>
      <c r="BB409" s="32">
        <v>43791</v>
      </c>
      <c r="BC409" s="341"/>
      <c r="BD409" s="5">
        <v>43759</v>
      </c>
      <c r="BE409" s="5">
        <v>43809</v>
      </c>
      <c r="BF409" s="5">
        <v>43789</v>
      </c>
      <c r="BG409" s="38">
        <f t="shared" si="12"/>
        <v>140274.29</v>
      </c>
      <c r="BH409" s="64">
        <v>43794</v>
      </c>
      <c r="BI409" s="1212">
        <v>43755</v>
      </c>
      <c r="BJ409" s="360">
        <v>43756</v>
      </c>
      <c r="BK409" s="360">
        <v>43756</v>
      </c>
      <c r="BL409" s="1212"/>
      <c r="BM409" s="1212"/>
      <c r="BN409" s="1212"/>
      <c r="BO409" s="1054"/>
      <c r="BP409" s="1212">
        <v>43787</v>
      </c>
      <c r="BQ409" s="1212"/>
      <c r="BR409" s="76"/>
      <c r="BS409" s="794" t="s">
        <v>68</v>
      </c>
      <c r="BT409" s="14"/>
      <c r="BU409" s="14"/>
      <c r="BV409" s="14"/>
      <c r="BW409" s="14"/>
      <c r="BX409" s="14"/>
      <c r="BY409" s="1433" t="s">
        <v>2098</v>
      </c>
      <c r="BZ409" s="40" t="s">
        <v>2905</v>
      </c>
      <c r="CA409" s="582"/>
      <c r="CB409" s="582"/>
      <c r="CC409" s="582"/>
      <c r="CD409" s="582"/>
      <c r="CE409" s="582"/>
      <c r="CF409" s="582"/>
      <c r="CG409" s="582"/>
      <c r="CH409" s="16"/>
    </row>
    <row r="410" spans="2:86" customFormat="1" ht="92.25" hidden="1" customHeight="1">
      <c r="B410" s="23"/>
      <c r="C410" s="23"/>
      <c r="D410" s="23"/>
      <c r="E410" s="1051">
        <v>44075</v>
      </c>
      <c r="F410" s="1051"/>
      <c r="G410" s="1055">
        <v>44014</v>
      </c>
      <c r="H410" s="365"/>
      <c r="I410" s="182">
        <v>2019</v>
      </c>
      <c r="J410" s="1684">
        <v>196.27</v>
      </c>
      <c r="K410" s="716" t="s">
        <v>77</v>
      </c>
      <c r="L410" s="739" t="s">
        <v>1361</v>
      </c>
      <c r="M410" s="663" t="s">
        <v>79</v>
      </c>
      <c r="N410" s="495" t="s">
        <v>1362</v>
      </c>
      <c r="O410" s="495" t="s">
        <v>1979</v>
      </c>
      <c r="P410" s="661">
        <v>883708.77</v>
      </c>
      <c r="Q410" s="598">
        <v>43755</v>
      </c>
      <c r="R410" s="664">
        <v>43759</v>
      </c>
      <c r="S410" s="665">
        <v>43809</v>
      </c>
      <c r="T410" s="1148">
        <v>43754</v>
      </c>
      <c r="U410" s="191" t="s">
        <v>1352</v>
      </c>
      <c r="V410" s="183" t="s">
        <v>3087</v>
      </c>
      <c r="W410" s="688">
        <v>43728</v>
      </c>
      <c r="X410" s="1624"/>
      <c r="Y410" s="380" t="s">
        <v>1363</v>
      </c>
      <c r="Z410" s="9">
        <v>43752</v>
      </c>
      <c r="AA410" s="4">
        <v>883708.49</v>
      </c>
      <c r="AB410" s="4"/>
      <c r="AC410" s="34"/>
      <c r="AD410" s="36" t="s">
        <v>68</v>
      </c>
      <c r="AE410" s="119" t="s">
        <v>68</v>
      </c>
      <c r="AF410" s="119" t="s">
        <v>68</v>
      </c>
      <c r="AG410" s="7" t="s">
        <v>68</v>
      </c>
      <c r="AH410" s="116" t="s">
        <v>68</v>
      </c>
      <c r="AI410" s="380" t="s">
        <v>1294</v>
      </c>
      <c r="AJ410" s="1" t="s">
        <v>68</v>
      </c>
      <c r="AK410" s="5"/>
      <c r="AL410" s="379" t="s">
        <v>1364</v>
      </c>
      <c r="AM410" s="5">
        <v>43759</v>
      </c>
      <c r="AN410" s="379" t="s">
        <v>1365</v>
      </c>
      <c r="AO410" s="5">
        <v>43809</v>
      </c>
      <c r="AP410" s="306">
        <f>88370.88+82617.22</f>
        <v>170988.1</v>
      </c>
      <c r="AQ410" s="37">
        <v>0</v>
      </c>
      <c r="AR410" s="1031">
        <v>826172.24</v>
      </c>
      <c r="AS410" s="1027"/>
      <c r="AT410" s="625">
        <v>43784</v>
      </c>
      <c r="AU410" s="12">
        <v>43802</v>
      </c>
      <c r="AV410" s="243"/>
      <c r="AW410" s="54"/>
      <c r="AX410" s="32">
        <v>43808</v>
      </c>
      <c r="AY410" s="5">
        <v>43759</v>
      </c>
      <c r="AZ410" s="5">
        <v>43809</v>
      </c>
      <c r="BA410" s="12">
        <v>43808</v>
      </c>
      <c r="BB410" s="32">
        <v>43809</v>
      </c>
      <c r="BC410" s="341"/>
      <c r="BD410" s="5">
        <v>43759</v>
      </c>
      <c r="BE410" s="5">
        <v>43809</v>
      </c>
      <c r="BF410" s="5">
        <v>43808</v>
      </c>
      <c r="BG410" s="38">
        <f t="shared" si="12"/>
        <v>826172.24</v>
      </c>
      <c r="BH410" s="64">
        <v>43810</v>
      </c>
      <c r="BI410" s="1212">
        <v>43797</v>
      </c>
      <c r="BJ410" s="360">
        <v>43756</v>
      </c>
      <c r="BK410" s="360">
        <v>43756</v>
      </c>
      <c r="BL410" s="1212"/>
      <c r="BM410" s="1212"/>
      <c r="BN410" s="1212"/>
      <c r="BO410" s="1054"/>
      <c r="BP410" s="1212">
        <v>43804</v>
      </c>
      <c r="BQ410" s="1212"/>
      <c r="BR410" s="76">
        <v>43791</v>
      </c>
      <c r="BS410" s="794" t="s">
        <v>68</v>
      </c>
      <c r="BT410" s="14"/>
      <c r="BU410" s="14"/>
      <c r="BV410" s="14"/>
      <c r="BW410" s="14"/>
      <c r="BX410" s="14"/>
      <c r="BY410" s="1433" t="s">
        <v>2098</v>
      </c>
      <c r="BZ410" s="40" t="s">
        <v>2905</v>
      </c>
      <c r="CA410" s="582"/>
      <c r="CB410" s="582"/>
      <c r="CC410" s="582"/>
      <c r="CD410" s="582"/>
      <c r="CE410" s="582"/>
      <c r="CF410" s="582"/>
      <c r="CG410" s="582"/>
      <c r="CH410" s="16"/>
    </row>
    <row r="411" spans="2:86" customFormat="1" ht="92.25" hidden="1" customHeight="1">
      <c r="B411" s="23"/>
      <c r="C411" s="23"/>
      <c r="D411" s="23"/>
      <c r="E411" s="1051">
        <v>44075</v>
      </c>
      <c r="F411" s="1051"/>
      <c r="G411" s="1055">
        <v>44011</v>
      </c>
      <c r="H411" s="365">
        <v>43837</v>
      </c>
      <c r="I411" s="182">
        <v>2019</v>
      </c>
      <c r="J411" s="1684">
        <v>196.28</v>
      </c>
      <c r="K411" s="716" t="s">
        <v>77</v>
      </c>
      <c r="L411" s="739" t="s">
        <v>1366</v>
      </c>
      <c r="M411" s="663" t="s">
        <v>79</v>
      </c>
      <c r="N411" s="495" t="s">
        <v>1367</v>
      </c>
      <c r="O411" s="495" t="s">
        <v>1979</v>
      </c>
      <c r="P411" s="661">
        <v>269609.8</v>
      </c>
      <c r="Q411" s="657">
        <v>43754</v>
      </c>
      <c r="R411" s="664">
        <v>43755</v>
      </c>
      <c r="S411" s="665">
        <v>43799</v>
      </c>
      <c r="T411" s="578">
        <v>43753</v>
      </c>
      <c r="U411" s="191" t="s">
        <v>1368</v>
      </c>
      <c r="V411" s="716" t="s">
        <v>449</v>
      </c>
      <c r="W411" s="1191">
        <v>43757</v>
      </c>
      <c r="X411" s="1632"/>
      <c r="Y411" s="180" t="s">
        <v>1369</v>
      </c>
      <c r="Z411" s="9">
        <v>43752</v>
      </c>
      <c r="AA411" s="4">
        <v>269607.82</v>
      </c>
      <c r="AB411" s="4"/>
      <c r="AC411" s="34"/>
      <c r="AD411" s="36" t="s">
        <v>68</v>
      </c>
      <c r="AE411" s="119" t="s">
        <v>68</v>
      </c>
      <c r="AF411" s="119" t="s">
        <v>68</v>
      </c>
      <c r="AG411" s="7" t="s">
        <v>68</v>
      </c>
      <c r="AH411" s="116" t="s">
        <v>68</v>
      </c>
      <c r="AI411" s="180" t="s">
        <v>1270</v>
      </c>
      <c r="AJ411" s="1" t="s">
        <v>68</v>
      </c>
      <c r="AK411" s="5"/>
      <c r="AL411" s="2" t="s">
        <v>1370</v>
      </c>
      <c r="AM411" s="5">
        <v>43754</v>
      </c>
      <c r="AN411" s="2" t="s">
        <v>1370</v>
      </c>
      <c r="AO411" s="5">
        <v>43756</v>
      </c>
      <c r="AP411" s="306">
        <f>29595.34+26960.96</f>
        <v>56556.3</v>
      </c>
      <c r="AQ411" s="37">
        <v>0</v>
      </c>
      <c r="AR411" s="1031">
        <v>295953.42</v>
      </c>
      <c r="AS411" s="1027"/>
      <c r="AT411" s="68" t="s">
        <v>74</v>
      </c>
      <c r="AU411" s="12"/>
      <c r="AV411" s="243" t="s">
        <v>68</v>
      </c>
      <c r="AW411" s="54" t="s">
        <v>68</v>
      </c>
      <c r="AX411" s="32">
        <v>43775</v>
      </c>
      <c r="AY411" s="5">
        <v>43755</v>
      </c>
      <c r="AZ411" s="5">
        <v>43799</v>
      </c>
      <c r="BA411" s="5">
        <v>43775</v>
      </c>
      <c r="BB411" s="32">
        <v>43776</v>
      </c>
      <c r="BC411" s="341"/>
      <c r="BD411" s="5">
        <v>43755</v>
      </c>
      <c r="BE411" s="5">
        <v>43799</v>
      </c>
      <c r="BF411" s="5">
        <v>43775</v>
      </c>
      <c r="BG411" s="38">
        <f t="shared" si="12"/>
        <v>295953.42</v>
      </c>
      <c r="BH411" s="64">
        <v>43776</v>
      </c>
      <c r="BI411" s="1212">
        <v>43752</v>
      </c>
      <c r="BJ411" s="76">
        <v>43755</v>
      </c>
      <c r="BK411" s="76">
        <v>43755</v>
      </c>
      <c r="BL411" s="76"/>
      <c r="BM411" s="76"/>
      <c r="BN411" s="76"/>
      <c r="BO411" s="1054"/>
      <c r="BP411" s="259" t="s">
        <v>74</v>
      </c>
      <c r="BQ411" s="1658"/>
      <c r="BR411" s="372">
        <v>43756</v>
      </c>
      <c r="BS411" s="794" t="s">
        <v>68</v>
      </c>
      <c r="BT411" s="14"/>
      <c r="BU411" s="14">
        <v>0</v>
      </c>
      <c r="BV411" s="14"/>
      <c r="BW411" s="14"/>
      <c r="BX411" s="14"/>
      <c r="BY411" s="1433" t="s">
        <v>2098</v>
      </c>
      <c r="BZ411" s="40"/>
      <c r="CA411" s="582"/>
      <c r="CB411" s="582"/>
      <c r="CC411" s="582"/>
      <c r="CD411" s="582"/>
      <c r="CE411" s="582"/>
      <c r="CF411" s="582"/>
      <c r="CG411" s="582"/>
      <c r="CH411" s="16"/>
    </row>
    <row r="412" spans="2:86" customFormat="1" ht="92.25" hidden="1" customHeight="1">
      <c r="B412" s="23"/>
      <c r="C412" s="23"/>
      <c r="D412" s="23"/>
      <c r="E412" s="1051">
        <v>44075</v>
      </c>
      <c r="F412" s="1051"/>
      <c r="G412" s="1055">
        <v>44008</v>
      </c>
      <c r="H412" s="365"/>
      <c r="I412" s="182">
        <v>2019</v>
      </c>
      <c r="J412" s="1684">
        <v>196.29</v>
      </c>
      <c r="K412" s="716" t="s">
        <v>77</v>
      </c>
      <c r="L412" s="739" t="s">
        <v>1371</v>
      </c>
      <c r="M412" s="663" t="s">
        <v>79</v>
      </c>
      <c r="N412" s="495" t="s">
        <v>1372</v>
      </c>
      <c r="O412" s="495" t="s">
        <v>1979</v>
      </c>
      <c r="P412" s="661">
        <v>104875.19</v>
      </c>
      <c r="Q412" s="598">
        <v>43754</v>
      </c>
      <c r="R412" s="664">
        <v>43762</v>
      </c>
      <c r="S412" s="665">
        <v>43799</v>
      </c>
      <c r="T412" s="1148">
        <v>43753</v>
      </c>
      <c r="U412" s="191" t="s">
        <v>1368</v>
      </c>
      <c r="V412" s="716" t="s">
        <v>449</v>
      </c>
      <c r="W412" s="688">
        <v>43757</v>
      </c>
      <c r="X412" s="1624"/>
      <c r="Y412" s="266" t="s">
        <v>1373</v>
      </c>
      <c r="Z412" s="9">
        <v>43752</v>
      </c>
      <c r="AA412" s="4">
        <v>201224.82</v>
      </c>
      <c r="AB412" s="4"/>
      <c r="AC412" s="34"/>
      <c r="AD412" s="36"/>
      <c r="AE412" s="119"/>
      <c r="AF412" s="119"/>
      <c r="AG412" s="7"/>
      <c r="AH412" s="116"/>
      <c r="AI412" s="380" t="s">
        <v>1374</v>
      </c>
      <c r="AJ412" s="1" t="s">
        <v>68</v>
      </c>
      <c r="AK412" s="5"/>
      <c r="AL412" s="379" t="s">
        <v>1375</v>
      </c>
      <c r="AM412" s="5">
        <v>43753</v>
      </c>
      <c r="AN412" s="379" t="s">
        <v>1376</v>
      </c>
      <c r="AO412" s="5">
        <v>43794</v>
      </c>
      <c r="AP412" s="306">
        <f>10487.52+10482.52</f>
        <v>20970.04</v>
      </c>
      <c r="AQ412" s="37">
        <v>0</v>
      </c>
      <c r="AR412" s="1031">
        <v>104872.2</v>
      </c>
      <c r="AS412" s="1027"/>
      <c r="AT412" s="68" t="s">
        <v>74</v>
      </c>
      <c r="AU412" s="12"/>
      <c r="AV412" s="243"/>
      <c r="AW412" s="54"/>
      <c r="AX412" s="5">
        <v>43799</v>
      </c>
      <c r="AY412" s="5">
        <v>43762</v>
      </c>
      <c r="AZ412" s="5">
        <v>43799</v>
      </c>
      <c r="BA412" s="12">
        <v>43799</v>
      </c>
      <c r="BB412" s="359">
        <v>43799</v>
      </c>
      <c r="BC412" s="1951"/>
      <c r="BD412" s="5">
        <v>43762</v>
      </c>
      <c r="BE412" s="5">
        <v>43799</v>
      </c>
      <c r="BF412" s="5">
        <v>43799</v>
      </c>
      <c r="BG412" s="38">
        <f t="shared" si="12"/>
        <v>104872.2</v>
      </c>
      <c r="BH412" s="1209">
        <v>43799</v>
      </c>
      <c r="BI412" s="372">
        <v>43761</v>
      </c>
      <c r="BJ412" s="76">
        <v>43762</v>
      </c>
      <c r="BK412" s="76">
        <v>43762</v>
      </c>
      <c r="BL412" s="76"/>
      <c r="BM412" s="76"/>
      <c r="BN412" s="76"/>
      <c r="BO412" s="1054"/>
      <c r="BP412" s="689">
        <v>43799</v>
      </c>
      <c r="BQ412" s="1476"/>
      <c r="BR412" s="1215"/>
      <c r="BS412" s="794" t="s">
        <v>68</v>
      </c>
      <c r="BT412" s="14"/>
      <c r="BU412" s="14"/>
      <c r="BV412" s="14"/>
      <c r="BW412" s="14"/>
      <c r="BX412" s="14"/>
      <c r="BY412" s="1433" t="s">
        <v>2098</v>
      </c>
      <c r="BZ412" s="40"/>
      <c r="CA412" s="582"/>
      <c r="CB412" s="582"/>
      <c r="CC412" s="582"/>
      <c r="CD412" s="582"/>
      <c r="CE412" s="582"/>
      <c r="CF412" s="582"/>
      <c r="CG412" s="582"/>
      <c r="CH412" s="16"/>
    </row>
    <row r="413" spans="2:86" customFormat="1" ht="83.25" hidden="1" customHeight="1">
      <c r="B413" s="23"/>
      <c r="C413" s="23"/>
      <c r="D413" s="23"/>
      <c r="E413" s="1051">
        <v>44075</v>
      </c>
      <c r="F413" s="1051"/>
      <c r="G413" s="1055">
        <v>44013</v>
      </c>
      <c r="H413" s="365">
        <v>43837</v>
      </c>
      <c r="I413" s="182">
        <v>2019</v>
      </c>
      <c r="J413" s="1684">
        <v>196.3</v>
      </c>
      <c r="K413" s="716" t="s">
        <v>77</v>
      </c>
      <c r="L413" s="739" t="s">
        <v>1377</v>
      </c>
      <c r="M413" s="185" t="s">
        <v>79</v>
      </c>
      <c r="N413" s="495" t="s">
        <v>1378</v>
      </c>
      <c r="O413" s="495" t="s">
        <v>1979</v>
      </c>
      <c r="P413" s="661">
        <v>702979.49</v>
      </c>
      <c r="Q413" s="657">
        <v>43754</v>
      </c>
      <c r="R413" s="664">
        <v>43762</v>
      </c>
      <c r="S413" s="665">
        <v>43799</v>
      </c>
      <c r="T413" s="578">
        <v>43753</v>
      </c>
      <c r="U413" s="739" t="s">
        <v>1368</v>
      </c>
      <c r="V413" s="716" t="s">
        <v>449</v>
      </c>
      <c r="W413" s="688">
        <v>43757</v>
      </c>
      <c r="X413" s="1624"/>
      <c r="Y413" s="180" t="s">
        <v>1379</v>
      </c>
      <c r="Z413" s="9">
        <v>43752</v>
      </c>
      <c r="AA413" s="4">
        <v>702981.41</v>
      </c>
      <c r="AB413" s="4"/>
      <c r="AC413" s="34"/>
      <c r="AD413" s="36" t="s">
        <v>68</v>
      </c>
      <c r="AE413" s="119" t="s">
        <v>68</v>
      </c>
      <c r="AF413" s="119" t="s">
        <v>68</v>
      </c>
      <c r="AG413" s="7" t="s">
        <v>68</v>
      </c>
      <c r="AH413" s="116" t="s">
        <v>68</v>
      </c>
      <c r="AI413" s="380" t="s">
        <v>1380</v>
      </c>
      <c r="AJ413" s="379" t="s">
        <v>68</v>
      </c>
      <c r="AK413" s="360"/>
      <c r="AL413" s="379" t="s">
        <v>1381</v>
      </c>
      <c r="AM413" s="360">
        <v>43754</v>
      </c>
      <c r="AN413" s="379" t="s">
        <v>1382</v>
      </c>
      <c r="AO413" s="5">
        <v>43801</v>
      </c>
      <c r="AP413" s="306">
        <f>70297.95+74574.27</f>
        <v>144872.22</v>
      </c>
      <c r="AQ413" s="37">
        <v>0</v>
      </c>
      <c r="AR413" s="1031">
        <v>745742.71</v>
      </c>
      <c r="AS413" s="1027"/>
      <c r="AT413" s="68" t="s">
        <v>74</v>
      </c>
      <c r="AU413" s="12"/>
      <c r="AV413" s="243" t="s">
        <v>68</v>
      </c>
      <c r="AW413" s="54" t="s">
        <v>68</v>
      </c>
      <c r="AX413" s="359">
        <v>43801</v>
      </c>
      <c r="AY413" s="5">
        <v>43762</v>
      </c>
      <c r="AZ413" s="5">
        <v>43799</v>
      </c>
      <c r="BA413" s="12">
        <v>43799</v>
      </c>
      <c r="BB413" s="359" t="s">
        <v>1383</v>
      </c>
      <c r="BC413" s="1951"/>
      <c r="BD413" s="360">
        <v>43762</v>
      </c>
      <c r="BE413" s="360">
        <v>43799</v>
      </c>
      <c r="BF413" s="5">
        <v>43799</v>
      </c>
      <c r="BG413" s="38">
        <f t="shared" si="12"/>
        <v>745742.71</v>
      </c>
      <c r="BH413" s="1209">
        <v>43801</v>
      </c>
      <c r="BI413" s="1212">
        <v>43755</v>
      </c>
      <c r="BJ413" s="360">
        <v>43762</v>
      </c>
      <c r="BK413" s="360">
        <v>43762</v>
      </c>
      <c r="BL413" s="360"/>
      <c r="BM413" s="360"/>
      <c r="BN413" s="360"/>
      <c r="BO413" s="1054"/>
      <c r="BP413" s="360">
        <v>43799</v>
      </c>
      <c r="BQ413" s="1212"/>
      <c r="BR413" s="372">
        <v>43787</v>
      </c>
      <c r="BS413" s="794" t="s">
        <v>68</v>
      </c>
      <c r="BT413" s="14"/>
      <c r="BU413" s="14">
        <v>0</v>
      </c>
      <c r="BV413" s="14"/>
      <c r="BW413" s="14"/>
      <c r="BX413" s="14"/>
      <c r="BY413" s="1433" t="s">
        <v>2098</v>
      </c>
      <c r="BZ413" s="40"/>
      <c r="CA413" s="582"/>
      <c r="CB413" s="582"/>
      <c r="CC413" s="582"/>
      <c r="CD413" s="582"/>
      <c r="CE413" s="582"/>
      <c r="CF413" s="582"/>
      <c r="CG413" s="582"/>
      <c r="CH413" s="16"/>
    </row>
    <row r="414" spans="2:86" customFormat="1" ht="60" hidden="1" customHeight="1">
      <c r="B414" s="23"/>
      <c r="C414" s="23"/>
      <c r="D414" s="23"/>
      <c r="E414" s="1051">
        <v>44075</v>
      </c>
      <c r="F414" s="1051"/>
      <c r="G414" s="1055">
        <v>44008</v>
      </c>
      <c r="H414" s="365"/>
      <c r="I414" s="182">
        <v>2019</v>
      </c>
      <c r="J414" s="1684">
        <v>196.31</v>
      </c>
      <c r="K414" s="716" t="s">
        <v>77</v>
      </c>
      <c r="L414" s="739" t="s">
        <v>1384</v>
      </c>
      <c r="M414" s="663" t="s">
        <v>79</v>
      </c>
      <c r="N414" s="495" t="s">
        <v>1385</v>
      </c>
      <c r="O414" s="495" t="s">
        <v>2574</v>
      </c>
      <c r="P414" s="661">
        <v>311860.06</v>
      </c>
      <c r="Q414" s="657">
        <v>43754</v>
      </c>
      <c r="R414" s="664">
        <v>43759</v>
      </c>
      <c r="S414" s="665">
        <v>43790</v>
      </c>
      <c r="T414" s="578">
        <v>43753</v>
      </c>
      <c r="U414" s="191" t="s">
        <v>1225</v>
      </c>
      <c r="V414" s="183" t="s">
        <v>3087</v>
      </c>
      <c r="W414" s="688">
        <v>43684</v>
      </c>
      <c r="X414" s="1624"/>
      <c r="Y414" s="35" t="s">
        <v>1386</v>
      </c>
      <c r="Z414" s="9">
        <v>43752</v>
      </c>
      <c r="AA414" s="4">
        <v>311860.59999999998</v>
      </c>
      <c r="AB414" s="4"/>
      <c r="AC414" s="34"/>
      <c r="AD414" s="36" t="s">
        <v>68</v>
      </c>
      <c r="AE414" s="119" t="s">
        <v>68</v>
      </c>
      <c r="AF414" s="119" t="s">
        <v>68</v>
      </c>
      <c r="AG414" s="7" t="s">
        <v>68</v>
      </c>
      <c r="AH414" s="116" t="s">
        <v>68</v>
      </c>
      <c r="AI414" s="35" t="s">
        <v>855</v>
      </c>
      <c r="AJ414" s="1" t="s">
        <v>68</v>
      </c>
      <c r="AK414" s="5"/>
      <c r="AL414" s="1">
        <v>190521</v>
      </c>
      <c r="AM414" s="5">
        <v>43783</v>
      </c>
      <c r="AN414" s="1">
        <v>190522</v>
      </c>
      <c r="AO414" s="5">
        <v>43783</v>
      </c>
      <c r="AP414" s="306">
        <f>31186+31186</f>
        <v>62372</v>
      </c>
      <c r="AQ414" s="37">
        <v>0</v>
      </c>
      <c r="AR414" s="1038">
        <v>317393.01</v>
      </c>
      <c r="AS414" s="1027"/>
      <c r="AT414" s="359">
        <v>43759</v>
      </c>
      <c r="AU414" s="1217">
        <v>43783</v>
      </c>
      <c r="AV414" s="243" t="s">
        <v>68</v>
      </c>
      <c r="AW414" s="54" t="s">
        <v>68</v>
      </c>
      <c r="AX414" s="32">
        <v>43784</v>
      </c>
      <c r="AY414" s="5">
        <v>43759</v>
      </c>
      <c r="AZ414" s="5">
        <v>43790</v>
      </c>
      <c r="BA414" s="5">
        <v>43790</v>
      </c>
      <c r="BB414" s="32">
        <v>43788</v>
      </c>
      <c r="BC414" s="341"/>
      <c r="BD414" s="5">
        <v>43759</v>
      </c>
      <c r="BE414" s="5">
        <v>43790</v>
      </c>
      <c r="BF414" s="5">
        <v>43783</v>
      </c>
      <c r="BG414" s="1222">
        <f t="shared" si="12"/>
        <v>317393.01</v>
      </c>
      <c r="BH414" s="64">
        <v>43789</v>
      </c>
      <c r="BI414" s="1212">
        <v>43755</v>
      </c>
      <c r="BJ414" s="76">
        <v>43759</v>
      </c>
      <c r="BK414" s="76">
        <v>43790</v>
      </c>
      <c r="BL414" s="76"/>
      <c r="BM414" s="76"/>
      <c r="BN414" s="76"/>
      <c r="BO414" s="1054"/>
      <c r="BP414" s="360">
        <v>43782</v>
      </c>
      <c r="BQ414" s="1212"/>
      <c r="BR414" s="372"/>
      <c r="BS414" s="794" t="s">
        <v>68</v>
      </c>
      <c r="BT414" s="14"/>
      <c r="BU414" s="14"/>
      <c r="BV414" s="14"/>
      <c r="BW414" s="14"/>
      <c r="BX414" s="14"/>
      <c r="BY414" s="1433" t="s">
        <v>2098</v>
      </c>
      <c r="BZ414" s="649" t="s">
        <v>1143</v>
      </c>
      <c r="CA414" s="582"/>
      <c r="CB414" s="582"/>
      <c r="CC414" s="582"/>
      <c r="CD414" s="582"/>
      <c r="CE414" s="582"/>
      <c r="CF414" s="582"/>
      <c r="CG414" s="582"/>
      <c r="CH414" s="16"/>
    </row>
    <row r="415" spans="2:86" s="1241" customFormat="1" ht="34.5" hidden="1" customHeight="1">
      <c r="B415" s="1242"/>
      <c r="C415" s="1242"/>
      <c r="D415" s="1242"/>
      <c r="E415" s="1243"/>
      <c r="F415" s="1243"/>
      <c r="G415" s="610"/>
      <c r="H415" s="700"/>
      <c r="I415" s="1244">
        <v>2019</v>
      </c>
      <c r="J415" s="1683">
        <v>196.32</v>
      </c>
      <c r="K415" s="1245"/>
      <c r="L415" s="1246" t="s">
        <v>1387</v>
      </c>
      <c r="M415" s="904" t="s">
        <v>251</v>
      </c>
      <c r="N415" s="1247"/>
      <c r="O415" s="1247"/>
      <c r="P415" s="1248"/>
      <c r="Q415" s="1249"/>
      <c r="R415" s="1250"/>
      <c r="S415" s="1251"/>
      <c r="T415" s="1252"/>
      <c r="U415" s="1246"/>
      <c r="V415" s="1245"/>
      <c r="W415" s="1253"/>
      <c r="X415" s="1630"/>
      <c r="Y415" s="340"/>
      <c r="Z415" s="1254"/>
      <c r="AA415" s="1255"/>
      <c r="AB415" s="1255"/>
      <c r="AC415" s="1256"/>
      <c r="AD415" s="1257" t="s">
        <v>68</v>
      </c>
      <c r="AE415" s="1258" t="s">
        <v>68</v>
      </c>
      <c r="AF415" s="1258" t="s">
        <v>68</v>
      </c>
      <c r="AG415" s="1259" t="s">
        <v>68</v>
      </c>
      <c r="AH415" s="1260" t="s">
        <v>68</v>
      </c>
      <c r="AI415" s="340"/>
      <c r="AJ415" s="1261"/>
      <c r="AK415" s="1262"/>
      <c r="AL415" s="1261"/>
      <c r="AM415" s="1262"/>
      <c r="AN415" s="1261"/>
      <c r="AO415" s="1262"/>
      <c r="AP415" s="1263"/>
      <c r="AQ415" s="1264">
        <v>0</v>
      </c>
      <c r="AR415" s="1265"/>
      <c r="AS415" s="1266"/>
      <c r="AT415" s="1267"/>
      <c r="AU415" s="1268"/>
      <c r="AV415" s="1269"/>
      <c r="AW415" s="1270"/>
      <c r="AX415" s="1267"/>
      <c r="AY415" s="1262"/>
      <c r="AZ415" s="1262"/>
      <c r="BA415" s="1268"/>
      <c r="BB415" s="1267"/>
      <c r="BC415" s="1944"/>
      <c r="BD415" s="1262"/>
      <c r="BE415" s="1262"/>
      <c r="BF415" s="1262"/>
      <c r="BG415" s="1272">
        <f t="shared" si="12"/>
        <v>0</v>
      </c>
      <c r="BH415" s="1273"/>
      <c r="BI415" s="1753" t="s">
        <v>68</v>
      </c>
      <c r="BJ415" s="1754" t="s">
        <v>68</v>
      </c>
      <c r="BK415" s="1754" t="s">
        <v>68</v>
      </c>
      <c r="BL415" s="1753"/>
      <c r="BM415" s="1753"/>
      <c r="BN415" s="1753"/>
      <c r="BO415" s="1054"/>
      <c r="BP415" s="1753"/>
      <c r="BQ415" s="1753"/>
      <c r="BR415" s="1753"/>
      <c r="BS415" s="1753" t="s">
        <v>68</v>
      </c>
      <c r="BT415" s="1273"/>
      <c r="BU415" s="1273"/>
      <c r="BV415" s="1273"/>
      <c r="BW415" s="1273"/>
      <c r="BX415" s="1273"/>
      <c r="BY415" s="1769" t="s">
        <v>2098</v>
      </c>
      <c r="BZ415" s="1276"/>
      <c r="CA415" s="903"/>
      <c r="CB415" s="903"/>
      <c r="CC415" s="903"/>
      <c r="CD415" s="903"/>
      <c r="CE415" s="903"/>
      <c r="CF415" s="903"/>
      <c r="CG415" s="903"/>
      <c r="CH415" s="1277"/>
    </row>
    <row r="416" spans="2:86" s="1241" customFormat="1" ht="34.5" hidden="1" customHeight="1">
      <c r="B416" s="1242"/>
      <c r="C416" s="1242"/>
      <c r="D416" s="1242"/>
      <c r="E416" s="1243"/>
      <c r="F416" s="1243"/>
      <c r="G416" s="610"/>
      <c r="H416" s="700"/>
      <c r="I416" s="1244">
        <v>2019</v>
      </c>
      <c r="J416" s="1683">
        <v>196.33</v>
      </c>
      <c r="K416" s="1245"/>
      <c r="L416" s="1246" t="s">
        <v>1388</v>
      </c>
      <c r="M416" s="904" t="s">
        <v>251</v>
      </c>
      <c r="N416" s="1247"/>
      <c r="O416" s="1247"/>
      <c r="P416" s="1248"/>
      <c r="Q416" s="1249"/>
      <c r="R416" s="1250"/>
      <c r="S416" s="1251"/>
      <c r="T416" s="1252"/>
      <c r="U416" s="1246"/>
      <c r="V416" s="1245"/>
      <c r="W416" s="1253"/>
      <c r="X416" s="1630"/>
      <c r="Y416" s="340"/>
      <c r="Z416" s="1254"/>
      <c r="AA416" s="1255"/>
      <c r="AB416" s="1255"/>
      <c r="AC416" s="1256"/>
      <c r="AD416" s="1257" t="s">
        <v>68</v>
      </c>
      <c r="AE416" s="1258" t="s">
        <v>68</v>
      </c>
      <c r="AF416" s="1258" t="s">
        <v>68</v>
      </c>
      <c r="AG416" s="1259" t="s">
        <v>68</v>
      </c>
      <c r="AH416" s="1260" t="s">
        <v>68</v>
      </c>
      <c r="AI416" s="340"/>
      <c r="AJ416" s="1261"/>
      <c r="AK416" s="1262"/>
      <c r="AL416" s="1261"/>
      <c r="AM416" s="1262"/>
      <c r="AN416" s="1261"/>
      <c r="AO416" s="1262"/>
      <c r="AP416" s="1263"/>
      <c r="AQ416" s="1264">
        <v>0</v>
      </c>
      <c r="AR416" s="1265"/>
      <c r="AS416" s="1266"/>
      <c r="AT416" s="1267"/>
      <c r="AU416" s="1268"/>
      <c r="AV416" s="1269"/>
      <c r="AW416" s="1270"/>
      <c r="AX416" s="1267"/>
      <c r="AY416" s="1262"/>
      <c r="AZ416" s="1262"/>
      <c r="BA416" s="1268"/>
      <c r="BB416" s="1267"/>
      <c r="BC416" s="1944"/>
      <c r="BD416" s="1262"/>
      <c r="BE416" s="1262"/>
      <c r="BF416" s="1262"/>
      <c r="BG416" s="1272">
        <f t="shared" si="12"/>
        <v>0</v>
      </c>
      <c r="BH416" s="1273"/>
      <c r="BI416" s="1753" t="s">
        <v>68</v>
      </c>
      <c r="BJ416" s="1754" t="s">
        <v>68</v>
      </c>
      <c r="BK416" s="1754" t="s">
        <v>68</v>
      </c>
      <c r="BL416" s="1753"/>
      <c r="BM416" s="1753"/>
      <c r="BN416" s="1753"/>
      <c r="BO416" s="1054"/>
      <c r="BP416" s="1753"/>
      <c r="BQ416" s="1753"/>
      <c r="BR416" s="1753"/>
      <c r="BS416" s="1753" t="s">
        <v>68</v>
      </c>
      <c r="BT416" s="1273"/>
      <c r="BU416" s="1273"/>
      <c r="BV416" s="1273"/>
      <c r="BW416" s="1273"/>
      <c r="BX416" s="1273"/>
      <c r="BY416" s="1769" t="s">
        <v>2098</v>
      </c>
      <c r="BZ416" s="1276"/>
      <c r="CA416" s="903"/>
      <c r="CB416" s="903"/>
      <c r="CC416" s="903"/>
      <c r="CD416" s="903"/>
      <c r="CE416" s="903"/>
      <c r="CF416" s="903"/>
      <c r="CG416" s="903"/>
      <c r="CH416" s="1277"/>
    </row>
    <row r="417" spans="1:86" ht="109.5" hidden="1" customHeight="1">
      <c r="A417"/>
      <c r="B417" s="23"/>
      <c r="C417" s="23"/>
      <c r="D417" s="23"/>
      <c r="E417" s="1051">
        <v>44075</v>
      </c>
      <c r="F417" s="1051"/>
      <c r="G417" s="1055">
        <v>44011</v>
      </c>
      <c r="H417" s="365">
        <v>43830</v>
      </c>
      <c r="I417" s="182">
        <v>2019</v>
      </c>
      <c r="J417" s="1684">
        <v>196.34</v>
      </c>
      <c r="K417" s="716" t="s">
        <v>77</v>
      </c>
      <c r="L417" s="739" t="s">
        <v>1389</v>
      </c>
      <c r="M417" s="663" t="s">
        <v>79</v>
      </c>
      <c r="N417" s="495" t="s">
        <v>1390</v>
      </c>
      <c r="O417" s="495" t="s">
        <v>4458</v>
      </c>
      <c r="P417" s="661">
        <v>82700.09</v>
      </c>
      <c r="Q417" s="657">
        <v>43754</v>
      </c>
      <c r="R417" s="664">
        <v>43755</v>
      </c>
      <c r="S417" s="665">
        <v>43767</v>
      </c>
      <c r="T417" s="578">
        <v>43753</v>
      </c>
      <c r="U417" s="191" t="s">
        <v>1302</v>
      </c>
      <c r="V417" s="183" t="s">
        <v>3087</v>
      </c>
      <c r="W417" s="688">
        <v>43710</v>
      </c>
      <c r="X417" s="1624"/>
      <c r="Y417" s="35" t="s">
        <v>1391</v>
      </c>
      <c r="Z417" s="9">
        <v>43752</v>
      </c>
      <c r="AA417" s="4">
        <v>82700.75</v>
      </c>
      <c r="AB417" s="4"/>
      <c r="AC417" s="34"/>
      <c r="AD417" s="36" t="s">
        <v>68</v>
      </c>
      <c r="AE417" s="119" t="s">
        <v>68</v>
      </c>
      <c r="AF417" s="119" t="s">
        <v>68</v>
      </c>
      <c r="AG417" s="7" t="s">
        <v>68</v>
      </c>
      <c r="AH417" s="116" t="s">
        <v>68</v>
      </c>
      <c r="AI417" s="35" t="s">
        <v>855</v>
      </c>
      <c r="AJ417" s="1" t="s">
        <v>68</v>
      </c>
      <c r="AK417" s="5"/>
      <c r="AL417" s="1">
        <v>190514</v>
      </c>
      <c r="AM417" s="5">
        <v>43754</v>
      </c>
      <c r="AN417" s="1">
        <v>190515</v>
      </c>
      <c r="AO417" s="5">
        <v>43754</v>
      </c>
      <c r="AP417" s="306">
        <f>8270+40065.01</f>
        <v>48335.01</v>
      </c>
      <c r="AQ417" s="37">
        <v>0</v>
      </c>
      <c r="AR417" s="1031">
        <v>82700.08</v>
      </c>
      <c r="AS417" s="1027"/>
      <c r="AT417" s="68" t="s">
        <v>74</v>
      </c>
      <c r="AU417" s="12"/>
      <c r="AV417" s="243" t="s">
        <v>68</v>
      </c>
      <c r="AW417" s="54" t="s">
        <v>68</v>
      </c>
      <c r="AX417" s="32">
        <v>43763</v>
      </c>
      <c r="AY417" s="5">
        <v>43755</v>
      </c>
      <c r="AZ417" s="5">
        <v>43767</v>
      </c>
      <c r="BA417" s="12"/>
      <c r="BB417" s="32">
        <v>43766</v>
      </c>
      <c r="BC417" s="341"/>
      <c r="BD417" s="5">
        <v>43755</v>
      </c>
      <c r="BE417" s="5">
        <v>43767</v>
      </c>
      <c r="BF417" s="5">
        <v>43762</v>
      </c>
      <c r="BG417" s="38">
        <f t="shared" si="12"/>
        <v>82700.08</v>
      </c>
      <c r="BH417" s="64">
        <v>43766</v>
      </c>
      <c r="BI417" s="372">
        <v>43750</v>
      </c>
      <c r="BJ417" s="76">
        <v>43754</v>
      </c>
      <c r="BK417" s="76">
        <v>43754</v>
      </c>
      <c r="BL417" s="76"/>
      <c r="BM417" s="76"/>
      <c r="BN417" s="76"/>
      <c r="BO417" s="1054"/>
      <c r="BP417" s="360">
        <v>43760</v>
      </c>
      <c r="BQ417" s="1212"/>
      <c r="BR417" s="372"/>
      <c r="BS417" s="372" t="s">
        <v>68</v>
      </c>
      <c r="BT417" s="14"/>
      <c r="BU417" s="14"/>
      <c r="BV417" s="14"/>
      <c r="BW417" s="14"/>
      <c r="BX417" s="14"/>
      <c r="BY417" s="1433" t="s">
        <v>2098</v>
      </c>
      <c r="BZ417" s="40"/>
      <c r="CA417" s="582"/>
      <c r="CB417" s="582"/>
      <c r="CC417" s="582"/>
      <c r="CD417" s="582"/>
      <c r="CE417" s="582"/>
      <c r="CF417" s="582"/>
      <c r="CG417" s="582"/>
      <c r="CH417" s="16"/>
    </row>
    <row r="418" spans="1:86" ht="74.25" hidden="1" customHeight="1">
      <c r="A418"/>
      <c r="B418" s="23"/>
      <c r="C418" s="23"/>
      <c r="D418" s="23"/>
      <c r="E418" s="1051">
        <v>44075</v>
      </c>
      <c r="F418" s="1051"/>
      <c r="G418" s="1055">
        <v>44011</v>
      </c>
      <c r="H418" s="365">
        <v>43830</v>
      </c>
      <c r="I418" s="182">
        <v>2019</v>
      </c>
      <c r="J418" s="1684">
        <v>196.35</v>
      </c>
      <c r="K418" s="716" t="s">
        <v>77</v>
      </c>
      <c r="L418" s="739" t="s">
        <v>1392</v>
      </c>
      <c r="M418" s="663" t="s">
        <v>79</v>
      </c>
      <c r="N418" s="495" t="s">
        <v>1393</v>
      </c>
      <c r="O418" s="495" t="s">
        <v>1979</v>
      </c>
      <c r="P418" s="661">
        <v>118488.2</v>
      </c>
      <c r="Q418" s="598">
        <v>43794</v>
      </c>
      <c r="R418" s="664">
        <v>43795</v>
      </c>
      <c r="S418" s="665">
        <v>43813</v>
      </c>
      <c r="T418" s="1148">
        <v>43794</v>
      </c>
      <c r="U418" s="191" t="s">
        <v>1302</v>
      </c>
      <c r="V418" s="183" t="s">
        <v>3087</v>
      </c>
      <c r="W418" s="685">
        <v>43731</v>
      </c>
      <c r="X418" s="1625"/>
      <c r="Y418" s="35" t="s">
        <v>1394</v>
      </c>
      <c r="Z418" s="9">
        <v>43793</v>
      </c>
      <c r="AA418" s="4">
        <v>118488.2</v>
      </c>
      <c r="AB418" s="4"/>
      <c r="AC418" s="34"/>
      <c r="AD418" s="36" t="s">
        <v>68</v>
      </c>
      <c r="AE418" s="119" t="s">
        <v>68</v>
      </c>
      <c r="AF418" s="119" t="s">
        <v>68</v>
      </c>
      <c r="AG418" s="7" t="s">
        <v>68</v>
      </c>
      <c r="AH418" s="116" t="s">
        <v>68</v>
      </c>
      <c r="AI418" s="380" t="s">
        <v>1226</v>
      </c>
      <c r="AJ418" s="1" t="s">
        <v>68</v>
      </c>
      <c r="AK418" s="5"/>
      <c r="AL418" s="379">
        <v>190621</v>
      </c>
      <c r="AM418" s="5">
        <v>43795</v>
      </c>
      <c r="AN418" s="379">
        <v>190652</v>
      </c>
      <c r="AO418" s="5">
        <v>43809</v>
      </c>
      <c r="AP418" s="306">
        <f>11848.82+11848.82</f>
        <v>23697.64</v>
      </c>
      <c r="AQ418" s="37">
        <v>0</v>
      </c>
      <c r="AR418" s="1038">
        <v>117816.14</v>
      </c>
      <c r="AS418" s="1027"/>
      <c r="AT418" s="68" t="s">
        <v>74</v>
      </c>
      <c r="AU418" s="12"/>
      <c r="AV418" s="243" t="s">
        <v>68</v>
      </c>
      <c r="AW418" s="54" t="s">
        <v>68</v>
      </c>
      <c r="AX418" s="359">
        <v>43809</v>
      </c>
      <c r="AY418" s="5">
        <v>43795</v>
      </c>
      <c r="AZ418" s="5">
        <v>43813</v>
      </c>
      <c r="BA418" s="12">
        <v>43809</v>
      </c>
      <c r="BB418" s="359">
        <v>43810</v>
      </c>
      <c r="BC418" s="1951"/>
      <c r="BD418" s="5">
        <v>43795</v>
      </c>
      <c r="BE418" s="5">
        <v>43813</v>
      </c>
      <c r="BF418" s="5">
        <v>43809</v>
      </c>
      <c r="BG418" s="38">
        <f t="shared" si="12"/>
        <v>117816.14</v>
      </c>
      <c r="BH418" s="1209">
        <v>43811</v>
      </c>
      <c r="BI418" s="372">
        <v>43790</v>
      </c>
      <c r="BJ418" s="76">
        <v>43794</v>
      </c>
      <c r="BK418" s="76">
        <v>43794</v>
      </c>
      <c r="BL418" s="76"/>
      <c r="BM418" s="76"/>
      <c r="BN418" s="76"/>
      <c r="BO418" s="1054"/>
      <c r="BP418" s="360">
        <v>43809</v>
      </c>
      <c r="BQ418" s="1212"/>
      <c r="BR418" s="794"/>
      <c r="BS418" s="794" t="s">
        <v>68</v>
      </c>
      <c r="BT418" s="14"/>
      <c r="BU418" s="14"/>
      <c r="BV418" s="14"/>
      <c r="BW418" s="14"/>
      <c r="BX418" s="14"/>
      <c r="BY418" s="1433" t="s">
        <v>2098</v>
      </c>
      <c r="BZ418" s="40"/>
      <c r="CA418" s="582"/>
      <c r="CB418" s="582"/>
      <c r="CC418" s="582"/>
      <c r="CD418" s="582"/>
      <c r="CE418" s="582"/>
      <c r="CF418" s="582"/>
      <c r="CG418" s="582"/>
      <c r="CH418" s="16"/>
    </row>
    <row r="419" spans="1:86" ht="84.75" hidden="1" customHeight="1">
      <c r="A419"/>
      <c r="B419" s="23"/>
      <c r="C419" s="23"/>
      <c r="D419" s="23"/>
      <c r="E419" s="1051">
        <v>44075</v>
      </c>
      <c r="F419" s="1051"/>
      <c r="G419" s="1055">
        <v>44013</v>
      </c>
      <c r="H419" s="365">
        <v>43837</v>
      </c>
      <c r="I419" s="182">
        <v>2019</v>
      </c>
      <c r="J419" s="1684">
        <v>196.36</v>
      </c>
      <c r="K419" s="183" t="s">
        <v>77</v>
      </c>
      <c r="L419" s="739" t="s">
        <v>1395</v>
      </c>
      <c r="M419" s="185" t="s">
        <v>79</v>
      </c>
      <c r="N419" s="186" t="s">
        <v>1396</v>
      </c>
      <c r="O419" s="186" t="s">
        <v>1979</v>
      </c>
      <c r="P419" s="187">
        <v>267068.21999999997</v>
      </c>
      <c r="Q419" s="657">
        <v>43794</v>
      </c>
      <c r="R419" s="189">
        <v>43801</v>
      </c>
      <c r="S419" s="190">
        <v>43830</v>
      </c>
      <c r="T419" s="578">
        <v>43794</v>
      </c>
      <c r="U419" s="191" t="s">
        <v>1302</v>
      </c>
      <c r="V419" s="183" t="s">
        <v>3087</v>
      </c>
      <c r="W419" s="685">
        <v>43731</v>
      </c>
      <c r="X419" s="1625"/>
      <c r="Y419" s="35" t="s">
        <v>1397</v>
      </c>
      <c r="Z419" s="9">
        <v>43752</v>
      </c>
      <c r="AA419" s="4">
        <v>267068.45</v>
      </c>
      <c r="AB419" s="4"/>
      <c r="AC419" s="34"/>
      <c r="AD419" s="36" t="s">
        <v>68</v>
      </c>
      <c r="AE419" s="119" t="s">
        <v>68</v>
      </c>
      <c r="AF419" s="119" t="s">
        <v>68</v>
      </c>
      <c r="AG419" s="7" t="s">
        <v>68</v>
      </c>
      <c r="AH419" s="116" t="s">
        <v>68</v>
      </c>
      <c r="AI419" s="380" t="s">
        <v>1226</v>
      </c>
      <c r="AJ419" s="1" t="s">
        <v>68</v>
      </c>
      <c r="AK419" s="5"/>
      <c r="AL419" s="379">
        <v>190631</v>
      </c>
      <c r="AM419" s="5">
        <v>43801</v>
      </c>
      <c r="AN419" s="379">
        <v>190682</v>
      </c>
      <c r="AO419" s="5">
        <v>43809</v>
      </c>
      <c r="AP419" s="306">
        <f>26706.82+26706.82</f>
        <v>53413.64</v>
      </c>
      <c r="AQ419" s="37">
        <v>0</v>
      </c>
      <c r="AR419" s="1038">
        <v>256679.4</v>
      </c>
      <c r="AS419" s="1027"/>
      <c r="AT419" s="68" t="s">
        <v>74</v>
      </c>
      <c r="AU419" s="12"/>
      <c r="AV419" s="243" t="s">
        <v>68</v>
      </c>
      <c r="AW419" s="54" t="s">
        <v>68</v>
      </c>
      <c r="AX419" s="359">
        <v>43815</v>
      </c>
      <c r="AY419" s="5">
        <v>43801</v>
      </c>
      <c r="AZ419" s="5" t="s">
        <v>1398</v>
      </c>
      <c r="BA419" s="12">
        <v>43815</v>
      </c>
      <c r="BB419" s="359">
        <v>43816</v>
      </c>
      <c r="BC419" s="1951"/>
      <c r="BD419" s="5">
        <v>43801</v>
      </c>
      <c r="BE419" s="5">
        <v>43830</v>
      </c>
      <c r="BF419" s="5">
        <v>43815</v>
      </c>
      <c r="BG419" s="38">
        <f t="shared" si="12"/>
        <v>256679.4</v>
      </c>
      <c r="BH419" s="1209">
        <v>43817</v>
      </c>
      <c r="BI419" s="1212">
        <v>43797</v>
      </c>
      <c r="BJ419" s="76">
        <v>43798</v>
      </c>
      <c r="BK419" s="360">
        <v>43798</v>
      </c>
      <c r="BL419" s="360"/>
      <c r="BM419" s="360"/>
      <c r="BN419" s="360"/>
      <c r="BO419" s="1054"/>
      <c r="BP419" s="360">
        <v>43812</v>
      </c>
      <c r="BQ419" s="1212"/>
      <c r="BR419" s="794"/>
      <c r="BS419" s="794" t="s">
        <v>68</v>
      </c>
      <c r="BT419" s="14"/>
      <c r="BU419" s="14">
        <v>0</v>
      </c>
      <c r="BV419" s="14"/>
      <c r="BW419" s="14"/>
      <c r="BX419" s="14"/>
      <c r="BY419" s="1433" t="s">
        <v>2098</v>
      </c>
      <c r="BZ419" s="40"/>
      <c r="CA419" s="582"/>
      <c r="CB419" s="582"/>
      <c r="CC419" s="582"/>
      <c r="CD419" s="582"/>
      <c r="CE419" s="582"/>
      <c r="CF419" s="582"/>
      <c r="CG419" s="582"/>
      <c r="CH419" s="16"/>
    </row>
    <row r="420" spans="1:86" s="1241" customFormat="1" ht="69.75" hidden="1" customHeight="1">
      <c r="B420" s="1242"/>
      <c r="C420" s="1242"/>
      <c r="D420" s="1242"/>
      <c r="E420" s="1243"/>
      <c r="F420" s="1243"/>
      <c r="G420" s="610"/>
      <c r="H420" s="700"/>
      <c r="I420" s="1244">
        <v>2019</v>
      </c>
      <c r="J420" s="1683">
        <v>196.37</v>
      </c>
      <c r="K420" s="1245"/>
      <c r="L420" s="1246" t="s">
        <v>4015</v>
      </c>
      <c r="M420" s="904" t="s">
        <v>251</v>
      </c>
      <c r="N420" s="1247"/>
      <c r="O420" s="1247"/>
      <c r="P420" s="1248"/>
      <c r="Q420" s="1249"/>
      <c r="R420" s="1250"/>
      <c r="S420" s="1251"/>
      <c r="T420" s="1252"/>
      <c r="U420" s="1246"/>
      <c r="V420" s="1245"/>
      <c r="W420" s="1278"/>
      <c r="X420" s="1761"/>
      <c r="Y420" s="1774"/>
      <c r="Z420" s="1254"/>
      <c r="AA420" s="1255"/>
      <c r="AB420" s="1255"/>
      <c r="AC420" s="1256"/>
      <c r="AD420" s="1257"/>
      <c r="AE420" s="1258"/>
      <c r="AF420" s="1258"/>
      <c r="AG420" s="1259"/>
      <c r="AH420" s="1260"/>
      <c r="AI420" s="340"/>
      <c r="AJ420" s="1261"/>
      <c r="AK420" s="1262"/>
      <c r="AL420" s="1261"/>
      <c r="AM420" s="1262"/>
      <c r="AN420" s="1261"/>
      <c r="AO420" s="1262"/>
      <c r="AP420" s="1263"/>
      <c r="AQ420" s="1264"/>
      <c r="AR420" s="1265"/>
      <c r="AS420" s="1266"/>
      <c r="AT420" s="1762"/>
      <c r="AU420" s="1268"/>
      <c r="AV420" s="1269"/>
      <c r="AW420" s="1270"/>
      <c r="AX420" s="1267"/>
      <c r="AY420" s="1262"/>
      <c r="AZ420" s="1262"/>
      <c r="BA420" s="1824"/>
      <c r="BB420" s="1267"/>
      <c r="BC420" s="1944"/>
      <c r="BD420" s="1262"/>
      <c r="BE420" s="1262"/>
      <c r="BF420" s="1262"/>
      <c r="BG420" s="1272"/>
      <c r="BH420" s="1748"/>
      <c r="BI420" s="1761"/>
      <c r="BJ420" s="1262"/>
      <c r="BK420" s="1262"/>
      <c r="BL420" s="1262"/>
      <c r="BM420" s="1262"/>
      <c r="BN420" s="1262"/>
      <c r="BO420" s="1054"/>
      <c r="BP420" s="1262"/>
      <c r="BQ420" s="1761"/>
      <c r="BR420" s="1753"/>
      <c r="BS420" s="1753"/>
      <c r="BT420" s="1273"/>
      <c r="BU420" s="1273"/>
      <c r="BV420" s="1273"/>
      <c r="BW420" s="1273"/>
      <c r="BX420" s="1273"/>
      <c r="BY420" s="1769"/>
      <c r="BZ420" s="1276"/>
      <c r="CA420" s="903"/>
      <c r="CB420" s="903"/>
      <c r="CC420" s="903"/>
      <c r="CD420" s="903"/>
      <c r="CE420" s="903"/>
      <c r="CF420" s="903"/>
      <c r="CG420" s="903"/>
      <c r="CH420" s="1277"/>
    </row>
    <row r="421" spans="1:86" ht="75.75" hidden="1" customHeight="1">
      <c r="A421"/>
      <c r="B421" s="23"/>
      <c r="C421" s="1719">
        <v>44494</v>
      </c>
      <c r="D421" s="1719"/>
      <c r="E421" s="1051">
        <v>44075</v>
      </c>
      <c r="F421" s="1051"/>
      <c r="G421" s="1055">
        <v>44014</v>
      </c>
      <c r="H421" s="365">
        <v>43921</v>
      </c>
      <c r="I421" s="182">
        <v>2019</v>
      </c>
      <c r="J421" s="1684">
        <v>196.38</v>
      </c>
      <c r="K421" s="183" t="s">
        <v>1148</v>
      </c>
      <c r="L421" s="739" t="s">
        <v>1223</v>
      </c>
      <c r="M421" s="185" t="s">
        <v>79</v>
      </c>
      <c r="N421" s="186" t="s">
        <v>1224</v>
      </c>
      <c r="O421" s="186" t="s">
        <v>2613</v>
      </c>
      <c r="P421" s="187">
        <v>875313.77</v>
      </c>
      <c r="Q421" s="598">
        <v>43783</v>
      </c>
      <c r="R421" s="189">
        <v>43784</v>
      </c>
      <c r="S421" s="190">
        <v>43829</v>
      </c>
      <c r="T421" s="111">
        <v>43782</v>
      </c>
      <c r="U421" s="191" t="s">
        <v>1225</v>
      </c>
      <c r="V421" s="183" t="s">
        <v>3087</v>
      </c>
      <c r="W421" s="1377" t="s">
        <v>68</v>
      </c>
      <c r="X421" s="1636"/>
      <c r="Y421" s="180" t="s">
        <v>3627</v>
      </c>
      <c r="Z421" s="137">
        <v>43637</v>
      </c>
      <c r="AA421" s="85">
        <v>543500</v>
      </c>
      <c r="AB421" s="261" t="s">
        <v>1208</v>
      </c>
      <c r="AC421" s="34">
        <v>1302585.8500000001</v>
      </c>
      <c r="AD421" s="36" t="s">
        <v>68</v>
      </c>
      <c r="AE421" s="119" t="s">
        <v>68</v>
      </c>
      <c r="AF421" s="119" t="s">
        <v>68</v>
      </c>
      <c r="AG421" s="7" t="s">
        <v>68</v>
      </c>
      <c r="AH421" s="116" t="s">
        <v>68</v>
      </c>
      <c r="AI421" s="35" t="s">
        <v>1226</v>
      </c>
      <c r="AJ421" s="1" t="s">
        <v>68</v>
      </c>
      <c r="AK421" s="5" t="s">
        <v>68</v>
      </c>
      <c r="AL421" s="1">
        <v>190445</v>
      </c>
      <c r="AM421" s="5">
        <v>43784</v>
      </c>
      <c r="AN421" s="1">
        <v>190871</v>
      </c>
      <c r="AO421" s="5">
        <v>43829</v>
      </c>
      <c r="AP421" s="306">
        <f>87531.37+87531.37</f>
        <v>175062.74</v>
      </c>
      <c r="AQ421" s="37">
        <v>0</v>
      </c>
      <c r="AR421" s="1038">
        <v>875309.47</v>
      </c>
      <c r="AS421" s="1027"/>
      <c r="AT421" s="78">
        <v>43784</v>
      </c>
      <c r="AU421" s="12">
        <v>43794</v>
      </c>
      <c r="AV421" s="243"/>
      <c r="AW421" s="54"/>
      <c r="AX421" s="78">
        <v>43829</v>
      </c>
      <c r="AY421" s="5">
        <v>43784</v>
      </c>
      <c r="AZ421" s="5">
        <v>43829</v>
      </c>
      <c r="BA421" s="5">
        <v>43829</v>
      </c>
      <c r="BB421" s="78">
        <v>43830</v>
      </c>
      <c r="BC421" s="344"/>
      <c r="BD421" s="5">
        <v>43784</v>
      </c>
      <c r="BE421" s="5">
        <v>43829</v>
      </c>
      <c r="BF421" s="5">
        <v>43829</v>
      </c>
      <c r="BG421" s="38">
        <f>AR421</f>
        <v>875309.47</v>
      </c>
      <c r="BH421" s="64">
        <v>43830</v>
      </c>
      <c r="BI421" s="372">
        <v>43780</v>
      </c>
      <c r="BJ421" s="76">
        <v>43783</v>
      </c>
      <c r="BK421" s="76">
        <v>43783</v>
      </c>
      <c r="BL421" s="76"/>
      <c r="BM421" s="76"/>
      <c r="BN421" s="76"/>
      <c r="BO421" s="1054"/>
      <c r="BP421" s="1052" t="s">
        <v>68</v>
      </c>
      <c r="BQ421" s="1053"/>
      <c r="BR421" s="372">
        <v>43805</v>
      </c>
      <c r="BS421" s="372">
        <v>43808</v>
      </c>
      <c r="BT421" s="14"/>
      <c r="BU421" s="14"/>
      <c r="BV421" s="14"/>
      <c r="BW421" s="14"/>
      <c r="BX421" s="14"/>
      <c r="BY421" s="1433" t="s">
        <v>2098</v>
      </c>
      <c r="BZ421" s="649" t="s">
        <v>1143</v>
      </c>
      <c r="CA421" s="582"/>
      <c r="CB421" s="582"/>
      <c r="CC421" s="582"/>
      <c r="CD421" s="582"/>
      <c r="CE421" s="582"/>
      <c r="CF421" s="582"/>
      <c r="CG421" s="582"/>
      <c r="CH421" s="16"/>
    </row>
    <row r="422" spans="1:86" ht="49.5" hidden="1" customHeight="1">
      <c r="B422" s="23"/>
      <c r="C422" s="23"/>
      <c r="D422" s="23"/>
      <c r="E422" s="1051"/>
      <c r="F422" s="1051"/>
      <c r="G422" s="1055">
        <v>43985</v>
      </c>
      <c r="H422" s="365">
        <v>43985</v>
      </c>
      <c r="I422" s="182">
        <v>2020</v>
      </c>
      <c r="J422" s="1678">
        <v>200.3</v>
      </c>
      <c r="K422" s="716" t="s">
        <v>2875</v>
      </c>
      <c r="L422" s="739" t="s">
        <v>2876</v>
      </c>
      <c r="M422" s="185" t="s">
        <v>467</v>
      </c>
      <c r="N422" s="186" t="s">
        <v>2877</v>
      </c>
      <c r="O422" s="186" t="s">
        <v>2611</v>
      </c>
      <c r="P422" s="187">
        <v>962427.31</v>
      </c>
      <c r="Q422" s="664">
        <v>43943</v>
      </c>
      <c r="R422" s="189" t="s">
        <v>68</v>
      </c>
      <c r="S422" s="190" t="s">
        <v>68</v>
      </c>
      <c r="T422" s="111" t="s">
        <v>68</v>
      </c>
      <c r="U422" s="191" t="s">
        <v>1177</v>
      </c>
      <c r="V422" s="716" t="s">
        <v>1177</v>
      </c>
      <c r="W422" s="740" t="s">
        <v>68</v>
      </c>
      <c r="X422" s="1629"/>
      <c r="Y422" s="180" t="s">
        <v>3041</v>
      </c>
      <c r="Z422" s="9">
        <v>43972</v>
      </c>
      <c r="AA422" s="65">
        <v>962427.31</v>
      </c>
      <c r="AB422" s="4"/>
      <c r="AC422" s="34"/>
      <c r="AD422" s="36" t="s">
        <v>68</v>
      </c>
      <c r="AE422" s="119" t="s">
        <v>68</v>
      </c>
      <c r="AF422" s="119" t="s">
        <v>68</v>
      </c>
      <c r="AG422" s="7" t="s">
        <v>68</v>
      </c>
      <c r="AH422" s="116" t="s">
        <v>68</v>
      </c>
      <c r="AI422" s="35" t="s">
        <v>68</v>
      </c>
      <c r="AJ422" s="1" t="s">
        <v>68</v>
      </c>
      <c r="AK422" s="5"/>
      <c r="AL422" s="1" t="s">
        <v>68</v>
      </c>
      <c r="AM422" s="5"/>
      <c r="AN422" s="1" t="s">
        <v>68</v>
      </c>
      <c r="AO422" s="5"/>
      <c r="AP422" s="306">
        <v>0</v>
      </c>
      <c r="AQ422" s="74">
        <v>0</v>
      </c>
      <c r="AR422" s="1032">
        <v>0</v>
      </c>
      <c r="AS422" s="1019">
        <v>0</v>
      </c>
      <c r="AT422" s="78" t="s">
        <v>68</v>
      </c>
      <c r="AU422" s="12"/>
      <c r="AV422" s="243"/>
      <c r="AW422" s="54"/>
      <c r="AX422" s="78" t="s">
        <v>1177</v>
      </c>
      <c r="AY422" s="255"/>
      <c r="AZ422" s="255"/>
      <c r="BA422" s="245"/>
      <c r="BB422" s="78" t="s">
        <v>1177</v>
      </c>
      <c r="BC422" s="344"/>
      <c r="BD422" s="5"/>
      <c r="BE422" s="5"/>
      <c r="BF422" s="5"/>
      <c r="BG422" s="38">
        <f t="shared" ref="BG422:BG433" si="13">AQ422+AR422</f>
        <v>0</v>
      </c>
      <c r="BH422" s="64" t="s">
        <v>68</v>
      </c>
      <c r="BI422" s="794" t="s">
        <v>68</v>
      </c>
      <c r="BJ422" s="795" t="s">
        <v>68</v>
      </c>
      <c r="BK422" s="795" t="s">
        <v>68</v>
      </c>
      <c r="BL422" s="795"/>
      <c r="BM422" s="795"/>
      <c r="BN422" s="795"/>
      <c r="BO422" s="1054"/>
      <c r="BP422" s="795" t="s">
        <v>68</v>
      </c>
      <c r="BQ422" s="795"/>
      <c r="BR422" s="795" t="s">
        <v>68</v>
      </c>
      <c r="BS422" s="794" t="s">
        <v>68</v>
      </c>
      <c r="BT422" s="14"/>
      <c r="BU422" s="14" t="s">
        <v>1177</v>
      </c>
      <c r="BV422" s="14"/>
      <c r="BW422" s="14"/>
      <c r="BX422" s="14"/>
      <c r="BY422" s="1433" t="s">
        <v>2098</v>
      </c>
      <c r="BZ422" s="40"/>
      <c r="CA422" s="582"/>
      <c r="CB422" s="582"/>
      <c r="CC422" s="582"/>
      <c r="CD422" s="582"/>
      <c r="CE422" s="582"/>
      <c r="CF422" s="582"/>
      <c r="CG422" s="582"/>
      <c r="CH422" s="16"/>
    </row>
    <row r="423" spans="1:86" ht="58.5" hidden="1" customHeight="1">
      <c r="B423" s="23"/>
      <c r="C423" s="23"/>
      <c r="D423" s="23"/>
      <c r="E423" s="1051"/>
      <c r="F423" s="1051"/>
      <c r="G423" s="1055"/>
      <c r="H423" s="365">
        <v>44196</v>
      </c>
      <c r="I423" s="182">
        <v>2020</v>
      </c>
      <c r="J423" s="1678">
        <v>200.4</v>
      </c>
      <c r="K423" s="716" t="s">
        <v>3340</v>
      </c>
      <c r="L423" s="739" t="s">
        <v>3361</v>
      </c>
      <c r="M423" s="185" t="s">
        <v>467</v>
      </c>
      <c r="N423" s="186" t="s">
        <v>3362</v>
      </c>
      <c r="O423" s="186" t="s">
        <v>1979</v>
      </c>
      <c r="P423" s="187">
        <v>1600000</v>
      </c>
      <c r="Q423" s="664">
        <v>44162</v>
      </c>
      <c r="R423" s="189" t="s">
        <v>68</v>
      </c>
      <c r="S423" s="190" t="s">
        <v>68</v>
      </c>
      <c r="T423" s="111" t="s">
        <v>68</v>
      </c>
      <c r="U423" s="191" t="s">
        <v>1177</v>
      </c>
      <c r="V423" s="716" t="s">
        <v>1177</v>
      </c>
      <c r="W423" s="740" t="s">
        <v>68</v>
      </c>
      <c r="X423" s="1629"/>
      <c r="Y423" s="180" t="s">
        <v>3363</v>
      </c>
      <c r="Z423" s="9">
        <v>44153</v>
      </c>
      <c r="AA423" s="4">
        <v>1600000</v>
      </c>
      <c r="AB423" s="4"/>
      <c r="AC423" s="34"/>
      <c r="AD423" s="36" t="s">
        <v>68</v>
      </c>
      <c r="AE423" s="119" t="s">
        <v>68</v>
      </c>
      <c r="AF423" s="119" t="s">
        <v>68</v>
      </c>
      <c r="AG423" s="7" t="s">
        <v>68</v>
      </c>
      <c r="AH423" s="116" t="s">
        <v>68</v>
      </c>
      <c r="AI423" s="35" t="s">
        <v>68</v>
      </c>
      <c r="AJ423" s="1" t="s">
        <v>68</v>
      </c>
      <c r="AK423" s="5"/>
      <c r="AL423" s="1" t="s">
        <v>68</v>
      </c>
      <c r="AM423" s="5"/>
      <c r="AN423" s="1" t="s">
        <v>68</v>
      </c>
      <c r="AO423" s="5"/>
      <c r="AP423" s="306">
        <v>0</v>
      </c>
      <c r="AQ423" s="74">
        <v>0</v>
      </c>
      <c r="AR423" s="1032">
        <v>0</v>
      </c>
      <c r="AS423" s="1019">
        <v>0</v>
      </c>
      <c r="AT423" s="78" t="s">
        <v>68</v>
      </c>
      <c r="AU423" s="12"/>
      <c r="AV423" s="243"/>
      <c r="AW423" s="54"/>
      <c r="AX423" s="78" t="s">
        <v>1177</v>
      </c>
      <c r="AY423" s="255"/>
      <c r="AZ423" s="255"/>
      <c r="BA423" s="245"/>
      <c r="BB423" s="78" t="s">
        <v>1177</v>
      </c>
      <c r="BC423" s="344"/>
      <c r="BD423" s="5"/>
      <c r="BE423" s="5"/>
      <c r="BF423" s="5"/>
      <c r="BG423" s="38">
        <f>AQ423+AR423</f>
        <v>0</v>
      </c>
      <c r="BH423" s="64" t="s">
        <v>68</v>
      </c>
      <c r="BI423" s="794" t="s">
        <v>68</v>
      </c>
      <c r="BJ423" s="795" t="s">
        <v>68</v>
      </c>
      <c r="BK423" s="795" t="s">
        <v>68</v>
      </c>
      <c r="BL423" s="795"/>
      <c r="BM423" s="795"/>
      <c r="BN423" s="795"/>
      <c r="BO423" s="1054"/>
      <c r="BP423" s="795" t="s">
        <v>68</v>
      </c>
      <c r="BQ423" s="795"/>
      <c r="BR423" s="795" t="s">
        <v>68</v>
      </c>
      <c r="BS423" s="794" t="s">
        <v>68</v>
      </c>
      <c r="BT423" s="14"/>
      <c r="BU423" s="14" t="s">
        <v>1177</v>
      </c>
      <c r="BV423" s="14"/>
      <c r="BW423" s="14"/>
      <c r="BX423" s="14"/>
      <c r="BY423" s="1433" t="s">
        <v>2098</v>
      </c>
      <c r="BZ423" s="40"/>
      <c r="CA423" s="582"/>
      <c r="CB423" s="582"/>
      <c r="CC423" s="582"/>
      <c r="CD423" s="582"/>
      <c r="CE423" s="582"/>
      <c r="CF423" s="582"/>
      <c r="CG423" s="582"/>
      <c r="CH423" s="16"/>
    </row>
    <row r="424" spans="1:86" s="110" customFormat="1" ht="105" hidden="1" customHeight="1">
      <c r="A424" s="1711"/>
      <c r="B424" s="23"/>
      <c r="C424" s="23"/>
      <c r="D424" s="23"/>
      <c r="E424" s="1051"/>
      <c r="F424" s="1051"/>
      <c r="G424" s="1055" t="s">
        <v>68</v>
      </c>
      <c r="H424" s="365">
        <v>44196</v>
      </c>
      <c r="I424" s="182">
        <v>2020</v>
      </c>
      <c r="J424" s="1678">
        <v>200.6</v>
      </c>
      <c r="K424" s="716" t="s">
        <v>867</v>
      </c>
      <c r="L424" s="739" t="s">
        <v>3254</v>
      </c>
      <c r="M424" s="185" t="s">
        <v>467</v>
      </c>
      <c r="N424" s="186" t="s">
        <v>3356</v>
      </c>
      <c r="O424" s="186" t="s">
        <v>1979</v>
      </c>
      <c r="P424" s="187">
        <v>20000000</v>
      </c>
      <c r="Q424" s="664">
        <v>44054</v>
      </c>
      <c r="R424" s="189" t="s">
        <v>68</v>
      </c>
      <c r="S424" s="190" t="s">
        <v>68</v>
      </c>
      <c r="T424" s="111" t="s">
        <v>68</v>
      </c>
      <c r="U424" s="191" t="s">
        <v>1177</v>
      </c>
      <c r="V424" s="716" t="s">
        <v>1177</v>
      </c>
      <c r="W424" s="740" t="s">
        <v>68</v>
      </c>
      <c r="X424" s="1629"/>
      <c r="Y424" s="180" t="s">
        <v>3357</v>
      </c>
      <c r="Z424" s="9">
        <v>43972</v>
      </c>
      <c r="AA424" s="4">
        <v>11636000</v>
      </c>
      <c r="AB424" s="1402" t="s">
        <v>3334</v>
      </c>
      <c r="AC424" s="34">
        <v>10000000</v>
      </c>
      <c r="AD424" s="36" t="s">
        <v>68</v>
      </c>
      <c r="AE424" s="119" t="s">
        <v>68</v>
      </c>
      <c r="AF424" s="119" t="s">
        <v>68</v>
      </c>
      <c r="AG424" s="7" t="s">
        <v>68</v>
      </c>
      <c r="AH424" s="116" t="s">
        <v>68</v>
      </c>
      <c r="AI424" s="35" t="s">
        <v>68</v>
      </c>
      <c r="AJ424" s="1" t="s">
        <v>68</v>
      </c>
      <c r="AK424" s="5"/>
      <c r="AL424" s="1" t="s">
        <v>68</v>
      </c>
      <c r="AM424" s="5"/>
      <c r="AN424" s="1" t="s">
        <v>68</v>
      </c>
      <c r="AO424" s="5"/>
      <c r="AP424" s="306">
        <v>0</v>
      </c>
      <c r="AQ424" s="74">
        <v>0</v>
      </c>
      <c r="AR424" s="1032">
        <v>0</v>
      </c>
      <c r="AS424" s="1019">
        <v>0</v>
      </c>
      <c r="AT424" s="78" t="s">
        <v>68</v>
      </c>
      <c r="AU424" s="12"/>
      <c r="AV424" s="243"/>
      <c r="AW424" s="54"/>
      <c r="AX424" s="78" t="s">
        <v>1177</v>
      </c>
      <c r="AY424" s="255"/>
      <c r="AZ424" s="255"/>
      <c r="BA424" s="245"/>
      <c r="BB424" s="78" t="s">
        <v>1177</v>
      </c>
      <c r="BC424" s="344"/>
      <c r="BD424" s="5"/>
      <c r="BE424" s="5"/>
      <c r="BF424" s="5"/>
      <c r="BG424" s="38">
        <f>AQ424+AR424</f>
        <v>0</v>
      </c>
      <c r="BH424" s="64" t="s">
        <v>68</v>
      </c>
      <c r="BI424" s="794" t="s">
        <v>68</v>
      </c>
      <c r="BJ424" s="795" t="s">
        <v>68</v>
      </c>
      <c r="BK424" s="795" t="s">
        <v>68</v>
      </c>
      <c r="BL424" s="795"/>
      <c r="BM424" s="795"/>
      <c r="BN424" s="795"/>
      <c r="BO424" s="1054"/>
      <c r="BP424" s="795" t="s">
        <v>68</v>
      </c>
      <c r="BQ424" s="795"/>
      <c r="BR424" s="795" t="s">
        <v>68</v>
      </c>
      <c r="BS424" s="794" t="s">
        <v>68</v>
      </c>
      <c r="BT424" s="14"/>
      <c r="BU424" s="14" t="s">
        <v>1177</v>
      </c>
      <c r="BV424" s="14"/>
      <c r="BW424" s="14"/>
      <c r="BX424" s="14"/>
      <c r="BY424" s="1433" t="s">
        <v>2098</v>
      </c>
      <c r="BZ424" s="40"/>
      <c r="CA424" s="583"/>
      <c r="CB424" s="583"/>
      <c r="CC424" s="583"/>
      <c r="CD424" s="583"/>
      <c r="CE424" s="583"/>
      <c r="CF424" s="583"/>
      <c r="CG424" s="583"/>
      <c r="CH424" s="707"/>
    </row>
    <row r="425" spans="1:86" ht="49.5" hidden="1" customHeight="1">
      <c r="B425" s="23"/>
      <c r="C425" s="23"/>
      <c r="D425" s="23"/>
      <c r="E425" s="1051"/>
      <c r="F425" s="1051"/>
      <c r="G425" s="1055"/>
      <c r="H425" s="365">
        <v>44211</v>
      </c>
      <c r="I425" s="182">
        <v>2020</v>
      </c>
      <c r="J425" s="1678">
        <v>200.7</v>
      </c>
      <c r="K425" s="716" t="s">
        <v>3391</v>
      </c>
      <c r="L425" s="739" t="s">
        <v>3392</v>
      </c>
      <c r="M425" s="185" t="s">
        <v>467</v>
      </c>
      <c r="N425" s="186" t="s">
        <v>3393</v>
      </c>
      <c r="O425" s="186" t="s">
        <v>1979</v>
      </c>
      <c r="P425" s="187">
        <v>2755548.61</v>
      </c>
      <c r="Q425" s="664">
        <v>44174</v>
      </c>
      <c r="R425" s="189" t="s">
        <v>68</v>
      </c>
      <c r="S425" s="190" t="s">
        <v>68</v>
      </c>
      <c r="T425" s="111" t="s">
        <v>68</v>
      </c>
      <c r="U425" s="191" t="s">
        <v>1177</v>
      </c>
      <c r="V425" s="716" t="s">
        <v>1177</v>
      </c>
      <c r="W425" s="740" t="s">
        <v>68</v>
      </c>
      <c r="X425" s="1629"/>
      <c r="Y425" s="373" t="s">
        <v>74</v>
      </c>
      <c r="Z425" s="9"/>
      <c r="AA425" s="4"/>
      <c r="AB425" s="4"/>
      <c r="AC425" s="34"/>
      <c r="AD425" s="36" t="s">
        <v>68</v>
      </c>
      <c r="AE425" s="119" t="s">
        <v>68</v>
      </c>
      <c r="AF425" s="119" t="s">
        <v>68</v>
      </c>
      <c r="AG425" s="7" t="s">
        <v>68</v>
      </c>
      <c r="AH425" s="116" t="s">
        <v>68</v>
      </c>
      <c r="AI425" s="35" t="s">
        <v>68</v>
      </c>
      <c r="AJ425" s="1" t="s">
        <v>68</v>
      </c>
      <c r="AK425" s="5"/>
      <c r="AL425" s="1" t="s">
        <v>68</v>
      </c>
      <c r="AM425" s="5"/>
      <c r="AN425" s="1" t="s">
        <v>68</v>
      </c>
      <c r="AO425" s="5"/>
      <c r="AP425" s="306">
        <v>0</v>
      </c>
      <c r="AQ425" s="74">
        <v>0</v>
      </c>
      <c r="AR425" s="1032">
        <v>0</v>
      </c>
      <c r="AS425" s="1019">
        <v>0</v>
      </c>
      <c r="AT425" s="78" t="s">
        <v>68</v>
      </c>
      <c r="AU425" s="12"/>
      <c r="AV425" s="243"/>
      <c r="AW425" s="54"/>
      <c r="AX425" s="78" t="s">
        <v>1177</v>
      </c>
      <c r="AY425" s="255"/>
      <c r="AZ425" s="255"/>
      <c r="BA425" s="245"/>
      <c r="BB425" s="78" t="s">
        <v>1177</v>
      </c>
      <c r="BC425" s="344"/>
      <c r="BD425" s="5"/>
      <c r="BE425" s="5"/>
      <c r="BF425" s="5"/>
      <c r="BG425" s="38">
        <f>AQ425+AR425</f>
        <v>0</v>
      </c>
      <c r="BH425" s="64" t="s">
        <v>68</v>
      </c>
      <c r="BI425" s="794" t="s">
        <v>68</v>
      </c>
      <c r="BJ425" s="795" t="s">
        <v>68</v>
      </c>
      <c r="BK425" s="795" t="s">
        <v>68</v>
      </c>
      <c r="BL425" s="795"/>
      <c r="BM425" s="795"/>
      <c r="BN425" s="795"/>
      <c r="BO425" s="1054"/>
      <c r="BP425" s="795" t="s">
        <v>68</v>
      </c>
      <c r="BQ425" s="795"/>
      <c r="BR425" s="795" t="s">
        <v>68</v>
      </c>
      <c r="BS425" s="794" t="s">
        <v>68</v>
      </c>
      <c r="BT425" s="14"/>
      <c r="BU425" s="14" t="s">
        <v>1177</v>
      </c>
      <c r="BV425" s="14"/>
      <c r="BW425" s="14"/>
      <c r="BX425" s="14"/>
      <c r="BY425" s="1433" t="s">
        <v>2098</v>
      </c>
      <c r="BZ425" s="40"/>
      <c r="CA425" s="582"/>
      <c r="CB425" s="582"/>
      <c r="CC425" s="582"/>
      <c r="CD425" s="582"/>
      <c r="CE425" s="582"/>
      <c r="CF425" s="582"/>
      <c r="CG425" s="582"/>
      <c r="CH425" s="16"/>
    </row>
    <row r="426" spans="1:86" ht="46.5" hidden="1" customHeight="1">
      <c r="B426" s="23"/>
      <c r="C426" s="23"/>
      <c r="D426" s="23"/>
      <c r="E426" s="1051"/>
      <c r="F426" s="1051"/>
      <c r="G426" s="1055"/>
      <c r="H426" s="365">
        <v>44196</v>
      </c>
      <c r="I426" s="182">
        <v>2020</v>
      </c>
      <c r="J426" s="1678">
        <v>200.8</v>
      </c>
      <c r="K426" s="1404" t="s">
        <v>3276</v>
      </c>
      <c r="L426" s="739" t="s">
        <v>3358</v>
      </c>
      <c r="M426" s="185" t="s">
        <v>467</v>
      </c>
      <c r="N426" s="186" t="s">
        <v>3359</v>
      </c>
      <c r="O426" s="186" t="s">
        <v>2611</v>
      </c>
      <c r="P426" s="187">
        <v>7000000</v>
      </c>
      <c r="Q426" s="664">
        <v>44085</v>
      </c>
      <c r="R426" s="189" t="s">
        <v>68</v>
      </c>
      <c r="S426" s="190" t="s">
        <v>68</v>
      </c>
      <c r="T426" s="111" t="s">
        <v>68</v>
      </c>
      <c r="U426" s="191" t="s">
        <v>1177</v>
      </c>
      <c r="V426" s="716" t="s">
        <v>1177</v>
      </c>
      <c r="W426" s="740" t="s">
        <v>68</v>
      </c>
      <c r="X426" s="1629"/>
      <c r="Y426" s="180" t="s">
        <v>3360</v>
      </c>
      <c r="Z426" s="9">
        <v>44082</v>
      </c>
      <c r="AA426" s="4"/>
      <c r="AB426" s="4"/>
      <c r="AC426" s="34"/>
      <c r="AD426" s="36" t="s">
        <v>68</v>
      </c>
      <c r="AE426" s="119" t="s">
        <v>68</v>
      </c>
      <c r="AF426" s="119" t="s">
        <v>68</v>
      </c>
      <c r="AG426" s="7" t="s">
        <v>68</v>
      </c>
      <c r="AH426" s="116" t="s">
        <v>68</v>
      </c>
      <c r="AI426" s="35" t="s">
        <v>68</v>
      </c>
      <c r="AJ426" s="1" t="s">
        <v>68</v>
      </c>
      <c r="AK426" s="5"/>
      <c r="AL426" s="1" t="s">
        <v>68</v>
      </c>
      <c r="AM426" s="5"/>
      <c r="AN426" s="1" t="s">
        <v>68</v>
      </c>
      <c r="AO426" s="5"/>
      <c r="AP426" s="306">
        <v>0</v>
      </c>
      <c r="AQ426" s="74">
        <v>0</v>
      </c>
      <c r="AR426" s="1032">
        <v>0</v>
      </c>
      <c r="AS426" s="1019">
        <v>0</v>
      </c>
      <c r="AT426" s="78" t="s">
        <v>68</v>
      </c>
      <c r="AU426" s="12"/>
      <c r="AV426" s="243"/>
      <c r="AW426" s="54"/>
      <c r="AX426" s="78" t="s">
        <v>1177</v>
      </c>
      <c r="AY426" s="255"/>
      <c r="AZ426" s="255"/>
      <c r="BA426" s="245"/>
      <c r="BB426" s="78" t="s">
        <v>1177</v>
      </c>
      <c r="BC426" s="344"/>
      <c r="BD426" s="5"/>
      <c r="BE426" s="5"/>
      <c r="BF426" s="5"/>
      <c r="BG426" s="38">
        <f>AQ426+AR426</f>
        <v>0</v>
      </c>
      <c r="BH426" s="64" t="s">
        <v>68</v>
      </c>
      <c r="BI426" s="794" t="s">
        <v>68</v>
      </c>
      <c r="BJ426" s="795" t="s">
        <v>68</v>
      </c>
      <c r="BK426" s="795" t="s">
        <v>68</v>
      </c>
      <c r="BL426" s="795"/>
      <c r="BM426" s="795"/>
      <c r="BN426" s="795"/>
      <c r="BO426" s="1054"/>
      <c r="BP426" s="795" t="s">
        <v>68</v>
      </c>
      <c r="BQ426" s="795"/>
      <c r="BR426" s="795" t="s">
        <v>68</v>
      </c>
      <c r="BS426" s="794" t="s">
        <v>68</v>
      </c>
      <c r="BT426" s="14"/>
      <c r="BU426" s="14" t="s">
        <v>1177</v>
      </c>
      <c r="BV426" s="14"/>
      <c r="BW426" s="14"/>
      <c r="BX426" s="14"/>
      <c r="BY426" s="1433" t="s">
        <v>2098</v>
      </c>
      <c r="BZ426" s="40"/>
      <c r="CA426" s="582"/>
      <c r="CB426" s="582"/>
      <c r="CC426" s="582"/>
      <c r="CD426" s="582"/>
      <c r="CE426" s="582"/>
      <c r="CF426" s="582"/>
      <c r="CG426" s="582"/>
      <c r="CH426" s="16"/>
    </row>
    <row r="427" spans="1:86" ht="66.75" hidden="1" customHeight="1">
      <c r="B427" s="23"/>
      <c r="C427" s="23"/>
      <c r="D427" s="23"/>
      <c r="E427" s="1051">
        <v>44075</v>
      </c>
      <c r="F427" s="1051"/>
      <c r="G427" s="1055"/>
      <c r="H427" s="365">
        <v>44331</v>
      </c>
      <c r="I427" s="182">
        <v>2020</v>
      </c>
      <c r="J427" s="1678">
        <v>201.01</v>
      </c>
      <c r="K427" s="716" t="s">
        <v>166</v>
      </c>
      <c r="L427" s="739" t="s">
        <v>2760</v>
      </c>
      <c r="M427" s="2" t="s">
        <v>4077</v>
      </c>
      <c r="N427" s="186" t="s">
        <v>2879</v>
      </c>
      <c r="O427" s="186" t="s">
        <v>4459</v>
      </c>
      <c r="P427" s="187">
        <v>149601.96</v>
      </c>
      <c r="Q427" s="664">
        <v>43924</v>
      </c>
      <c r="R427" s="189">
        <v>43893</v>
      </c>
      <c r="S427" s="190">
        <v>43982</v>
      </c>
      <c r="T427" s="111" t="s">
        <v>68</v>
      </c>
      <c r="U427" s="191" t="s">
        <v>1177</v>
      </c>
      <c r="V427" s="716" t="s">
        <v>709</v>
      </c>
      <c r="W427" s="740" t="s">
        <v>1431</v>
      </c>
      <c r="X427" s="1629" t="s">
        <v>1177</v>
      </c>
      <c r="Y427" s="266" t="s">
        <v>2880</v>
      </c>
      <c r="Z427" s="9">
        <v>43923</v>
      </c>
      <c r="AA427" s="4">
        <v>149601.96</v>
      </c>
      <c r="AB427" s="4"/>
      <c r="AC427" s="34"/>
      <c r="AD427" s="36" t="s">
        <v>68</v>
      </c>
      <c r="AE427" s="119" t="s">
        <v>68</v>
      </c>
      <c r="AF427" s="119" t="s">
        <v>68</v>
      </c>
      <c r="AG427" s="7" t="s">
        <v>68</v>
      </c>
      <c r="AH427" s="116" t="s">
        <v>68</v>
      </c>
      <c r="AI427" s="35" t="s">
        <v>68</v>
      </c>
      <c r="AJ427" s="1" t="s">
        <v>68</v>
      </c>
      <c r="AK427" s="5"/>
      <c r="AL427" s="1" t="s">
        <v>68</v>
      </c>
      <c r="AM427" s="5"/>
      <c r="AN427" s="1" t="s">
        <v>68</v>
      </c>
      <c r="AO427" s="5"/>
      <c r="AP427" s="306">
        <v>0</v>
      </c>
      <c r="AQ427" s="771"/>
      <c r="AR427" s="1038">
        <v>148382.19</v>
      </c>
      <c r="AS427" s="1611">
        <v>211254.19</v>
      </c>
      <c r="AT427" s="68" t="s">
        <v>74</v>
      </c>
      <c r="AU427" s="12"/>
      <c r="AV427" s="243"/>
      <c r="AW427" s="54"/>
      <c r="AX427" s="68" t="s">
        <v>74</v>
      </c>
      <c r="AY427" s="255"/>
      <c r="AZ427" s="255"/>
      <c r="BA427" s="245"/>
      <c r="BB427" s="68" t="s">
        <v>74</v>
      </c>
      <c r="BC427" s="1686"/>
      <c r="BD427" s="5"/>
      <c r="BE427" s="5"/>
      <c r="BF427" s="5"/>
      <c r="BG427" s="38">
        <f t="shared" si="13"/>
        <v>148382.19</v>
      </c>
      <c r="BH427" s="64" t="s">
        <v>68</v>
      </c>
      <c r="BI427" s="1228"/>
      <c r="BJ427" s="795" t="s">
        <v>68</v>
      </c>
      <c r="BK427" s="795" t="s">
        <v>68</v>
      </c>
      <c r="BL427" s="795"/>
      <c r="BM427" s="795"/>
      <c r="BN427" s="795"/>
      <c r="BO427" s="1054"/>
      <c r="BP427" s="795" t="s">
        <v>68</v>
      </c>
      <c r="BQ427" s="795"/>
      <c r="BR427" s="795" t="s">
        <v>68</v>
      </c>
      <c r="BS427" s="794" t="s">
        <v>68</v>
      </c>
      <c r="BT427" s="14"/>
      <c r="BU427" s="1468" t="s">
        <v>3773</v>
      </c>
      <c r="BV427" s="14"/>
      <c r="BW427" s="14"/>
      <c r="BX427" s="14"/>
      <c r="BY427" s="1433" t="s">
        <v>2098</v>
      </c>
      <c r="BZ427" s="40"/>
      <c r="CA427" s="582"/>
      <c r="CB427" s="582"/>
      <c r="CC427" s="582"/>
      <c r="CD427" s="582"/>
      <c r="CE427" s="582"/>
      <c r="CF427" s="582"/>
      <c r="CG427" s="582"/>
      <c r="CH427" s="16"/>
    </row>
    <row r="428" spans="1:86" ht="59.25" hidden="1" customHeight="1">
      <c r="B428" s="23"/>
      <c r="C428" s="23"/>
      <c r="D428" s="23"/>
      <c r="E428" s="1051">
        <v>44408</v>
      </c>
      <c r="F428" s="1051"/>
      <c r="G428" s="1055">
        <v>44286</v>
      </c>
      <c r="H428" s="365">
        <v>44331</v>
      </c>
      <c r="I428" s="182">
        <v>2020</v>
      </c>
      <c r="J428" s="1678">
        <v>201.02</v>
      </c>
      <c r="K428" s="716" t="s">
        <v>166</v>
      </c>
      <c r="L428" s="739" t="s">
        <v>2761</v>
      </c>
      <c r="M428" s="2" t="s">
        <v>4077</v>
      </c>
      <c r="N428" s="186" t="s">
        <v>3010</v>
      </c>
      <c r="O428" s="186" t="s">
        <v>4458</v>
      </c>
      <c r="P428" s="187">
        <v>655000</v>
      </c>
      <c r="Q428" s="664">
        <v>43924</v>
      </c>
      <c r="R428" s="189">
        <v>43924</v>
      </c>
      <c r="S428" s="190">
        <v>44043</v>
      </c>
      <c r="T428" s="111" t="s">
        <v>68</v>
      </c>
      <c r="U428" s="191" t="s">
        <v>1177</v>
      </c>
      <c r="V428" s="1713" t="s">
        <v>3049</v>
      </c>
      <c r="W428" s="740" t="s">
        <v>1431</v>
      </c>
      <c r="X428" s="1629" t="s">
        <v>1177</v>
      </c>
      <c r="Y428" s="280" t="s">
        <v>3040</v>
      </c>
      <c r="Z428" s="9">
        <v>43865</v>
      </c>
      <c r="AA428" s="4">
        <v>405000</v>
      </c>
      <c r="AB428" s="4"/>
      <c r="AC428" s="34"/>
      <c r="AD428" s="36" t="s">
        <v>68</v>
      </c>
      <c r="AE428" s="119" t="s">
        <v>68</v>
      </c>
      <c r="AF428" s="119" t="s">
        <v>68</v>
      </c>
      <c r="AG428" s="7" t="s">
        <v>68</v>
      </c>
      <c r="AH428" s="116" t="s">
        <v>68</v>
      </c>
      <c r="AI428" s="35" t="s">
        <v>68</v>
      </c>
      <c r="AJ428" s="1" t="s">
        <v>68</v>
      </c>
      <c r="AK428" s="5"/>
      <c r="AL428" s="1" t="s">
        <v>68</v>
      </c>
      <c r="AM428" s="5"/>
      <c r="AN428" s="1" t="s">
        <v>68</v>
      </c>
      <c r="AO428" s="5"/>
      <c r="AP428" s="306">
        <v>0</v>
      </c>
      <c r="AQ428" s="771"/>
      <c r="AR428" s="1040"/>
      <c r="AS428" s="1019">
        <v>805778.19</v>
      </c>
      <c r="AT428" s="68" t="s">
        <v>74</v>
      </c>
      <c r="AU428" s="12"/>
      <c r="AV428" s="243"/>
      <c r="AW428" s="54"/>
      <c r="AX428" s="68" t="s">
        <v>74</v>
      </c>
      <c r="AY428" s="255"/>
      <c r="AZ428" s="255"/>
      <c r="BA428" s="245"/>
      <c r="BB428" s="68" t="s">
        <v>74</v>
      </c>
      <c r="BC428" s="1686"/>
      <c r="BD428" s="5"/>
      <c r="BE428" s="5"/>
      <c r="BF428" s="5"/>
      <c r="BG428" s="38">
        <f t="shared" si="13"/>
        <v>0</v>
      </c>
      <c r="BH428" s="64" t="s">
        <v>68</v>
      </c>
      <c r="BI428" s="1228"/>
      <c r="BJ428" s="795" t="s">
        <v>68</v>
      </c>
      <c r="BK428" s="795" t="s">
        <v>68</v>
      </c>
      <c r="BL428" s="795"/>
      <c r="BM428" s="795"/>
      <c r="BN428" s="795"/>
      <c r="BO428" s="1054"/>
      <c r="BP428" s="795" t="s">
        <v>68</v>
      </c>
      <c r="BQ428" s="795"/>
      <c r="BR428" s="795" t="s">
        <v>68</v>
      </c>
      <c r="BS428" s="794" t="s">
        <v>68</v>
      </c>
      <c r="BT428" s="14"/>
      <c r="BU428" s="1468" t="s">
        <v>3773</v>
      </c>
      <c r="BV428" s="14"/>
      <c r="BW428" s="14"/>
      <c r="BX428" s="14"/>
      <c r="BY428" s="1433" t="s">
        <v>2098</v>
      </c>
      <c r="BZ428" s="40"/>
      <c r="CA428" s="582"/>
      <c r="CB428" s="582"/>
      <c r="CC428" s="582"/>
      <c r="CD428" s="582"/>
      <c r="CE428" s="582"/>
      <c r="CF428" s="582"/>
      <c r="CG428" s="582"/>
      <c r="CH428" s="16"/>
    </row>
    <row r="429" spans="1:86" ht="85.5" hidden="1" customHeight="1">
      <c r="B429" s="23"/>
      <c r="C429" s="1720">
        <v>44494</v>
      </c>
      <c r="D429" s="1720"/>
      <c r="E429" s="1051">
        <v>44408</v>
      </c>
      <c r="F429" s="1051"/>
      <c r="G429" s="1055">
        <v>44279</v>
      </c>
      <c r="H429" s="365">
        <v>44176</v>
      </c>
      <c r="I429" s="182">
        <v>2020</v>
      </c>
      <c r="J429" s="1678">
        <v>201.03</v>
      </c>
      <c r="K429" s="716" t="s">
        <v>2875</v>
      </c>
      <c r="L429" s="739" t="s">
        <v>2762</v>
      </c>
      <c r="M429" s="2" t="s">
        <v>4077</v>
      </c>
      <c r="N429" s="186" t="s">
        <v>2898</v>
      </c>
      <c r="O429" s="186" t="s">
        <v>2650</v>
      </c>
      <c r="P429" s="187">
        <v>962427.31</v>
      </c>
      <c r="Q429" s="664">
        <v>43945</v>
      </c>
      <c r="R429" s="189">
        <v>43945</v>
      </c>
      <c r="S429" s="190">
        <v>44098</v>
      </c>
      <c r="T429" s="111" t="s">
        <v>68</v>
      </c>
      <c r="U429" s="191" t="s">
        <v>1177</v>
      </c>
      <c r="V429" s="1232" t="s">
        <v>213</v>
      </c>
      <c r="W429" s="740" t="s">
        <v>1431</v>
      </c>
      <c r="X429" s="1637"/>
      <c r="Y429" s="180" t="s">
        <v>3041</v>
      </c>
      <c r="Z429" s="9">
        <v>43972</v>
      </c>
      <c r="AA429" s="4">
        <v>962427.31</v>
      </c>
      <c r="AB429" s="4"/>
      <c r="AC429" s="34"/>
      <c r="AD429" s="36" t="s">
        <v>68</v>
      </c>
      <c r="AE429" s="119" t="s">
        <v>68</v>
      </c>
      <c r="AF429" s="119" t="s">
        <v>68</v>
      </c>
      <c r="AG429" s="7" t="s">
        <v>68</v>
      </c>
      <c r="AH429" s="116" t="s">
        <v>68</v>
      </c>
      <c r="AI429" s="35" t="s">
        <v>68</v>
      </c>
      <c r="AJ429" s="1" t="s">
        <v>68</v>
      </c>
      <c r="AK429" s="5"/>
      <c r="AL429" s="1" t="s">
        <v>68</v>
      </c>
      <c r="AM429" s="5"/>
      <c r="AN429" s="1" t="s">
        <v>68</v>
      </c>
      <c r="AO429" s="5"/>
      <c r="AP429" s="306">
        <v>0</v>
      </c>
      <c r="AQ429" s="771"/>
      <c r="AR429" s="1040"/>
      <c r="AS429" s="1019">
        <v>623373.34</v>
      </c>
      <c r="AT429" s="68" t="s">
        <v>74</v>
      </c>
      <c r="AU429" s="12"/>
      <c r="AV429" s="243"/>
      <c r="AW429" s="54"/>
      <c r="AX429" s="68" t="s">
        <v>74</v>
      </c>
      <c r="AY429" s="255"/>
      <c r="AZ429" s="255"/>
      <c r="BA429" s="245"/>
      <c r="BB429" s="68" t="s">
        <v>74</v>
      </c>
      <c r="BC429" s="1686"/>
      <c r="BD429" s="5"/>
      <c r="BE429" s="5"/>
      <c r="BF429" s="5"/>
      <c r="BG429" s="38">
        <f t="shared" si="13"/>
        <v>0</v>
      </c>
      <c r="BH429" s="64" t="s">
        <v>68</v>
      </c>
      <c r="BI429" s="1228"/>
      <c r="BJ429" s="795" t="s">
        <v>68</v>
      </c>
      <c r="BK429" s="795" t="s">
        <v>68</v>
      </c>
      <c r="BL429" s="795"/>
      <c r="BM429" s="795"/>
      <c r="BN429" s="795"/>
      <c r="BO429" s="1054"/>
      <c r="BP429" s="795" t="s">
        <v>68</v>
      </c>
      <c r="BQ429" s="795"/>
      <c r="BR429" s="795" t="s">
        <v>68</v>
      </c>
      <c r="BS429" s="794" t="s">
        <v>68</v>
      </c>
      <c r="BT429" s="14"/>
      <c r="BU429" s="1543" t="s">
        <v>3773</v>
      </c>
      <c r="BV429" s="14"/>
      <c r="BW429" s="14"/>
      <c r="BX429" s="14"/>
      <c r="BY429" s="1433" t="s">
        <v>2098</v>
      </c>
      <c r="BZ429" s="40"/>
      <c r="CA429" s="582"/>
      <c r="CB429" s="582"/>
      <c r="CC429" s="582"/>
      <c r="CD429" s="582"/>
      <c r="CE429" s="582"/>
      <c r="CF429" s="582"/>
      <c r="CG429" s="582"/>
      <c r="CH429" s="16"/>
    </row>
    <row r="430" spans="1:86" ht="104.25" hidden="1" customHeight="1">
      <c r="B430" s="335"/>
      <c r="C430" s="335"/>
      <c r="D430" s="335"/>
      <c r="E430" s="1640"/>
      <c r="F430" s="1640"/>
      <c r="G430" s="1055">
        <v>44440</v>
      </c>
      <c r="H430" s="365">
        <v>44446</v>
      </c>
      <c r="I430" s="1641">
        <v>2020</v>
      </c>
      <c r="J430" s="1678">
        <v>201.04</v>
      </c>
      <c r="K430" s="716" t="s">
        <v>166</v>
      </c>
      <c r="L430" s="739" t="s">
        <v>2763</v>
      </c>
      <c r="M430" s="2" t="s">
        <v>4077</v>
      </c>
      <c r="N430" s="495" t="s">
        <v>3912</v>
      </c>
      <c r="O430" s="495" t="s">
        <v>4458</v>
      </c>
      <c r="P430" s="661">
        <v>192779.35</v>
      </c>
      <c r="Q430" s="664">
        <v>43910</v>
      </c>
      <c r="R430" s="664">
        <v>43913</v>
      </c>
      <c r="S430" s="665">
        <v>43960</v>
      </c>
      <c r="T430" s="578" t="s">
        <v>68</v>
      </c>
      <c r="U430" s="191" t="s">
        <v>1177</v>
      </c>
      <c r="V430" s="1713" t="s">
        <v>3918</v>
      </c>
      <c r="W430" s="740" t="s">
        <v>1431</v>
      </c>
      <c r="X430" s="1629" t="s">
        <v>3910</v>
      </c>
      <c r="Y430" s="180" t="s">
        <v>3913</v>
      </c>
      <c r="Z430" s="137">
        <v>44005</v>
      </c>
      <c r="AA430" s="85">
        <v>192779.35</v>
      </c>
      <c r="AB430" s="85"/>
      <c r="AC430" s="741"/>
      <c r="AD430" s="645" t="s">
        <v>68</v>
      </c>
      <c r="AE430" s="646" t="s">
        <v>68</v>
      </c>
      <c r="AF430" s="646" t="s">
        <v>68</v>
      </c>
      <c r="AG430" s="647" t="s">
        <v>68</v>
      </c>
      <c r="AH430" s="644" t="s">
        <v>68</v>
      </c>
      <c r="AI430" s="180" t="s">
        <v>68</v>
      </c>
      <c r="AJ430" s="71" t="s">
        <v>68</v>
      </c>
      <c r="AK430" s="255"/>
      <c r="AL430" s="71" t="s">
        <v>68</v>
      </c>
      <c r="AM430" s="255"/>
      <c r="AN430" s="71" t="s">
        <v>68</v>
      </c>
      <c r="AO430" s="255"/>
      <c r="AP430" s="601">
        <v>0</v>
      </c>
      <c r="AQ430" s="771"/>
      <c r="AR430" s="1040"/>
      <c r="AS430" s="1027"/>
      <c r="AT430" s="68" t="s">
        <v>74</v>
      </c>
      <c r="AU430" s="245"/>
      <c r="AV430" s="387"/>
      <c r="AW430" s="246"/>
      <c r="AX430" s="68" t="s">
        <v>74</v>
      </c>
      <c r="AY430" s="255"/>
      <c r="AZ430" s="255"/>
      <c r="BA430" s="245"/>
      <c r="BB430" s="68" t="s">
        <v>74</v>
      </c>
      <c r="BC430" s="1686"/>
      <c r="BD430" s="255"/>
      <c r="BE430" s="255"/>
      <c r="BF430" s="255"/>
      <c r="BG430" s="72">
        <f t="shared" si="13"/>
        <v>0</v>
      </c>
      <c r="BH430" s="216" t="s">
        <v>68</v>
      </c>
      <c r="BI430" s="372">
        <v>43910</v>
      </c>
      <c r="BJ430" s="795" t="s">
        <v>68</v>
      </c>
      <c r="BK430" s="795" t="s">
        <v>68</v>
      </c>
      <c r="BL430" s="795"/>
      <c r="BM430" s="795" t="s">
        <v>68</v>
      </c>
      <c r="BN430" s="795" t="s">
        <v>68</v>
      </c>
      <c r="BO430" s="1054" t="s">
        <v>68</v>
      </c>
      <c r="BP430" s="795" t="s">
        <v>68</v>
      </c>
      <c r="BQ430" s="795"/>
      <c r="BR430" s="795" t="s">
        <v>68</v>
      </c>
      <c r="BS430" s="794" t="s">
        <v>68</v>
      </c>
      <c r="BT430" s="282"/>
      <c r="BU430" s="1464" t="s">
        <v>3773</v>
      </c>
      <c r="BV430" s="1464" t="s">
        <v>3773</v>
      </c>
      <c r="BW430" s="1464" t="s">
        <v>3773</v>
      </c>
      <c r="BX430" s="282"/>
      <c r="BY430" s="1642" t="s">
        <v>2098</v>
      </c>
      <c r="BZ430" s="281"/>
      <c r="CA430" s="582"/>
      <c r="CB430" s="582"/>
      <c r="CC430" s="582"/>
      <c r="CD430" s="582"/>
      <c r="CE430" s="582"/>
      <c r="CF430" s="582"/>
      <c r="CG430" s="582"/>
      <c r="CH430" s="16"/>
    </row>
    <row r="431" spans="1:86" s="197" customFormat="1" ht="72" hidden="1" customHeight="1">
      <c r="A431" s="1711"/>
      <c r="B431" s="23"/>
      <c r="C431" s="23"/>
      <c r="D431" s="23"/>
      <c r="E431" s="1051"/>
      <c r="F431" s="1051"/>
      <c r="G431" s="1055">
        <v>44286</v>
      </c>
      <c r="H431" s="365">
        <v>44331</v>
      </c>
      <c r="I431" s="182">
        <v>2020</v>
      </c>
      <c r="J431" s="1678">
        <v>201.05</v>
      </c>
      <c r="K431" s="716" t="s">
        <v>166</v>
      </c>
      <c r="L431" s="739" t="s">
        <v>2764</v>
      </c>
      <c r="M431" s="2" t="s">
        <v>4077</v>
      </c>
      <c r="N431" s="186" t="s">
        <v>2960</v>
      </c>
      <c r="O431" s="186" t="s">
        <v>4458</v>
      </c>
      <c r="P431" s="187">
        <v>50000</v>
      </c>
      <c r="Q431" s="664">
        <v>43924</v>
      </c>
      <c r="R431" s="189">
        <v>43924</v>
      </c>
      <c r="S431" s="190">
        <v>43961</v>
      </c>
      <c r="T431" s="111" t="s">
        <v>68</v>
      </c>
      <c r="U431" s="191" t="s">
        <v>1177</v>
      </c>
      <c r="V431" s="1713" t="s">
        <v>3049</v>
      </c>
      <c r="W431" s="740" t="s">
        <v>1431</v>
      </c>
      <c r="X431" s="1629" t="s">
        <v>1177</v>
      </c>
      <c r="Y431" s="373" t="s">
        <v>74</v>
      </c>
      <c r="Z431" s="9"/>
      <c r="AA431" s="4"/>
      <c r="AB431" s="4"/>
      <c r="AC431" s="34"/>
      <c r="AD431" s="36" t="s">
        <v>68</v>
      </c>
      <c r="AE431" s="119" t="s">
        <v>68</v>
      </c>
      <c r="AF431" s="119" t="s">
        <v>68</v>
      </c>
      <c r="AG431" s="7" t="s">
        <v>68</v>
      </c>
      <c r="AH431" s="116" t="s">
        <v>68</v>
      </c>
      <c r="AI431" s="35" t="s">
        <v>68</v>
      </c>
      <c r="AJ431" s="1" t="s">
        <v>68</v>
      </c>
      <c r="AK431" s="5"/>
      <c r="AL431" s="1" t="s">
        <v>68</v>
      </c>
      <c r="AM431" s="5"/>
      <c r="AN431" s="1" t="s">
        <v>68</v>
      </c>
      <c r="AO431" s="5"/>
      <c r="AP431" s="306">
        <v>0</v>
      </c>
      <c r="AQ431" s="771"/>
      <c r="AR431" s="1040"/>
      <c r="AS431" s="1019">
        <v>2292.7800000000002</v>
      </c>
      <c r="AT431" s="68" t="s">
        <v>74</v>
      </c>
      <c r="AU431" s="12"/>
      <c r="AV431" s="243"/>
      <c r="AW431" s="54"/>
      <c r="AX431" s="68" t="s">
        <v>74</v>
      </c>
      <c r="AY431" s="255"/>
      <c r="AZ431" s="255"/>
      <c r="BA431" s="245"/>
      <c r="BB431" s="68" t="s">
        <v>74</v>
      </c>
      <c r="BC431" s="1686"/>
      <c r="BD431" s="5"/>
      <c r="BE431" s="5"/>
      <c r="BF431" s="5"/>
      <c r="BG431" s="38">
        <f t="shared" si="13"/>
        <v>0</v>
      </c>
      <c r="BH431" s="64" t="s">
        <v>68</v>
      </c>
      <c r="BI431" s="1228"/>
      <c r="BJ431" s="795" t="s">
        <v>68</v>
      </c>
      <c r="BK431" s="795" t="s">
        <v>68</v>
      </c>
      <c r="BL431" s="795"/>
      <c r="BM431" s="795"/>
      <c r="BN431" s="795"/>
      <c r="BO431" s="1054"/>
      <c r="BP431" s="795" t="s">
        <v>68</v>
      </c>
      <c r="BQ431" s="795"/>
      <c r="BR431" s="795" t="s">
        <v>68</v>
      </c>
      <c r="BS431" s="794" t="s">
        <v>68</v>
      </c>
      <c r="BT431" s="14"/>
      <c r="BU431" s="1468" t="s">
        <v>3773</v>
      </c>
      <c r="BV431" s="14"/>
      <c r="BW431" s="14"/>
      <c r="BX431" s="14"/>
      <c r="BY431" s="1433" t="s">
        <v>2098</v>
      </c>
      <c r="BZ431" s="40"/>
      <c r="CA431" s="743"/>
      <c r="CB431" s="743"/>
      <c r="CC431" s="743"/>
      <c r="CD431" s="743"/>
      <c r="CE431" s="743"/>
      <c r="CF431" s="743"/>
      <c r="CG431" s="743"/>
      <c r="CH431" s="744"/>
    </row>
    <row r="432" spans="1:86" ht="85.5" hidden="1" customHeight="1">
      <c r="B432" s="23"/>
      <c r="C432" s="23"/>
      <c r="D432" s="23"/>
      <c r="E432" s="1051">
        <v>44075</v>
      </c>
      <c r="F432" s="1051"/>
      <c r="G432" s="1055">
        <v>44279</v>
      </c>
      <c r="H432" s="365">
        <v>44295</v>
      </c>
      <c r="I432" s="182">
        <v>2020</v>
      </c>
      <c r="J432" s="1678">
        <v>201.06</v>
      </c>
      <c r="K432" s="716" t="s">
        <v>77</v>
      </c>
      <c r="L432" s="739" t="s">
        <v>2765</v>
      </c>
      <c r="M432" s="2" t="s">
        <v>4077</v>
      </c>
      <c r="N432" s="495" t="s">
        <v>3289</v>
      </c>
      <c r="O432" s="495" t="s">
        <v>1979</v>
      </c>
      <c r="P432" s="187">
        <v>42478.36</v>
      </c>
      <c r="Q432" s="664">
        <v>44103</v>
      </c>
      <c r="R432" s="189">
        <v>44106</v>
      </c>
      <c r="S432" s="190">
        <v>44120</v>
      </c>
      <c r="T432" s="111" t="s">
        <v>68</v>
      </c>
      <c r="U432" s="191" t="s">
        <v>1177</v>
      </c>
      <c r="V432" s="716" t="s">
        <v>449</v>
      </c>
      <c r="W432" s="505" t="s">
        <v>74</v>
      </c>
      <c r="X432" s="1623"/>
      <c r="Y432" s="491" t="s">
        <v>3290</v>
      </c>
      <c r="Z432" s="9">
        <v>43972</v>
      </c>
      <c r="AA432" s="4">
        <v>877535.55</v>
      </c>
      <c r="AB432" s="4"/>
      <c r="AC432" s="34"/>
      <c r="AD432" s="36" t="s">
        <v>68</v>
      </c>
      <c r="AE432" s="119" t="s">
        <v>68</v>
      </c>
      <c r="AF432" s="119" t="s">
        <v>68</v>
      </c>
      <c r="AG432" s="7" t="s">
        <v>68</v>
      </c>
      <c r="AH432" s="116" t="s">
        <v>68</v>
      </c>
      <c r="AI432" s="35" t="s">
        <v>68</v>
      </c>
      <c r="AJ432" s="1" t="s">
        <v>68</v>
      </c>
      <c r="AK432" s="5"/>
      <c r="AL432" s="1" t="s">
        <v>68</v>
      </c>
      <c r="AM432" s="5"/>
      <c r="AN432" s="1" t="s">
        <v>68</v>
      </c>
      <c r="AO432" s="5"/>
      <c r="AP432" s="306">
        <v>0</v>
      </c>
      <c r="AQ432" s="74">
        <v>18780.34</v>
      </c>
      <c r="AR432" s="1032">
        <v>20202.27</v>
      </c>
      <c r="AS432" s="1019">
        <v>38982.61</v>
      </c>
      <c r="AT432" s="68" t="s">
        <v>74</v>
      </c>
      <c r="AU432" s="12"/>
      <c r="AV432" s="243"/>
      <c r="AW432" s="54"/>
      <c r="AX432" s="78">
        <v>44116</v>
      </c>
      <c r="AY432" s="255">
        <v>44106</v>
      </c>
      <c r="AZ432" s="255">
        <v>44120</v>
      </c>
      <c r="BA432" s="245">
        <v>44114</v>
      </c>
      <c r="BB432" s="78">
        <v>44116</v>
      </c>
      <c r="BC432" s="344"/>
      <c r="BD432" s="5">
        <v>44106</v>
      </c>
      <c r="BE432" s="5">
        <v>44120</v>
      </c>
      <c r="BF432" s="5">
        <v>44114</v>
      </c>
      <c r="BG432" s="270">
        <f t="shared" si="13"/>
        <v>38982.61</v>
      </c>
      <c r="BH432" s="64" t="s">
        <v>68</v>
      </c>
      <c r="BI432" s="1458" t="s">
        <v>74</v>
      </c>
      <c r="BJ432" s="795" t="s">
        <v>68</v>
      </c>
      <c r="BK432" s="795" t="s">
        <v>68</v>
      </c>
      <c r="BL432" s="795"/>
      <c r="BM432" s="795"/>
      <c r="BN432" s="795"/>
      <c r="BO432" s="1054"/>
      <c r="BP432" s="795" t="s">
        <v>68</v>
      </c>
      <c r="BQ432" s="795"/>
      <c r="BR432" s="795" t="s">
        <v>68</v>
      </c>
      <c r="BS432" s="794" t="s">
        <v>68</v>
      </c>
      <c r="BT432" s="14"/>
      <c r="BU432" s="1467" t="s">
        <v>3608</v>
      </c>
      <c r="BV432" s="14"/>
      <c r="BW432" s="14"/>
      <c r="BX432" s="14"/>
      <c r="BY432" s="1433" t="s">
        <v>2098</v>
      </c>
      <c r="BZ432" s="40" t="s">
        <v>3601</v>
      </c>
      <c r="CA432" s="582"/>
      <c r="CB432" s="582"/>
      <c r="CC432" s="582"/>
      <c r="CD432" s="582"/>
      <c r="CE432" s="582"/>
      <c r="CF432" s="582"/>
      <c r="CG432" s="582"/>
      <c r="CH432" s="16"/>
    </row>
    <row r="433" spans="2:86" ht="91.5" hidden="1" customHeight="1">
      <c r="B433" s="23"/>
      <c r="C433" s="23"/>
      <c r="D433" s="23"/>
      <c r="E433" s="1051"/>
      <c r="F433" s="1051"/>
      <c r="G433" s="1055"/>
      <c r="H433" s="365">
        <v>44401</v>
      </c>
      <c r="I433" s="182">
        <v>2020</v>
      </c>
      <c r="J433" s="1678">
        <v>201.07</v>
      </c>
      <c r="K433" s="716" t="s">
        <v>3276</v>
      </c>
      <c r="L433" s="739" t="s">
        <v>2766</v>
      </c>
      <c r="M433" s="2" t="s">
        <v>4077</v>
      </c>
      <c r="N433" s="495" t="s">
        <v>3291</v>
      </c>
      <c r="O433" s="495" t="s">
        <v>2650</v>
      </c>
      <c r="P433" s="187">
        <v>196881.44</v>
      </c>
      <c r="Q433" s="664">
        <v>44089</v>
      </c>
      <c r="R433" s="664">
        <v>44144</v>
      </c>
      <c r="S433" s="665">
        <v>44191</v>
      </c>
      <c r="T433" s="111" t="s">
        <v>68</v>
      </c>
      <c r="U433" s="191" t="s">
        <v>1177</v>
      </c>
      <c r="V433" s="716" t="s">
        <v>449</v>
      </c>
      <c r="W433" s="505" t="s">
        <v>74</v>
      </c>
      <c r="X433" s="1623"/>
      <c r="Y433" s="280" t="s">
        <v>3277</v>
      </c>
      <c r="Z433" s="9">
        <v>44082</v>
      </c>
      <c r="AA433" s="4">
        <v>475375.11</v>
      </c>
      <c r="AB433" s="4"/>
      <c r="AC433" s="34"/>
      <c r="AD433" s="36" t="s">
        <v>68</v>
      </c>
      <c r="AE433" s="119" t="s">
        <v>68</v>
      </c>
      <c r="AF433" s="119" t="s">
        <v>68</v>
      </c>
      <c r="AG433" s="7" t="s">
        <v>68</v>
      </c>
      <c r="AH433" s="116" t="s">
        <v>68</v>
      </c>
      <c r="AI433" s="35" t="s">
        <v>68</v>
      </c>
      <c r="AJ433" s="1" t="s">
        <v>68</v>
      </c>
      <c r="AK433" s="5"/>
      <c r="AL433" s="1" t="s">
        <v>68</v>
      </c>
      <c r="AM433" s="5"/>
      <c r="AN433" s="1" t="s">
        <v>68</v>
      </c>
      <c r="AO433" s="5"/>
      <c r="AP433" s="306">
        <v>0</v>
      </c>
      <c r="AQ433" s="771"/>
      <c r="AR433" s="1040"/>
      <c r="AS433" s="1027"/>
      <c r="AT433" s="68" t="s">
        <v>74</v>
      </c>
      <c r="AU433" s="12"/>
      <c r="AV433" s="243"/>
      <c r="AW433" s="54"/>
      <c r="AX433" s="68" t="s">
        <v>74</v>
      </c>
      <c r="AY433" s="255"/>
      <c r="AZ433" s="255"/>
      <c r="BA433" s="245"/>
      <c r="BB433" s="68" t="s">
        <v>74</v>
      </c>
      <c r="BC433" s="1686"/>
      <c r="BD433" s="5"/>
      <c r="BE433" s="5"/>
      <c r="BF433" s="5"/>
      <c r="BG433" s="38">
        <f t="shared" si="13"/>
        <v>0</v>
      </c>
      <c r="BH433" s="64" t="s">
        <v>68</v>
      </c>
      <c r="BI433" s="1228"/>
      <c r="BJ433" s="795" t="s">
        <v>68</v>
      </c>
      <c r="BK433" s="795" t="s">
        <v>68</v>
      </c>
      <c r="BL433" s="795"/>
      <c r="BM433" s="795"/>
      <c r="BN433" s="795"/>
      <c r="BO433" s="1054"/>
      <c r="BP433" s="795" t="s">
        <v>68</v>
      </c>
      <c r="BQ433" s="795"/>
      <c r="BR433" s="795" t="s">
        <v>68</v>
      </c>
      <c r="BS433" s="794" t="s">
        <v>68</v>
      </c>
      <c r="BT433" s="14"/>
      <c r="BU433" s="1468" t="s">
        <v>3773</v>
      </c>
      <c r="BV433" s="14"/>
      <c r="BW433" s="14"/>
      <c r="BX433" s="14"/>
      <c r="BY433" s="1433" t="s">
        <v>2098</v>
      </c>
      <c r="BZ433" s="40"/>
      <c r="CA433" s="582"/>
      <c r="CB433" s="582"/>
      <c r="CC433" s="582"/>
      <c r="CD433" s="582"/>
      <c r="CE433" s="582"/>
      <c r="CF433" s="582"/>
      <c r="CG433" s="582"/>
      <c r="CH433" s="16"/>
    </row>
    <row r="434" spans="2:86" ht="87" hidden="1" customHeight="1">
      <c r="B434" s="23"/>
      <c r="C434" s="23"/>
      <c r="D434" s="23"/>
      <c r="E434" s="1051"/>
      <c r="F434" s="1051"/>
      <c r="G434" s="1055"/>
      <c r="H434" s="365"/>
      <c r="I434" s="182">
        <v>2020</v>
      </c>
      <c r="J434" s="1678">
        <v>201.071</v>
      </c>
      <c r="K434" s="716" t="s">
        <v>3959</v>
      </c>
      <c r="L434" s="739" t="s">
        <v>3949</v>
      </c>
      <c r="M434" s="2" t="s">
        <v>4077</v>
      </c>
      <c r="N434" s="494" t="s">
        <v>3988</v>
      </c>
      <c r="O434" s="494" t="s">
        <v>2650</v>
      </c>
      <c r="P434" s="187">
        <v>283094.36</v>
      </c>
      <c r="Q434" s="664">
        <v>44089</v>
      </c>
      <c r="R434" s="664">
        <v>44137</v>
      </c>
      <c r="S434" s="665">
        <v>44191</v>
      </c>
      <c r="T434" s="111" t="s">
        <v>1177</v>
      </c>
      <c r="U434" s="191" t="s">
        <v>1177</v>
      </c>
      <c r="V434" s="1064"/>
      <c r="W434" s="688" t="s">
        <v>1431</v>
      </c>
      <c r="X434" s="1624" t="s">
        <v>1177</v>
      </c>
      <c r="Y434" s="280"/>
      <c r="Z434" s="9"/>
      <c r="AA434" s="4"/>
      <c r="AB434" s="4"/>
      <c r="AC434" s="34"/>
      <c r="AD434" s="36" t="s">
        <v>68</v>
      </c>
      <c r="AE434" s="119" t="s">
        <v>68</v>
      </c>
      <c r="AF434" s="119" t="s">
        <v>68</v>
      </c>
      <c r="AG434" s="7" t="s">
        <v>68</v>
      </c>
      <c r="AH434" s="116" t="s">
        <v>68</v>
      </c>
      <c r="AI434" s="35" t="s">
        <v>68</v>
      </c>
      <c r="AJ434" s="1" t="s">
        <v>68</v>
      </c>
      <c r="AK434" s="5"/>
      <c r="AL434" s="1" t="s">
        <v>68</v>
      </c>
      <c r="AM434" s="5"/>
      <c r="AN434" s="1" t="s">
        <v>68</v>
      </c>
      <c r="AO434" s="5"/>
      <c r="AP434" s="306">
        <v>0</v>
      </c>
      <c r="AQ434" s="771"/>
      <c r="AR434" s="1040"/>
      <c r="AS434" s="1027"/>
      <c r="AT434" s="68" t="s">
        <v>74</v>
      </c>
      <c r="AU434" s="12"/>
      <c r="AV434" s="243"/>
      <c r="AW434" s="54"/>
      <c r="AX434" s="68" t="s">
        <v>74</v>
      </c>
      <c r="AY434" s="255"/>
      <c r="AZ434" s="255"/>
      <c r="BA434" s="245"/>
      <c r="BB434" s="68" t="s">
        <v>74</v>
      </c>
      <c r="BC434" s="1686"/>
      <c r="BD434" s="5"/>
      <c r="BE434" s="5"/>
      <c r="BF434" s="5"/>
      <c r="BG434" s="38"/>
      <c r="BH434" s="64" t="s">
        <v>68</v>
      </c>
      <c r="BI434" s="1228"/>
      <c r="BJ434" s="795" t="s">
        <v>68</v>
      </c>
      <c r="BK434" s="795" t="s">
        <v>68</v>
      </c>
      <c r="BL434" s="795" t="s">
        <v>68</v>
      </c>
      <c r="BM434" s="795" t="s">
        <v>68</v>
      </c>
      <c r="BN434" s="795" t="s">
        <v>68</v>
      </c>
      <c r="BO434" s="1054" t="s">
        <v>68</v>
      </c>
      <c r="BP434" s="795" t="s">
        <v>68</v>
      </c>
      <c r="BQ434" s="795"/>
      <c r="BR434" s="795" t="s">
        <v>68</v>
      </c>
      <c r="BS434" s="794" t="s">
        <v>68</v>
      </c>
      <c r="BT434" s="14"/>
      <c r="BU434" s="1468"/>
      <c r="BV434" s="14"/>
      <c r="BW434" s="14"/>
      <c r="BX434" s="14"/>
      <c r="BY434" s="1433" t="s">
        <v>2098</v>
      </c>
      <c r="BZ434" s="40"/>
      <c r="CA434" s="582"/>
      <c r="CB434" s="582"/>
      <c r="CC434" s="582"/>
      <c r="CD434" s="582"/>
      <c r="CE434" s="582"/>
      <c r="CF434" s="582"/>
      <c r="CG434" s="582"/>
      <c r="CH434" s="16"/>
    </row>
    <row r="435" spans="2:86" ht="68.25" hidden="1" customHeight="1">
      <c r="B435" s="23"/>
      <c r="C435" s="23"/>
      <c r="D435" s="23"/>
      <c r="E435" s="1051"/>
      <c r="F435" s="1051"/>
      <c r="G435" s="1055"/>
      <c r="H435" s="365">
        <v>44251</v>
      </c>
      <c r="I435" s="182">
        <v>2020</v>
      </c>
      <c r="J435" s="1678">
        <v>201.08</v>
      </c>
      <c r="K435" s="716" t="s">
        <v>3276</v>
      </c>
      <c r="L435" s="739" t="s">
        <v>2767</v>
      </c>
      <c r="M435" s="2" t="s">
        <v>4077</v>
      </c>
      <c r="N435" s="495" t="s">
        <v>3292</v>
      </c>
      <c r="O435" s="495" t="s">
        <v>4459</v>
      </c>
      <c r="P435" s="187">
        <v>1079624.5</v>
      </c>
      <c r="Q435" s="664">
        <v>44454</v>
      </c>
      <c r="R435" s="664">
        <v>44166</v>
      </c>
      <c r="S435" s="665">
        <v>44196</v>
      </c>
      <c r="T435" s="111" t="s">
        <v>68</v>
      </c>
      <c r="U435" s="191" t="s">
        <v>1177</v>
      </c>
      <c r="V435" s="716" t="s">
        <v>449</v>
      </c>
      <c r="W435" s="505" t="s">
        <v>74</v>
      </c>
      <c r="X435" s="1623"/>
      <c r="Y435" s="697" t="s">
        <v>3277</v>
      </c>
      <c r="Z435" s="9">
        <v>44082</v>
      </c>
      <c r="AA435" s="65">
        <v>930275.13</v>
      </c>
      <c r="AB435" s="4"/>
      <c r="AC435" s="34"/>
      <c r="AD435" s="36" t="s">
        <v>68</v>
      </c>
      <c r="AE435" s="119" t="s">
        <v>68</v>
      </c>
      <c r="AF435" s="119" t="s">
        <v>68</v>
      </c>
      <c r="AG435" s="7" t="s">
        <v>68</v>
      </c>
      <c r="AH435" s="116" t="s">
        <v>68</v>
      </c>
      <c r="AI435" s="35" t="s">
        <v>68</v>
      </c>
      <c r="AJ435" s="1" t="s">
        <v>68</v>
      </c>
      <c r="AK435" s="5"/>
      <c r="AL435" s="1" t="s">
        <v>68</v>
      </c>
      <c r="AM435" s="5"/>
      <c r="AN435" s="1" t="s">
        <v>68</v>
      </c>
      <c r="AO435" s="5"/>
      <c r="AP435" s="306">
        <v>0</v>
      </c>
      <c r="AQ435" s="771"/>
      <c r="AR435" s="1040"/>
      <c r="AS435" s="1027"/>
      <c r="AT435" s="68" t="s">
        <v>74</v>
      </c>
      <c r="AU435" s="12"/>
      <c r="AV435" s="243"/>
      <c r="AW435" s="54"/>
      <c r="AX435" s="68" t="s">
        <v>74</v>
      </c>
      <c r="AY435" s="255"/>
      <c r="AZ435" s="255"/>
      <c r="BA435" s="245"/>
      <c r="BB435" s="68" t="s">
        <v>74</v>
      </c>
      <c r="BC435" s="1686"/>
      <c r="BD435" s="5"/>
      <c r="BE435" s="5"/>
      <c r="BF435" s="5"/>
      <c r="BG435" s="38">
        <f>AQ435+AR435</f>
        <v>0</v>
      </c>
      <c r="BH435" s="64" t="s">
        <v>68</v>
      </c>
      <c r="BI435" s="1228"/>
      <c r="BJ435" s="795" t="s">
        <v>68</v>
      </c>
      <c r="BK435" s="795" t="s">
        <v>68</v>
      </c>
      <c r="BL435" s="795"/>
      <c r="BM435" s="795"/>
      <c r="BN435" s="795"/>
      <c r="BO435" s="1054"/>
      <c r="BP435" s="795" t="s">
        <v>68</v>
      </c>
      <c r="BQ435" s="795"/>
      <c r="BR435" s="795" t="s">
        <v>68</v>
      </c>
      <c r="BS435" s="794" t="s">
        <v>68</v>
      </c>
      <c r="BT435" s="14"/>
      <c r="BU435" s="1468" t="s">
        <v>3773</v>
      </c>
      <c r="BV435" s="14"/>
      <c r="BW435" s="14"/>
      <c r="BX435" s="14"/>
      <c r="BY435" s="1433" t="s">
        <v>2098</v>
      </c>
      <c r="BZ435" s="40"/>
      <c r="CA435" s="582"/>
      <c r="CB435" s="582"/>
      <c r="CC435" s="582"/>
      <c r="CD435" s="582"/>
      <c r="CE435" s="582"/>
      <c r="CF435" s="582"/>
      <c r="CG435" s="582"/>
      <c r="CH435" s="16"/>
    </row>
    <row r="436" spans="2:86" ht="66.75" hidden="1" customHeight="1">
      <c r="B436" s="23"/>
      <c r="C436" s="23"/>
      <c r="D436" s="23"/>
      <c r="E436" s="1051"/>
      <c r="F436" s="1051"/>
      <c r="G436" s="1055"/>
      <c r="H436" s="365"/>
      <c r="I436" s="182">
        <v>2020</v>
      </c>
      <c r="J436" s="1678">
        <v>201.08099999999999</v>
      </c>
      <c r="K436" s="716" t="s">
        <v>3959</v>
      </c>
      <c r="L436" s="739" t="s">
        <v>3950</v>
      </c>
      <c r="M436" s="2" t="s">
        <v>4077</v>
      </c>
      <c r="N436" s="494" t="s">
        <v>3975</v>
      </c>
      <c r="O436" s="494" t="s">
        <v>4459</v>
      </c>
      <c r="P436" s="187">
        <v>327960.31</v>
      </c>
      <c r="Q436" s="664">
        <v>44089</v>
      </c>
      <c r="R436" s="664">
        <v>44166</v>
      </c>
      <c r="S436" s="665">
        <v>44196</v>
      </c>
      <c r="T436" s="111" t="s">
        <v>1177</v>
      </c>
      <c r="U436" s="191" t="s">
        <v>1177</v>
      </c>
      <c r="V436" s="1064"/>
      <c r="W436" s="688" t="s">
        <v>1431</v>
      </c>
      <c r="X436" s="1624" t="s">
        <v>1177</v>
      </c>
      <c r="Y436" s="280"/>
      <c r="Z436" s="9"/>
      <c r="AA436" s="4"/>
      <c r="AB436" s="4"/>
      <c r="AC436" s="34"/>
      <c r="AD436" s="36" t="s">
        <v>68</v>
      </c>
      <c r="AE436" s="119" t="s">
        <v>68</v>
      </c>
      <c r="AF436" s="119" t="s">
        <v>68</v>
      </c>
      <c r="AG436" s="7" t="s">
        <v>68</v>
      </c>
      <c r="AH436" s="116" t="s">
        <v>68</v>
      </c>
      <c r="AI436" s="35" t="s">
        <v>68</v>
      </c>
      <c r="AJ436" s="1" t="s">
        <v>68</v>
      </c>
      <c r="AK436" s="5"/>
      <c r="AL436" s="1" t="s">
        <v>68</v>
      </c>
      <c r="AM436" s="5"/>
      <c r="AN436" s="1" t="s">
        <v>68</v>
      </c>
      <c r="AO436" s="5"/>
      <c r="AP436" s="306">
        <v>0</v>
      </c>
      <c r="AQ436" s="771"/>
      <c r="AR436" s="1040"/>
      <c r="AS436" s="1027"/>
      <c r="AT436" s="68" t="s">
        <v>74</v>
      </c>
      <c r="AU436" s="12"/>
      <c r="AV436" s="243"/>
      <c r="AW436" s="54"/>
      <c r="AX436" s="68" t="s">
        <v>74</v>
      </c>
      <c r="AY436" s="255"/>
      <c r="AZ436" s="255"/>
      <c r="BA436" s="245"/>
      <c r="BB436" s="68" t="s">
        <v>74</v>
      </c>
      <c r="BC436" s="1686"/>
      <c r="BD436" s="5"/>
      <c r="BE436" s="5"/>
      <c r="BF436" s="5"/>
      <c r="BG436" s="38"/>
      <c r="BH436" s="64" t="s">
        <v>68</v>
      </c>
      <c r="BI436" s="1228"/>
      <c r="BJ436" s="795" t="s">
        <v>68</v>
      </c>
      <c r="BK436" s="795" t="s">
        <v>68</v>
      </c>
      <c r="BL436" s="795" t="s">
        <v>68</v>
      </c>
      <c r="BM436" s="795" t="s">
        <v>68</v>
      </c>
      <c r="BN436" s="795" t="s">
        <v>68</v>
      </c>
      <c r="BO436" s="1054" t="s">
        <v>68</v>
      </c>
      <c r="BP436" s="795" t="s">
        <v>68</v>
      </c>
      <c r="BQ436" s="795"/>
      <c r="BR436" s="795" t="s">
        <v>68</v>
      </c>
      <c r="BS436" s="794" t="s">
        <v>68</v>
      </c>
      <c r="BT436" s="14"/>
      <c r="BU436" s="1468"/>
      <c r="BV436" s="14"/>
      <c r="BW436" s="14"/>
      <c r="BX436" s="14"/>
      <c r="BY436" s="1433" t="s">
        <v>2098</v>
      </c>
      <c r="BZ436" s="40"/>
      <c r="CA436" s="582"/>
      <c r="CB436" s="582"/>
      <c r="CC436" s="582"/>
      <c r="CD436" s="582"/>
      <c r="CE436" s="582"/>
      <c r="CF436" s="582"/>
      <c r="CG436" s="582"/>
      <c r="CH436" s="16"/>
    </row>
    <row r="437" spans="2:86" ht="104.25" hidden="1" customHeight="1">
      <c r="B437" s="23"/>
      <c r="C437" s="23"/>
      <c r="D437" s="23"/>
      <c r="E437" s="1051"/>
      <c r="F437" s="1051"/>
      <c r="G437" s="1055"/>
      <c r="H437" s="365">
        <v>44251</v>
      </c>
      <c r="I437" s="182">
        <v>2020</v>
      </c>
      <c r="J437" s="1678">
        <v>201.09</v>
      </c>
      <c r="K437" s="716" t="s">
        <v>3276</v>
      </c>
      <c r="L437" s="739" t="s">
        <v>2768</v>
      </c>
      <c r="M437" s="2" t="s">
        <v>4077</v>
      </c>
      <c r="N437" s="495" t="s">
        <v>3293</v>
      </c>
      <c r="O437" s="495" t="s">
        <v>2551</v>
      </c>
      <c r="P437" s="187">
        <v>193929.96</v>
      </c>
      <c r="Q437" s="664">
        <v>44089</v>
      </c>
      <c r="R437" s="664">
        <v>44140</v>
      </c>
      <c r="S437" s="665">
        <v>44191</v>
      </c>
      <c r="T437" s="111" t="s">
        <v>68</v>
      </c>
      <c r="U437" s="191" t="s">
        <v>1177</v>
      </c>
      <c r="V437" s="716" t="s">
        <v>449</v>
      </c>
      <c r="W437" s="505" t="s">
        <v>74</v>
      </c>
      <c r="X437" s="1623"/>
      <c r="Y437" s="280" t="s">
        <v>3277</v>
      </c>
      <c r="Z437" s="9">
        <v>44082</v>
      </c>
      <c r="AA437" s="4">
        <v>1274811.49</v>
      </c>
      <c r="AB437" s="4"/>
      <c r="AC437" s="34"/>
      <c r="AD437" s="36" t="s">
        <v>68</v>
      </c>
      <c r="AE437" s="119" t="s">
        <v>68</v>
      </c>
      <c r="AF437" s="119" t="s">
        <v>68</v>
      </c>
      <c r="AG437" s="7" t="s">
        <v>68</v>
      </c>
      <c r="AH437" s="116" t="s">
        <v>68</v>
      </c>
      <c r="AI437" s="35" t="s">
        <v>68</v>
      </c>
      <c r="AJ437" s="1" t="s">
        <v>68</v>
      </c>
      <c r="AK437" s="5"/>
      <c r="AL437" s="1" t="s">
        <v>68</v>
      </c>
      <c r="AM437" s="5"/>
      <c r="AN437" s="1" t="s">
        <v>68</v>
      </c>
      <c r="AO437" s="5"/>
      <c r="AP437" s="306">
        <v>0</v>
      </c>
      <c r="AQ437" s="771"/>
      <c r="AR437" s="1040"/>
      <c r="AS437" s="1027"/>
      <c r="AT437" s="68" t="s">
        <v>74</v>
      </c>
      <c r="AU437" s="12"/>
      <c r="AV437" s="243"/>
      <c r="AW437" s="54"/>
      <c r="AX437" s="68" t="s">
        <v>74</v>
      </c>
      <c r="AY437" s="255"/>
      <c r="AZ437" s="255"/>
      <c r="BA437" s="245"/>
      <c r="BB437" s="68" t="s">
        <v>74</v>
      </c>
      <c r="BC437" s="1686"/>
      <c r="BD437" s="5"/>
      <c r="BE437" s="5"/>
      <c r="BF437" s="5"/>
      <c r="BG437" s="38">
        <f>AQ437+AR437</f>
        <v>0</v>
      </c>
      <c r="BH437" s="64" t="s">
        <v>68</v>
      </c>
      <c r="BI437" s="1228"/>
      <c r="BJ437" s="795" t="s">
        <v>68</v>
      </c>
      <c r="BK437" s="795" t="s">
        <v>68</v>
      </c>
      <c r="BL437" s="795"/>
      <c r="BM437" s="795"/>
      <c r="BN437" s="795"/>
      <c r="BO437" s="1054"/>
      <c r="BP437" s="795" t="s">
        <v>68</v>
      </c>
      <c r="BQ437" s="795"/>
      <c r="BR437" s="795" t="s">
        <v>68</v>
      </c>
      <c r="BS437" s="794" t="s">
        <v>68</v>
      </c>
      <c r="BT437" s="14"/>
      <c r="BU437" s="1468" t="s">
        <v>3773</v>
      </c>
      <c r="BV437" s="14"/>
      <c r="BW437" s="14"/>
      <c r="BX437" s="14"/>
      <c r="BY437" s="1433" t="s">
        <v>2098</v>
      </c>
      <c r="BZ437" s="40"/>
      <c r="CA437" s="582"/>
      <c r="CB437" s="582"/>
      <c r="CC437" s="582"/>
      <c r="CD437" s="582"/>
      <c r="CE437" s="582"/>
      <c r="CF437" s="582"/>
      <c r="CG437" s="582"/>
      <c r="CH437" s="16"/>
    </row>
    <row r="438" spans="2:86" ht="114.75" hidden="1" customHeight="1">
      <c r="B438" s="23"/>
      <c r="C438" s="23"/>
      <c r="D438" s="23"/>
      <c r="E438" s="1051"/>
      <c r="F438" s="1051"/>
      <c r="G438" s="1055"/>
      <c r="H438" s="365">
        <v>44331</v>
      </c>
      <c r="I438" s="182">
        <v>2020</v>
      </c>
      <c r="J438" s="1678">
        <v>201.09100000000001</v>
      </c>
      <c r="K438" s="716" t="s">
        <v>3276</v>
      </c>
      <c r="L438" s="739" t="s">
        <v>2768</v>
      </c>
      <c r="M438" s="2" t="s">
        <v>4077</v>
      </c>
      <c r="N438" s="495" t="s">
        <v>3294</v>
      </c>
      <c r="O438" s="495" t="s">
        <v>2551</v>
      </c>
      <c r="P438" s="187">
        <v>331496.03999999998</v>
      </c>
      <c r="Q438" s="664">
        <v>44089</v>
      </c>
      <c r="R438" s="664">
        <v>44140</v>
      </c>
      <c r="S438" s="665">
        <v>44191</v>
      </c>
      <c r="T438" s="111" t="s">
        <v>68</v>
      </c>
      <c r="U438" s="191" t="s">
        <v>1177</v>
      </c>
      <c r="V438" s="716" t="s">
        <v>449</v>
      </c>
      <c r="W438" s="505" t="s">
        <v>74</v>
      </c>
      <c r="X438" s="1623"/>
      <c r="Y438" s="280" t="s">
        <v>3277</v>
      </c>
      <c r="Z438" s="9">
        <v>44082</v>
      </c>
      <c r="AA438" s="85">
        <v>1274811.49</v>
      </c>
      <c r="AB438" s="4"/>
      <c r="AC438" s="34"/>
      <c r="AD438" s="36" t="s">
        <v>68</v>
      </c>
      <c r="AE438" s="119" t="s">
        <v>68</v>
      </c>
      <c r="AF438" s="119" t="s">
        <v>68</v>
      </c>
      <c r="AG438" s="7" t="s">
        <v>68</v>
      </c>
      <c r="AH438" s="116" t="s">
        <v>68</v>
      </c>
      <c r="AI438" s="35" t="s">
        <v>68</v>
      </c>
      <c r="AJ438" s="1" t="s">
        <v>68</v>
      </c>
      <c r="AK438" s="5"/>
      <c r="AL438" s="1" t="s">
        <v>68</v>
      </c>
      <c r="AM438" s="5"/>
      <c r="AN438" s="1" t="s">
        <v>68</v>
      </c>
      <c r="AO438" s="5"/>
      <c r="AP438" s="306">
        <v>0</v>
      </c>
      <c r="AQ438" s="771"/>
      <c r="AR438" s="1040"/>
      <c r="AS438" s="1027"/>
      <c r="AT438" s="68" t="s">
        <v>74</v>
      </c>
      <c r="AU438" s="12"/>
      <c r="AV438" s="243"/>
      <c r="AW438" s="54"/>
      <c r="AX438" s="68" t="s">
        <v>74</v>
      </c>
      <c r="AY438" s="255"/>
      <c r="AZ438" s="255"/>
      <c r="BA438" s="245"/>
      <c r="BB438" s="68" t="s">
        <v>74</v>
      </c>
      <c r="BC438" s="1686"/>
      <c r="BD438" s="5"/>
      <c r="BE438" s="5"/>
      <c r="BF438" s="5"/>
      <c r="BG438" s="38">
        <f>AQ438+AR438</f>
        <v>0</v>
      </c>
      <c r="BH438" s="64" t="s">
        <v>68</v>
      </c>
      <c r="BI438" s="1228"/>
      <c r="BJ438" s="795" t="s">
        <v>68</v>
      </c>
      <c r="BK438" s="795" t="s">
        <v>68</v>
      </c>
      <c r="BL438" s="795"/>
      <c r="BM438" s="795"/>
      <c r="BN438" s="795"/>
      <c r="BO438" s="1054"/>
      <c r="BP438" s="795" t="s">
        <v>68</v>
      </c>
      <c r="BQ438" s="795"/>
      <c r="BR438" s="795" t="s">
        <v>68</v>
      </c>
      <c r="BS438" s="794" t="s">
        <v>68</v>
      </c>
      <c r="BT438" s="14"/>
      <c r="BU438" s="1468" t="s">
        <v>3773</v>
      </c>
      <c r="BV438" s="14"/>
      <c r="BW438" s="14"/>
      <c r="BX438" s="14"/>
      <c r="BY438" s="1433" t="s">
        <v>2098</v>
      </c>
      <c r="BZ438" s="40"/>
      <c r="CA438" s="582"/>
      <c r="CB438" s="582"/>
      <c r="CC438" s="582"/>
      <c r="CD438" s="582"/>
      <c r="CE438" s="582"/>
      <c r="CF438" s="582"/>
      <c r="CG438" s="582"/>
      <c r="CH438" s="16"/>
    </row>
    <row r="439" spans="2:86" ht="79.5" hidden="1" customHeight="1">
      <c r="B439" s="23"/>
      <c r="C439" s="23"/>
      <c r="D439" s="23"/>
      <c r="E439" s="1051"/>
      <c r="F439" s="1051"/>
      <c r="G439" s="1055"/>
      <c r="H439" s="365"/>
      <c r="I439" s="182">
        <v>2020</v>
      </c>
      <c r="J439" s="1678">
        <v>201.09200000000001</v>
      </c>
      <c r="K439" s="716" t="s">
        <v>3959</v>
      </c>
      <c r="L439" s="739" t="s">
        <v>3951</v>
      </c>
      <c r="M439" s="2" t="s">
        <v>4077</v>
      </c>
      <c r="N439" s="494" t="s">
        <v>3970</v>
      </c>
      <c r="O439" s="494" t="s">
        <v>2551</v>
      </c>
      <c r="P439" s="187">
        <v>174032.11</v>
      </c>
      <c r="Q439" s="664">
        <v>44089</v>
      </c>
      <c r="R439" s="664">
        <v>44140</v>
      </c>
      <c r="S439" s="665">
        <v>44191</v>
      </c>
      <c r="T439" s="111" t="s">
        <v>1177</v>
      </c>
      <c r="U439" s="191" t="s">
        <v>1177</v>
      </c>
      <c r="V439" s="1064"/>
      <c r="W439" s="688" t="s">
        <v>1431</v>
      </c>
      <c r="X439" s="1624" t="s">
        <v>1177</v>
      </c>
      <c r="Y439" s="280"/>
      <c r="Z439" s="9"/>
      <c r="AA439" s="4"/>
      <c r="AB439" s="4"/>
      <c r="AC439" s="34"/>
      <c r="AD439" s="36" t="s">
        <v>68</v>
      </c>
      <c r="AE439" s="119" t="s">
        <v>68</v>
      </c>
      <c r="AF439" s="119" t="s">
        <v>68</v>
      </c>
      <c r="AG439" s="7" t="s">
        <v>68</v>
      </c>
      <c r="AH439" s="116" t="s">
        <v>68</v>
      </c>
      <c r="AI439" s="35" t="s">
        <v>68</v>
      </c>
      <c r="AJ439" s="1" t="s">
        <v>68</v>
      </c>
      <c r="AK439" s="5"/>
      <c r="AL439" s="1" t="s">
        <v>68</v>
      </c>
      <c r="AM439" s="5"/>
      <c r="AN439" s="1" t="s">
        <v>68</v>
      </c>
      <c r="AO439" s="5"/>
      <c r="AP439" s="306">
        <v>0</v>
      </c>
      <c r="AQ439" s="771"/>
      <c r="AR439" s="1040"/>
      <c r="AS439" s="1027"/>
      <c r="AT439" s="68" t="s">
        <v>74</v>
      </c>
      <c r="AU439" s="12"/>
      <c r="AV439" s="243"/>
      <c r="AW439" s="54"/>
      <c r="AX439" s="68" t="s">
        <v>74</v>
      </c>
      <c r="AY439" s="255"/>
      <c r="AZ439" s="255"/>
      <c r="BA439" s="245"/>
      <c r="BB439" s="68" t="s">
        <v>74</v>
      </c>
      <c r="BC439" s="1686"/>
      <c r="BD439" s="5"/>
      <c r="BE439" s="5"/>
      <c r="BF439" s="5"/>
      <c r="BG439" s="38"/>
      <c r="BH439" s="64" t="s">
        <v>68</v>
      </c>
      <c r="BI439" s="1228"/>
      <c r="BJ439" s="795" t="s">
        <v>68</v>
      </c>
      <c r="BK439" s="795" t="s">
        <v>68</v>
      </c>
      <c r="BL439" s="795" t="s">
        <v>68</v>
      </c>
      <c r="BM439" s="795" t="s">
        <v>68</v>
      </c>
      <c r="BN439" s="795" t="s">
        <v>68</v>
      </c>
      <c r="BO439" s="1054" t="s">
        <v>68</v>
      </c>
      <c r="BP439" s="795" t="s">
        <v>68</v>
      </c>
      <c r="BQ439" s="795"/>
      <c r="BR439" s="795" t="s">
        <v>68</v>
      </c>
      <c r="BS439" s="794" t="s">
        <v>68</v>
      </c>
      <c r="BT439" s="14"/>
      <c r="BU439" s="1468"/>
      <c r="BV439" s="14"/>
      <c r="BW439" s="14"/>
      <c r="BX439" s="14"/>
      <c r="BY439" s="1433" t="s">
        <v>2098</v>
      </c>
      <c r="BZ439" s="40"/>
      <c r="CA439" s="582"/>
      <c r="CB439" s="582"/>
      <c r="CC439" s="582"/>
      <c r="CD439" s="582"/>
      <c r="CE439" s="582"/>
      <c r="CF439" s="582"/>
      <c r="CG439" s="582"/>
      <c r="CH439" s="16"/>
    </row>
    <row r="440" spans="2:86" ht="91.5" hidden="1" customHeight="1">
      <c r="B440" s="23"/>
      <c r="C440" s="23"/>
      <c r="D440" s="23"/>
      <c r="E440" s="1051"/>
      <c r="F440" s="1051"/>
      <c r="G440" s="1055"/>
      <c r="H440" s="365">
        <v>44251</v>
      </c>
      <c r="I440" s="182">
        <v>2020</v>
      </c>
      <c r="J440" s="1678">
        <v>201.1</v>
      </c>
      <c r="K440" s="716" t="s">
        <v>3276</v>
      </c>
      <c r="L440" s="739" t="s">
        <v>2769</v>
      </c>
      <c r="M440" s="2" t="s">
        <v>4077</v>
      </c>
      <c r="N440" s="495" t="s">
        <v>3295</v>
      </c>
      <c r="O440" s="186" t="s">
        <v>4877</v>
      </c>
      <c r="P440" s="187">
        <v>410787.6</v>
      </c>
      <c r="Q440" s="664">
        <v>44089</v>
      </c>
      <c r="R440" s="664">
        <v>44166</v>
      </c>
      <c r="S440" s="665">
        <v>44196</v>
      </c>
      <c r="T440" s="111" t="s">
        <v>68</v>
      </c>
      <c r="U440" s="191" t="s">
        <v>1177</v>
      </c>
      <c r="V440" s="716" t="s">
        <v>449</v>
      </c>
      <c r="W440" s="505" t="s">
        <v>74</v>
      </c>
      <c r="X440" s="1623"/>
      <c r="Y440" s="280" t="s">
        <v>3277</v>
      </c>
      <c r="Z440" s="9">
        <v>44082</v>
      </c>
      <c r="AA440" s="4">
        <v>1023137.79</v>
      </c>
      <c r="AB440" s="4"/>
      <c r="AC440" s="34"/>
      <c r="AD440" s="36" t="s">
        <v>68</v>
      </c>
      <c r="AE440" s="119" t="s">
        <v>68</v>
      </c>
      <c r="AF440" s="119" t="s">
        <v>68</v>
      </c>
      <c r="AG440" s="7" t="s">
        <v>68</v>
      </c>
      <c r="AH440" s="116" t="s">
        <v>68</v>
      </c>
      <c r="AI440" s="35" t="s">
        <v>68</v>
      </c>
      <c r="AJ440" s="1" t="s">
        <v>68</v>
      </c>
      <c r="AK440" s="5"/>
      <c r="AL440" s="1" t="s">
        <v>68</v>
      </c>
      <c r="AM440" s="5"/>
      <c r="AN440" s="1" t="s">
        <v>68</v>
      </c>
      <c r="AO440" s="5"/>
      <c r="AP440" s="306">
        <v>0</v>
      </c>
      <c r="AQ440" s="771"/>
      <c r="AR440" s="1040"/>
      <c r="AS440" s="1027"/>
      <c r="AT440" s="68" t="s">
        <v>74</v>
      </c>
      <c r="AU440" s="12"/>
      <c r="AV440" s="243"/>
      <c r="AW440" s="54"/>
      <c r="AX440" s="68" t="s">
        <v>74</v>
      </c>
      <c r="AY440" s="255"/>
      <c r="AZ440" s="255"/>
      <c r="BA440" s="245"/>
      <c r="BB440" s="68" t="s">
        <v>74</v>
      </c>
      <c r="BC440" s="1686"/>
      <c r="BD440" s="5"/>
      <c r="BE440" s="5"/>
      <c r="BF440" s="5"/>
      <c r="BG440" s="38"/>
      <c r="BH440" s="64"/>
      <c r="BI440" s="1228"/>
      <c r="BJ440" s="795"/>
      <c r="BK440" s="795"/>
      <c r="BL440" s="795"/>
      <c r="BM440" s="795"/>
      <c r="BN440" s="795"/>
      <c r="BO440" s="1054"/>
      <c r="BP440" s="795"/>
      <c r="BQ440" s="795"/>
      <c r="BR440" s="795"/>
      <c r="BS440" s="794"/>
      <c r="BT440" s="14"/>
      <c r="BU440" s="1468" t="s">
        <v>3773</v>
      </c>
      <c r="BV440" s="14"/>
      <c r="BW440" s="14"/>
      <c r="BX440" s="14"/>
      <c r="BY440" s="1433" t="s">
        <v>2098</v>
      </c>
      <c r="BZ440" s="40"/>
      <c r="CA440" s="582"/>
      <c r="CB440" s="582"/>
      <c r="CC440" s="582"/>
      <c r="CD440" s="582"/>
      <c r="CE440" s="582"/>
      <c r="CF440" s="582"/>
      <c r="CG440" s="582"/>
      <c r="CH440" s="16"/>
    </row>
    <row r="441" spans="2:86" ht="105.75" hidden="1" customHeight="1">
      <c r="B441" s="23"/>
      <c r="C441" s="23"/>
      <c r="D441" s="23"/>
      <c r="E441" s="1051"/>
      <c r="F441" s="1051"/>
      <c r="G441" s="1055"/>
      <c r="H441" s="365"/>
      <c r="I441" s="182">
        <v>2020</v>
      </c>
      <c r="J441" s="1678">
        <v>201.101</v>
      </c>
      <c r="K441" s="716" t="s">
        <v>3959</v>
      </c>
      <c r="L441" s="739" t="s">
        <v>3952</v>
      </c>
      <c r="M441" s="2" t="s">
        <v>4077</v>
      </c>
      <c r="N441" s="494" t="s">
        <v>3971</v>
      </c>
      <c r="O441" s="186" t="s">
        <v>4877</v>
      </c>
      <c r="P441" s="187">
        <v>149317.53</v>
      </c>
      <c r="Q441" s="664">
        <v>44089</v>
      </c>
      <c r="R441" s="664">
        <v>44166</v>
      </c>
      <c r="S441" s="665">
        <v>44196</v>
      </c>
      <c r="T441" s="111" t="s">
        <v>1177</v>
      </c>
      <c r="U441" s="191" t="s">
        <v>1177</v>
      </c>
      <c r="V441" s="1064"/>
      <c r="W441" s="688" t="s">
        <v>1431</v>
      </c>
      <c r="X441" s="1624" t="s">
        <v>1177</v>
      </c>
      <c r="Y441" s="280"/>
      <c r="Z441" s="9"/>
      <c r="AA441" s="4"/>
      <c r="AB441" s="4"/>
      <c r="AC441" s="34"/>
      <c r="AD441" s="36" t="s">
        <v>68</v>
      </c>
      <c r="AE441" s="119" t="s">
        <v>68</v>
      </c>
      <c r="AF441" s="119" t="s">
        <v>68</v>
      </c>
      <c r="AG441" s="7" t="s">
        <v>68</v>
      </c>
      <c r="AH441" s="116" t="s">
        <v>68</v>
      </c>
      <c r="AI441" s="35" t="s">
        <v>68</v>
      </c>
      <c r="AJ441" s="1" t="s">
        <v>68</v>
      </c>
      <c r="AK441" s="5"/>
      <c r="AL441" s="1" t="s">
        <v>68</v>
      </c>
      <c r="AM441" s="5"/>
      <c r="AN441" s="1" t="s">
        <v>68</v>
      </c>
      <c r="AO441" s="5"/>
      <c r="AP441" s="306">
        <v>0</v>
      </c>
      <c r="AQ441" s="771"/>
      <c r="AR441" s="1040"/>
      <c r="AS441" s="1027"/>
      <c r="AT441" s="68" t="s">
        <v>74</v>
      </c>
      <c r="AU441" s="12"/>
      <c r="AV441" s="243"/>
      <c r="AW441" s="54"/>
      <c r="AX441" s="68" t="s">
        <v>74</v>
      </c>
      <c r="AY441" s="255"/>
      <c r="AZ441" s="255"/>
      <c r="BA441" s="245"/>
      <c r="BB441" s="68" t="s">
        <v>74</v>
      </c>
      <c r="BC441" s="1686"/>
      <c r="BD441" s="5"/>
      <c r="BE441" s="5"/>
      <c r="BF441" s="5"/>
      <c r="BG441" s="38"/>
      <c r="BH441" s="64" t="s">
        <v>68</v>
      </c>
      <c r="BI441" s="1228"/>
      <c r="BJ441" s="795" t="s">
        <v>68</v>
      </c>
      <c r="BK441" s="795" t="s">
        <v>68</v>
      </c>
      <c r="BL441" s="795" t="s">
        <v>68</v>
      </c>
      <c r="BM441" s="795" t="s">
        <v>68</v>
      </c>
      <c r="BN441" s="795" t="s">
        <v>68</v>
      </c>
      <c r="BO441" s="1054" t="s">
        <v>68</v>
      </c>
      <c r="BP441" s="795" t="s">
        <v>68</v>
      </c>
      <c r="BQ441" s="795"/>
      <c r="BR441" s="795" t="s">
        <v>68</v>
      </c>
      <c r="BS441" s="794" t="s">
        <v>68</v>
      </c>
      <c r="BT441" s="14"/>
      <c r="BU441" s="1468"/>
      <c r="BV441" s="14"/>
      <c r="BW441" s="14"/>
      <c r="BX441" s="14"/>
      <c r="BY441" s="1433" t="s">
        <v>2098</v>
      </c>
      <c r="BZ441" s="40"/>
      <c r="CA441" s="582"/>
      <c r="CB441" s="582"/>
      <c r="CC441" s="582"/>
      <c r="CD441" s="582"/>
      <c r="CE441" s="582"/>
      <c r="CF441" s="582"/>
      <c r="CG441" s="582"/>
      <c r="CH441" s="16"/>
    </row>
    <row r="442" spans="2:86" ht="66.75" hidden="1" customHeight="1">
      <c r="B442" s="23"/>
      <c r="C442" s="23"/>
      <c r="D442" s="23"/>
      <c r="E442" s="1051"/>
      <c r="F442" s="1051"/>
      <c r="G442" s="1055"/>
      <c r="H442" s="365">
        <v>44251</v>
      </c>
      <c r="I442" s="182">
        <v>2020</v>
      </c>
      <c r="J442" s="1678">
        <v>201.11</v>
      </c>
      <c r="K442" s="716" t="s">
        <v>3276</v>
      </c>
      <c r="L442" s="739" t="s">
        <v>3364</v>
      </c>
      <c r="M442" s="2" t="s">
        <v>4077</v>
      </c>
      <c r="N442" s="495" t="s">
        <v>3365</v>
      </c>
      <c r="O442" s="495" t="s">
        <v>4560</v>
      </c>
      <c r="P442" s="187">
        <v>781012.26</v>
      </c>
      <c r="Q442" s="664">
        <v>44089</v>
      </c>
      <c r="R442" s="664">
        <v>44150</v>
      </c>
      <c r="S442" s="665">
        <v>44181</v>
      </c>
      <c r="T442" s="111"/>
      <c r="U442" s="191" t="s">
        <v>1177</v>
      </c>
      <c r="V442" s="716" t="s">
        <v>449</v>
      </c>
      <c r="W442" s="505" t="s">
        <v>74</v>
      </c>
      <c r="X442" s="1623"/>
      <c r="Y442" s="280" t="s">
        <v>3277</v>
      </c>
      <c r="Z442" s="9">
        <v>44082</v>
      </c>
      <c r="AA442" s="1400">
        <f>270757.59+279551.87+686973.64+310537.91+327983.96</f>
        <v>1875804.97</v>
      </c>
      <c r="AB442" s="4"/>
      <c r="AC442" s="34"/>
      <c r="AD442" s="36" t="s">
        <v>68</v>
      </c>
      <c r="AE442" s="119" t="s">
        <v>68</v>
      </c>
      <c r="AF442" s="119" t="s">
        <v>68</v>
      </c>
      <c r="AG442" s="7" t="s">
        <v>68</v>
      </c>
      <c r="AH442" s="116" t="s">
        <v>68</v>
      </c>
      <c r="AI442" s="35" t="s">
        <v>68</v>
      </c>
      <c r="AJ442" s="1" t="s">
        <v>68</v>
      </c>
      <c r="AK442" s="5"/>
      <c r="AL442" s="1" t="s">
        <v>68</v>
      </c>
      <c r="AM442" s="5"/>
      <c r="AN442" s="1" t="s">
        <v>68</v>
      </c>
      <c r="AO442" s="5"/>
      <c r="AP442" s="306">
        <v>0</v>
      </c>
      <c r="AQ442" s="771"/>
      <c r="AR442" s="1040"/>
      <c r="AS442" s="1027"/>
      <c r="AT442" s="68" t="s">
        <v>74</v>
      </c>
      <c r="AU442" s="12"/>
      <c r="AV442" s="243"/>
      <c r="AW442" s="54"/>
      <c r="AX442" s="68" t="s">
        <v>74</v>
      </c>
      <c r="AY442" s="255"/>
      <c r="AZ442" s="255"/>
      <c r="BA442" s="245"/>
      <c r="BB442" s="68" t="s">
        <v>74</v>
      </c>
      <c r="BC442" s="1686"/>
      <c r="BD442" s="5"/>
      <c r="BE442" s="5"/>
      <c r="BF442" s="5"/>
      <c r="BG442" s="38"/>
      <c r="BH442" s="64"/>
      <c r="BI442" s="1228"/>
      <c r="BJ442" s="795"/>
      <c r="BK442" s="795"/>
      <c r="BL442" s="795"/>
      <c r="BM442" s="795"/>
      <c r="BN442" s="795"/>
      <c r="BO442" s="1054"/>
      <c r="BP442" s="795"/>
      <c r="BQ442" s="795"/>
      <c r="BR442" s="795"/>
      <c r="BS442" s="794"/>
      <c r="BT442" s="14"/>
      <c r="BU442" s="1468" t="s">
        <v>3773</v>
      </c>
      <c r="BV442" s="14"/>
      <c r="BW442" s="14"/>
      <c r="BX442" s="14"/>
      <c r="BY442" s="1433" t="s">
        <v>2098</v>
      </c>
      <c r="BZ442" s="40"/>
      <c r="CA442" s="582"/>
      <c r="CB442" s="582"/>
      <c r="CC442" s="582"/>
      <c r="CD442" s="582"/>
      <c r="CE442" s="582"/>
      <c r="CF442" s="582"/>
      <c r="CG442" s="582"/>
      <c r="CH442" s="16"/>
    </row>
    <row r="443" spans="2:86" ht="60" hidden="1" customHeight="1">
      <c r="B443" s="23"/>
      <c r="C443" s="23"/>
      <c r="D443" s="23"/>
      <c r="E443" s="1051"/>
      <c r="F443" s="1051"/>
      <c r="G443" s="1055"/>
      <c r="H443" s="365"/>
      <c r="I443" s="182">
        <v>2020</v>
      </c>
      <c r="J443" s="1678">
        <v>201.11099999999999</v>
      </c>
      <c r="K443" s="716" t="s">
        <v>3959</v>
      </c>
      <c r="L443" s="739" t="s">
        <v>3953</v>
      </c>
      <c r="M443" s="2" t="s">
        <v>4077</v>
      </c>
      <c r="N443" s="494" t="s">
        <v>3972</v>
      </c>
      <c r="O443" s="494" t="s">
        <v>4560</v>
      </c>
      <c r="P443" s="187">
        <v>289700.96999999997</v>
      </c>
      <c r="Q443" s="664">
        <v>44089</v>
      </c>
      <c r="R443" s="664">
        <v>44150</v>
      </c>
      <c r="S443" s="665">
        <v>44181</v>
      </c>
      <c r="T443" s="111" t="s">
        <v>1177</v>
      </c>
      <c r="U443" s="191" t="s">
        <v>1177</v>
      </c>
      <c r="V443" s="1064"/>
      <c r="W443" s="688" t="s">
        <v>1431</v>
      </c>
      <c r="X443" s="1624" t="s">
        <v>1177</v>
      </c>
      <c r="Y443" s="280"/>
      <c r="Z443" s="9"/>
      <c r="AA443" s="4"/>
      <c r="AB443" s="4"/>
      <c r="AC443" s="34"/>
      <c r="AD443" s="36" t="s">
        <v>68</v>
      </c>
      <c r="AE443" s="119" t="s">
        <v>68</v>
      </c>
      <c r="AF443" s="119" t="s">
        <v>68</v>
      </c>
      <c r="AG443" s="7" t="s">
        <v>68</v>
      </c>
      <c r="AH443" s="116" t="s">
        <v>68</v>
      </c>
      <c r="AI443" s="35" t="s">
        <v>68</v>
      </c>
      <c r="AJ443" s="1" t="s">
        <v>68</v>
      </c>
      <c r="AK443" s="5"/>
      <c r="AL443" s="1" t="s">
        <v>68</v>
      </c>
      <c r="AM443" s="5"/>
      <c r="AN443" s="1" t="s">
        <v>68</v>
      </c>
      <c r="AO443" s="5"/>
      <c r="AP443" s="306">
        <v>0</v>
      </c>
      <c r="AQ443" s="771"/>
      <c r="AR443" s="1040"/>
      <c r="AS443" s="1027"/>
      <c r="AT443" s="68" t="s">
        <v>74</v>
      </c>
      <c r="AU443" s="12"/>
      <c r="AV443" s="243"/>
      <c r="AW443" s="54"/>
      <c r="AX443" s="68" t="s">
        <v>74</v>
      </c>
      <c r="AY443" s="255"/>
      <c r="AZ443" s="255"/>
      <c r="BA443" s="245"/>
      <c r="BB443" s="68" t="s">
        <v>74</v>
      </c>
      <c r="BC443" s="1686"/>
      <c r="BD443" s="5"/>
      <c r="BE443" s="5"/>
      <c r="BF443" s="5"/>
      <c r="BG443" s="38"/>
      <c r="BH443" s="64" t="s">
        <v>68</v>
      </c>
      <c r="BI443" s="1228"/>
      <c r="BJ443" s="795" t="s">
        <v>68</v>
      </c>
      <c r="BK443" s="795" t="s">
        <v>68</v>
      </c>
      <c r="BL443" s="795" t="s">
        <v>68</v>
      </c>
      <c r="BM443" s="795" t="s">
        <v>68</v>
      </c>
      <c r="BN443" s="795" t="s">
        <v>68</v>
      </c>
      <c r="BO443" s="1054" t="s">
        <v>68</v>
      </c>
      <c r="BP443" s="795" t="s">
        <v>68</v>
      </c>
      <c r="BQ443" s="795"/>
      <c r="BR443" s="795" t="s">
        <v>68</v>
      </c>
      <c r="BS443" s="794" t="s">
        <v>68</v>
      </c>
      <c r="BT443" s="14"/>
      <c r="BU443" s="1468"/>
      <c r="BV443" s="14"/>
      <c r="BW443" s="14"/>
      <c r="BX443" s="14"/>
      <c r="BY443" s="1433" t="s">
        <v>2098</v>
      </c>
      <c r="BZ443" s="40"/>
      <c r="CA443" s="582"/>
      <c r="CB443" s="582"/>
      <c r="CC443" s="582"/>
      <c r="CD443" s="582"/>
      <c r="CE443" s="582"/>
      <c r="CF443" s="582"/>
      <c r="CG443" s="582"/>
      <c r="CH443" s="16"/>
    </row>
    <row r="444" spans="2:86" ht="86.25" hidden="1" customHeight="1">
      <c r="B444" s="23"/>
      <c r="C444" s="23"/>
      <c r="D444" s="23"/>
      <c r="E444" s="1051"/>
      <c r="F444" s="1051"/>
      <c r="G444" s="1055"/>
      <c r="H444" s="365">
        <v>44251</v>
      </c>
      <c r="I444" s="182">
        <v>2020</v>
      </c>
      <c r="J444" s="1678">
        <v>201.12</v>
      </c>
      <c r="K444" s="716" t="s">
        <v>3276</v>
      </c>
      <c r="L444" s="739" t="s">
        <v>3278</v>
      </c>
      <c r="M444" s="2" t="s">
        <v>4077</v>
      </c>
      <c r="N444" s="495" t="s">
        <v>3279</v>
      </c>
      <c r="O444" s="495" t="s">
        <v>2649</v>
      </c>
      <c r="P444" s="187">
        <v>448092.36</v>
      </c>
      <c r="Q444" s="664">
        <v>44089</v>
      </c>
      <c r="R444" s="664">
        <v>44166</v>
      </c>
      <c r="S444" s="665">
        <v>44196</v>
      </c>
      <c r="T444" s="111" t="s">
        <v>68</v>
      </c>
      <c r="U444" s="191" t="s">
        <v>1177</v>
      </c>
      <c r="V444" s="716" t="s">
        <v>449</v>
      </c>
      <c r="W444" s="505" t="s">
        <v>74</v>
      </c>
      <c r="X444" s="1623"/>
      <c r="Y444" s="280" t="s">
        <v>3277</v>
      </c>
      <c r="Z444" s="9">
        <v>44082</v>
      </c>
      <c r="AA444" s="81">
        <v>1035995.63</v>
      </c>
      <c r="AB444" s="4"/>
      <c r="AC444" s="34"/>
      <c r="AD444" s="36" t="s">
        <v>68</v>
      </c>
      <c r="AE444" s="119" t="s">
        <v>68</v>
      </c>
      <c r="AF444" s="119" t="s">
        <v>68</v>
      </c>
      <c r="AG444" s="7" t="s">
        <v>68</v>
      </c>
      <c r="AH444" s="116" t="s">
        <v>68</v>
      </c>
      <c r="AI444" s="35" t="s">
        <v>68</v>
      </c>
      <c r="AJ444" s="1" t="s">
        <v>68</v>
      </c>
      <c r="AK444" s="5"/>
      <c r="AL444" s="1" t="s">
        <v>68</v>
      </c>
      <c r="AM444" s="5"/>
      <c r="AN444" s="1" t="s">
        <v>68</v>
      </c>
      <c r="AO444" s="5"/>
      <c r="AP444" s="306">
        <v>0</v>
      </c>
      <c r="AQ444" s="771"/>
      <c r="AR444" s="1040"/>
      <c r="AS444" s="1027"/>
      <c r="AT444" s="68" t="s">
        <v>74</v>
      </c>
      <c r="AU444" s="12"/>
      <c r="AV444" s="243"/>
      <c r="AW444" s="54"/>
      <c r="AX444" s="68" t="s">
        <v>74</v>
      </c>
      <c r="AY444" s="255"/>
      <c r="AZ444" s="255"/>
      <c r="BA444" s="245"/>
      <c r="BB444" s="68" t="s">
        <v>74</v>
      </c>
      <c r="BC444" s="1686"/>
      <c r="BD444" s="5"/>
      <c r="BE444" s="5"/>
      <c r="BF444" s="5"/>
      <c r="BG444" s="38"/>
      <c r="BH444" s="64"/>
      <c r="BI444" s="1228"/>
      <c r="BJ444" s="795"/>
      <c r="BK444" s="795"/>
      <c r="BL444" s="795"/>
      <c r="BM444" s="795"/>
      <c r="BN444" s="795"/>
      <c r="BO444" s="1054"/>
      <c r="BP444" s="795"/>
      <c r="BQ444" s="795"/>
      <c r="BR444" s="795"/>
      <c r="BS444" s="794"/>
      <c r="BT444" s="14"/>
      <c r="BU444" s="1468" t="s">
        <v>3773</v>
      </c>
      <c r="BV444" s="14"/>
      <c r="BW444" s="14"/>
      <c r="BX444" s="14"/>
      <c r="BY444" s="1433" t="s">
        <v>2098</v>
      </c>
      <c r="BZ444" s="40"/>
      <c r="CA444" s="582"/>
      <c r="CB444" s="582"/>
      <c r="CC444" s="582"/>
      <c r="CD444" s="582"/>
      <c r="CE444" s="582"/>
      <c r="CF444" s="582"/>
      <c r="CG444" s="582"/>
      <c r="CH444" s="16"/>
    </row>
    <row r="445" spans="2:86" ht="125.25" hidden="1" customHeight="1">
      <c r="B445" s="23"/>
      <c r="C445" s="23"/>
      <c r="D445" s="23"/>
      <c r="E445" s="1051"/>
      <c r="F445" s="1051"/>
      <c r="G445" s="1055"/>
      <c r="H445" s="365"/>
      <c r="I445" s="182">
        <v>2020</v>
      </c>
      <c r="J445" s="1678">
        <v>201.12100000000001</v>
      </c>
      <c r="K445" s="716" t="s">
        <v>3959</v>
      </c>
      <c r="L445" s="739" t="s">
        <v>3954</v>
      </c>
      <c r="M445" s="2" t="s">
        <v>4077</v>
      </c>
      <c r="N445" s="494" t="s">
        <v>3973</v>
      </c>
      <c r="O445" s="494" t="s">
        <v>2649</v>
      </c>
      <c r="P445" s="187">
        <v>180637.7</v>
      </c>
      <c r="Q445" s="664">
        <v>44089</v>
      </c>
      <c r="R445" s="664">
        <v>44166</v>
      </c>
      <c r="S445" s="665">
        <v>44196</v>
      </c>
      <c r="T445" s="111" t="s">
        <v>1177</v>
      </c>
      <c r="U445" s="191" t="s">
        <v>1177</v>
      </c>
      <c r="V445" s="1064"/>
      <c r="W445" s="688" t="s">
        <v>1431</v>
      </c>
      <c r="X445" s="1624" t="s">
        <v>1177</v>
      </c>
      <c r="Y445" s="280"/>
      <c r="Z445" s="9"/>
      <c r="AA445" s="4"/>
      <c r="AB445" s="4"/>
      <c r="AC445" s="34"/>
      <c r="AD445" s="36" t="s">
        <v>68</v>
      </c>
      <c r="AE445" s="119" t="s">
        <v>68</v>
      </c>
      <c r="AF445" s="119" t="s">
        <v>68</v>
      </c>
      <c r="AG445" s="7" t="s">
        <v>68</v>
      </c>
      <c r="AH445" s="116" t="s">
        <v>68</v>
      </c>
      <c r="AI445" s="35" t="s">
        <v>68</v>
      </c>
      <c r="AJ445" s="1" t="s">
        <v>68</v>
      </c>
      <c r="AK445" s="5"/>
      <c r="AL445" s="1" t="s">
        <v>68</v>
      </c>
      <c r="AM445" s="5"/>
      <c r="AN445" s="1" t="s">
        <v>68</v>
      </c>
      <c r="AO445" s="5"/>
      <c r="AP445" s="306">
        <v>0</v>
      </c>
      <c r="AQ445" s="771"/>
      <c r="AR445" s="1040"/>
      <c r="AS445" s="1027"/>
      <c r="AT445" s="68" t="s">
        <v>74</v>
      </c>
      <c r="AU445" s="12"/>
      <c r="AV445" s="243"/>
      <c r="AW445" s="54"/>
      <c r="AX445" s="68" t="s">
        <v>74</v>
      </c>
      <c r="AY445" s="255"/>
      <c r="AZ445" s="255"/>
      <c r="BA445" s="245"/>
      <c r="BB445" s="68" t="s">
        <v>74</v>
      </c>
      <c r="BC445" s="1686"/>
      <c r="BD445" s="5"/>
      <c r="BE445" s="5"/>
      <c r="BF445" s="5"/>
      <c r="BG445" s="38"/>
      <c r="BH445" s="64" t="s">
        <v>68</v>
      </c>
      <c r="BI445" s="1228"/>
      <c r="BJ445" s="795" t="s">
        <v>68</v>
      </c>
      <c r="BK445" s="795" t="s">
        <v>68</v>
      </c>
      <c r="BL445" s="795" t="s">
        <v>68</v>
      </c>
      <c r="BM445" s="795" t="s">
        <v>68</v>
      </c>
      <c r="BN445" s="795" t="s">
        <v>68</v>
      </c>
      <c r="BO445" s="1054" t="s">
        <v>68</v>
      </c>
      <c r="BP445" s="795" t="s">
        <v>68</v>
      </c>
      <c r="BQ445" s="795"/>
      <c r="BR445" s="795" t="s">
        <v>68</v>
      </c>
      <c r="BS445" s="794" t="s">
        <v>68</v>
      </c>
      <c r="BT445" s="14"/>
      <c r="BU445" s="1468"/>
      <c r="BV445" s="14"/>
      <c r="BW445" s="14"/>
      <c r="BX445" s="14"/>
      <c r="BY445" s="1433" t="s">
        <v>2098</v>
      </c>
      <c r="BZ445" s="40"/>
      <c r="CA445" s="582"/>
      <c r="CB445" s="582"/>
      <c r="CC445" s="582"/>
      <c r="CD445" s="582"/>
      <c r="CE445" s="582"/>
      <c r="CF445" s="582"/>
      <c r="CG445" s="582"/>
      <c r="CH445" s="16"/>
    </row>
    <row r="446" spans="2:86" ht="123.75" hidden="1" customHeight="1">
      <c r="B446" s="23"/>
      <c r="C446" s="23"/>
      <c r="D446" s="23"/>
      <c r="E446" s="1051"/>
      <c r="F446" s="1051"/>
      <c r="G446" s="1055"/>
      <c r="H446" s="365">
        <v>44251</v>
      </c>
      <c r="I446" s="182">
        <v>2020</v>
      </c>
      <c r="J446" s="1678">
        <v>201.13</v>
      </c>
      <c r="K446" s="716" t="s">
        <v>3276</v>
      </c>
      <c r="L446" s="739" t="s">
        <v>3280</v>
      </c>
      <c r="M446" s="2" t="s">
        <v>4077</v>
      </c>
      <c r="N446" s="495" t="s">
        <v>3281</v>
      </c>
      <c r="O446" s="495" t="s">
        <v>1979</v>
      </c>
      <c r="P446" s="187">
        <f>279231.15+88000.12+86307.81+96461.67+106615.53+86307.81+103230.91</f>
        <v>846155.00000000012</v>
      </c>
      <c r="Q446" s="664">
        <v>44089</v>
      </c>
      <c r="R446" s="664">
        <v>44139</v>
      </c>
      <c r="S446" s="665">
        <v>44191</v>
      </c>
      <c r="T446" s="111" t="s">
        <v>68</v>
      </c>
      <c r="U446" s="191" t="s">
        <v>1177</v>
      </c>
      <c r="V446" s="716" t="s">
        <v>449</v>
      </c>
      <c r="W446" s="505" t="s">
        <v>74</v>
      </c>
      <c r="X446" s="1623"/>
      <c r="Y446" s="280" t="s">
        <v>3277</v>
      </c>
      <c r="Z446" s="9">
        <v>44082</v>
      </c>
      <c r="AA446" s="4">
        <f>757928.28+212915.08+208820.56+233387.69+257954.81+208820.56+249765.77</f>
        <v>2129592.75</v>
      </c>
      <c r="AB446" s="4"/>
      <c r="AC446" s="34"/>
      <c r="AD446" s="36" t="s">
        <v>68</v>
      </c>
      <c r="AE446" s="119" t="s">
        <v>68</v>
      </c>
      <c r="AF446" s="119" t="s">
        <v>68</v>
      </c>
      <c r="AG446" s="7" t="s">
        <v>68</v>
      </c>
      <c r="AH446" s="116" t="s">
        <v>68</v>
      </c>
      <c r="AI446" s="35" t="s">
        <v>68</v>
      </c>
      <c r="AJ446" s="1" t="s">
        <v>68</v>
      </c>
      <c r="AK446" s="5"/>
      <c r="AL446" s="1" t="s">
        <v>68</v>
      </c>
      <c r="AM446" s="5"/>
      <c r="AN446" s="1" t="s">
        <v>68</v>
      </c>
      <c r="AO446" s="5"/>
      <c r="AP446" s="306">
        <v>0</v>
      </c>
      <c r="AQ446" s="771"/>
      <c r="AR446" s="1040"/>
      <c r="AS446" s="1027"/>
      <c r="AT446" s="68" t="s">
        <v>74</v>
      </c>
      <c r="AU446" s="12"/>
      <c r="AV446" s="243"/>
      <c r="AW446" s="54"/>
      <c r="AX446" s="68" t="s">
        <v>74</v>
      </c>
      <c r="AY446" s="255"/>
      <c r="AZ446" s="255"/>
      <c r="BA446" s="245"/>
      <c r="BB446" s="68" t="s">
        <v>74</v>
      </c>
      <c r="BC446" s="1686"/>
      <c r="BD446" s="5"/>
      <c r="BE446" s="5"/>
      <c r="BF446" s="5"/>
      <c r="BG446" s="38"/>
      <c r="BH446" s="64"/>
      <c r="BI446" s="1228"/>
      <c r="BJ446" s="795"/>
      <c r="BK446" s="795"/>
      <c r="BL446" s="795"/>
      <c r="BM446" s="795"/>
      <c r="BN446" s="795"/>
      <c r="BO446" s="1054"/>
      <c r="BP446" s="795"/>
      <c r="BQ446" s="795"/>
      <c r="BR446" s="795"/>
      <c r="BS446" s="794"/>
      <c r="BT446" s="14"/>
      <c r="BU446" s="1468" t="s">
        <v>3773</v>
      </c>
      <c r="BV446" s="14"/>
      <c r="BW446" s="14"/>
      <c r="BX446" s="14"/>
      <c r="BY446" s="1433" t="s">
        <v>2098</v>
      </c>
      <c r="BZ446" s="40"/>
      <c r="CA446" s="582"/>
      <c r="CB446" s="582"/>
      <c r="CC446" s="582"/>
      <c r="CD446" s="582"/>
      <c r="CE446" s="582"/>
      <c r="CF446" s="582"/>
      <c r="CG446" s="582"/>
      <c r="CH446" s="16"/>
    </row>
    <row r="447" spans="2:86" ht="86.25" hidden="1" customHeight="1">
      <c r="B447" s="23"/>
      <c r="C447" s="23"/>
      <c r="D447" s="23"/>
      <c r="E447" s="1051"/>
      <c r="F447" s="1051"/>
      <c r="G447" s="1055"/>
      <c r="H447" s="365"/>
      <c r="I447" s="182">
        <v>2020</v>
      </c>
      <c r="J447" s="1678">
        <v>201.131</v>
      </c>
      <c r="K447" s="716" t="s">
        <v>3959</v>
      </c>
      <c r="L447" s="739" t="s">
        <v>3955</v>
      </c>
      <c r="M447" s="2" t="s">
        <v>4077</v>
      </c>
      <c r="N447" s="494" t="s">
        <v>3974</v>
      </c>
      <c r="O447" s="494" t="s">
        <v>1979</v>
      </c>
      <c r="P447" s="187">
        <v>219218.46</v>
      </c>
      <c r="Q447" s="664">
        <v>44089</v>
      </c>
      <c r="R447" s="664">
        <v>44139</v>
      </c>
      <c r="S447" s="665">
        <v>44191</v>
      </c>
      <c r="T447" s="111" t="s">
        <v>1177</v>
      </c>
      <c r="U447" s="191" t="s">
        <v>1177</v>
      </c>
      <c r="V447" s="1064"/>
      <c r="W447" s="688" t="s">
        <v>1431</v>
      </c>
      <c r="X447" s="1624" t="s">
        <v>1177</v>
      </c>
      <c r="Y447" s="280"/>
      <c r="Z447" s="9"/>
      <c r="AA447" s="4"/>
      <c r="AB447" s="4"/>
      <c r="AC447" s="4"/>
      <c r="AD447" s="36" t="s">
        <v>68</v>
      </c>
      <c r="AE447" s="119" t="s">
        <v>68</v>
      </c>
      <c r="AF447" s="119" t="s">
        <v>68</v>
      </c>
      <c r="AG447" s="7" t="s">
        <v>68</v>
      </c>
      <c r="AH447" s="116" t="s">
        <v>68</v>
      </c>
      <c r="AI447" s="35" t="s">
        <v>68</v>
      </c>
      <c r="AJ447" s="1" t="s">
        <v>68</v>
      </c>
      <c r="AK447" s="5"/>
      <c r="AL447" s="1" t="s">
        <v>68</v>
      </c>
      <c r="AM447" s="5"/>
      <c r="AN447" s="1" t="s">
        <v>68</v>
      </c>
      <c r="AO447" s="5"/>
      <c r="AP447" s="306">
        <v>0</v>
      </c>
      <c r="AQ447" s="771"/>
      <c r="AR447" s="1040"/>
      <c r="AS447" s="1027"/>
      <c r="AT447" s="68" t="s">
        <v>74</v>
      </c>
      <c r="AU447" s="12"/>
      <c r="AV447" s="243"/>
      <c r="AW447" s="54"/>
      <c r="AX447" s="68" t="s">
        <v>74</v>
      </c>
      <c r="AY447" s="255"/>
      <c r="AZ447" s="255"/>
      <c r="BA447" s="245"/>
      <c r="BB447" s="68" t="s">
        <v>74</v>
      </c>
      <c r="BC447" s="1686"/>
      <c r="BD447" s="5"/>
      <c r="BE447" s="5"/>
      <c r="BF447" s="5"/>
      <c r="BG447" s="38"/>
      <c r="BH447" s="64" t="s">
        <v>68</v>
      </c>
      <c r="BI447" s="1228"/>
      <c r="BJ447" s="795" t="s">
        <v>68</v>
      </c>
      <c r="BK447" s="795" t="s">
        <v>68</v>
      </c>
      <c r="BL447" s="795" t="s">
        <v>68</v>
      </c>
      <c r="BM447" s="795" t="s">
        <v>68</v>
      </c>
      <c r="BN447" s="795" t="s">
        <v>68</v>
      </c>
      <c r="BO447" s="1054" t="s">
        <v>68</v>
      </c>
      <c r="BP447" s="795" t="s">
        <v>68</v>
      </c>
      <c r="BQ447" s="795"/>
      <c r="BR447" s="795" t="s">
        <v>68</v>
      </c>
      <c r="BS447" s="794" t="s">
        <v>68</v>
      </c>
      <c r="BT447" s="14"/>
      <c r="BU447" s="1468"/>
      <c r="BV447" s="14"/>
      <c r="BW447" s="14"/>
      <c r="BX447" s="14"/>
      <c r="BY447" s="1433" t="s">
        <v>2098</v>
      </c>
      <c r="BZ447" s="40"/>
      <c r="CA447" s="582"/>
      <c r="CB447" s="582"/>
      <c r="CC447" s="582"/>
      <c r="CD447" s="582"/>
      <c r="CE447" s="582"/>
      <c r="CF447" s="582"/>
      <c r="CG447" s="582"/>
      <c r="CH447" s="16"/>
    </row>
    <row r="448" spans="2:86" ht="105" hidden="1" customHeight="1">
      <c r="B448" s="23"/>
      <c r="C448" s="1719">
        <v>44494</v>
      </c>
      <c r="D448" s="1719"/>
      <c r="E448" s="129"/>
      <c r="F448" s="129"/>
      <c r="G448" s="1055"/>
      <c r="H448" s="365">
        <v>44251</v>
      </c>
      <c r="I448" s="182">
        <v>2020</v>
      </c>
      <c r="J448" s="1678">
        <v>201.14</v>
      </c>
      <c r="K448" s="716" t="s">
        <v>3276</v>
      </c>
      <c r="L448" s="739" t="s">
        <v>3282</v>
      </c>
      <c r="M448" s="2" t="s">
        <v>4077</v>
      </c>
      <c r="N448" s="495" t="s">
        <v>3283</v>
      </c>
      <c r="O448" s="495" t="s">
        <v>1979</v>
      </c>
      <c r="P448" s="187">
        <v>367959.98</v>
      </c>
      <c r="Q448" s="664">
        <v>44089</v>
      </c>
      <c r="R448" s="664">
        <v>44172</v>
      </c>
      <c r="S448" s="665">
        <v>44196</v>
      </c>
      <c r="T448" s="111" t="s">
        <v>68</v>
      </c>
      <c r="U448" s="191" t="s">
        <v>1177</v>
      </c>
      <c r="V448" s="716" t="s">
        <v>449</v>
      </c>
      <c r="W448" s="505" t="s">
        <v>74</v>
      </c>
      <c r="X448" s="1623"/>
      <c r="Y448" s="280" t="s">
        <v>3277</v>
      </c>
      <c r="Z448" s="9">
        <v>44082</v>
      </c>
      <c r="AA448" s="4">
        <v>895020.71</v>
      </c>
      <c r="AB448" s="4"/>
      <c r="AC448" s="34"/>
      <c r="AD448" s="36" t="s">
        <v>68</v>
      </c>
      <c r="AE448" s="119" t="s">
        <v>68</v>
      </c>
      <c r="AF448" s="119" t="s">
        <v>68</v>
      </c>
      <c r="AG448" s="7" t="s">
        <v>68</v>
      </c>
      <c r="AH448" s="116" t="s">
        <v>68</v>
      </c>
      <c r="AI448" s="35" t="s">
        <v>68</v>
      </c>
      <c r="AJ448" s="1" t="s">
        <v>68</v>
      </c>
      <c r="AK448" s="5"/>
      <c r="AL448" s="1" t="s">
        <v>68</v>
      </c>
      <c r="AM448" s="5"/>
      <c r="AN448" s="1" t="s">
        <v>68</v>
      </c>
      <c r="AO448" s="5"/>
      <c r="AP448" s="306">
        <v>0</v>
      </c>
      <c r="AQ448" s="771"/>
      <c r="AR448" s="1040"/>
      <c r="AS448" s="1027"/>
      <c r="AT448" s="68" t="s">
        <v>74</v>
      </c>
      <c r="AU448" s="12"/>
      <c r="AV448" s="243"/>
      <c r="AW448" s="54"/>
      <c r="AX448" s="68" t="s">
        <v>74</v>
      </c>
      <c r="AY448" s="255"/>
      <c r="AZ448" s="255"/>
      <c r="BA448" s="245"/>
      <c r="BB448" s="68" t="s">
        <v>74</v>
      </c>
      <c r="BC448" s="1686"/>
      <c r="BD448" s="5"/>
      <c r="BE448" s="5"/>
      <c r="BF448" s="5"/>
      <c r="BG448" s="38"/>
      <c r="BH448" s="64"/>
      <c r="BI448" s="1228"/>
      <c r="BJ448" s="795"/>
      <c r="BK448" s="795"/>
      <c r="BL448" s="795"/>
      <c r="BM448" s="795"/>
      <c r="BN448" s="795"/>
      <c r="BO448" s="1054"/>
      <c r="BP448" s="795"/>
      <c r="BQ448" s="795"/>
      <c r="BR448" s="795"/>
      <c r="BS448" s="794"/>
      <c r="BT448" s="14"/>
      <c r="BU448" s="1468" t="s">
        <v>3773</v>
      </c>
      <c r="BV448" s="14"/>
      <c r="BW448" s="14"/>
      <c r="BX448" s="14"/>
      <c r="BY448" s="1433" t="s">
        <v>2098</v>
      </c>
      <c r="BZ448" s="40"/>
      <c r="CA448" s="582"/>
      <c r="CB448" s="582"/>
      <c r="CC448" s="582"/>
      <c r="CD448" s="582"/>
      <c r="CE448" s="582"/>
      <c r="CF448" s="582"/>
      <c r="CG448" s="582"/>
      <c r="CH448" s="16"/>
    </row>
    <row r="449" spans="2:86" ht="108" hidden="1" customHeight="1">
      <c r="B449" s="23"/>
      <c r="C449" s="1719">
        <v>44494</v>
      </c>
      <c r="D449" s="1719"/>
      <c r="E449" s="129"/>
      <c r="F449" s="129"/>
      <c r="G449" s="1055"/>
      <c r="H449" s="365"/>
      <c r="I449" s="182">
        <v>2020</v>
      </c>
      <c r="J449" s="1678">
        <v>201.14099999999999</v>
      </c>
      <c r="K449" s="716" t="s">
        <v>3959</v>
      </c>
      <c r="L449" s="739" t="s">
        <v>3956</v>
      </c>
      <c r="M449" s="2" t="s">
        <v>4077</v>
      </c>
      <c r="N449" s="495" t="s">
        <v>3976</v>
      </c>
      <c r="O449" s="495" t="s">
        <v>1979</v>
      </c>
      <c r="P449" s="187">
        <v>134912.99</v>
      </c>
      <c r="Q449" s="664">
        <v>44089</v>
      </c>
      <c r="R449" s="664">
        <v>44172</v>
      </c>
      <c r="S449" s="665">
        <v>44196</v>
      </c>
      <c r="T449" s="111" t="s">
        <v>1177</v>
      </c>
      <c r="U449" s="191" t="s">
        <v>1177</v>
      </c>
      <c r="V449" s="1064"/>
      <c r="W449" s="688" t="s">
        <v>1431</v>
      </c>
      <c r="X449" s="1624" t="s">
        <v>1177</v>
      </c>
      <c r="Y449" s="280"/>
      <c r="Z449" s="9"/>
      <c r="AA449" s="4"/>
      <c r="AB449" s="4"/>
      <c r="AC449" s="34"/>
      <c r="AD449" s="36" t="s">
        <v>68</v>
      </c>
      <c r="AE449" s="119" t="s">
        <v>68</v>
      </c>
      <c r="AF449" s="119" t="s">
        <v>68</v>
      </c>
      <c r="AG449" s="7" t="s">
        <v>68</v>
      </c>
      <c r="AH449" s="116" t="s">
        <v>68</v>
      </c>
      <c r="AI449" s="35" t="s">
        <v>68</v>
      </c>
      <c r="AJ449" s="1" t="s">
        <v>68</v>
      </c>
      <c r="AK449" s="5"/>
      <c r="AL449" s="1" t="s">
        <v>68</v>
      </c>
      <c r="AM449" s="5"/>
      <c r="AN449" s="1" t="s">
        <v>68</v>
      </c>
      <c r="AO449" s="5"/>
      <c r="AP449" s="306">
        <v>0</v>
      </c>
      <c r="AQ449" s="771"/>
      <c r="AR449" s="1040"/>
      <c r="AS449" s="1027"/>
      <c r="AT449" s="68" t="s">
        <v>74</v>
      </c>
      <c r="AU449" s="12"/>
      <c r="AV449" s="243"/>
      <c r="AW449" s="54"/>
      <c r="AX449" s="68" t="s">
        <v>74</v>
      </c>
      <c r="AY449" s="255"/>
      <c r="AZ449" s="255"/>
      <c r="BA449" s="245"/>
      <c r="BB449" s="68" t="s">
        <v>74</v>
      </c>
      <c r="BC449" s="1686"/>
      <c r="BD449" s="5"/>
      <c r="BE449" s="5"/>
      <c r="BF449" s="5"/>
      <c r="BG449" s="38"/>
      <c r="BH449" s="64" t="s">
        <v>68</v>
      </c>
      <c r="BI449" s="1228"/>
      <c r="BJ449" s="795" t="s">
        <v>68</v>
      </c>
      <c r="BK449" s="795" t="s">
        <v>68</v>
      </c>
      <c r="BL449" s="795" t="s">
        <v>68</v>
      </c>
      <c r="BM449" s="795" t="s">
        <v>68</v>
      </c>
      <c r="BN449" s="795" t="s">
        <v>68</v>
      </c>
      <c r="BO449" s="1054" t="s">
        <v>68</v>
      </c>
      <c r="BP449" s="795" t="s">
        <v>68</v>
      </c>
      <c r="BQ449" s="795"/>
      <c r="BR449" s="795" t="s">
        <v>68</v>
      </c>
      <c r="BS449" s="794" t="s">
        <v>68</v>
      </c>
      <c r="BT449" s="14"/>
      <c r="BU449" s="1468"/>
      <c r="BV449" s="14"/>
      <c r="BW449" s="14"/>
      <c r="BX449" s="14"/>
      <c r="BY449" s="1433" t="s">
        <v>2098</v>
      </c>
      <c r="BZ449" s="40"/>
      <c r="CA449" s="582"/>
      <c r="CB449" s="582"/>
      <c r="CC449" s="582"/>
      <c r="CD449" s="582"/>
      <c r="CE449" s="582"/>
      <c r="CF449" s="582"/>
      <c r="CG449" s="582"/>
      <c r="CH449" s="16"/>
    </row>
    <row r="450" spans="2:86" ht="103.5" hidden="1" customHeight="1">
      <c r="B450" s="23"/>
      <c r="C450" s="23"/>
      <c r="D450" s="23"/>
      <c r="E450" s="1051"/>
      <c r="F450" s="1051"/>
      <c r="G450" s="1055"/>
      <c r="H450" s="365">
        <v>44251</v>
      </c>
      <c r="I450" s="182">
        <v>2020</v>
      </c>
      <c r="J450" s="1678">
        <v>201.15</v>
      </c>
      <c r="K450" s="716" t="s">
        <v>3276</v>
      </c>
      <c r="L450" s="739" t="s">
        <v>3284</v>
      </c>
      <c r="M450" s="2" t="s">
        <v>4077</v>
      </c>
      <c r="N450" s="495" t="s">
        <v>3285</v>
      </c>
      <c r="O450" s="495" t="s">
        <v>1979</v>
      </c>
      <c r="P450" s="187">
        <f>295285.95+206562+206658.63+147528.29</f>
        <v>856034.87000000011</v>
      </c>
      <c r="Q450" s="664">
        <v>44089</v>
      </c>
      <c r="R450" s="664">
        <v>44153</v>
      </c>
      <c r="S450" s="665">
        <v>44191</v>
      </c>
      <c r="T450" s="111" t="s">
        <v>68</v>
      </c>
      <c r="U450" s="191" t="s">
        <v>1177</v>
      </c>
      <c r="V450" s="716" t="s">
        <v>449</v>
      </c>
      <c r="W450" s="505" t="s">
        <v>74</v>
      </c>
      <c r="X450" s="1623"/>
      <c r="Y450" s="280" t="s">
        <v>3277</v>
      </c>
      <c r="Z450" s="9">
        <v>44082</v>
      </c>
      <c r="AA450" s="4">
        <f>716080.21+500916.7+409912.49+367447.82+1637432.52</f>
        <v>3631789.74</v>
      </c>
      <c r="AB450" s="4"/>
      <c r="AC450" s="34">
        <v>856034.87</v>
      </c>
      <c r="AD450" s="36" t="s">
        <v>68</v>
      </c>
      <c r="AE450" s="119" t="s">
        <v>68</v>
      </c>
      <c r="AF450" s="119" t="s">
        <v>68</v>
      </c>
      <c r="AG450" s="7" t="s">
        <v>68</v>
      </c>
      <c r="AH450" s="116" t="s">
        <v>68</v>
      </c>
      <c r="AI450" s="35" t="s">
        <v>68</v>
      </c>
      <c r="AJ450" s="1" t="s">
        <v>68</v>
      </c>
      <c r="AK450" s="5"/>
      <c r="AL450" s="1" t="s">
        <v>68</v>
      </c>
      <c r="AM450" s="5"/>
      <c r="AN450" s="1" t="s">
        <v>68</v>
      </c>
      <c r="AO450" s="5"/>
      <c r="AP450" s="306">
        <v>0</v>
      </c>
      <c r="AQ450" s="771"/>
      <c r="AR450" s="1040"/>
      <c r="AS450" s="1027"/>
      <c r="AT450" s="68" t="s">
        <v>74</v>
      </c>
      <c r="AU450" s="12"/>
      <c r="AV450" s="243"/>
      <c r="AW450" s="54"/>
      <c r="AX450" s="68" t="s">
        <v>74</v>
      </c>
      <c r="AY450" s="255"/>
      <c r="AZ450" s="255"/>
      <c r="BA450" s="245"/>
      <c r="BB450" s="68" t="s">
        <v>74</v>
      </c>
      <c r="BC450" s="1686"/>
      <c r="BD450" s="5"/>
      <c r="BE450" s="5"/>
      <c r="BF450" s="5"/>
      <c r="BG450" s="38"/>
      <c r="BH450" s="64"/>
      <c r="BI450" s="1228"/>
      <c r="BJ450" s="795"/>
      <c r="BK450" s="795"/>
      <c r="BL450" s="795"/>
      <c r="BM450" s="795"/>
      <c r="BN450" s="795"/>
      <c r="BO450" s="1054"/>
      <c r="BP450" s="795"/>
      <c r="BQ450" s="795"/>
      <c r="BR450" s="795"/>
      <c r="BS450" s="794"/>
      <c r="BT450" s="14"/>
      <c r="BU450" s="1468" t="s">
        <v>3773</v>
      </c>
      <c r="BV450" s="14"/>
      <c r="BW450" s="14"/>
      <c r="BX450" s="14"/>
      <c r="BY450" s="1433" t="s">
        <v>2098</v>
      </c>
      <c r="BZ450" s="40"/>
      <c r="CA450" s="582"/>
      <c r="CB450" s="582"/>
      <c r="CC450" s="582"/>
      <c r="CD450" s="582"/>
      <c r="CE450" s="582"/>
      <c r="CF450" s="582"/>
      <c r="CG450" s="582"/>
      <c r="CH450" s="16"/>
    </row>
    <row r="451" spans="2:86" ht="108.75" hidden="1" customHeight="1">
      <c r="B451" s="23"/>
      <c r="C451" s="129"/>
      <c r="D451" s="129"/>
      <c r="E451" s="129"/>
      <c r="F451" s="129"/>
      <c r="G451" s="1055"/>
      <c r="H451" s="365">
        <v>44331</v>
      </c>
      <c r="I451" s="182">
        <v>2020</v>
      </c>
      <c r="J451" s="1678">
        <v>201.15100000000001</v>
      </c>
      <c r="K451" s="716" t="s">
        <v>3276</v>
      </c>
      <c r="L451" s="739" t="s">
        <v>3284</v>
      </c>
      <c r="M451" s="2" t="s">
        <v>4077</v>
      </c>
      <c r="N451" s="495" t="s">
        <v>3286</v>
      </c>
      <c r="O451" s="495" t="s">
        <v>1979</v>
      </c>
      <c r="P451" s="187">
        <v>196467.44</v>
      </c>
      <c r="Q451" s="664">
        <v>44089</v>
      </c>
      <c r="R451" s="664">
        <v>44153</v>
      </c>
      <c r="S451" s="665">
        <v>44191</v>
      </c>
      <c r="T451" s="111" t="s">
        <v>68</v>
      </c>
      <c r="U451" s="191" t="s">
        <v>1177</v>
      </c>
      <c r="V451" s="716" t="s">
        <v>449</v>
      </c>
      <c r="W451" s="505" t="s">
        <v>74</v>
      </c>
      <c r="X451" s="1623"/>
      <c r="Y451" s="280" t="s">
        <v>3277</v>
      </c>
      <c r="Z451" s="9">
        <v>44082</v>
      </c>
      <c r="AA451" s="65"/>
      <c r="AB451" s="4"/>
      <c r="AC451" s="34"/>
      <c r="AD451" s="36" t="s">
        <v>68</v>
      </c>
      <c r="AE451" s="119" t="s">
        <v>68</v>
      </c>
      <c r="AF451" s="119" t="s">
        <v>68</v>
      </c>
      <c r="AG451" s="7" t="s">
        <v>68</v>
      </c>
      <c r="AH451" s="116" t="s">
        <v>68</v>
      </c>
      <c r="AI451" s="35" t="s">
        <v>68</v>
      </c>
      <c r="AJ451" s="1" t="s">
        <v>68</v>
      </c>
      <c r="AK451" s="5"/>
      <c r="AL451" s="1" t="s">
        <v>68</v>
      </c>
      <c r="AM451" s="5"/>
      <c r="AN451" s="1" t="s">
        <v>68</v>
      </c>
      <c r="AO451" s="5"/>
      <c r="AP451" s="306">
        <v>0</v>
      </c>
      <c r="AQ451" s="771"/>
      <c r="AR451" s="1040"/>
      <c r="AS451" s="1027"/>
      <c r="AT451" s="68" t="s">
        <v>74</v>
      </c>
      <c r="AU451" s="12"/>
      <c r="AV451" s="243"/>
      <c r="AW451" s="54"/>
      <c r="AX451" s="68" t="s">
        <v>74</v>
      </c>
      <c r="AY451" s="255"/>
      <c r="AZ451" s="255"/>
      <c r="BA451" s="245"/>
      <c r="BB451" s="68" t="s">
        <v>74</v>
      </c>
      <c r="BC451" s="1686"/>
      <c r="BD451" s="5"/>
      <c r="BE451" s="5"/>
      <c r="BF451" s="5"/>
      <c r="BG451" s="38"/>
      <c r="BH451" s="64"/>
      <c r="BI451" s="1228"/>
      <c r="BJ451" s="795"/>
      <c r="BK451" s="795"/>
      <c r="BL451" s="795"/>
      <c r="BM451" s="795"/>
      <c r="BN451" s="795"/>
      <c r="BO451" s="1054"/>
      <c r="BP451" s="795"/>
      <c r="BQ451" s="795"/>
      <c r="BR451" s="795"/>
      <c r="BS451" s="794"/>
      <c r="BT451" s="14"/>
      <c r="BU451" s="1468" t="s">
        <v>3773</v>
      </c>
      <c r="BV451" s="14"/>
      <c r="BW451" s="14"/>
      <c r="BX451" s="14"/>
      <c r="BY451" s="1433" t="s">
        <v>2098</v>
      </c>
      <c r="BZ451" s="40"/>
      <c r="CA451" s="582"/>
      <c r="CB451" s="582"/>
      <c r="CC451" s="582"/>
      <c r="CD451" s="582"/>
      <c r="CE451" s="582"/>
      <c r="CF451" s="582"/>
      <c r="CG451" s="582"/>
      <c r="CH451" s="16"/>
    </row>
    <row r="452" spans="2:86" ht="78.75" hidden="1" customHeight="1">
      <c r="B452" s="23"/>
      <c r="C452" s="23"/>
      <c r="D452" s="23"/>
      <c r="E452" s="1051"/>
      <c r="F452" s="1051"/>
      <c r="G452" s="1055"/>
      <c r="H452" s="365"/>
      <c r="I452" s="182">
        <v>2020</v>
      </c>
      <c r="J452" s="1678">
        <v>201.15199999999999</v>
      </c>
      <c r="K452" s="716" t="s">
        <v>3959</v>
      </c>
      <c r="L452" s="739" t="s">
        <v>3957</v>
      </c>
      <c r="M452" s="2" t="s">
        <v>4077</v>
      </c>
      <c r="N452" s="495" t="s">
        <v>3977</v>
      </c>
      <c r="O452" s="495" t="s">
        <v>1979</v>
      </c>
      <c r="P452" s="187">
        <v>230070.08</v>
      </c>
      <c r="Q452" s="664">
        <v>44089</v>
      </c>
      <c r="R452" s="664">
        <v>44153</v>
      </c>
      <c r="S452" s="665">
        <v>44191</v>
      </c>
      <c r="T452" s="111" t="s">
        <v>1177</v>
      </c>
      <c r="U452" s="191" t="s">
        <v>1177</v>
      </c>
      <c r="V452" s="1064"/>
      <c r="W452" s="688" t="s">
        <v>1431</v>
      </c>
      <c r="X452" s="1624" t="s">
        <v>1177</v>
      </c>
      <c r="Y452" s="280"/>
      <c r="Z452" s="9"/>
      <c r="AA452" s="4"/>
      <c r="AB452" s="4"/>
      <c r="AC452" s="34"/>
      <c r="AD452" s="36" t="s">
        <v>68</v>
      </c>
      <c r="AE452" s="119" t="s">
        <v>68</v>
      </c>
      <c r="AF452" s="119" t="s">
        <v>68</v>
      </c>
      <c r="AG452" s="7" t="s">
        <v>68</v>
      </c>
      <c r="AH452" s="116" t="s">
        <v>68</v>
      </c>
      <c r="AI452" s="35" t="s">
        <v>68</v>
      </c>
      <c r="AJ452" s="1" t="s">
        <v>68</v>
      </c>
      <c r="AK452" s="5"/>
      <c r="AL452" s="1" t="s">
        <v>68</v>
      </c>
      <c r="AM452" s="5"/>
      <c r="AN452" s="1" t="s">
        <v>68</v>
      </c>
      <c r="AO452" s="5"/>
      <c r="AP452" s="306">
        <v>0</v>
      </c>
      <c r="AQ452" s="771"/>
      <c r="AR452" s="1040"/>
      <c r="AS452" s="1027"/>
      <c r="AT452" s="68" t="s">
        <v>74</v>
      </c>
      <c r="AU452" s="12"/>
      <c r="AV452" s="243"/>
      <c r="AW452" s="54"/>
      <c r="AX452" s="68" t="s">
        <v>74</v>
      </c>
      <c r="AY452" s="255"/>
      <c r="AZ452" s="255"/>
      <c r="BA452" s="245"/>
      <c r="BB452" s="68" t="s">
        <v>74</v>
      </c>
      <c r="BC452" s="1686"/>
      <c r="BD452" s="5"/>
      <c r="BE452" s="5"/>
      <c r="BF452" s="5"/>
      <c r="BG452" s="38"/>
      <c r="BH452" s="64" t="s">
        <v>68</v>
      </c>
      <c r="BI452" s="1228"/>
      <c r="BJ452" s="795" t="s">
        <v>68</v>
      </c>
      <c r="BK452" s="795" t="s">
        <v>68</v>
      </c>
      <c r="BL452" s="795" t="s">
        <v>68</v>
      </c>
      <c r="BM452" s="795" t="s">
        <v>68</v>
      </c>
      <c r="BN452" s="795" t="s">
        <v>68</v>
      </c>
      <c r="BO452" s="1054" t="s">
        <v>68</v>
      </c>
      <c r="BP452" s="795" t="s">
        <v>68</v>
      </c>
      <c r="BQ452" s="795"/>
      <c r="BR452" s="795" t="s">
        <v>68</v>
      </c>
      <c r="BS452" s="794" t="s">
        <v>68</v>
      </c>
      <c r="BT452" s="14"/>
      <c r="BU452" s="1468"/>
      <c r="BV452" s="14"/>
      <c r="BW452" s="14"/>
      <c r="BX452" s="14"/>
      <c r="BY452" s="1433" t="s">
        <v>2098</v>
      </c>
      <c r="BZ452" s="40"/>
      <c r="CA452" s="582"/>
      <c r="CB452" s="582"/>
      <c r="CC452" s="582"/>
      <c r="CD452" s="582"/>
      <c r="CE452" s="582"/>
      <c r="CF452" s="582"/>
      <c r="CG452" s="582"/>
      <c r="CH452" s="16"/>
    </row>
    <row r="453" spans="2:86" ht="90" hidden="1" customHeight="1">
      <c r="B453" s="23"/>
      <c r="C453" s="1719">
        <v>44494</v>
      </c>
      <c r="D453" s="1719"/>
      <c r="E453" s="129"/>
      <c r="F453" s="129"/>
      <c r="G453" s="1055"/>
      <c r="H453" s="365">
        <v>44251</v>
      </c>
      <c r="I453" s="182">
        <v>2020</v>
      </c>
      <c r="J453" s="1678">
        <v>201.16</v>
      </c>
      <c r="K453" s="716" t="s">
        <v>3276</v>
      </c>
      <c r="L453" s="739" t="s">
        <v>3287</v>
      </c>
      <c r="M453" s="156" t="s">
        <v>4077</v>
      </c>
      <c r="N453" s="495" t="s">
        <v>3288</v>
      </c>
      <c r="O453" s="495" t="s">
        <v>1979</v>
      </c>
      <c r="P453" s="187">
        <f>108906.48+189373.08+114829.46+878449.53</f>
        <v>1291558.55</v>
      </c>
      <c r="Q453" s="664">
        <v>44089</v>
      </c>
      <c r="R453" s="664">
        <v>44139</v>
      </c>
      <c r="S453" s="665">
        <v>44196</v>
      </c>
      <c r="T453" s="111" t="s">
        <v>68</v>
      </c>
      <c r="U453" s="191" t="s">
        <v>1177</v>
      </c>
      <c r="V453" s="716" t="s">
        <v>449</v>
      </c>
      <c r="W453" s="505" t="s">
        <v>74</v>
      </c>
      <c r="X453" s="1623"/>
      <c r="Y453" s="280" t="s">
        <v>3277</v>
      </c>
      <c r="Z453" s="9">
        <v>44082</v>
      </c>
      <c r="AA453" s="81">
        <f>299279.39+532216.78</f>
        <v>831496.17</v>
      </c>
      <c r="AB453" s="4"/>
      <c r="AC453" s="34"/>
      <c r="AD453" s="36" t="s">
        <v>68</v>
      </c>
      <c r="AE453" s="119" t="s">
        <v>68</v>
      </c>
      <c r="AF453" s="119" t="s">
        <v>68</v>
      </c>
      <c r="AG453" s="7" t="s">
        <v>68</v>
      </c>
      <c r="AH453" s="116" t="s">
        <v>68</v>
      </c>
      <c r="AI453" s="35" t="s">
        <v>68</v>
      </c>
      <c r="AJ453" s="1" t="s">
        <v>68</v>
      </c>
      <c r="AK453" s="5"/>
      <c r="AL453" s="1" t="s">
        <v>68</v>
      </c>
      <c r="AM453" s="5"/>
      <c r="AN453" s="1" t="s">
        <v>68</v>
      </c>
      <c r="AO453" s="5"/>
      <c r="AP453" s="306">
        <v>0</v>
      </c>
      <c r="AQ453" s="771"/>
      <c r="AR453" s="1040"/>
      <c r="AS453" s="1027"/>
      <c r="AT453" s="68" t="s">
        <v>74</v>
      </c>
      <c r="AU453" s="12"/>
      <c r="AV453" s="243"/>
      <c r="AW453" s="54"/>
      <c r="AX453" s="68" t="s">
        <v>74</v>
      </c>
      <c r="AY453" s="255"/>
      <c r="AZ453" s="255"/>
      <c r="BA453" s="245"/>
      <c r="BB453" s="68" t="s">
        <v>74</v>
      </c>
      <c r="BC453" s="1686"/>
      <c r="BD453" s="5"/>
      <c r="BE453" s="5"/>
      <c r="BF453" s="5"/>
      <c r="BG453" s="38">
        <f>AQ453+AR453</f>
        <v>0</v>
      </c>
      <c r="BH453" s="64" t="s">
        <v>68</v>
      </c>
      <c r="BI453" s="1228"/>
      <c r="BJ453" s="795" t="s">
        <v>68</v>
      </c>
      <c r="BK453" s="795" t="s">
        <v>68</v>
      </c>
      <c r="BL453" s="795"/>
      <c r="BM453" s="795"/>
      <c r="BN453" s="795"/>
      <c r="BO453" s="1054"/>
      <c r="BP453" s="795" t="s">
        <v>68</v>
      </c>
      <c r="BQ453" s="795"/>
      <c r="BR453" s="795" t="s">
        <v>68</v>
      </c>
      <c r="BS453" s="794" t="s">
        <v>68</v>
      </c>
      <c r="BT453" s="14"/>
      <c r="BU453" s="1468" t="s">
        <v>3773</v>
      </c>
      <c r="BV453" s="14"/>
      <c r="BW453" s="14"/>
      <c r="BX453" s="14"/>
      <c r="BY453" s="1433" t="s">
        <v>2098</v>
      </c>
      <c r="BZ453" s="40"/>
      <c r="CA453" s="582"/>
      <c r="CB453" s="582"/>
      <c r="CC453" s="582"/>
      <c r="CD453" s="582"/>
      <c r="CE453" s="582"/>
      <c r="CF453" s="582"/>
      <c r="CG453" s="582"/>
      <c r="CH453" s="16"/>
    </row>
    <row r="454" spans="2:86" ht="96.75" hidden="1" customHeight="1">
      <c r="B454" s="23"/>
      <c r="C454" s="1719">
        <v>44494</v>
      </c>
      <c r="D454" s="1719"/>
      <c r="E454" s="129"/>
      <c r="F454" s="129"/>
      <c r="G454" s="1055"/>
      <c r="H454" s="365"/>
      <c r="I454" s="182">
        <v>2020</v>
      </c>
      <c r="J454" s="1678">
        <v>201.161</v>
      </c>
      <c r="K454" s="716" t="s">
        <v>3959</v>
      </c>
      <c r="L454" s="739" t="s">
        <v>3958</v>
      </c>
      <c r="M454" s="156" t="s">
        <v>4077</v>
      </c>
      <c r="N454" s="495" t="s">
        <v>3288</v>
      </c>
      <c r="O454" s="495" t="s">
        <v>1979</v>
      </c>
      <c r="P454" s="187">
        <v>542961</v>
      </c>
      <c r="Q454" s="664">
        <v>44089</v>
      </c>
      <c r="R454" s="664">
        <v>44139</v>
      </c>
      <c r="S454" s="665">
        <v>44196</v>
      </c>
      <c r="T454" s="111" t="s">
        <v>1177</v>
      </c>
      <c r="U454" s="191" t="s">
        <v>1177</v>
      </c>
      <c r="V454" s="1064"/>
      <c r="W454" s="688" t="s">
        <v>1431</v>
      </c>
      <c r="X454" s="1624" t="s">
        <v>1177</v>
      </c>
      <c r="Y454" s="280"/>
      <c r="Z454" s="9"/>
      <c r="AA454" s="4"/>
      <c r="AB454" s="4"/>
      <c r="AC454" s="34"/>
      <c r="AD454" s="36" t="s">
        <v>68</v>
      </c>
      <c r="AE454" s="119" t="s">
        <v>68</v>
      </c>
      <c r="AF454" s="119" t="s">
        <v>68</v>
      </c>
      <c r="AG454" s="7" t="s">
        <v>68</v>
      </c>
      <c r="AH454" s="116" t="s">
        <v>68</v>
      </c>
      <c r="AI454" s="35" t="s">
        <v>68</v>
      </c>
      <c r="AJ454" s="1" t="s">
        <v>68</v>
      </c>
      <c r="AK454" s="5"/>
      <c r="AL454" s="1" t="s">
        <v>68</v>
      </c>
      <c r="AM454" s="5"/>
      <c r="AN454" s="1" t="s">
        <v>68</v>
      </c>
      <c r="AO454" s="5"/>
      <c r="AP454" s="306">
        <v>0</v>
      </c>
      <c r="AQ454" s="771"/>
      <c r="AR454" s="1040"/>
      <c r="AS454" s="1027"/>
      <c r="AT454" s="68" t="s">
        <v>74</v>
      </c>
      <c r="AU454" s="12"/>
      <c r="AV454" s="243"/>
      <c r="AW454" s="54"/>
      <c r="AX454" s="68" t="s">
        <v>74</v>
      </c>
      <c r="AY454" s="255"/>
      <c r="AZ454" s="255"/>
      <c r="BA454" s="245"/>
      <c r="BB454" s="68" t="s">
        <v>74</v>
      </c>
      <c r="BC454" s="1686"/>
      <c r="BD454" s="5"/>
      <c r="BE454" s="5"/>
      <c r="BF454" s="5"/>
      <c r="BG454" s="38"/>
      <c r="BH454" s="64" t="s">
        <v>68</v>
      </c>
      <c r="BI454" s="1228"/>
      <c r="BJ454" s="795" t="s">
        <v>68</v>
      </c>
      <c r="BK454" s="795" t="s">
        <v>68</v>
      </c>
      <c r="BL454" s="795" t="s">
        <v>68</v>
      </c>
      <c r="BM454" s="795" t="s">
        <v>68</v>
      </c>
      <c r="BN454" s="795" t="s">
        <v>68</v>
      </c>
      <c r="BO454" s="1054" t="s">
        <v>68</v>
      </c>
      <c r="BP454" s="795" t="s">
        <v>68</v>
      </c>
      <c r="BQ454" s="795"/>
      <c r="BR454" s="795" t="s">
        <v>68</v>
      </c>
      <c r="BS454" s="794" t="s">
        <v>68</v>
      </c>
      <c r="BT454" s="14"/>
      <c r="BU454" s="1468"/>
      <c r="BV454" s="14"/>
      <c r="BW454" s="14"/>
      <c r="BX454" s="14"/>
      <c r="BY454" s="1433" t="s">
        <v>2098</v>
      </c>
      <c r="BZ454" s="40"/>
      <c r="CA454" s="582"/>
      <c r="CB454" s="582"/>
      <c r="CC454" s="582"/>
      <c r="CD454" s="582"/>
      <c r="CE454" s="582"/>
      <c r="CF454" s="582"/>
      <c r="CG454" s="582"/>
      <c r="CH454" s="16"/>
    </row>
    <row r="455" spans="2:86" ht="96.75" hidden="1" customHeight="1">
      <c r="B455" s="23"/>
      <c r="C455" s="23"/>
      <c r="D455" s="23"/>
      <c r="E455" s="1051"/>
      <c r="F455" s="1051"/>
      <c r="G455" s="1055"/>
      <c r="H455" s="365">
        <v>44081</v>
      </c>
      <c r="I455" s="182">
        <v>2020</v>
      </c>
      <c r="J455" s="1678">
        <v>205.01</v>
      </c>
      <c r="K455" s="716" t="s">
        <v>166</v>
      </c>
      <c r="L455" s="739" t="s">
        <v>3053</v>
      </c>
      <c r="M455" s="663" t="s">
        <v>45</v>
      </c>
      <c r="N455" s="495" t="s">
        <v>3025</v>
      </c>
      <c r="O455" s="495" t="s">
        <v>2699</v>
      </c>
      <c r="P455" s="661">
        <v>15080</v>
      </c>
      <c r="Q455" s="664">
        <v>43864</v>
      </c>
      <c r="R455" s="189">
        <v>43865</v>
      </c>
      <c r="S455" s="190">
        <v>43879</v>
      </c>
      <c r="T455" s="111" t="s">
        <v>68</v>
      </c>
      <c r="U455" s="739" t="s">
        <v>3026</v>
      </c>
      <c r="V455" s="716" t="s">
        <v>709</v>
      </c>
      <c r="W455" s="1227"/>
      <c r="X455" s="1629" t="s">
        <v>1177</v>
      </c>
      <c r="Y455" s="280" t="s">
        <v>3042</v>
      </c>
      <c r="Z455" s="9">
        <v>43793</v>
      </c>
      <c r="AA455" s="4">
        <v>885535.63</v>
      </c>
      <c r="AB455" s="4"/>
      <c r="AC455" s="34"/>
      <c r="AD455" s="36" t="s">
        <v>68</v>
      </c>
      <c r="AE455" s="119" t="s">
        <v>68</v>
      </c>
      <c r="AF455" s="119" t="s">
        <v>68</v>
      </c>
      <c r="AG455" s="7" t="s">
        <v>68</v>
      </c>
      <c r="AH455" s="116" t="s">
        <v>68</v>
      </c>
      <c r="AI455" s="35" t="s">
        <v>68</v>
      </c>
      <c r="AJ455" s="1" t="s">
        <v>68</v>
      </c>
      <c r="AK455" s="5"/>
      <c r="AL455" s="1" t="s">
        <v>68</v>
      </c>
      <c r="AM455" s="5"/>
      <c r="AN455" s="1" t="s">
        <v>68</v>
      </c>
      <c r="AO455" s="5"/>
      <c r="AP455" s="306">
        <v>0</v>
      </c>
      <c r="AQ455" s="74">
        <v>0</v>
      </c>
      <c r="AR455" s="1040"/>
      <c r="AS455" s="1027"/>
      <c r="AT455" s="78" t="s">
        <v>68</v>
      </c>
      <c r="AU455" s="12" t="s">
        <v>68</v>
      </c>
      <c r="AV455" s="243" t="s">
        <v>551</v>
      </c>
      <c r="AW455" s="54" t="s">
        <v>68</v>
      </c>
      <c r="AX455" s="78" t="s">
        <v>1177</v>
      </c>
      <c r="AY455" s="255"/>
      <c r="AZ455" s="255"/>
      <c r="BA455" s="245"/>
      <c r="BB455" s="78" t="s">
        <v>1177</v>
      </c>
      <c r="BC455" s="344"/>
      <c r="BD455" s="5"/>
      <c r="BE455" s="5"/>
      <c r="BF455" s="5"/>
      <c r="BG455" s="38">
        <f>AQ455+AR455</f>
        <v>0</v>
      </c>
      <c r="BH455" s="64" t="s">
        <v>68</v>
      </c>
      <c r="BI455" s="1228"/>
      <c r="BJ455" s="795" t="s">
        <v>68</v>
      </c>
      <c r="BK455" s="795" t="s">
        <v>68</v>
      </c>
      <c r="BL455" s="795"/>
      <c r="BM455" s="795"/>
      <c r="BN455" s="795"/>
      <c r="BO455" s="1054"/>
      <c r="BP455" s="795" t="s">
        <v>68</v>
      </c>
      <c r="BQ455" s="795"/>
      <c r="BR455" s="795" t="s">
        <v>68</v>
      </c>
      <c r="BS455" s="794" t="s">
        <v>68</v>
      </c>
      <c r="BT455" s="14"/>
      <c r="BU455" s="1468" t="s">
        <v>3773</v>
      </c>
      <c r="BV455" s="14"/>
      <c r="BW455" s="14"/>
      <c r="BX455" s="14"/>
      <c r="BY455" s="1433" t="s">
        <v>2098</v>
      </c>
      <c r="BZ455" s="40"/>
      <c r="CA455" s="582"/>
      <c r="CB455" s="582"/>
      <c r="CC455" s="582"/>
      <c r="CD455" s="582"/>
      <c r="CE455" s="582"/>
      <c r="CF455" s="582"/>
      <c r="CG455" s="582"/>
      <c r="CH455" s="16"/>
    </row>
    <row r="456" spans="2:86" ht="239.25" hidden="1" customHeight="1">
      <c r="B456" s="23"/>
      <c r="C456" s="23"/>
      <c r="D456" s="23"/>
      <c r="E456" s="1051"/>
      <c r="F456" s="1051"/>
      <c r="G456" s="1055"/>
      <c r="H456" s="365">
        <v>44081</v>
      </c>
      <c r="I456" s="182">
        <v>2020</v>
      </c>
      <c r="J456" s="1678">
        <v>205.02</v>
      </c>
      <c r="K456" s="1232" t="s">
        <v>166</v>
      </c>
      <c r="L456" s="1231" t="s">
        <v>3054</v>
      </c>
      <c r="M456" s="1375" t="s">
        <v>45</v>
      </c>
      <c r="N456" s="494" t="s">
        <v>4060</v>
      </c>
      <c r="O456" s="494" t="s">
        <v>2611</v>
      </c>
      <c r="P456" s="1376">
        <v>139246.39999999999</v>
      </c>
      <c r="Q456" s="664">
        <v>44275</v>
      </c>
      <c r="R456" s="1146">
        <v>44287</v>
      </c>
      <c r="S456" s="1147">
        <v>44289</v>
      </c>
      <c r="T456" s="1148" t="s">
        <v>68</v>
      </c>
      <c r="U456" s="1231" t="s">
        <v>3303</v>
      </c>
      <c r="V456" s="1232" t="s">
        <v>709</v>
      </c>
      <c r="W456" s="1227"/>
      <c r="X456" s="1629" t="s">
        <v>1177</v>
      </c>
      <c r="Y456" s="280" t="s">
        <v>3042</v>
      </c>
      <c r="Z456" s="9">
        <v>43793</v>
      </c>
      <c r="AA456" s="4">
        <v>885535.63</v>
      </c>
      <c r="AB456" s="4"/>
      <c r="AC456" s="34"/>
      <c r="AD456" s="36" t="s">
        <v>68</v>
      </c>
      <c r="AE456" s="119" t="s">
        <v>68</v>
      </c>
      <c r="AF456" s="119" t="s">
        <v>68</v>
      </c>
      <c r="AG456" s="7" t="s">
        <v>68</v>
      </c>
      <c r="AH456" s="116" t="s">
        <v>68</v>
      </c>
      <c r="AI456" s="35" t="s">
        <v>68</v>
      </c>
      <c r="AJ456" s="1" t="s">
        <v>68</v>
      </c>
      <c r="AK456" s="5"/>
      <c r="AL456" s="1" t="s">
        <v>68</v>
      </c>
      <c r="AM456" s="5"/>
      <c r="AN456" s="1" t="s">
        <v>68</v>
      </c>
      <c r="AO456" s="5"/>
      <c r="AP456" s="306">
        <v>0</v>
      </c>
      <c r="AQ456" s="74">
        <v>0</v>
      </c>
      <c r="AR456" s="1040"/>
      <c r="AS456" s="1027"/>
      <c r="AT456" s="78" t="s">
        <v>68</v>
      </c>
      <c r="AU456" s="12" t="s">
        <v>68</v>
      </c>
      <c r="AV456" s="243" t="s">
        <v>551</v>
      </c>
      <c r="AW456" s="54" t="s">
        <v>68</v>
      </c>
      <c r="AX456" s="78" t="s">
        <v>1177</v>
      </c>
      <c r="AY456" s="255"/>
      <c r="AZ456" s="255"/>
      <c r="BA456" s="245"/>
      <c r="BB456" s="78" t="s">
        <v>1177</v>
      </c>
      <c r="BC456" s="344"/>
      <c r="BD456" s="5"/>
      <c r="BE456" s="5"/>
      <c r="BF456" s="5"/>
      <c r="BG456" s="38">
        <f>AQ456+AR456</f>
        <v>0</v>
      </c>
      <c r="BH456" s="64" t="s">
        <v>68</v>
      </c>
      <c r="BI456" s="1228"/>
      <c r="BJ456" s="795" t="s">
        <v>68</v>
      </c>
      <c r="BK456" s="795" t="s">
        <v>68</v>
      </c>
      <c r="BL456" s="796"/>
      <c r="BM456" s="796"/>
      <c r="BN456" s="796"/>
      <c r="BO456" s="1054"/>
      <c r="BP456" s="796" t="s">
        <v>68</v>
      </c>
      <c r="BQ456" s="796"/>
      <c r="BR456" s="796" t="s">
        <v>68</v>
      </c>
      <c r="BS456" s="794" t="s">
        <v>68</v>
      </c>
      <c r="BT456" s="14"/>
      <c r="BU456" s="1468" t="s">
        <v>3773</v>
      </c>
      <c r="BV456" s="14"/>
      <c r="BW456" s="14"/>
      <c r="BX456" s="14"/>
      <c r="BY456" s="1433" t="s">
        <v>2098</v>
      </c>
      <c r="BZ456" s="40"/>
      <c r="CA456" s="582"/>
      <c r="CB456" s="582"/>
      <c r="CC456" s="582"/>
      <c r="CD456" s="582"/>
      <c r="CE456" s="582"/>
      <c r="CF456" s="582"/>
      <c r="CG456" s="582"/>
      <c r="CH456" s="16"/>
    </row>
    <row r="457" spans="2:86" s="1241" customFormat="1" ht="39.75" hidden="1" customHeight="1">
      <c r="B457" s="1242"/>
      <c r="C457" s="1242"/>
      <c r="D457" s="1242"/>
      <c r="E457" s="1243"/>
      <c r="F457" s="1243"/>
      <c r="G457" s="610"/>
      <c r="H457" s="700"/>
      <c r="I457" s="1244">
        <v>2020</v>
      </c>
      <c r="J457" s="1683">
        <v>205.03</v>
      </c>
      <c r="K457" s="1245"/>
      <c r="L457" s="1246" t="s">
        <v>3055</v>
      </c>
      <c r="M457" s="904" t="s">
        <v>251</v>
      </c>
      <c r="N457" s="1247" t="s">
        <v>4017</v>
      </c>
      <c r="O457" s="1247"/>
      <c r="P457" s="1248"/>
      <c r="Q457" s="1250"/>
      <c r="R457" s="1250"/>
      <c r="S457" s="1251"/>
      <c r="T457" s="1252"/>
      <c r="U457" s="1246"/>
      <c r="V457" s="1245"/>
      <c r="W457" s="1278"/>
      <c r="X457" s="1631"/>
      <c r="Y457" s="340"/>
      <c r="Z457" s="1254"/>
      <c r="AA457" s="1255"/>
      <c r="AB457" s="1255"/>
      <c r="AC457" s="1256"/>
      <c r="AD457" s="1257"/>
      <c r="AE457" s="1258"/>
      <c r="AF457" s="1258"/>
      <c r="AG457" s="1259"/>
      <c r="AH457" s="1260"/>
      <c r="AI457" s="340"/>
      <c r="AJ457" s="1261"/>
      <c r="AK457" s="1262"/>
      <c r="AL457" s="1261"/>
      <c r="AM457" s="1262"/>
      <c r="AN457" s="1261"/>
      <c r="AO457" s="1262"/>
      <c r="AP457" s="1263"/>
      <c r="AQ457" s="1264"/>
      <c r="AR457" s="1265"/>
      <c r="AS457" s="1266"/>
      <c r="AT457" s="1267"/>
      <c r="AU457" s="1268"/>
      <c r="AV457" s="1269"/>
      <c r="AW457" s="1270"/>
      <c r="AX457" s="1267"/>
      <c r="AY457" s="1262"/>
      <c r="AZ457" s="1262"/>
      <c r="BA457" s="1268"/>
      <c r="BB457" s="1267"/>
      <c r="BC457" s="1944"/>
      <c r="BD457" s="1262"/>
      <c r="BE457" s="1262"/>
      <c r="BF457" s="1262"/>
      <c r="BG457" s="1272"/>
      <c r="BH457" s="1748"/>
      <c r="BI457" s="1753"/>
      <c r="BJ457" s="1754"/>
      <c r="BK457" s="1754"/>
      <c r="BL457" s="1770"/>
      <c r="BM457" s="1770"/>
      <c r="BN457" s="1770"/>
      <c r="BO457" s="1054"/>
      <c r="BP457" s="1770"/>
      <c r="BQ457" s="1770"/>
      <c r="BR457" s="1770"/>
      <c r="BS457" s="1753"/>
      <c r="BT457" s="1273"/>
      <c r="BU457" s="1468"/>
      <c r="BV457" s="1273"/>
      <c r="BW457" s="1273"/>
      <c r="BX457" s="1273"/>
      <c r="BY457" s="1433" t="s">
        <v>2098</v>
      </c>
      <c r="BZ457" s="1276"/>
      <c r="CA457" s="903"/>
      <c r="CB457" s="903"/>
      <c r="CC457" s="903"/>
      <c r="CD457" s="903"/>
      <c r="CE457" s="903"/>
      <c r="CF457" s="903"/>
      <c r="CG457" s="903"/>
      <c r="CH457" s="1277"/>
    </row>
    <row r="458" spans="2:86" ht="122.25" hidden="1" customHeight="1">
      <c r="B458" s="23"/>
      <c r="C458" s="23"/>
      <c r="D458" s="23"/>
      <c r="E458" s="1051"/>
      <c r="F458" s="1051"/>
      <c r="G458" s="1055"/>
      <c r="H458" s="365">
        <v>44081</v>
      </c>
      <c r="I458" s="182">
        <v>2020</v>
      </c>
      <c r="J458" s="1678">
        <v>205.04</v>
      </c>
      <c r="K458" s="1232" t="s">
        <v>166</v>
      </c>
      <c r="L458" s="1231" t="s">
        <v>3056</v>
      </c>
      <c r="M458" s="1375" t="s">
        <v>45</v>
      </c>
      <c r="N458" s="494" t="s">
        <v>3030</v>
      </c>
      <c r="O458" s="494" t="s">
        <v>1979</v>
      </c>
      <c r="P458" s="1376">
        <v>25520</v>
      </c>
      <c r="Q458" s="664">
        <v>43979</v>
      </c>
      <c r="R458" s="1146" t="s">
        <v>1431</v>
      </c>
      <c r="S458" s="1147" t="s">
        <v>1431</v>
      </c>
      <c r="T458" s="1148" t="s">
        <v>68</v>
      </c>
      <c r="U458" s="1231" t="s">
        <v>3031</v>
      </c>
      <c r="V458" s="716" t="s">
        <v>3304</v>
      </c>
      <c r="W458" s="1227"/>
      <c r="X458" s="1629" t="s">
        <v>1177</v>
      </c>
      <c r="Y458" s="280" t="s">
        <v>3043</v>
      </c>
      <c r="Z458" s="9">
        <v>43972</v>
      </c>
      <c r="AA458" s="4">
        <v>90000</v>
      </c>
      <c r="AB458" s="4"/>
      <c r="AC458" s="34"/>
      <c r="AD458" s="36" t="s">
        <v>68</v>
      </c>
      <c r="AE458" s="119" t="s">
        <v>68</v>
      </c>
      <c r="AF458" s="119" t="s">
        <v>68</v>
      </c>
      <c r="AG458" s="7" t="s">
        <v>68</v>
      </c>
      <c r="AH458" s="116" t="s">
        <v>68</v>
      </c>
      <c r="AI458" s="35" t="s">
        <v>68</v>
      </c>
      <c r="AJ458" s="1" t="s">
        <v>68</v>
      </c>
      <c r="AK458" s="5"/>
      <c r="AL458" s="1" t="s">
        <v>68</v>
      </c>
      <c r="AM458" s="5"/>
      <c r="AN458" s="1" t="s">
        <v>68</v>
      </c>
      <c r="AO458" s="5"/>
      <c r="AP458" s="306">
        <v>0</v>
      </c>
      <c r="AQ458" s="74">
        <v>0</v>
      </c>
      <c r="AR458" s="1040"/>
      <c r="AS458" s="1027"/>
      <c r="AT458" s="78" t="s">
        <v>68</v>
      </c>
      <c r="AU458" s="12" t="s">
        <v>68</v>
      </c>
      <c r="AV458" s="243" t="s">
        <v>551</v>
      </c>
      <c r="AW458" s="54" t="s">
        <v>68</v>
      </c>
      <c r="AX458" s="78" t="s">
        <v>1177</v>
      </c>
      <c r="AY458" s="255"/>
      <c r="AZ458" s="255"/>
      <c r="BA458" s="245"/>
      <c r="BB458" s="78" t="s">
        <v>1177</v>
      </c>
      <c r="BC458" s="344"/>
      <c r="BD458" s="5"/>
      <c r="BE458" s="5"/>
      <c r="BF458" s="5"/>
      <c r="BG458" s="38">
        <f t="shared" ref="BG458:BG482" si="14">AQ458+AR458</f>
        <v>0</v>
      </c>
      <c r="BH458" s="64" t="s">
        <v>68</v>
      </c>
      <c r="BI458" s="1228"/>
      <c r="BJ458" s="795" t="s">
        <v>68</v>
      </c>
      <c r="BK458" s="795" t="s">
        <v>68</v>
      </c>
      <c r="BL458" s="796"/>
      <c r="BM458" s="796"/>
      <c r="BN458" s="796"/>
      <c r="BO458" s="1054"/>
      <c r="BP458" s="796" t="s">
        <v>68</v>
      </c>
      <c r="BQ458" s="796"/>
      <c r="BR458" s="796" t="s">
        <v>68</v>
      </c>
      <c r="BS458" s="794" t="s">
        <v>68</v>
      </c>
      <c r="BT458" s="14"/>
      <c r="BU458" s="1468" t="s">
        <v>3773</v>
      </c>
      <c r="BV458" s="14"/>
      <c r="BW458" s="14"/>
      <c r="BX458" s="14"/>
      <c r="BY458" s="1433" t="s">
        <v>2098</v>
      </c>
      <c r="BZ458" s="40"/>
      <c r="CA458" s="582"/>
      <c r="CB458" s="582"/>
      <c r="CC458" s="582"/>
      <c r="CD458" s="582"/>
      <c r="CE458" s="582"/>
      <c r="CF458" s="582"/>
      <c r="CG458" s="582"/>
      <c r="CH458" s="16"/>
    </row>
    <row r="459" spans="2:86" ht="115.5" hidden="1" customHeight="1">
      <c r="B459" s="23"/>
      <c r="C459" s="23"/>
      <c r="D459" s="23"/>
      <c r="E459" s="1051"/>
      <c r="F459" s="1051"/>
      <c r="G459" s="1055"/>
      <c r="H459" s="365">
        <v>44081</v>
      </c>
      <c r="I459" s="182">
        <v>2020</v>
      </c>
      <c r="J459" s="1678">
        <v>205.05</v>
      </c>
      <c r="K459" s="1232" t="s">
        <v>166</v>
      </c>
      <c r="L459" s="1231" t="s">
        <v>3057</v>
      </c>
      <c r="M459" s="1375" t="s">
        <v>45</v>
      </c>
      <c r="N459" s="494" t="s">
        <v>3034</v>
      </c>
      <c r="O459" s="494" t="s">
        <v>1979</v>
      </c>
      <c r="P459" s="1376">
        <v>36772</v>
      </c>
      <c r="Q459" s="664">
        <v>43979</v>
      </c>
      <c r="R459" s="1146" t="s">
        <v>1431</v>
      </c>
      <c r="S459" s="1147" t="s">
        <v>1431</v>
      </c>
      <c r="T459" s="1148" t="s">
        <v>68</v>
      </c>
      <c r="U459" s="1231" t="s">
        <v>3031</v>
      </c>
      <c r="V459" s="716" t="s">
        <v>3304</v>
      </c>
      <c r="W459" s="1227"/>
      <c r="X459" s="1629" t="s">
        <v>1177</v>
      </c>
      <c r="Y459" s="280" t="s">
        <v>3043</v>
      </c>
      <c r="Z459" s="9">
        <v>43972</v>
      </c>
      <c r="AA459" s="4">
        <v>90000</v>
      </c>
      <c r="AB459" s="4"/>
      <c r="AC459" s="34"/>
      <c r="AD459" s="36" t="s">
        <v>68</v>
      </c>
      <c r="AE459" s="119" t="s">
        <v>68</v>
      </c>
      <c r="AF459" s="119" t="s">
        <v>68</v>
      </c>
      <c r="AG459" s="7" t="s">
        <v>68</v>
      </c>
      <c r="AH459" s="116" t="s">
        <v>68</v>
      </c>
      <c r="AI459" s="35" t="s">
        <v>68</v>
      </c>
      <c r="AJ459" s="1" t="s">
        <v>68</v>
      </c>
      <c r="AK459" s="5"/>
      <c r="AL459" s="1" t="s">
        <v>68</v>
      </c>
      <c r="AM459" s="5"/>
      <c r="AN459" s="1" t="s">
        <v>68</v>
      </c>
      <c r="AO459" s="5"/>
      <c r="AP459" s="306">
        <v>0</v>
      </c>
      <c r="AQ459" s="74">
        <v>0</v>
      </c>
      <c r="AR459" s="1040"/>
      <c r="AS459" s="1027"/>
      <c r="AT459" s="78" t="s">
        <v>68</v>
      </c>
      <c r="AU459" s="12" t="s">
        <v>68</v>
      </c>
      <c r="AV459" s="243" t="s">
        <v>551</v>
      </c>
      <c r="AW459" s="54" t="s">
        <v>68</v>
      </c>
      <c r="AX459" s="78" t="s">
        <v>1177</v>
      </c>
      <c r="AY459" s="255"/>
      <c r="AZ459" s="255"/>
      <c r="BA459" s="245"/>
      <c r="BB459" s="78" t="s">
        <v>1177</v>
      </c>
      <c r="BC459" s="344"/>
      <c r="BD459" s="5"/>
      <c r="BE459" s="5"/>
      <c r="BF459" s="5"/>
      <c r="BG459" s="38">
        <f t="shared" si="14"/>
        <v>0</v>
      </c>
      <c r="BH459" s="64" t="s">
        <v>68</v>
      </c>
      <c r="BI459" s="1228"/>
      <c r="BJ459" s="795" t="s">
        <v>68</v>
      </c>
      <c r="BK459" s="795" t="s">
        <v>68</v>
      </c>
      <c r="BL459" s="796"/>
      <c r="BM459" s="796"/>
      <c r="BN459" s="796"/>
      <c r="BO459" s="1054"/>
      <c r="BP459" s="796" t="s">
        <v>68</v>
      </c>
      <c r="BQ459" s="796"/>
      <c r="BR459" s="796" t="s">
        <v>68</v>
      </c>
      <c r="BS459" s="794" t="s">
        <v>68</v>
      </c>
      <c r="BT459" s="14"/>
      <c r="BU459" s="1468" t="s">
        <v>3773</v>
      </c>
      <c r="BV459" s="14"/>
      <c r="BW459" s="14"/>
      <c r="BX459" s="14"/>
      <c r="BY459" s="1433" t="s">
        <v>2098</v>
      </c>
      <c r="BZ459" s="40"/>
      <c r="CA459" s="582"/>
      <c r="CB459" s="582"/>
      <c r="CC459" s="582"/>
      <c r="CD459" s="582"/>
      <c r="CE459" s="582"/>
      <c r="CF459" s="582"/>
      <c r="CG459" s="582"/>
      <c r="CH459" s="16"/>
    </row>
    <row r="460" spans="2:86" ht="129" hidden="1" customHeight="1">
      <c r="B460" s="23"/>
      <c r="C460" s="23"/>
      <c r="D460" s="23"/>
      <c r="E460" s="1051"/>
      <c r="F460" s="1051"/>
      <c r="G460" s="1055"/>
      <c r="H460" s="365">
        <v>44081</v>
      </c>
      <c r="I460" s="182">
        <v>2020</v>
      </c>
      <c r="J460" s="1678">
        <v>205.06</v>
      </c>
      <c r="K460" s="1232" t="s">
        <v>166</v>
      </c>
      <c r="L460" s="1231" t="s">
        <v>3066</v>
      </c>
      <c r="M460" s="1375" t="s">
        <v>45</v>
      </c>
      <c r="N460" s="495" t="s">
        <v>3035</v>
      </c>
      <c r="O460" s="495" t="s">
        <v>4458</v>
      </c>
      <c r="P460" s="187">
        <v>18096</v>
      </c>
      <c r="Q460" s="664">
        <v>43979</v>
      </c>
      <c r="R460" s="189" t="s">
        <v>1431</v>
      </c>
      <c r="S460" s="190" t="s">
        <v>1431</v>
      </c>
      <c r="T460" s="111" t="s">
        <v>68</v>
      </c>
      <c r="U460" s="739" t="s">
        <v>3031</v>
      </c>
      <c r="V460" s="716" t="s">
        <v>3304</v>
      </c>
      <c r="W460" s="1227"/>
      <c r="X460" s="1629" t="s">
        <v>1177</v>
      </c>
      <c r="Y460" s="280" t="s">
        <v>3044</v>
      </c>
      <c r="Z460" s="9">
        <v>43972</v>
      </c>
      <c r="AA460" s="4">
        <v>40000</v>
      </c>
      <c r="AB460" s="4"/>
      <c r="AC460" s="34"/>
      <c r="AD460" s="36" t="s">
        <v>68</v>
      </c>
      <c r="AE460" s="119" t="s">
        <v>68</v>
      </c>
      <c r="AF460" s="119" t="s">
        <v>68</v>
      </c>
      <c r="AG460" s="7" t="s">
        <v>68</v>
      </c>
      <c r="AH460" s="116" t="s">
        <v>68</v>
      </c>
      <c r="AI460" s="35" t="s">
        <v>68</v>
      </c>
      <c r="AJ460" s="1" t="s">
        <v>68</v>
      </c>
      <c r="AK460" s="5"/>
      <c r="AL460" s="1" t="s">
        <v>68</v>
      </c>
      <c r="AM460" s="5"/>
      <c r="AN460" s="1" t="s">
        <v>68</v>
      </c>
      <c r="AO460" s="5"/>
      <c r="AP460" s="306">
        <v>0</v>
      </c>
      <c r="AQ460" s="74">
        <v>0</v>
      </c>
      <c r="AR460" s="1040"/>
      <c r="AS460" s="1027"/>
      <c r="AT460" s="78" t="s">
        <v>68</v>
      </c>
      <c r="AU460" s="12" t="s">
        <v>68</v>
      </c>
      <c r="AV460" s="243" t="s">
        <v>551</v>
      </c>
      <c r="AW460" s="54" t="s">
        <v>68</v>
      </c>
      <c r="AX460" s="78" t="s">
        <v>1177</v>
      </c>
      <c r="AY460" s="255"/>
      <c r="AZ460" s="255"/>
      <c r="BA460" s="245"/>
      <c r="BB460" s="78" t="s">
        <v>1177</v>
      </c>
      <c r="BC460" s="344"/>
      <c r="BD460" s="5"/>
      <c r="BE460" s="5"/>
      <c r="BF460" s="5"/>
      <c r="BG460" s="38">
        <f t="shared" si="14"/>
        <v>0</v>
      </c>
      <c r="BH460" s="64" t="s">
        <v>68</v>
      </c>
      <c r="BI460" s="1228"/>
      <c r="BJ460" s="795" t="s">
        <v>68</v>
      </c>
      <c r="BK460" s="795" t="s">
        <v>68</v>
      </c>
      <c r="BL460" s="796"/>
      <c r="BM460" s="796"/>
      <c r="BN460" s="796"/>
      <c r="BO460" s="1054"/>
      <c r="BP460" s="796" t="s">
        <v>68</v>
      </c>
      <c r="BQ460" s="796"/>
      <c r="BR460" s="796" t="s">
        <v>68</v>
      </c>
      <c r="BS460" s="794" t="s">
        <v>68</v>
      </c>
      <c r="BT460" s="14"/>
      <c r="BU460" s="1468" t="s">
        <v>3773</v>
      </c>
      <c r="BV460" s="14"/>
      <c r="BW460" s="14"/>
      <c r="BX460" s="14"/>
      <c r="BY460" s="1433" t="s">
        <v>2098</v>
      </c>
      <c r="BZ460" s="40"/>
      <c r="CA460" s="582"/>
      <c r="CB460" s="582"/>
      <c r="CC460" s="582"/>
      <c r="CD460" s="582"/>
      <c r="CE460" s="582"/>
      <c r="CF460" s="582"/>
      <c r="CG460" s="582"/>
      <c r="CH460" s="16"/>
    </row>
    <row r="461" spans="2:86" ht="90.75" hidden="1" customHeight="1">
      <c r="B461" s="23"/>
      <c r="C461" s="23"/>
      <c r="D461" s="23"/>
      <c r="E461" s="1051"/>
      <c r="F461" s="1051"/>
      <c r="G461" s="1055"/>
      <c r="H461" s="365">
        <v>44081</v>
      </c>
      <c r="I461" s="182">
        <v>2020</v>
      </c>
      <c r="J461" s="1678">
        <v>205.07</v>
      </c>
      <c r="K461" s="716" t="s">
        <v>166</v>
      </c>
      <c r="L461" s="739" t="s">
        <v>3058</v>
      </c>
      <c r="M461" s="185" t="s">
        <v>45</v>
      </c>
      <c r="N461" s="495" t="s">
        <v>3037</v>
      </c>
      <c r="O461" s="495" t="s">
        <v>1979</v>
      </c>
      <c r="P461" s="187">
        <v>22772</v>
      </c>
      <c r="Q461" s="664">
        <v>43979</v>
      </c>
      <c r="R461" s="189" t="s">
        <v>1431</v>
      </c>
      <c r="S461" s="190" t="s">
        <v>1431</v>
      </c>
      <c r="T461" s="111" t="s">
        <v>68</v>
      </c>
      <c r="U461" s="739" t="s">
        <v>3031</v>
      </c>
      <c r="V461" s="716" t="s">
        <v>3304</v>
      </c>
      <c r="W461" s="1227"/>
      <c r="X461" s="1629" t="s">
        <v>1177</v>
      </c>
      <c r="Y461" s="280" t="s">
        <v>3045</v>
      </c>
      <c r="Z461" s="9">
        <v>43972</v>
      </c>
      <c r="AA461" s="4">
        <v>90000</v>
      </c>
      <c r="AB461" s="4"/>
      <c r="AC461" s="34"/>
      <c r="AD461" s="36" t="s">
        <v>68</v>
      </c>
      <c r="AE461" s="119" t="s">
        <v>68</v>
      </c>
      <c r="AF461" s="119" t="s">
        <v>68</v>
      </c>
      <c r="AG461" s="7" t="s">
        <v>68</v>
      </c>
      <c r="AH461" s="116" t="s">
        <v>68</v>
      </c>
      <c r="AI461" s="35" t="s">
        <v>68</v>
      </c>
      <c r="AJ461" s="1" t="s">
        <v>68</v>
      </c>
      <c r="AK461" s="5"/>
      <c r="AL461" s="1" t="s">
        <v>68</v>
      </c>
      <c r="AM461" s="5"/>
      <c r="AN461" s="1" t="s">
        <v>68</v>
      </c>
      <c r="AO461" s="5"/>
      <c r="AP461" s="306">
        <v>0</v>
      </c>
      <c r="AQ461" s="74">
        <v>0</v>
      </c>
      <c r="AR461" s="1040"/>
      <c r="AS461" s="1027"/>
      <c r="AT461" s="78" t="s">
        <v>68</v>
      </c>
      <c r="AU461" s="12" t="s">
        <v>68</v>
      </c>
      <c r="AV461" s="243" t="s">
        <v>551</v>
      </c>
      <c r="AW461" s="54" t="s">
        <v>68</v>
      </c>
      <c r="AX461" s="78" t="s">
        <v>1177</v>
      </c>
      <c r="AY461" s="255"/>
      <c r="AZ461" s="255"/>
      <c r="BA461" s="245"/>
      <c r="BB461" s="78" t="s">
        <v>1177</v>
      </c>
      <c r="BC461" s="344"/>
      <c r="BD461" s="5"/>
      <c r="BE461" s="5"/>
      <c r="BF461" s="5"/>
      <c r="BG461" s="38">
        <f t="shared" si="14"/>
        <v>0</v>
      </c>
      <c r="BH461" s="64" t="s">
        <v>68</v>
      </c>
      <c r="BI461" s="1228"/>
      <c r="BJ461" s="795" t="s">
        <v>68</v>
      </c>
      <c r="BK461" s="795" t="s">
        <v>68</v>
      </c>
      <c r="BL461" s="796"/>
      <c r="BM461" s="796"/>
      <c r="BN461" s="796"/>
      <c r="BO461" s="1054"/>
      <c r="BP461" s="796" t="s">
        <v>68</v>
      </c>
      <c r="BQ461" s="796"/>
      <c r="BR461" s="796" t="s">
        <v>68</v>
      </c>
      <c r="BS461" s="794" t="s">
        <v>68</v>
      </c>
      <c r="BT461" s="14"/>
      <c r="BU461" s="1468" t="s">
        <v>3773</v>
      </c>
      <c r="BV461" s="14"/>
      <c r="BW461" s="14"/>
      <c r="BX461" s="14"/>
      <c r="BY461" s="1433" t="s">
        <v>2098</v>
      </c>
      <c r="BZ461" s="40"/>
      <c r="CA461" s="582"/>
      <c r="CB461" s="582"/>
      <c r="CC461" s="582"/>
      <c r="CD461" s="582"/>
      <c r="CE461" s="582"/>
      <c r="CF461" s="582"/>
      <c r="CG461" s="582"/>
      <c r="CH461" s="16"/>
    </row>
    <row r="462" spans="2:86" ht="106.5" hidden="1" customHeight="1">
      <c r="B462" s="23"/>
      <c r="C462" s="23"/>
      <c r="D462" s="23"/>
      <c r="E462" s="1051"/>
      <c r="F462" s="1051"/>
      <c r="G462" s="1055"/>
      <c r="H462" s="365">
        <v>44081</v>
      </c>
      <c r="I462" s="182">
        <v>2020</v>
      </c>
      <c r="J462" s="1678">
        <v>205.08</v>
      </c>
      <c r="K462" s="716" t="s">
        <v>166</v>
      </c>
      <c r="L462" s="739" t="s">
        <v>3059</v>
      </c>
      <c r="M462" s="185" t="s">
        <v>45</v>
      </c>
      <c r="N462" s="495" t="s">
        <v>3036</v>
      </c>
      <c r="O462" s="495" t="s">
        <v>2613</v>
      </c>
      <c r="P462" s="187">
        <v>22772</v>
      </c>
      <c r="Q462" s="779">
        <v>43979</v>
      </c>
      <c r="R462" s="189" t="s">
        <v>1431</v>
      </c>
      <c r="S462" s="190" t="s">
        <v>1431</v>
      </c>
      <c r="T462" s="111" t="s">
        <v>68</v>
      </c>
      <c r="U462" s="739" t="s">
        <v>3031</v>
      </c>
      <c r="V462" s="716" t="s">
        <v>3304</v>
      </c>
      <c r="W462" s="1227"/>
      <c r="X462" s="1629" t="s">
        <v>1177</v>
      </c>
      <c r="Y462" s="280" t="s">
        <v>3045</v>
      </c>
      <c r="Z462" s="9">
        <v>43972</v>
      </c>
      <c r="AA462" s="4">
        <v>90000</v>
      </c>
      <c r="AB462" s="4"/>
      <c r="AC462" s="34"/>
      <c r="AD462" s="36" t="s">
        <v>68</v>
      </c>
      <c r="AE462" s="119" t="s">
        <v>68</v>
      </c>
      <c r="AF462" s="119" t="s">
        <v>68</v>
      </c>
      <c r="AG462" s="7" t="s">
        <v>68</v>
      </c>
      <c r="AH462" s="116" t="s">
        <v>68</v>
      </c>
      <c r="AI462" s="35" t="s">
        <v>68</v>
      </c>
      <c r="AJ462" s="1" t="s">
        <v>68</v>
      </c>
      <c r="AK462" s="5"/>
      <c r="AL462" s="1" t="s">
        <v>68</v>
      </c>
      <c r="AM462" s="5"/>
      <c r="AN462" s="1" t="s">
        <v>68</v>
      </c>
      <c r="AO462" s="5"/>
      <c r="AP462" s="306">
        <v>0</v>
      </c>
      <c r="AQ462" s="74">
        <v>0</v>
      </c>
      <c r="AR462" s="1040"/>
      <c r="AS462" s="1027"/>
      <c r="AT462" s="78" t="s">
        <v>68</v>
      </c>
      <c r="AU462" s="12" t="s">
        <v>68</v>
      </c>
      <c r="AV462" s="243" t="s">
        <v>551</v>
      </c>
      <c r="AW462" s="54" t="s">
        <v>68</v>
      </c>
      <c r="AX462" s="78" t="s">
        <v>1177</v>
      </c>
      <c r="AY462" s="255"/>
      <c r="AZ462" s="255"/>
      <c r="BA462" s="245"/>
      <c r="BB462" s="78" t="s">
        <v>1177</v>
      </c>
      <c r="BC462" s="344"/>
      <c r="BD462" s="5"/>
      <c r="BE462" s="5"/>
      <c r="BF462" s="5"/>
      <c r="BG462" s="38">
        <f t="shared" si="14"/>
        <v>0</v>
      </c>
      <c r="BH462" s="64" t="s">
        <v>68</v>
      </c>
      <c r="BI462" s="1228"/>
      <c r="BJ462" s="795" t="s">
        <v>68</v>
      </c>
      <c r="BK462" s="795" t="s">
        <v>68</v>
      </c>
      <c r="BL462" s="796"/>
      <c r="BM462" s="796"/>
      <c r="BN462" s="796"/>
      <c r="BO462" s="1054"/>
      <c r="BP462" s="796" t="s">
        <v>68</v>
      </c>
      <c r="BQ462" s="796"/>
      <c r="BR462" s="796" t="s">
        <v>68</v>
      </c>
      <c r="BS462" s="794" t="s">
        <v>68</v>
      </c>
      <c r="BT462" s="14"/>
      <c r="BU462" s="1468" t="s">
        <v>3773</v>
      </c>
      <c r="BV462" s="14"/>
      <c r="BW462" s="14"/>
      <c r="BX462" s="14"/>
      <c r="BY462" s="1433" t="s">
        <v>2098</v>
      </c>
      <c r="BZ462" s="40"/>
      <c r="CA462" s="582"/>
      <c r="CB462" s="582"/>
      <c r="CC462" s="582"/>
      <c r="CD462" s="582"/>
      <c r="CE462" s="582"/>
      <c r="CF462" s="582"/>
      <c r="CG462" s="582"/>
      <c r="CH462" s="16"/>
    </row>
    <row r="463" spans="2:86" ht="108.75" hidden="1" customHeight="1">
      <c r="B463" s="23"/>
      <c r="C463" s="23"/>
      <c r="D463" s="23"/>
      <c r="E463" s="1051"/>
      <c r="F463" s="1051"/>
      <c r="G463" s="1055"/>
      <c r="H463" s="365">
        <v>44081</v>
      </c>
      <c r="I463" s="182">
        <v>2020</v>
      </c>
      <c r="J463" s="1678">
        <v>205.09</v>
      </c>
      <c r="K463" s="716" t="s">
        <v>166</v>
      </c>
      <c r="L463" s="739" t="s">
        <v>3060</v>
      </c>
      <c r="M463" s="185" t="s">
        <v>45</v>
      </c>
      <c r="N463" s="495" t="s">
        <v>3038</v>
      </c>
      <c r="O463" s="495" t="s">
        <v>2650</v>
      </c>
      <c r="P463" s="187">
        <v>17400</v>
      </c>
      <c r="Q463" s="779">
        <v>44050</v>
      </c>
      <c r="R463" s="189">
        <v>44050</v>
      </c>
      <c r="S463" s="190">
        <v>44055</v>
      </c>
      <c r="T463" s="111" t="s">
        <v>68</v>
      </c>
      <c r="U463" s="739" t="s">
        <v>3026</v>
      </c>
      <c r="V463" s="716" t="s">
        <v>3304</v>
      </c>
      <c r="W463" s="1227"/>
      <c r="X463" s="1629" t="s">
        <v>1177</v>
      </c>
      <c r="Y463" s="280" t="s">
        <v>3041</v>
      </c>
      <c r="Z463" s="9">
        <v>43972</v>
      </c>
      <c r="AA463" s="4">
        <v>962427.31</v>
      </c>
      <c r="AB463" s="4"/>
      <c r="AC463" s="34"/>
      <c r="AD463" s="36" t="s">
        <v>68</v>
      </c>
      <c r="AE463" s="119" t="s">
        <v>68</v>
      </c>
      <c r="AF463" s="119" t="s">
        <v>68</v>
      </c>
      <c r="AG463" s="7" t="s">
        <v>68</v>
      </c>
      <c r="AH463" s="116" t="s">
        <v>68</v>
      </c>
      <c r="AI463" s="35" t="s">
        <v>68</v>
      </c>
      <c r="AJ463" s="1" t="s">
        <v>68</v>
      </c>
      <c r="AK463" s="5"/>
      <c r="AL463" s="1" t="s">
        <v>68</v>
      </c>
      <c r="AM463" s="5"/>
      <c r="AN463" s="1" t="s">
        <v>68</v>
      </c>
      <c r="AO463" s="5"/>
      <c r="AP463" s="306">
        <v>0</v>
      </c>
      <c r="AQ463" s="74">
        <v>0</v>
      </c>
      <c r="AR463" s="1040"/>
      <c r="AS463" s="1027"/>
      <c r="AT463" s="78" t="s">
        <v>68</v>
      </c>
      <c r="AU463" s="12" t="s">
        <v>68</v>
      </c>
      <c r="AV463" s="243" t="s">
        <v>551</v>
      </c>
      <c r="AW463" s="54" t="s">
        <v>68</v>
      </c>
      <c r="AX463" s="78" t="s">
        <v>1177</v>
      </c>
      <c r="AY463" s="255"/>
      <c r="AZ463" s="255"/>
      <c r="BA463" s="245"/>
      <c r="BB463" s="78" t="s">
        <v>1177</v>
      </c>
      <c r="BC463" s="344"/>
      <c r="BD463" s="5"/>
      <c r="BE463" s="5"/>
      <c r="BF463" s="5"/>
      <c r="BG463" s="38">
        <f t="shared" si="14"/>
        <v>0</v>
      </c>
      <c r="BH463" s="64" t="s">
        <v>68</v>
      </c>
      <c r="BI463" s="1228"/>
      <c r="BJ463" s="795" t="s">
        <v>68</v>
      </c>
      <c r="BK463" s="795" t="s">
        <v>68</v>
      </c>
      <c r="BL463" s="796"/>
      <c r="BM463" s="796"/>
      <c r="BN463" s="796"/>
      <c r="BO463" s="1054"/>
      <c r="BP463" s="796" t="s">
        <v>68</v>
      </c>
      <c r="BQ463" s="796"/>
      <c r="BR463" s="796" t="s">
        <v>68</v>
      </c>
      <c r="BS463" s="794" t="s">
        <v>68</v>
      </c>
      <c r="BT463" s="14"/>
      <c r="BU463" s="1468" t="s">
        <v>3773</v>
      </c>
      <c r="BV463" s="14"/>
      <c r="BW463" s="14"/>
      <c r="BX463" s="14"/>
      <c r="BY463" s="1433" t="s">
        <v>2098</v>
      </c>
      <c r="BZ463" s="40"/>
      <c r="CA463" s="582"/>
      <c r="CB463" s="582"/>
      <c r="CC463" s="582"/>
      <c r="CD463" s="582"/>
      <c r="CE463" s="582"/>
      <c r="CF463" s="582"/>
      <c r="CG463" s="582"/>
      <c r="CH463" s="16"/>
    </row>
    <row r="464" spans="2:86" ht="120" hidden="1" customHeight="1">
      <c r="B464" s="23"/>
      <c r="C464" s="23"/>
      <c r="D464" s="23"/>
      <c r="E464" s="1051"/>
      <c r="F464" s="1051"/>
      <c r="G464" s="1055"/>
      <c r="H464" s="365"/>
      <c r="I464" s="182">
        <v>2020</v>
      </c>
      <c r="J464" s="1678">
        <v>205.1</v>
      </c>
      <c r="K464" s="716" t="s">
        <v>166</v>
      </c>
      <c r="L464" s="739" t="s">
        <v>3061</v>
      </c>
      <c r="M464" s="185" t="s">
        <v>45</v>
      </c>
      <c r="N464" s="495" t="s">
        <v>3296</v>
      </c>
      <c r="O464" s="495" t="s">
        <v>2574</v>
      </c>
      <c r="P464" s="187">
        <v>34046</v>
      </c>
      <c r="Q464" s="779">
        <v>44026</v>
      </c>
      <c r="R464" s="189" t="s">
        <v>1431</v>
      </c>
      <c r="S464" s="190" t="s">
        <v>1431</v>
      </c>
      <c r="T464" s="1148" t="s">
        <v>68</v>
      </c>
      <c r="U464" s="739" t="s">
        <v>3031</v>
      </c>
      <c r="V464" s="716" t="s">
        <v>3297</v>
      </c>
      <c r="W464" s="740" t="s">
        <v>1431</v>
      </c>
      <c r="X464" s="1629" t="s">
        <v>1177</v>
      </c>
      <c r="Y464" s="180" t="s">
        <v>3298</v>
      </c>
      <c r="Z464" s="9">
        <v>43972</v>
      </c>
      <c r="AA464" s="4">
        <v>120000</v>
      </c>
      <c r="AB464" s="4"/>
      <c r="AC464" s="34"/>
      <c r="AD464" s="36" t="s">
        <v>68</v>
      </c>
      <c r="AE464" s="119" t="s">
        <v>68</v>
      </c>
      <c r="AF464" s="119" t="s">
        <v>68</v>
      </c>
      <c r="AG464" s="7" t="s">
        <v>68</v>
      </c>
      <c r="AH464" s="116" t="s">
        <v>68</v>
      </c>
      <c r="AI464" s="35" t="s">
        <v>68</v>
      </c>
      <c r="AJ464" s="1" t="s">
        <v>68</v>
      </c>
      <c r="AK464" s="5"/>
      <c r="AL464" s="1" t="s">
        <v>68</v>
      </c>
      <c r="AM464" s="5"/>
      <c r="AN464" s="1" t="s">
        <v>68</v>
      </c>
      <c r="AO464" s="5"/>
      <c r="AP464" s="306">
        <v>0</v>
      </c>
      <c r="AQ464" s="74">
        <v>0</v>
      </c>
      <c r="AR464" s="1040"/>
      <c r="AS464" s="1027"/>
      <c r="AT464" s="78" t="s">
        <v>68</v>
      </c>
      <c r="AU464" s="12" t="s">
        <v>68</v>
      </c>
      <c r="AV464" s="243" t="s">
        <v>551</v>
      </c>
      <c r="AW464" s="54" t="s">
        <v>68</v>
      </c>
      <c r="AX464" s="78" t="s">
        <v>1177</v>
      </c>
      <c r="AY464" s="255"/>
      <c r="AZ464" s="255"/>
      <c r="BA464" s="245"/>
      <c r="BB464" s="78" t="s">
        <v>1177</v>
      </c>
      <c r="BC464" s="344"/>
      <c r="BD464" s="5"/>
      <c r="BE464" s="5"/>
      <c r="BF464" s="5"/>
      <c r="BG464" s="38">
        <f t="shared" si="14"/>
        <v>0</v>
      </c>
      <c r="BH464" s="64" t="s">
        <v>68</v>
      </c>
      <c r="BI464" s="1228"/>
      <c r="BJ464" s="795"/>
      <c r="BK464" s="795"/>
      <c r="BL464" s="796"/>
      <c r="BM464" s="796"/>
      <c r="BN464" s="796"/>
      <c r="BO464" s="1054"/>
      <c r="BP464" s="796"/>
      <c r="BQ464" s="796"/>
      <c r="BR464" s="796"/>
      <c r="BS464" s="794"/>
      <c r="BT464" s="14"/>
      <c r="BU464" s="1468" t="s">
        <v>3773</v>
      </c>
      <c r="BV464" s="14"/>
      <c r="BW464" s="14"/>
      <c r="BX464" s="14"/>
      <c r="BY464" s="1433" t="s">
        <v>2098</v>
      </c>
      <c r="BZ464" s="40"/>
      <c r="CA464" s="582"/>
      <c r="CB464" s="582"/>
      <c r="CC464" s="582"/>
      <c r="CD464" s="582"/>
      <c r="CE464" s="582"/>
      <c r="CF464" s="582"/>
      <c r="CG464" s="582"/>
      <c r="CH464" s="16"/>
    </row>
    <row r="465" spans="2:86" ht="81.75" hidden="1" customHeight="1">
      <c r="B465" s="23"/>
      <c r="C465" s="23"/>
      <c r="D465" s="23"/>
      <c r="E465" s="1051"/>
      <c r="F465" s="1051"/>
      <c r="G465" s="1055"/>
      <c r="H465" s="365"/>
      <c r="I465" s="182">
        <v>2020</v>
      </c>
      <c r="J465" s="1678">
        <v>205.11</v>
      </c>
      <c r="K465" s="716" t="s">
        <v>166</v>
      </c>
      <c r="L465" s="739" t="s">
        <v>3299</v>
      </c>
      <c r="M465" s="185" t="s">
        <v>45</v>
      </c>
      <c r="N465" s="495" t="s">
        <v>4063</v>
      </c>
      <c r="O465" s="495" t="s">
        <v>1979</v>
      </c>
      <c r="P465" s="187">
        <f>3500*1.16</f>
        <v>4059.9999999999995</v>
      </c>
      <c r="Q465" s="779">
        <v>44454</v>
      </c>
      <c r="R465" s="189" t="s">
        <v>1431</v>
      </c>
      <c r="S465" s="190" t="s">
        <v>1431</v>
      </c>
      <c r="T465" s="1148" t="s">
        <v>68</v>
      </c>
      <c r="U465" s="739" t="s">
        <v>3300</v>
      </c>
      <c r="V465" s="716" t="s">
        <v>3304</v>
      </c>
      <c r="W465" s="740" t="s">
        <v>1431</v>
      </c>
      <c r="X465" s="1629" t="s">
        <v>1177</v>
      </c>
      <c r="Y465" s="180" t="s">
        <v>3301</v>
      </c>
      <c r="Z465" s="9">
        <v>44071</v>
      </c>
      <c r="AA465" s="4">
        <f>P465</f>
        <v>4059.9999999999995</v>
      </c>
      <c r="AB465" s="4"/>
      <c r="AC465" s="34"/>
      <c r="AD465" s="36" t="s">
        <v>68</v>
      </c>
      <c r="AE465" s="119" t="s">
        <v>68</v>
      </c>
      <c r="AF465" s="119" t="s">
        <v>68</v>
      </c>
      <c r="AG465" s="7" t="s">
        <v>68</v>
      </c>
      <c r="AH465" s="116" t="s">
        <v>68</v>
      </c>
      <c r="AI465" s="35" t="s">
        <v>68</v>
      </c>
      <c r="AJ465" s="1" t="s">
        <v>68</v>
      </c>
      <c r="AK465" s="5"/>
      <c r="AL465" s="1" t="s">
        <v>68</v>
      </c>
      <c r="AM465" s="5"/>
      <c r="AN465" s="1" t="s">
        <v>68</v>
      </c>
      <c r="AO465" s="5"/>
      <c r="AP465" s="306">
        <v>0</v>
      </c>
      <c r="AQ465" s="74">
        <v>0</v>
      </c>
      <c r="AR465" s="1040"/>
      <c r="AS465" s="1027"/>
      <c r="AT465" s="78" t="s">
        <v>68</v>
      </c>
      <c r="AU465" s="12" t="s">
        <v>68</v>
      </c>
      <c r="AV465" s="243" t="s">
        <v>551</v>
      </c>
      <c r="AW465" s="54" t="s">
        <v>68</v>
      </c>
      <c r="AX465" s="78" t="s">
        <v>1177</v>
      </c>
      <c r="AY465" s="255"/>
      <c r="AZ465" s="255"/>
      <c r="BA465" s="245"/>
      <c r="BB465" s="78" t="s">
        <v>1177</v>
      </c>
      <c r="BC465" s="344"/>
      <c r="BD465" s="5"/>
      <c r="BE465" s="5"/>
      <c r="BF465" s="5"/>
      <c r="BG465" s="38">
        <f t="shared" si="14"/>
        <v>0</v>
      </c>
      <c r="BH465" s="64" t="s">
        <v>68</v>
      </c>
      <c r="BI465" s="1228"/>
      <c r="BJ465" s="795"/>
      <c r="BK465" s="795"/>
      <c r="BL465" s="796"/>
      <c r="BM465" s="796"/>
      <c r="BN465" s="796"/>
      <c r="BO465" s="1054"/>
      <c r="BP465" s="796"/>
      <c r="BQ465" s="796"/>
      <c r="BR465" s="796"/>
      <c r="BS465" s="794"/>
      <c r="BT465" s="14"/>
      <c r="BU465" s="1468" t="s">
        <v>3773</v>
      </c>
      <c r="BV465" s="14"/>
      <c r="BW465" s="14"/>
      <c r="BX465" s="14"/>
      <c r="BY465" s="1433" t="s">
        <v>2098</v>
      </c>
      <c r="BZ465" s="40"/>
      <c r="CA465" s="582"/>
      <c r="CB465" s="582"/>
      <c r="CC465" s="582"/>
      <c r="CD465" s="582"/>
      <c r="CE465" s="582"/>
      <c r="CF465" s="582"/>
      <c r="CG465" s="582"/>
      <c r="CH465" s="16"/>
    </row>
    <row r="466" spans="2:86" ht="210.75" hidden="1" customHeight="1">
      <c r="B466" s="23"/>
      <c r="C466" s="23"/>
      <c r="D466" s="23"/>
      <c r="E466" s="1051"/>
      <c r="F466" s="1051"/>
      <c r="G466" s="1055"/>
      <c r="H466" s="365"/>
      <c r="I466" s="182">
        <v>2020</v>
      </c>
      <c r="J466" s="1678">
        <v>205.12</v>
      </c>
      <c r="K466" s="716" t="s">
        <v>166</v>
      </c>
      <c r="L466" s="739" t="s">
        <v>3302</v>
      </c>
      <c r="M466" s="185" t="s">
        <v>45</v>
      </c>
      <c r="N466" s="495" t="s">
        <v>4061</v>
      </c>
      <c r="O466" s="495" t="s">
        <v>2611</v>
      </c>
      <c r="P466" s="187">
        <v>139246</v>
      </c>
      <c r="Q466" s="779">
        <v>44082</v>
      </c>
      <c r="R466" s="189">
        <v>44088</v>
      </c>
      <c r="S466" s="190">
        <v>44094</v>
      </c>
      <c r="T466" s="1148" t="s">
        <v>68</v>
      </c>
      <c r="U466" s="1231" t="s">
        <v>3303</v>
      </c>
      <c r="V466" s="1232" t="s">
        <v>3304</v>
      </c>
      <c r="W466" s="740" t="s">
        <v>1431</v>
      </c>
      <c r="X466" s="1629" t="s">
        <v>1177</v>
      </c>
      <c r="Y466" s="180" t="s">
        <v>3042</v>
      </c>
      <c r="Z466" s="9">
        <v>43793</v>
      </c>
      <c r="AA466" s="4">
        <v>885535.63</v>
      </c>
      <c r="AB466" s="4"/>
      <c r="AC466" s="34"/>
      <c r="AD466" s="36" t="s">
        <v>68</v>
      </c>
      <c r="AE466" s="119" t="s">
        <v>68</v>
      </c>
      <c r="AF466" s="119" t="s">
        <v>68</v>
      </c>
      <c r="AG466" s="7" t="s">
        <v>68</v>
      </c>
      <c r="AH466" s="116" t="s">
        <v>68</v>
      </c>
      <c r="AI466" s="35" t="s">
        <v>68</v>
      </c>
      <c r="AJ466" s="1" t="s">
        <v>68</v>
      </c>
      <c r="AK466" s="5"/>
      <c r="AL466" s="1" t="s">
        <v>68</v>
      </c>
      <c r="AM466" s="5"/>
      <c r="AN466" s="1" t="s">
        <v>68</v>
      </c>
      <c r="AO466" s="5"/>
      <c r="AP466" s="306">
        <v>0</v>
      </c>
      <c r="AQ466" s="74">
        <v>0</v>
      </c>
      <c r="AR466" s="1040"/>
      <c r="AS466" s="1027"/>
      <c r="AT466" s="78" t="s">
        <v>68</v>
      </c>
      <c r="AU466" s="12" t="s">
        <v>68</v>
      </c>
      <c r="AV466" s="243" t="s">
        <v>551</v>
      </c>
      <c r="AW466" s="54" t="s">
        <v>68</v>
      </c>
      <c r="AX466" s="78" t="s">
        <v>1177</v>
      </c>
      <c r="AY466" s="255"/>
      <c r="AZ466" s="255"/>
      <c r="BA466" s="245"/>
      <c r="BB466" s="78" t="s">
        <v>1177</v>
      </c>
      <c r="BC466" s="344"/>
      <c r="BD466" s="5"/>
      <c r="BE466" s="5"/>
      <c r="BF466" s="5"/>
      <c r="BG466" s="38">
        <f t="shared" si="14"/>
        <v>0</v>
      </c>
      <c r="BH466" s="64" t="s">
        <v>68</v>
      </c>
      <c r="BI466" s="1228"/>
      <c r="BJ466" s="795"/>
      <c r="BK466" s="795"/>
      <c r="BL466" s="796"/>
      <c r="BM466" s="796"/>
      <c r="BN466" s="796"/>
      <c r="BO466" s="1054"/>
      <c r="BP466" s="796"/>
      <c r="BQ466" s="796"/>
      <c r="BR466" s="796"/>
      <c r="BS466" s="794"/>
      <c r="BT466" s="14"/>
      <c r="BU466" s="1468" t="s">
        <v>3773</v>
      </c>
      <c r="BV466" s="14"/>
      <c r="BW466" s="14"/>
      <c r="BX466" s="14"/>
      <c r="BY466" s="1433" t="s">
        <v>2098</v>
      </c>
      <c r="BZ466" s="40"/>
      <c r="CA466" s="582"/>
      <c r="CB466" s="582"/>
      <c r="CC466" s="582"/>
      <c r="CD466" s="582"/>
      <c r="CE466" s="582"/>
      <c r="CF466" s="582"/>
      <c r="CG466" s="582"/>
      <c r="CH466" s="16"/>
    </row>
    <row r="467" spans="2:86" ht="148.5" hidden="1" customHeight="1">
      <c r="B467" s="23"/>
      <c r="C467" s="23"/>
      <c r="D467" s="23"/>
      <c r="E467" s="1051"/>
      <c r="F467" s="1051"/>
      <c r="G467" s="1055"/>
      <c r="H467" s="365"/>
      <c r="I467" s="182">
        <v>2020</v>
      </c>
      <c r="J467" s="1678">
        <v>205.13</v>
      </c>
      <c r="K467" s="716" t="s">
        <v>166</v>
      </c>
      <c r="L467" s="739" t="s">
        <v>3305</v>
      </c>
      <c r="M467" s="185" t="s">
        <v>45</v>
      </c>
      <c r="N467" s="495" t="s">
        <v>3306</v>
      </c>
      <c r="O467" s="495" t="s">
        <v>2611</v>
      </c>
      <c r="P467" s="187">
        <v>139246</v>
      </c>
      <c r="Q467" s="779">
        <v>44081</v>
      </c>
      <c r="R467" s="189">
        <v>44082</v>
      </c>
      <c r="S467" s="190">
        <v>44086</v>
      </c>
      <c r="T467" s="1148" t="s">
        <v>68</v>
      </c>
      <c r="U467" s="1231" t="s">
        <v>3303</v>
      </c>
      <c r="V467" s="1232" t="s">
        <v>3304</v>
      </c>
      <c r="W467" s="740" t="s">
        <v>1431</v>
      </c>
      <c r="X467" s="1629" t="s">
        <v>1177</v>
      </c>
      <c r="Y467" s="280"/>
      <c r="Z467" s="9"/>
      <c r="AA467" s="4"/>
      <c r="AB467" s="4"/>
      <c r="AC467" s="34"/>
      <c r="AD467" s="36" t="s">
        <v>68</v>
      </c>
      <c r="AE467" s="119" t="s">
        <v>68</v>
      </c>
      <c r="AF467" s="119" t="s">
        <v>68</v>
      </c>
      <c r="AG467" s="7" t="s">
        <v>68</v>
      </c>
      <c r="AH467" s="116" t="s">
        <v>68</v>
      </c>
      <c r="AI467" s="35" t="s">
        <v>68</v>
      </c>
      <c r="AJ467" s="1" t="s">
        <v>68</v>
      </c>
      <c r="AK467" s="5"/>
      <c r="AL467" s="1" t="s">
        <v>68</v>
      </c>
      <c r="AM467" s="5"/>
      <c r="AN467" s="1" t="s">
        <v>68</v>
      </c>
      <c r="AO467" s="5"/>
      <c r="AP467" s="306">
        <v>0</v>
      </c>
      <c r="AQ467" s="74">
        <v>0</v>
      </c>
      <c r="AR467" s="1040"/>
      <c r="AS467" s="1027"/>
      <c r="AT467" s="78" t="s">
        <v>68</v>
      </c>
      <c r="AU467" s="12" t="s">
        <v>68</v>
      </c>
      <c r="AV467" s="243" t="s">
        <v>551</v>
      </c>
      <c r="AW467" s="54" t="s">
        <v>68</v>
      </c>
      <c r="AX467" s="78" t="s">
        <v>1177</v>
      </c>
      <c r="AY467" s="255"/>
      <c r="AZ467" s="255"/>
      <c r="BA467" s="245"/>
      <c r="BB467" s="78" t="s">
        <v>1177</v>
      </c>
      <c r="BC467" s="344"/>
      <c r="BD467" s="5"/>
      <c r="BE467" s="5"/>
      <c r="BF467" s="5"/>
      <c r="BG467" s="38">
        <f t="shared" si="14"/>
        <v>0</v>
      </c>
      <c r="BH467" s="64" t="s">
        <v>68</v>
      </c>
      <c r="BI467" s="1228"/>
      <c r="BJ467" s="795"/>
      <c r="BK467" s="795"/>
      <c r="BL467" s="796"/>
      <c r="BM467" s="796"/>
      <c r="BN467" s="796"/>
      <c r="BO467" s="1054"/>
      <c r="BP467" s="796"/>
      <c r="BQ467" s="796"/>
      <c r="BR467" s="796"/>
      <c r="BS467" s="794"/>
      <c r="BT467" s="14"/>
      <c r="BU467" s="1468" t="s">
        <v>3773</v>
      </c>
      <c r="BV467" s="14"/>
      <c r="BW467" s="14"/>
      <c r="BX467" s="14"/>
      <c r="BY467" s="1433" t="s">
        <v>2098</v>
      </c>
      <c r="BZ467" s="40"/>
      <c r="CA467" s="582"/>
      <c r="CB467" s="582"/>
      <c r="CC467" s="582"/>
      <c r="CD467" s="582"/>
      <c r="CE467" s="582"/>
      <c r="CF467" s="582"/>
      <c r="CG467" s="582"/>
      <c r="CH467" s="16"/>
    </row>
    <row r="468" spans="2:86" ht="158.25" hidden="1" customHeight="1">
      <c r="B468" s="23"/>
      <c r="C468" s="23"/>
      <c r="D468" s="23"/>
      <c r="E468" s="1051"/>
      <c r="F468" s="1051"/>
      <c r="G468" s="1055"/>
      <c r="H468" s="365"/>
      <c r="I468" s="182">
        <v>2020</v>
      </c>
      <c r="J468" s="1678">
        <v>205.14</v>
      </c>
      <c r="K468" s="716" t="s">
        <v>166</v>
      </c>
      <c r="L468" s="739" t="s">
        <v>3307</v>
      </c>
      <c r="M468" s="185" t="s">
        <v>45</v>
      </c>
      <c r="N468" s="495" t="s">
        <v>3308</v>
      </c>
      <c r="O468" s="495" t="s">
        <v>4458</v>
      </c>
      <c r="P468" s="187">
        <v>32944</v>
      </c>
      <c r="Q468" s="779">
        <v>44075</v>
      </c>
      <c r="R468" s="189" t="s">
        <v>1431</v>
      </c>
      <c r="S468" s="190" t="s">
        <v>1431</v>
      </c>
      <c r="T468" s="1148" t="s">
        <v>68</v>
      </c>
      <c r="U468" s="739" t="s">
        <v>3031</v>
      </c>
      <c r="V468" s="183" t="s">
        <v>3087</v>
      </c>
      <c r="W468" s="1227"/>
      <c r="X468" s="1629" t="s">
        <v>1177</v>
      </c>
      <c r="Y468" s="180" t="s">
        <v>3309</v>
      </c>
      <c r="Z468" s="9">
        <v>44071</v>
      </c>
      <c r="AA468" s="4">
        <v>50000</v>
      </c>
      <c r="AB468" s="4"/>
      <c r="AC468" s="34"/>
      <c r="AD468" s="36" t="s">
        <v>68</v>
      </c>
      <c r="AE468" s="119" t="s">
        <v>68</v>
      </c>
      <c r="AF468" s="119" t="s">
        <v>68</v>
      </c>
      <c r="AG468" s="7" t="s">
        <v>68</v>
      </c>
      <c r="AH468" s="116" t="s">
        <v>68</v>
      </c>
      <c r="AI468" s="35" t="s">
        <v>68</v>
      </c>
      <c r="AJ468" s="1" t="s">
        <v>68</v>
      </c>
      <c r="AK468" s="5"/>
      <c r="AL468" s="1" t="s">
        <v>68</v>
      </c>
      <c r="AM468" s="5"/>
      <c r="AN468" s="1" t="s">
        <v>68</v>
      </c>
      <c r="AO468" s="5"/>
      <c r="AP468" s="306">
        <v>0</v>
      </c>
      <c r="AQ468" s="74">
        <v>0</v>
      </c>
      <c r="AR468" s="1040"/>
      <c r="AS468" s="1027"/>
      <c r="AT468" s="78" t="s">
        <v>68</v>
      </c>
      <c r="AU468" s="12" t="s">
        <v>68</v>
      </c>
      <c r="AV468" s="243" t="s">
        <v>551</v>
      </c>
      <c r="AW468" s="54" t="s">
        <v>68</v>
      </c>
      <c r="AX468" s="78" t="s">
        <v>1177</v>
      </c>
      <c r="AY468" s="255"/>
      <c r="AZ468" s="255"/>
      <c r="BA468" s="245"/>
      <c r="BB468" s="78" t="s">
        <v>1177</v>
      </c>
      <c r="BC468" s="344"/>
      <c r="BD468" s="5"/>
      <c r="BE468" s="5"/>
      <c r="BF468" s="5"/>
      <c r="BG468" s="38">
        <f t="shared" si="14"/>
        <v>0</v>
      </c>
      <c r="BH468" s="64" t="s">
        <v>68</v>
      </c>
      <c r="BI468" s="1228"/>
      <c r="BJ468" s="795"/>
      <c r="BK468" s="795"/>
      <c r="BL468" s="796"/>
      <c r="BM468" s="796"/>
      <c r="BN468" s="796"/>
      <c r="BO468" s="1054"/>
      <c r="BP468" s="796"/>
      <c r="BQ468" s="796"/>
      <c r="BR468" s="796"/>
      <c r="BS468" s="794"/>
      <c r="BT468" s="14"/>
      <c r="BU468" s="1468" t="s">
        <v>3773</v>
      </c>
      <c r="BV468" s="14"/>
      <c r="BW468" s="14"/>
      <c r="BX468" s="14"/>
      <c r="BY468" s="1433" t="s">
        <v>2098</v>
      </c>
      <c r="BZ468" s="40"/>
      <c r="CA468" s="582"/>
      <c r="CB468" s="582"/>
      <c r="CC468" s="582"/>
      <c r="CD468" s="582"/>
      <c r="CE468" s="582"/>
      <c r="CF468" s="582"/>
      <c r="CG468" s="582"/>
      <c r="CH468" s="16"/>
    </row>
    <row r="469" spans="2:86" ht="178.5" hidden="1" customHeight="1">
      <c r="B469" s="23"/>
      <c r="C469" s="23"/>
      <c r="D469" s="23"/>
      <c r="E469" s="1051"/>
      <c r="F469" s="1051"/>
      <c r="G469" s="1055"/>
      <c r="H469" s="365"/>
      <c r="I469" s="182">
        <v>2020</v>
      </c>
      <c r="J469" s="1678">
        <v>205.15</v>
      </c>
      <c r="K469" s="716" t="s">
        <v>166</v>
      </c>
      <c r="L469" s="739" t="s">
        <v>3310</v>
      </c>
      <c r="M469" s="185" t="s">
        <v>45</v>
      </c>
      <c r="N469" s="495" t="s">
        <v>3311</v>
      </c>
      <c r="O469" s="495" t="s">
        <v>1979</v>
      </c>
      <c r="P469" s="187">
        <v>25520</v>
      </c>
      <c r="Q469" s="779">
        <v>44075</v>
      </c>
      <c r="R469" s="189" t="s">
        <v>1431</v>
      </c>
      <c r="S469" s="190" t="s">
        <v>1431</v>
      </c>
      <c r="T469" s="1148" t="s">
        <v>68</v>
      </c>
      <c r="U469" s="739" t="s">
        <v>3031</v>
      </c>
      <c r="V469" s="716" t="s">
        <v>213</v>
      </c>
      <c r="W469" s="1227"/>
      <c r="X469" s="1629" t="s">
        <v>1177</v>
      </c>
      <c r="Y469" s="180" t="s">
        <v>3309</v>
      </c>
      <c r="Z469" s="9">
        <v>44071</v>
      </c>
      <c r="AA469" s="4">
        <v>50000</v>
      </c>
      <c r="AB469" s="4"/>
      <c r="AC469" s="34"/>
      <c r="AD469" s="36" t="s">
        <v>68</v>
      </c>
      <c r="AE469" s="119" t="s">
        <v>68</v>
      </c>
      <c r="AF469" s="119" t="s">
        <v>68</v>
      </c>
      <c r="AG469" s="7" t="s">
        <v>68</v>
      </c>
      <c r="AH469" s="116" t="s">
        <v>68</v>
      </c>
      <c r="AI469" s="35" t="s">
        <v>68</v>
      </c>
      <c r="AJ469" s="1" t="s">
        <v>68</v>
      </c>
      <c r="AK469" s="5"/>
      <c r="AL469" s="1" t="s">
        <v>68</v>
      </c>
      <c r="AM469" s="5"/>
      <c r="AN469" s="1" t="s">
        <v>68</v>
      </c>
      <c r="AO469" s="5"/>
      <c r="AP469" s="306">
        <v>0</v>
      </c>
      <c r="AQ469" s="74">
        <v>0</v>
      </c>
      <c r="AR469" s="1040"/>
      <c r="AS469" s="1027"/>
      <c r="AT469" s="78" t="s">
        <v>68</v>
      </c>
      <c r="AU469" s="12" t="s">
        <v>68</v>
      </c>
      <c r="AV469" s="243" t="s">
        <v>551</v>
      </c>
      <c r="AW469" s="54" t="s">
        <v>68</v>
      </c>
      <c r="AX469" s="78" t="s">
        <v>1177</v>
      </c>
      <c r="AY469" s="255"/>
      <c r="AZ469" s="255"/>
      <c r="BA469" s="245"/>
      <c r="BB469" s="78" t="s">
        <v>1177</v>
      </c>
      <c r="BC469" s="344"/>
      <c r="BD469" s="5"/>
      <c r="BE469" s="5"/>
      <c r="BF469" s="5"/>
      <c r="BG469" s="38">
        <f t="shared" si="14"/>
        <v>0</v>
      </c>
      <c r="BH469" s="64" t="s">
        <v>68</v>
      </c>
      <c r="BI469" s="1228"/>
      <c r="BJ469" s="795"/>
      <c r="BK469" s="795"/>
      <c r="BL469" s="796"/>
      <c r="BM469" s="796"/>
      <c r="BN469" s="796"/>
      <c r="BO469" s="1054"/>
      <c r="BP469" s="796"/>
      <c r="BQ469" s="796"/>
      <c r="BR469" s="796"/>
      <c r="BS469" s="794"/>
      <c r="BT469" s="14"/>
      <c r="BU469" s="1468" t="s">
        <v>3773</v>
      </c>
      <c r="BV469" s="14"/>
      <c r="BW469" s="14"/>
      <c r="BX469" s="14"/>
      <c r="BY469" s="1433" t="s">
        <v>2098</v>
      </c>
      <c r="BZ469" s="40"/>
      <c r="CA469" s="582"/>
      <c r="CB469" s="582"/>
      <c r="CC469" s="582"/>
      <c r="CD469" s="582"/>
      <c r="CE469" s="582"/>
      <c r="CF469" s="582"/>
      <c r="CG469" s="582"/>
      <c r="CH469" s="16"/>
    </row>
    <row r="470" spans="2:86" ht="152.25" hidden="1" customHeight="1">
      <c r="B470" s="23"/>
      <c r="C470" s="23"/>
      <c r="D470" s="23"/>
      <c r="E470" s="1051"/>
      <c r="F470" s="1051"/>
      <c r="G470" s="1055"/>
      <c r="H470" s="365"/>
      <c r="I470" s="182">
        <v>2020</v>
      </c>
      <c r="J470" s="1678">
        <v>205.16</v>
      </c>
      <c r="K470" s="716" t="s">
        <v>166</v>
      </c>
      <c r="L470" s="739" t="s">
        <v>3312</v>
      </c>
      <c r="M470" s="185" t="s">
        <v>45</v>
      </c>
      <c r="N470" s="495" t="s">
        <v>3313</v>
      </c>
      <c r="O470" s="495" t="s">
        <v>1979</v>
      </c>
      <c r="P470" s="187">
        <v>36656</v>
      </c>
      <c r="Q470" s="779">
        <v>44124</v>
      </c>
      <c r="R470" s="189" t="s">
        <v>1431</v>
      </c>
      <c r="S470" s="190" t="s">
        <v>1431</v>
      </c>
      <c r="T470" s="1148" t="s">
        <v>68</v>
      </c>
      <c r="U470" s="739" t="s">
        <v>3031</v>
      </c>
      <c r="V470" s="716" t="s">
        <v>449</v>
      </c>
      <c r="W470" s="1227"/>
      <c r="X470" s="1629" t="s">
        <v>1177</v>
      </c>
      <c r="Y470" s="180" t="s">
        <v>3314</v>
      </c>
      <c r="Z470" s="9">
        <v>44153</v>
      </c>
      <c r="AA470" s="4">
        <v>37000</v>
      </c>
      <c r="AB470" s="4"/>
      <c r="AC470" s="34"/>
      <c r="AD470" s="36" t="s">
        <v>68</v>
      </c>
      <c r="AE470" s="119" t="s">
        <v>68</v>
      </c>
      <c r="AF470" s="119" t="s">
        <v>68</v>
      </c>
      <c r="AG470" s="7" t="s">
        <v>68</v>
      </c>
      <c r="AH470" s="116" t="s">
        <v>68</v>
      </c>
      <c r="AI470" s="35" t="s">
        <v>68</v>
      </c>
      <c r="AJ470" s="1" t="s">
        <v>68</v>
      </c>
      <c r="AK470" s="5"/>
      <c r="AL470" s="1" t="s">
        <v>68</v>
      </c>
      <c r="AM470" s="5"/>
      <c r="AN470" s="1" t="s">
        <v>68</v>
      </c>
      <c r="AO470" s="5"/>
      <c r="AP470" s="306">
        <v>0</v>
      </c>
      <c r="AQ470" s="74">
        <v>0</v>
      </c>
      <c r="AR470" s="1040"/>
      <c r="AS470" s="1027"/>
      <c r="AT470" s="78" t="s">
        <v>68</v>
      </c>
      <c r="AU470" s="12" t="s">
        <v>68</v>
      </c>
      <c r="AV470" s="243" t="s">
        <v>551</v>
      </c>
      <c r="AW470" s="54" t="s">
        <v>68</v>
      </c>
      <c r="AX470" s="78" t="s">
        <v>1177</v>
      </c>
      <c r="AY470" s="255"/>
      <c r="AZ470" s="255"/>
      <c r="BA470" s="245"/>
      <c r="BB470" s="78" t="s">
        <v>1177</v>
      </c>
      <c r="BC470" s="344"/>
      <c r="BD470" s="5"/>
      <c r="BE470" s="5"/>
      <c r="BF470" s="5"/>
      <c r="BG470" s="38">
        <f t="shared" si="14"/>
        <v>0</v>
      </c>
      <c r="BH470" s="64" t="s">
        <v>68</v>
      </c>
      <c r="BI470" s="1228"/>
      <c r="BJ470" s="795"/>
      <c r="BK470" s="795"/>
      <c r="BL470" s="796"/>
      <c r="BM470" s="796"/>
      <c r="BN470" s="796"/>
      <c r="BO470" s="1054"/>
      <c r="BP470" s="796"/>
      <c r="BQ470" s="796"/>
      <c r="BR470" s="796"/>
      <c r="BS470" s="794"/>
      <c r="BT470" s="14"/>
      <c r="BU470" s="1468" t="s">
        <v>3773</v>
      </c>
      <c r="BV470" s="14"/>
      <c r="BW470" s="14"/>
      <c r="BX470" s="14"/>
      <c r="BY470" s="1433" t="s">
        <v>2098</v>
      </c>
      <c r="BZ470" s="40"/>
      <c r="CA470" s="582"/>
      <c r="CB470" s="582"/>
      <c r="CC470" s="582"/>
      <c r="CD470" s="582"/>
      <c r="CE470" s="582"/>
      <c r="CF470" s="582"/>
      <c r="CG470" s="582"/>
      <c r="CH470" s="16"/>
    </row>
    <row r="471" spans="2:86" ht="81" hidden="1" customHeight="1">
      <c r="B471" s="23"/>
      <c r="C471" s="23"/>
      <c r="D471" s="23"/>
      <c r="E471" s="1051"/>
      <c r="F471" s="1051"/>
      <c r="G471" s="1055"/>
      <c r="H471" s="365"/>
      <c r="I471" s="182">
        <v>2020</v>
      </c>
      <c r="J471" s="1678">
        <v>205.17</v>
      </c>
      <c r="K471" s="716" t="s">
        <v>166</v>
      </c>
      <c r="L471" s="739" t="s">
        <v>3315</v>
      </c>
      <c r="M471" s="185" t="s">
        <v>45</v>
      </c>
      <c r="N471" s="495" t="s">
        <v>3407</v>
      </c>
      <c r="O471" s="495" t="s">
        <v>1979</v>
      </c>
      <c r="P471" s="661">
        <f>3500*1.16</f>
        <v>4059.9999999999995</v>
      </c>
      <c r="Q471" s="779">
        <v>44089</v>
      </c>
      <c r="R471" s="664" t="s">
        <v>68</v>
      </c>
      <c r="S471" s="665" t="s">
        <v>68</v>
      </c>
      <c r="T471" s="1148" t="s">
        <v>68</v>
      </c>
      <c r="U471" s="739" t="s">
        <v>3408</v>
      </c>
      <c r="V471" s="716" t="s">
        <v>3304</v>
      </c>
      <c r="W471" s="1227"/>
      <c r="X471" s="1629" t="s">
        <v>1177</v>
      </c>
      <c r="Y471" s="280"/>
      <c r="Z471" s="9"/>
      <c r="AA471" s="4"/>
      <c r="AB471" s="4"/>
      <c r="AC471" s="34"/>
      <c r="AD471" s="36" t="s">
        <v>68</v>
      </c>
      <c r="AE471" s="119" t="s">
        <v>68</v>
      </c>
      <c r="AF471" s="119" t="s">
        <v>68</v>
      </c>
      <c r="AG471" s="7" t="s">
        <v>68</v>
      </c>
      <c r="AH471" s="116" t="s">
        <v>68</v>
      </c>
      <c r="AI471" s="35" t="s">
        <v>68</v>
      </c>
      <c r="AJ471" s="1" t="s">
        <v>68</v>
      </c>
      <c r="AK471" s="5"/>
      <c r="AL471" s="1" t="s">
        <v>68</v>
      </c>
      <c r="AM471" s="5"/>
      <c r="AN471" s="1" t="s">
        <v>68</v>
      </c>
      <c r="AO471" s="5"/>
      <c r="AP471" s="306">
        <v>0</v>
      </c>
      <c r="AQ471" s="74">
        <v>0</v>
      </c>
      <c r="AR471" s="1040"/>
      <c r="AS471" s="1027"/>
      <c r="AT471" s="78" t="s">
        <v>68</v>
      </c>
      <c r="AU471" s="12" t="s">
        <v>68</v>
      </c>
      <c r="AV471" s="243" t="s">
        <v>551</v>
      </c>
      <c r="AW471" s="54" t="s">
        <v>68</v>
      </c>
      <c r="AX471" s="78" t="s">
        <v>1177</v>
      </c>
      <c r="AY471" s="255"/>
      <c r="AZ471" s="255"/>
      <c r="BA471" s="245"/>
      <c r="BB471" s="78" t="s">
        <v>1177</v>
      </c>
      <c r="BC471" s="344"/>
      <c r="BD471" s="5"/>
      <c r="BE471" s="5"/>
      <c r="BF471" s="5"/>
      <c r="BG471" s="38">
        <f t="shared" si="14"/>
        <v>0</v>
      </c>
      <c r="BH471" s="64" t="s">
        <v>68</v>
      </c>
      <c r="BI471" s="1228"/>
      <c r="BJ471" s="795"/>
      <c r="BK471" s="795"/>
      <c r="BL471" s="796"/>
      <c r="BM471" s="796"/>
      <c r="BN471" s="796"/>
      <c r="BO471" s="1054"/>
      <c r="BP471" s="796"/>
      <c r="BQ471" s="796"/>
      <c r="BR471" s="796"/>
      <c r="BS471" s="794"/>
      <c r="BT471" s="14"/>
      <c r="BU471" s="1468" t="s">
        <v>3773</v>
      </c>
      <c r="BV471" s="14"/>
      <c r="BW471" s="14"/>
      <c r="BX471" s="14"/>
      <c r="BY471" s="1433" t="s">
        <v>2098</v>
      </c>
      <c r="BZ471" s="40"/>
      <c r="CA471" s="582"/>
      <c r="CB471" s="582"/>
      <c r="CC471" s="582"/>
      <c r="CD471" s="582"/>
      <c r="CE471" s="582"/>
      <c r="CF471" s="582"/>
      <c r="CG471" s="582"/>
      <c r="CH471" s="16"/>
    </row>
    <row r="472" spans="2:86" ht="90.75" hidden="1" customHeight="1">
      <c r="B472" s="23"/>
      <c r="C472" s="23"/>
      <c r="D472" s="23"/>
      <c r="E472" s="1051"/>
      <c r="F472" s="1051"/>
      <c r="G472" s="1055"/>
      <c r="H472" s="365"/>
      <c r="I472" s="182">
        <v>2020</v>
      </c>
      <c r="J472" s="1678">
        <v>205.18</v>
      </c>
      <c r="K472" s="716" t="s">
        <v>166</v>
      </c>
      <c r="L472" s="739" t="s">
        <v>3316</v>
      </c>
      <c r="M472" s="185" t="s">
        <v>45</v>
      </c>
      <c r="N472" s="495" t="s">
        <v>3409</v>
      </c>
      <c r="O472" s="495" t="s">
        <v>1979</v>
      </c>
      <c r="P472" s="661">
        <f>18000*1.16</f>
        <v>20880</v>
      </c>
      <c r="Q472" s="779">
        <v>44089</v>
      </c>
      <c r="R472" s="664" t="s">
        <v>68</v>
      </c>
      <c r="S472" s="665" t="s">
        <v>68</v>
      </c>
      <c r="T472" s="1148" t="s">
        <v>68</v>
      </c>
      <c r="U472" s="739" t="s">
        <v>3408</v>
      </c>
      <c r="V472" s="716" t="s">
        <v>3304</v>
      </c>
      <c r="W472" s="1227"/>
      <c r="X472" s="1629" t="s">
        <v>1177</v>
      </c>
      <c r="Y472" s="280"/>
      <c r="Z472" s="9"/>
      <c r="AA472" s="4"/>
      <c r="AB472" s="4"/>
      <c r="AC472" s="34"/>
      <c r="AD472" s="36" t="s">
        <v>68</v>
      </c>
      <c r="AE472" s="119" t="s">
        <v>68</v>
      </c>
      <c r="AF472" s="119" t="s">
        <v>68</v>
      </c>
      <c r="AG472" s="7" t="s">
        <v>68</v>
      </c>
      <c r="AH472" s="116" t="s">
        <v>68</v>
      </c>
      <c r="AI472" s="35" t="s">
        <v>68</v>
      </c>
      <c r="AJ472" s="1" t="s">
        <v>68</v>
      </c>
      <c r="AK472" s="5"/>
      <c r="AL472" s="1" t="s">
        <v>68</v>
      </c>
      <c r="AM472" s="5"/>
      <c r="AN472" s="1" t="s">
        <v>68</v>
      </c>
      <c r="AO472" s="5"/>
      <c r="AP472" s="306">
        <v>0</v>
      </c>
      <c r="AQ472" s="74">
        <v>0</v>
      </c>
      <c r="AR472" s="1040"/>
      <c r="AS472" s="1027"/>
      <c r="AT472" s="78" t="s">
        <v>68</v>
      </c>
      <c r="AU472" s="12" t="s">
        <v>68</v>
      </c>
      <c r="AV472" s="243" t="s">
        <v>551</v>
      </c>
      <c r="AW472" s="54" t="s">
        <v>68</v>
      </c>
      <c r="AX472" s="78" t="s">
        <v>1177</v>
      </c>
      <c r="AY472" s="255"/>
      <c r="AZ472" s="255"/>
      <c r="BA472" s="245"/>
      <c r="BB472" s="78" t="s">
        <v>1177</v>
      </c>
      <c r="BC472" s="344"/>
      <c r="BD472" s="5"/>
      <c r="BE472" s="5"/>
      <c r="BF472" s="5"/>
      <c r="BG472" s="38">
        <f t="shared" si="14"/>
        <v>0</v>
      </c>
      <c r="BH472" s="64" t="s">
        <v>68</v>
      </c>
      <c r="BI472" s="1228"/>
      <c r="BJ472" s="795"/>
      <c r="BK472" s="795"/>
      <c r="BL472" s="796"/>
      <c r="BM472" s="796"/>
      <c r="BN472" s="796"/>
      <c r="BO472" s="1054"/>
      <c r="BP472" s="796"/>
      <c r="BQ472" s="796"/>
      <c r="BR472" s="796"/>
      <c r="BS472" s="794"/>
      <c r="BT472" s="14"/>
      <c r="BU472" s="1468" t="s">
        <v>3773</v>
      </c>
      <c r="BV472" s="14"/>
      <c r="BW472" s="14"/>
      <c r="BX472" s="14"/>
      <c r="BY472" s="1433" t="s">
        <v>2098</v>
      </c>
      <c r="BZ472" s="40"/>
      <c r="CA472" s="582"/>
      <c r="CB472" s="582"/>
      <c r="CC472" s="582"/>
      <c r="CD472" s="582"/>
      <c r="CE472" s="582"/>
      <c r="CF472" s="582"/>
      <c r="CG472" s="582"/>
      <c r="CH472" s="16"/>
    </row>
    <row r="473" spans="2:86" ht="90.75" hidden="1" customHeight="1">
      <c r="B473" s="23"/>
      <c r="C473" s="23"/>
      <c r="D473" s="23"/>
      <c r="E473" s="1051"/>
      <c r="F473" s="1051"/>
      <c r="G473" s="1055"/>
      <c r="H473" s="365"/>
      <c r="I473" s="182">
        <v>2020</v>
      </c>
      <c r="J473" s="1678">
        <v>205.19</v>
      </c>
      <c r="K473" s="716" t="s">
        <v>166</v>
      </c>
      <c r="L473" s="739" t="s">
        <v>3317</v>
      </c>
      <c r="M473" s="185" t="s">
        <v>45</v>
      </c>
      <c r="N473" s="495" t="s">
        <v>3410</v>
      </c>
      <c r="O473" s="495" t="s">
        <v>2551</v>
      </c>
      <c r="P473" s="661">
        <f>5000*1.16</f>
        <v>5800</v>
      </c>
      <c r="Q473" s="779">
        <v>44089</v>
      </c>
      <c r="R473" s="664" t="s">
        <v>68</v>
      </c>
      <c r="S473" s="665" t="s">
        <v>68</v>
      </c>
      <c r="T473" s="1148" t="s">
        <v>68</v>
      </c>
      <c r="U473" s="739" t="s">
        <v>3408</v>
      </c>
      <c r="V473" s="716" t="s">
        <v>3304</v>
      </c>
      <c r="W473" s="1227"/>
      <c r="X473" s="1629" t="s">
        <v>1177</v>
      </c>
      <c r="Y473" s="280"/>
      <c r="Z473" s="9"/>
      <c r="AA473" s="4"/>
      <c r="AB473" s="4"/>
      <c r="AC473" s="34"/>
      <c r="AD473" s="36" t="s">
        <v>68</v>
      </c>
      <c r="AE473" s="119" t="s">
        <v>68</v>
      </c>
      <c r="AF473" s="119" t="s">
        <v>68</v>
      </c>
      <c r="AG473" s="7" t="s">
        <v>68</v>
      </c>
      <c r="AH473" s="116" t="s">
        <v>68</v>
      </c>
      <c r="AI473" s="35" t="s">
        <v>68</v>
      </c>
      <c r="AJ473" s="1" t="s">
        <v>68</v>
      </c>
      <c r="AK473" s="5"/>
      <c r="AL473" s="1" t="s">
        <v>68</v>
      </c>
      <c r="AM473" s="5"/>
      <c r="AN473" s="1" t="s">
        <v>68</v>
      </c>
      <c r="AO473" s="5"/>
      <c r="AP473" s="306">
        <v>0</v>
      </c>
      <c r="AQ473" s="74">
        <v>0</v>
      </c>
      <c r="AR473" s="1040"/>
      <c r="AS473" s="1027"/>
      <c r="AT473" s="78" t="s">
        <v>68</v>
      </c>
      <c r="AU473" s="12" t="s">
        <v>68</v>
      </c>
      <c r="AV473" s="243" t="s">
        <v>551</v>
      </c>
      <c r="AW473" s="54" t="s">
        <v>68</v>
      </c>
      <c r="AX473" s="78" t="s">
        <v>1177</v>
      </c>
      <c r="AY473" s="255"/>
      <c r="AZ473" s="255"/>
      <c r="BA473" s="245"/>
      <c r="BB473" s="78" t="s">
        <v>1177</v>
      </c>
      <c r="BC473" s="344"/>
      <c r="BD473" s="5"/>
      <c r="BE473" s="5"/>
      <c r="BF473" s="5"/>
      <c r="BG473" s="38">
        <f t="shared" si="14"/>
        <v>0</v>
      </c>
      <c r="BH473" s="64" t="s">
        <v>68</v>
      </c>
      <c r="BI473" s="1228"/>
      <c r="BJ473" s="795"/>
      <c r="BK473" s="795"/>
      <c r="BL473" s="796"/>
      <c r="BM473" s="796"/>
      <c r="BN473" s="796"/>
      <c r="BO473" s="1054"/>
      <c r="BP473" s="796"/>
      <c r="BQ473" s="796"/>
      <c r="BR473" s="796"/>
      <c r="BS473" s="794"/>
      <c r="BT473" s="14"/>
      <c r="BU473" s="1468" t="s">
        <v>3773</v>
      </c>
      <c r="BV473" s="14"/>
      <c r="BW473" s="14"/>
      <c r="BX473" s="14"/>
      <c r="BY473" s="1433" t="s">
        <v>2098</v>
      </c>
      <c r="BZ473" s="40"/>
      <c r="CA473" s="582"/>
      <c r="CB473" s="582"/>
      <c r="CC473" s="582"/>
      <c r="CD473" s="582"/>
      <c r="CE473" s="582"/>
      <c r="CF473" s="582"/>
      <c r="CG473" s="582"/>
      <c r="CH473" s="16"/>
    </row>
    <row r="474" spans="2:86" ht="110.25" hidden="1" customHeight="1">
      <c r="B474" s="23"/>
      <c r="C474" s="23"/>
      <c r="D474" s="23"/>
      <c r="E474" s="1051"/>
      <c r="F474" s="1051"/>
      <c r="G474" s="1055"/>
      <c r="H474" s="365"/>
      <c r="I474" s="182">
        <v>2020</v>
      </c>
      <c r="J474" s="1678">
        <v>205.2</v>
      </c>
      <c r="K474" s="716" t="s">
        <v>166</v>
      </c>
      <c r="L474" s="739" t="s">
        <v>3318</v>
      </c>
      <c r="M474" s="185" t="s">
        <v>45</v>
      </c>
      <c r="N474" s="495" t="s">
        <v>4062</v>
      </c>
      <c r="O474" s="495" t="s">
        <v>68</v>
      </c>
      <c r="P474" s="661">
        <f>4500*1.16</f>
        <v>5220</v>
      </c>
      <c r="Q474" s="779">
        <v>44089</v>
      </c>
      <c r="R474" s="664" t="s">
        <v>68</v>
      </c>
      <c r="S474" s="665" t="s">
        <v>68</v>
      </c>
      <c r="T474" s="1148" t="s">
        <v>68</v>
      </c>
      <c r="U474" s="739" t="s">
        <v>3408</v>
      </c>
      <c r="V474" s="716" t="s">
        <v>3304</v>
      </c>
      <c r="W474" s="1227"/>
      <c r="X474" s="1629" t="s">
        <v>1177</v>
      </c>
      <c r="Y474" s="280"/>
      <c r="Z474" s="9"/>
      <c r="AA474" s="4"/>
      <c r="AB474" s="4"/>
      <c r="AC474" s="34"/>
      <c r="AD474" s="36" t="s">
        <v>68</v>
      </c>
      <c r="AE474" s="119" t="s">
        <v>68</v>
      </c>
      <c r="AF474" s="119" t="s">
        <v>68</v>
      </c>
      <c r="AG474" s="7" t="s">
        <v>68</v>
      </c>
      <c r="AH474" s="116" t="s">
        <v>68</v>
      </c>
      <c r="AI474" s="35" t="s">
        <v>68</v>
      </c>
      <c r="AJ474" s="1" t="s">
        <v>68</v>
      </c>
      <c r="AK474" s="5"/>
      <c r="AL474" s="1" t="s">
        <v>68</v>
      </c>
      <c r="AM474" s="5"/>
      <c r="AN474" s="1" t="s">
        <v>68</v>
      </c>
      <c r="AO474" s="5"/>
      <c r="AP474" s="306">
        <v>0</v>
      </c>
      <c r="AQ474" s="74">
        <v>0</v>
      </c>
      <c r="AR474" s="1040"/>
      <c r="AS474" s="1027"/>
      <c r="AT474" s="78" t="s">
        <v>68</v>
      </c>
      <c r="AU474" s="12" t="s">
        <v>68</v>
      </c>
      <c r="AV474" s="243" t="s">
        <v>551</v>
      </c>
      <c r="AW474" s="54" t="s">
        <v>68</v>
      </c>
      <c r="AX474" s="78" t="s">
        <v>1177</v>
      </c>
      <c r="AY474" s="255"/>
      <c r="AZ474" s="255"/>
      <c r="BA474" s="245"/>
      <c r="BB474" s="78" t="s">
        <v>1177</v>
      </c>
      <c r="BC474" s="344"/>
      <c r="BD474" s="5"/>
      <c r="BE474" s="5"/>
      <c r="BF474" s="5"/>
      <c r="BG474" s="38">
        <f t="shared" si="14"/>
        <v>0</v>
      </c>
      <c r="BH474" s="64" t="s">
        <v>68</v>
      </c>
      <c r="BI474" s="1228"/>
      <c r="BJ474" s="795"/>
      <c r="BK474" s="795"/>
      <c r="BL474" s="796"/>
      <c r="BM474" s="796"/>
      <c r="BN474" s="796"/>
      <c r="BO474" s="1054"/>
      <c r="BP474" s="796"/>
      <c r="BQ474" s="796"/>
      <c r="BR474" s="796"/>
      <c r="BS474" s="794"/>
      <c r="BT474" s="14"/>
      <c r="BU474" s="1468" t="s">
        <v>3773</v>
      </c>
      <c r="BV474" s="14"/>
      <c r="BW474" s="14"/>
      <c r="BX474" s="14"/>
      <c r="BY474" s="1433" t="s">
        <v>2098</v>
      </c>
      <c r="BZ474" s="40"/>
      <c r="CA474" s="582"/>
      <c r="CB474" s="582"/>
      <c r="CC474" s="582"/>
      <c r="CD474" s="582"/>
      <c r="CE474" s="582"/>
      <c r="CF474" s="582"/>
      <c r="CG474" s="582"/>
      <c r="CH474" s="16"/>
    </row>
    <row r="475" spans="2:86" ht="94.5" hidden="1" customHeight="1">
      <c r="B475" s="23"/>
      <c r="C475" s="23"/>
      <c r="D475" s="23"/>
      <c r="E475" s="1051"/>
      <c r="F475" s="1051"/>
      <c r="G475" s="1055"/>
      <c r="H475" s="365"/>
      <c r="I475" s="182">
        <v>2020</v>
      </c>
      <c r="J475" s="1678">
        <v>205.21</v>
      </c>
      <c r="K475" s="716" t="s">
        <v>166</v>
      </c>
      <c r="L475" s="739" t="s">
        <v>3319</v>
      </c>
      <c r="M475" s="185" t="s">
        <v>45</v>
      </c>
      <c r="N475" s="495" t="s">
        <v>3411</v>
      </c>
      <c r="O475" s="495" t="s">
        <v>1979</v>
      </c>
      <c r="P475" s="661">
        <f>5000*1.16</f>
        <v>5800</v>
      </c>
      <c r="Q475" s="779">
        <v>44089</v>
      </c>
      <c r="R475" s="664" t="s">
        <v>68</v>
      </c>
      <c r="S475" s="665" t="s">
        <v>68</v>
      </c>
      <c r="T475" s="1148" t="s">
        <v>68</v>
      </c>
      <c r="U475" s="739" t="s">
        <v>3408</v>
      </c>
      <c r="V475" s="716" t="s">
        <v>3304</v>
      </c>
      <c r="W475" s="1227"/>
      <c r="X475" s="1629" t="s">
        <v>1177</v>
      </c>
      <c r="Y475" s="280"/>
      <c r="Z475" s="9"/>
      <c r="AA475" s="4"/>
      <c r="AB475" s="4"/>
      <c r="AC475" s="34"/>
      <c r="AD475" s="36" t="s">
        <v>68</v>
      </c>
      <c r="AE475" s="119" t="s">
        <v>68</v>
      </c>
      <c r="AF475" s="119" t="s">
        <v>68</v>
      </c>
      <c r="AG475" s="7" t="s">
        <v>68</v>
      </c>
      <c r="AH475" s="116" t="s">
        <v>68</v>
      </c>
      <c r="AI475" s="35" t="s">
        <v>68</v>
      </c>
      <c r="AJ475" s="1" t="s">
        <v>68</v>
      </c>
      <c r="AK475" s="5"/>
      <c r="AL475" s="1" t="s">
        <v>68</v>
      </c>
      <c r="AM475" s="5"/>
      <c r="AN475" s="1" t="s">
        <v>68</v>
      </c>
      <c r="AO475" s="5"/>
      <c r="AP475" s="306">
        <v>0</v>
      </c>
      <c r="AQ475" s="74">
        <v>0</v>
      </c>
      <c r="AR475" s="1040"/>
      <c r="AS475" s="1027"/>
      <c r="AT475" s="78" t="s">
        <v>68</v>
      </c>
      <c r="AU475" s="12" t="s">
        <v>68</v>
      </c>
      <c r="AV475" s="243" t="s">
        <v>551</v>
      </c>
      <c r="AW475" s="54" t="s">
        <v>68</v>
      </c>
      <c r="AX475" s="78" t="s">
        <v>1177</v>
      </c>
      <c r="AY475" s="255"/>
      <c r="AZ475" s="255"/>
      <c r="BA475" s="245"/>
      <c r="BB475" s="78" t="s">
        <v>1177</v>
      </c>
      <c r="BC475" s="344"/>
      <c r="BD475" s="5"/>
      <c r="BE475" s="5"/>
      <c r="BF475" s="5"/>
      <c r="BG475" s="38">
        <f t="shared" si="14"/>
        <v>0</v>
      </c>
      <c r="BH475" s="64" t="s">
        <v>68</v>
      </c>
      <c r="BI475" s="1228"/>
      <c r="BJ475" s="795"/>
      <c r="BK475" s="795"/>
      <c r="BL475" s="796"/>
      <c r="BM475" s="796"/>
      <c r="BN475" s="796"/>
      <c r="BO475" s="1054"/>
      <c r="BP475" s="796"/>
      <c r="BQ475" s="796"/>
      <c r="BR475" s="796"/>
      <c r="BS475" s="794"/>
      <c r="BT475" s="14"/>
      <c r="BU475" s="1468" t="s">
        <v>3773</v>
      </c>
      <c r="BV475" s="14"/>
      <c r="BW475" s="14"/>
      <c r="BX475" s="14"/>
      <c r="BY475" s="1433" t="s">
        <v>2098</v>
      </c>
      <c r="BZ475" s="40"/>
      <c r="CA475" s="582"/>
      <c r="CB475" s="582"/>
      <c r="CC475" s="582"/>
      <c r="CD475" s="582"/>
      <c r="CE475" s="582"/>
      <c r="CF475" s="582"/>
      <c r="CG475" s="582"/>
      <c r="CH475" s="16"/>
    </row>
    <row r="476" spans="2:86" ht="105" hidden="1" customHeight="1">
      <c r="B476" s="23"/>
      <c r="C476" s="23"/>
      <c r="D476" s="23"/>
      <c r="E476" s="1051"/>
      <c r="F476" s="1051"/>
      <c r="G476" s="1055"/>
      <c r="H476" s="365"/>
      <c r="I476" s="182">
        <v>2020</v>
      </c>
      <c r="J476" s="1678">
        <v>205.22</v>
      </c>
      <c r="K476" s="716" t="s">
        <v>166</v>
      </c>
      <c r="L476" s="739" t="s">
        <v>3320</v>
      </c>
      <c r="M476" s="185" t="s">
        <v>45</v>
      </c>
      <c r="N476" s="495" t="s">
        <v>3412</v>
      </c>
      <c r="O476" s="495" t="s">
        <v>1979</v>
      </c>
      <c r="P476" s="661">
        <f>4500*1.16</f>
        <v>5220</v>
      </c>
      <c r="Q476" s="779">
        <v>44089</v>
      </c>
      <c r="R476" s="664" t="s">
        <v>68</v>
      </c>
      <c r="S476" s="665" t="s">
        <v>68</v>
      </c>
      <c r="T476" s="1148" t="s">
        <v>68</v>
      </c>
      <c r="U476" s="739" t="s">
        <v>3408</v>
      </c>
      <c r="V476" s="716" t="s">
        <v>3304</v>
      </c>
      <c r="W476" s="1227"/>
      <c r="X476" s="1629" t="s">
        <v>1177</v>
      </c>
      <c r="Y476" s="280"/>
      <c r="Z476" s="9"/>
      <c r="AA476" s="4"/>
      <c r="AB476" s="4"/>
      <c r="AC476" s="34"/>
      <c r="AD476" s="36" t="s">
        <v>68</v>
      </c>
      <c r="AE476" s="119" t="s">
        <v>68</v>
      </c>
      <c r="AF476" s="119" t="s">
        <v>68</v>
      </c>
      <c r="AG476" s="7" t="s">
        <v>68</v>
      </c>
      <c r="AH476" s="116" t="s">
        <v>68</v>
      </c>
      <c r="AI476" s="35" t="s">
        <v>68</v>
      </c>
      <c r="AJ476" s="1" t="s">
        <v>68</v>
      </c>
      <c r="AK476" s="5"/>
      <c r="AL476" s="1" t="s">
        <v>68</v>
      </c>
      <c r="AM476" s="5"/>
      <c r="AN476" s="1" t="s">
        <v>68</v>
      </c>
      <c r="AO476" s="5"/>
      <c r="AP476" s="306">
        <v>0</v>
      </c>
      <c r="AQ476" s="74">
        <v>0</v>
      </c>
      <c r="AR476" s="1040"/>
      <c r="AS476" s="1027"/>
      <c r="AT476" s="78" t="s">
        <v>68</v>
      </c>
      <c r="AU476" s="12" t="s">
        <v>68</v>
      </c>
      <c r="AV476" s="243" t="s">
        <v>551</v>
      </c>
      <c r="AW476" s="54" t="s">
        <v>68</v>
      </c>
      <c r="AX476" s="78" t="s">
        <v>1177</v>
      </c>
      <c r="AY476" s="255"/>
      <c r="AZ476" s="255"/>
      <c r="BA476" s="245"/>
      <c r="BB476" s="78" t="s">
        <v>1177</v>
      </c>
      <c r="BC476" s="344"/>
      <c r="BD476" s="5"/>
      <c r="BE476" s="5"/>
      <c r="BF476" s="5"/>
      <c r="BG476" s="38">
        <f t="shared" si="14"/>
        <v>0</v>
      </c>
      <c r="BH476" s="64" t="s">
        <v>68</v>
      </c>
      <c r="BI476" s="1228"/>
      <c r="BJ476" s="795"/>
      <c r="BK476" s="795"/>
      <c r="BL476" s="796"/>
      <c r="BM476" s="796"/>
      <c r="BN476" s="796"/>
      <c r="BO476" s="1054"/>
      <c r="BP476" s="796"/>
      <c r="BQ476" s="796"/>
      <c r="BR476" s="796"/>
      <c r="BS476" s="794"/>
      <c r="BT476" s="14"/>
      <c r="BU476" s="1468" t="s">
        <v>3773</v>
      </c>
      <c r="BV476" s="14"/>
      <c r="BW476" s="14"/>
      <c r="BX476" s="14"/>
      <c r="BY476" s="1433" t="s">
        <v>2098</v>
      </c>
      <c r="BZ476" s="40"/>
      <c r="CA476" s="582"/>
      <c r="CB476" s="582"/>
      <c r="CC476" s="582"/>
      <c r="CD476" s="582"/>
      <c r="CE476" s="582"/>
      <c r="CF476" s="582"/>
      <c r="CG476" s="582"/>
      <c r="CH476" s="16"/>
    </row>
    <row r="477" spans="2:86" ht="109.5" hidden="1" customHeight="1">
      <c r="B477" s="23"/>
      <c r="C477" s="23"/>
      <c r="D477" s="23"/>
      <c r="E477" s="1051"/>
      <c r="F477" s="1051"/>
      <c r="G477" s="1055"/>
      <c r="H477" s="365"/>
      <c r="I477" s="182">
        <v>2020</v>
      </c>
      <c r="J477" s="1678">
        <v>205.23</v>
      </c>
      <c r="K477" s="716" t="s">
        <v>166</v>
      </c>
      <c r="L477" s="739" t="s">
        <v>3321</v>
      </c>
      <c r="M477" s="185" t="s">
        <v>45</v>
      </c>
      <c r="N477" s="495" t="s">
        <v>3413</v>
      </c>
      <c r="O477" s="186" t="s">
        <v>4877</v>
      </c>
      <c r="P477" s="661">
        <f>1500*1.16</f>
        <v>1739.9999999999998</v>
      </c>
      <c r="Q477" s="779">
        <v>44089</v>
      </c>
      <c r="R477" s="664" t="s">
        <v>68</v>
      </c>
      <c r="S477" s="665" t="s">
        <v>68</v>
      </c>
      <c r="T477" s="1148" t="s">
        <v>68</v>
      </c>
      <c r="U477" s="739" t="s">
        <v>3408</v>
      </c>
      <c r="V477" s="716" t="s">
        <v>3304</v>
      </c>
      <c r="W477" s="1227"/>
      <c r="X477" s="1629" t="s">
        <v>1177</v>
      </c>
      <c r="Y477" s="280"/>
      <c r="Z477" s="9"/>
      <c r="AA477" s="4"/>
      <c r="AB477" s="4"/>
      <c r="AC477" s="34"/>
      <c r="AD477" s="36" t="s">
        <v>68</v>
      </c>
      <c r="AE477" s="119" t="s">
        <v>68</v>
      </c>
      <c r="AF477" s="119" t="s">
        <v>68</v>
      </c>
      <c r="AG477" s="7" t="s">
        <v>68</v>
      </c>
      <c r="AH477" s="116" t="s">
        <v>68</v>
      </c>
      <c r="AI477" s="35" t="s">
        <v>68</v>
      </c>
      <c r="AJ477" s="1" t="s">
        <v>68</v>
      </c>
      <c r="AK477" s="5"/>
      <c r="AL477" s="1" t="s">
        <v>68</v>
      </c>
      <c r="AM477" s="5"/>
      <c r="AN477" s="1" t="s">
        <v>68</v>
      </c>
      <c r="AO477" s="5"/>
      <c r="AP477" s="306">
        <v>0</v>
      </c>
      <c r="AQ477" s="74">
        <v>0</v>
      </c>
      <c r="AR477" s="1040"/>
      <c r="AS477" s="1027"/>
      <c r="AT477" s="78" t="s">
        <v>68</v>
      </c>
      <c r="AU477" s="12" t="s">
        <v>68</v>
      </c>
      <c r="AV477" s="243" t="s">
        <v>551</v>
      </c>
      <c r="AW477" s="54" t="s">
        <v>68</v>
      </c>
      <c r="AX477" s="78" t="s">
        <v>1177</v>
      </c>
      <c r="AY477" s="255"/>
      <c r="AZ477" s="255"/>
      <c r="BA477" s="245"/>
      <c r="BB477" s="78" t="s">
        <v>1177</v>
      </c>
      <c r="BC477" s="344"/>
      <c r="BD477" s="5"/>
      <c r="BE477" s="5"/>
      <c r="BF477" s="5"/>
      <c r="BG477" s="38">
        <f t="shared" si="14"/>
        <v>0</v>
      </c>
      <c r="BH477" s="64" t="s">
        <v>68</v>
      </c>
      <c r="BI477" s="1228"/>
      <c r="BJ477" s="795"/>
      <c r="BK477" s="795"/>
      <c r="BL477" s="796"/>
      <c r="BM477" s="796"/>
      <c r="BN477" s="796"/>
      <c r="BO477" s="1054"/>
      <c r="BP477" s="796"/>
      <c r="BQ477" s="796"/>
      <c r="BR477" s="796"/>
      <c r="BS477" s="794"/>
      <c r="BT477" s="14"/>
      <c r="BU477" s="1468" t="s">
        <v>3773</v>
      </c>
      <c r="BV477" s="14"/>
      <c r="BW477" s="14"/>
      <c r="BX477" s="14"/>
      <c r="BY477" s="1433" t="s">
        <v>2098</v>
      </c>
      <c r="BZ477" s="40"/>
      <c r="CA477" s="582"/>
      <c r="CB477" s="582"/>
      <c r="CC477" s="582"/>
      <c r="CD477" s="582"/>
      <c r="CE477" s="582"/>
      <c r="CF477" s="582"/>
      <c r="CG477" s="582"/>
      <c r="CH477" s="16"/>
    </row>
    <row r="478" spans="2:86" ht="90.75" hidden="1" customHeight="1">
      <c r="B478" s="23"/>
      <c r="C478" s="23"/>
      <c r="D478" s="23"/>
      <c r="E478" s="1051"/>
      <c r="F478" s="1051"/>
      <c r="G478" s="1055"/>
      <c r="H478" s="365"/>
      <c r="I478" s="182">
        <v>2020</v>
      </c>
      <c r="J478" s="1678">
        <v>205.24</v>
      </c>
      <c r="K478" s="716" t="s">
        <v>166</v>
      </c>
      <c r="L478" s="739" t="s">
        <v>3322</v>
      </c>
      <c r="M478" s="185" t="s">
        <v>45</v>
      </c>
      <c r="N478" s="495" t="s">
        <v>3414</v>
      </c>
      <c r="O478" s="495" t="s">
        <v>4458</v>
      </c>
      <c r="P478" s="661">
        <f>2500*1.16</f>
        <v>2900</v>
      </c>
      <c r="Q478" s="779">
        <v>44089</v>
      </c>
      <c r="R478" s="664" t="s">
        <v>68</v>
      </c>
      <c r="S478" s="665" t="s">
        <v>68</v>
      </c>
      <c r="T478" s="1148" t="s">
        <v>68</v>
      </c>
      <c r="U478" s="739" t="s">
        <v>3408</v>
      </c>
      <c r="V478" s="716" t="s">
        <v>3304</v>
      </c>
      <c r="W478" s="1227"/>
      <c r="X478" s="1629" t="s">
        <v>1177</v>
      </c>
      <c r="Y478" s="280"/>
      <c r="Z478" s="9"/>
      <c r="AA478" s="4"/>
      <c r="AB478" s="4"/>
      <c r="AC478" s="34"/>
      <c r="AD478" s="36" t="s">
        <v>68</v>
      </c>
      <c r="AE478" s="119" t="s">
        <v>68</v>
      </c>
      <c r="AF478" s="119" t="s">
        <v>68</v>
      </c>
      <c r="AG478" s="7" t="s">
        <v>68</v>
      </c>
      <c r="AH478" s="116" t="s">
        <v>68</v>
      </c>
      <c r="AI478" s="35" t="s">
        <v>68</v>
      </c>
      <c r="AJ478" s="1" t="s">
        <v>68</v>
      </c>
      <c r="AK478" s="5"/>
      <c r="AL478" s="1" t="s">
        <v>68</v>
      </c>
      <c r="AM478" s="5"/>
      <c r="AN478" s="1" t="s">
        <v>68</v>
      </c>
      <c r="AO478" s="5"/>
      <c r="AP478" s="306">
        <v>0</v>
      </c>
      <c r="AQ478" s="74">
        <v>0</v>
      </c>
      <c r="AR478" s="1040"/>
      <c r="AS478" s="1027"/>
      <c r="AT478" s="78" t="s">
        <v>68</v>
      </c>
      <c r="AU478" s="12" t="s">
        <v>68</v>
      </c>
      <c r="AV478" s="243" t="s">
        <v>551</v>
      </c>
      <c r="AW478" s="54" t="s">
        <v>68</v>
      </c>
      <c r="AX478" s="78" t="s">
        <v>1177</v>
      </c>
      <c r="AY478" s="255"/>
      <c r="AZ478" s="255"/>
      <c r="BA478" s="245"/>
      <c r="BB478" s="78" t="s">
        <v>1177</v>
      </c>
      <c r="BC478" s="344"/>
      <c r="BD478" s="5"/>
      <c r="BE478" s="5"/>
      <c r="BF478" s="5"/>
      <c r="BG478" s="38">
        <f t="shared" si="14"/>
        <v>0</v>
      </c>
      <c r="BH478" s="64" t="s">
        <v>68</v>
      </c>
      <c r="BI478" s="1228"/>
      <c r="BJ478" s="795"/>
      <c r="BK478" s="795"/>
      <c r="BL478" s="796"/>
      <c r="BM478" s="796"/>
      <c r="BN478" s="796"/>
      <c r="BO478" s="1054"/>
      <c r="BP478" s="796"/>
      <c r="BQ478" s="796"/>
      <c r="BR478" s="796"/>
      <c r="BS478" s="794"/>
      <c r="BT478" s="14"/>
      <c r="BU478" s="1468" t="s">
        <v>3773</v>
      </c>
      <c r="BV478" s="14"/>
      <c r="BW478" s="14"/>
      <c r="BX478" s="14"/>
      <c r="BY478" s="1433" t="s">
        <v>2098</v>
      </c>
      <c r="BZ478" s="40"/>
      <c r="CA478" s="582"/>
      <c r="CB478" s="582"/>
      <c r="CC478" s="582"/>
      <c r="CD478" s="582"/>
      <c r="CE478" s="582"/>
      <c r="CF478" s="582"/>
      <c r="CG478" s="582"/>
      <c r="CH478" s="16"/>
    </row>
    <row r="479" spans="2:86" ht="87.75" hidden="1" customHeight="1">
      <c r="B479" s="23"/>
      <c r="C479" s="23"/>
      <c r="D479" s="23"/>
      <c r="E479" s="1051"/>
      <c r="F479" s="1051"/>
      <c r="G479" s="1055"/>
      <c r="H479" s="365"/>
      <c r="I479" s="182">
        <v>2020</v>
      </c>
      <c r="J479" s="1678">
        <v>205.25</v>
      </c>
      <c r="K479" s="716" t="s">
        <v>166</v>
      </c>
      <c r="L479" s="739" t="s">
        <v>3323</v>
      </c>
      <c r="M479" s="185" t="s">
        <v>45</v>
      </c>
      <c r="N479" s="495" t="s">
        <v>3415</v>
      </c>
      <c r="O479" s="495" t="s">
        <v>1979</v>
      </c>
      <c r="P479" s="661">
        <f>2500*1.16</f>
        <v>2900</v>
      </c>
      <c r="Q479" s="779">
        <v>44089</v>
      </c>
      <c r="R479" s="664" t="s">
        <v>68</v>
      </c>
      <c r="S479" s="665" t="s">
        <v>68</v>
      </c>
      <c r="T479" s="1148" t="s">
        <v>68</v>
      </c>
      <c r="U479" s="739" t="s">
        <v>3408</v>
      </c>
      <c r="V479" s="716" t="s">
        <v>3304</v>
      </c>
      <c r="W479" s="1227"/>
      <c r="X479" s="1629" t="s">
        <v>1177</v>
      </c>
      <c r="Y479" s="280"/>
      <c r="Z479" s="9"/>
      <c r="AA479" s="4"/>
      <c r="AB479" s="4"/>
      <c r="AC479" s="34"/>
      <c r="AD479" s="36" t="s">
        <v>68</v>
      </c>
      <c r="AE479" s="119" t="s">
        <v>68</v>
      </c>
      <c r="AF479" s="119" t="s">
        <v>68</v>
      </c>
      <c r="AG479" s="7" t="s">
        <v>68</v>
      </c>
      <c r="AH479" s="116" t="s">
        <v>68</v>
      </c>
      <c r="AI479" s="35" t="s">
        <v>68</v>
      </c>
      <c r="AJ479" s="1" t="s">
        <v>68</v>
      </c>
      <c r="AK479" s="5"/>
      <c r="AL479" s="1" t="s">
        <v>68</v>
      </c>
      <c r="AM479" s="5"/>
      <c r="AN479" s="1" t="s">
        <v>68</v>
      </c>
      <c r="AO479" s="5"/>
      <c r="AP479" s="306">
        <v>0</v>
      </c>
      <c r="AQ479" s="74">
        <v>0</v>
      </c>
      <c r="AR479" s="1040"/>
      <c r="AS479" s="1027"/>
      <c r="AT479" s="78" t="s">
        <v>68</v>
      </c>
      <c r="AU479" s="12" t="s">
        <v>68</v>
      </c>
      <c r="AV479" s="243" t="s">
        <v>551</v>
      </c>
      <c r="AW479" s="54" t="s">
        <v>68</v>
      </c>
      <c r="AX479" s="78" t="s">
        <v>1177</v>
      </c>
      <c r="AY479" s="255"/>
      <c r="AZ479" s="255"/>
      <c r="BA479" s="245"/>
      <c r="BB479" s="78" t="s">
        <v>1177</v>
      </c>
      <c r="BC479" s="344"/>
      <c r="BD479" s="5"/>
      <c r="BE479" s="5"/>
      <c r="BF479" s="5"/>
      <c r="BG479" s="38">
        <f t="shared" si="14"/>
        <v>0</v>
      </c>
      <c r="BH479" s="64" t="s">
        <v>68</v>
      </c>
      <c r="BI479" s="1228"/>
      <c r="BJ479" s="795"/>
      <c r="BK479" s="795"/>
      <c r="BL479" s="796"/>
      <c r="BM479" s="796"/>
      <c r="BN479" s="796"/>
      <c r="BO479" s="1054"/>
      <c r="BP479" s="796"/>
      <c r="BQ479" s="796"/>
      <c r="BR479" s="796"/>
      <c r="BS479" s="794"/>
      <c r="BT479" s="14"/>
      <c r="BU479" s="1468" t="s">
        <v>3773</v>
      </c>
      <c r="BV479" s="14"/>
      <c r="BW479" s="14"/>
      <c r="BX479" s="14"/>
      <c r="BY479" s="1433" t="s">
        <v>2098</v>
      </c>
      <c r="BZ479" s="40"/>
      <c r="CA479" s="582"/>
      <c r="CB479" s="582"/>
      <c r="CC479" s="582"/>
      <c r="CD479" s="582"/>
      <c r="CE479" s="582"/>
      <c r="CF479" s="582"/>
      <c r="CG479" s="582"/>
      <c r="CH479" s="16"/>
    </row>
    <row r="480" spans="2:86" ht="84.75" hidden="1" customHeight="1">
      <c r="B480" s="23"/>
      <c r="C480" s="23"/>
      <c r="D480" s="23"/>
      <c r="E480" s="1051"/>
      <c r="F480" s="1051"/>
      <c r="G480" s="1055"/>
      <c r="H480" s="365"/>
      <c r="I480" s="182">
        <v>2020</v>
      </c>
      <c r="J480" s="1678">
        <v>205.26</v>
      </c>
      <c r="K480" s="716" t="s">
        <v>166</v>
      </c>
      <c r="L480" s="739" t="s">
        <v>3324</v>
      </c>
      <c r="M480" s="185" t="s">
        <v>45</v>
      </c>
      <c r="N480" s="495" t="s">
        <v>3417</v>
      </c>
      <c r="O480" s="495" t="s">
        <v>2699</v>
      </c>
      <c r="P480" s="661">
        <f>3500*1.16</f>
        <v>4059.9999999999995</v>
      </c>
      <c r="Q480" s="779">
        <v>44089</v>
      </c>
      <c r="R480" s="664" t="s">
        <v>68</v>
      </c>
      <c r="S480" s="665" t="s">
        <v>68</v>
      </c>
      <c r="T480" s="1148" t="s">
        <v>68</v>
      </c>
      <c r="U480" s="739" t="s">
        <v>3408</v>
      </c>
      <c r="V480" s="716" t="s">
        <v>3304</v>
      </c>
      <c r="W480" s="1227"/>
      <c r="X480" s="1629" t="s">
        <v>1177</v>
      </c>
      <c r="Y480" s="280"/>
      <c r="Z480" s="9"/>
      <c r="AA480" s="4"/>
      <c r="AB480" s="4"/>
      <c r="AC480" s="34"/>
      <c r="AD480" s="36" t="s">
        <v>68</v>
      </c>
      <c r="AE480" s="119" t="s">
        <v>68</v>
      </c>
      <c r="AF480" s="119" t="s">
        <v>68</v>
      </c>
      <c r="AG480" s="7" t="s">
        <v>68</v>
      </c>
      <c r="AH480" s="116" t="s">
        <v>68</v>
      </c>
      <c r="AI480" s="35" t="s">
        <v>68</v>
      </c>
      <c r="AJ480" s="1" t="s">
        <v>68</v>
      </c>
      <c r="AK480" s="5"/>
      <c r="AL480" s="1" t="s">
        <v>68</v>
      </c>
      <c r="AM480" s="5"/>
      <c r="AN480" s="1" t="s">
        <v>68</v>
      </c>
      <c r="AO480" s="5"/>
      <c r="AP480" s="306">
        <v>0</v>
      </c>
      <c r="AQ480" s="74">
        <v>0</v>
      </c>
      <c r="AR480" s="1040"/>
      <c r="AS480" s="1027"/>
      <c r="AT480" s="78" t="s">
        <v>68</v>
      </c>
      <c r="AU480" s="12" t="s">
        <v>68</v>
      </c>
      <c r="AV480" s="243" t="s">
        <v>551</v>
      </c>
      <c r="AW480" s="54" t="s">
        <v>68</v>
      </c>
      <c r="AX480" s="78" t="s">
        <v>1177</v>
      </c>
      <c r="AY480" s="255"/>
      <c r="AZ480" s="255"/>
      <c r="BA480" s="245"/>
      <c r="BB480" s="78" t="s">
        <v>1177</v>
      </c>
      <c r="BC480" s="344"/>
      <c r="BD480" s="5"/>
      <c r="BE480" s="5"/>
      <c r="BF480" s="5"/>
      <c r="BG480" s="38">
        <f t="shared" si="14"/>
        <v>0</v>
      </c>
      <c r="BH480" s="64" t="s">
        <v>68</v>
      </c>
      <c r="BI480" s="1228"/>
      <c r="BJ480" s="795"/>
      <c r="BK480" s="795"/>
      <c r="BL480" s="796"/>
      <c r="BM480" s="796"/>
      <c r="BN480" s="796"/>
      <c r="BO480" s="1054"/>
      <c r="BP480" s="796"/>
      <c r="BQ480" s="796"/>
      <c r="BR480" s="796"/>
      <c r="BS480" s="794"/>
      <c r="BT480" s="14"/>
      <c r="BU480" s="1468" t="s">
        <v>3773</v>
      </c>
      <c r="BV480" s="14"/>
      <c r="BW480" s="14"/>
      <c r="BX480" s="14"/>
      <c r="BY480" s="1433" t="s">
        <v>2098</v>
      </c>
      <c r="BZ480" s="40"/>
      <c r="CA480" s="582"/>
      <c r="CB480" s="582"/>
      <c r="CC480" s="582"/>
      <c r="CD480" s="582"/>
      <c r="CE480" s="582"/>
      <c r="CF480" s="582"/>
      <c r="CG480" s="582"/>
      <c r="CH480" s="16"/>
    </row>
    <row r="481" spans="2:86" ht="90.75" hidden="1" customHeight="1">
      <c r="B481" s="23"/>
      <c r="C481" s="23"/>
      <c r="D481" s="23"/>
      <c r="E481" s="1051"/>
      <c r="F481" s="1051"/>
      <c r="G481" s="1055"/>
      <c r="H481" s="365"/>
      <c r="I481" s="182">
        <v>2020</v>
      </c>
      <c r="J481" s="1678">
        <v>205.27</v>
      </c>
      <c r="K481" s="716" t="s">
        <v>166</v>
      </c>
      <c r="L481" s="739" t="s">
        <v>3325</v>
      </c>
      <c r="M481" s="185" t="s">
        <v>45</v>
      </c>
      <c r="N481" s="495" t="s">
        <v>3418</v>
      </c>
      <c r="O481" s="495" t="s">
        <v>4459</v>
      </c>
      <c r="P481" s="661">
        <f>3200*1.16</f>
        <v>3711.9999999999995</v>
      </c>
      <c r="Q481" s="779">
        <v>44089</v>
      </c>
      <c r="R481" s="664" t="s">
        <v>68</v>
      </c>
      <c r="S481" s="665" t="s">
        <v>68</v>
      </c>
      <c r="T481" s="1148" t="s">
        <v>68</v>
      </c>
      <c r="U481" s="739" t="s">
        <v>3408</v>
      </c>
      <c r="V481" s="716" t="s">
        <v>3304</v>
      </c>
      <c r="W481" s="1227"/>
      <c r="X481" s="1629" t="s">
        <v>1177</v>
      </c>
      <c r="Y481" s="280"/>
      <c r="Z481" s="9"/>
      <c r="AA481" s="4"/>
      <c r="AB481" s="4"/>
      <c r="AC481" s="34"/>
      <c r="AD481" s="36" t="s">
        <v>68</v>
      </c>
      <c r="AE481" s="119" t="s">
        <v>68</v>
      </c>
      <c r="AF481" s="119" t="s">
        <v>68</v>
      </c>
      <c r="AG481" s="7" t="s">
        <v>68</v>
      </c>
      <c r="AH481" s="116" t="s">
        <v>68</v>
      </c>
      <c r="AI481" s="35" t="s">
        <v>68</v>
      </c>
      <c r="AJ481" s="1" t="s">
        <v>68</v>
      </c>
      <c r="AK481" s="5"/>
      <c r="AL481" s="1" t="s">
        <v>68</v>
      </c>
      <c r="AM481" s="5"/>
      <c r="AN481" s="1" t="s">
        <v>68</v>
      </c>
      <c r="AO481" s="5"/>
      <c r="AP481" s="306">
        <v>0</v>
      </c>
      <c r="AQ481" s="74">
        <v>0</v>
      </c>
      <c r="AR481" s="1040"/>
      <c r="AS481" s="1027"/>
      <c r="AT481" s="78" t="s">
        <v>68</v>
      </c>
      <c r="AU481" s="12" t="s">
        <v>68</v>
      </c>
      <c r="AV481" s="243" t="s">
        <v>551</v>
      </c>
      <c r="AW481" s="54" t="s">
        <v>68</v>
      </c>
      <c r="AX481" s="78" t="s">
        <v>1177</v>
      </c>
      <c r="AY481" s="255"/>
      <c r="AZ481" s="255"/>
      <c r="BA481" s="245"/>
      <c r="BB481" s="78" t="s">
        <v>1177</v>
      </c>
      <c r="BC481" s="344"/>
      <c r="BD481" s="5"/>
      <c r="BE481" s="5"/>
      <c r="BF481" s="5"/>
      <c r="BG481" s="38">
        <f t="shared" si="14"/>
        <v>0</v>
      </c>
      <c r="BH481" s="64" t="s">
        <v>68</v>
      </c>
      <c r="BI481" s="1228"/>
      <c r="BJ481" s="795"/>
      <c r="BK481" s="795"/>
      <c r="BL481" s="796"/>
      <c r="BM481" s="796"/>
      <c r="BN481" s="796"/>
      <c r="BO481" s="1054"/>
      <c r="BP481" s="796"/>
      <c r="BQ481" s="796"/>
      <c r="BR481" s="796"/>
      <c r="BS481" s="794"/>
      <c r="BT481" s="14"/>
      <c r="BU481" s="1468" t="s">
        <v>3773</v>
      </c>
      <c r="BV481" s="14"/>
      <c r="BW481" s="14"/>
      <c r="BX481" s="14"/>
      <c r="BY481" s="1433" t="s">
        <v>2098</v>
      </c>
      <c r="BZ481" s="40"/>
      <c r="CA481" s="582"/>
      <c r="CB481" s="582"/>
      <c r="CC481" s="582"/>
      <c r="CD481" s="582"/>
      <c r="CE481" s="582"/>
      <c r="CF481" s="582"/>
      <c r="CG481" s="582"/>
      <c r="CH481" s="16"/>
    </row>
    <row r="482" spans="2:86" ht="116.25" hidden="1" customHeight="1">
      <c r="B482" s="23"/>
      <c r="C482" s="23"/>
      <c r="D482" s="23"/>
      <c r="E482" s="1051"/>
      <c r="F482" s="1051"/>
      <c r="G482" s="1055"/>
      <c r="H482" s="365"/>
      <c r="I482" s="182">
        <v>2020</v>
      </c>
      <c r="J482" s="1678">
        <v>205.28</v>
      </c>
      <c r="K482" s="716" t="s">
        <v>166</v>
      </c>
      <c r="L482" s="739" t="s">
        <v>3326</v>
      </c>
      <c r="M482" s="185" t="s">
        <v>45</v>
      </c>
      <c r="N482" s="495" t="s">
        <v>3419</v>
      </c>
      <c r="O482" s="495" t="s">
        <v>1979</v>
      </c>
      <c r="P482" s="661">
        <f>8500*1.16</f>
        <v>9860</v>
      </c>
      <c r="Q482" s="779">
        <v>44089</v>
      </c>
      <c r="R482" s="664" t="s">
        <v>68</v>
      </c>
      <c r="S482" s="665" t="s">
        <v>68</v>
      </c>
      <c r="T482" s="1148" t="s">
        <v>68</v>
      </c>
      <c r="U482" s="739" t="s">
        <v>3408</v>
      </c>
      <c r="V482" s="716" t="s">
        <v>3304</v>
      </c>
      <c r="W482" s="1227"/>
      <c r="X482" s="1629" t="s">
        <v>1177</v>
      </c>
      <c r="Y482" s="280"/>
      <c r="Z482" s="9"/>
      <c r="AA482" s="4"/>
      <c r="AB482" s="4"/>
      <c r="AC482" s="34"/>
      <c r="AD482" s="36" t="s">
        <v>68</v>
      </c>
      <c r="AE482" s="119" t="s">
        <v>68</v>
      </c>
      <c r="AF482" s="119" t="s">
        <v>68</v>
      </c>
      <c r="AG482" s="7" t="s">
        <v>68</v>
      </c>
      <c r="AH482" s="116" t="s">
        <v>68</v>
      </c>
      <c r="AI482" s="35" t="s">
        <v>68</v>
      </c>
      <c r="AJ482" s="1" t="s">
        <v>68</v>
      </c>
      <c r="AK482" s="5"/>
      <c r="AL482" s="1" t="s">
        <v>68</v>
      </c>
      <c r="AM482" s="5"/>
      <c r="AN482" s="1" t="s">
        <v>68</v>
      </c>
      <c r="AO482" s="5"/>
      <c r="AP482" s="306">
        <v>0</v>
      </c>
      <c r="AQ482" s="74">
        <v>0</v>
      </c>
      <c r="AR482" s="1040"/>
      <c r="AS482" s="1027"/>
      <c r="AT482" s="78" t="s">
        <v>68</v>
      </c>
      <c r="AU482" s="12" t="s">
        <v>68</v>
      </c>
      <c r="AV482" s="243" t="s">
        <v>551</v>
      </c>
      <c r="AW482" s="54" t="s">
        <v>68</v>
      </c>
      <c r="AX482" s="78" t="s">
        <v>1177</v>
      </c>
      <c r="AY482" s="255"/>
      <c r="AZ482" s="255"/>
      <c r="BA482" s="245"/>
      <c r="BB482" s="78" t="s">
        <v>1177</v>
      </c>
      <c r="BC482" s="344"/>
      <c r="BD482" s="5"/>
      <c r="BE482" s="5"/>
      <c r="BF482" s="5"/>
      <c r="BG482" s="38">
        <f t="shared" si="14"/>
        <v>0</v>
      </c>
      <c r="BH482" s="64" t="s">
        <v>68</v>
      </c>
      <c r="BI482" s="1228"/>
      <c r="BJ482" s="795"/>
      <c r="BK482" s="795"/>
      <c r="BL482" s="796"/>
      <c r="BM482" s="796"/>
      <c r="BN482" s="796"/>
      <c r="BO482" s="1054"/>
      <c r="BP482" s="796"/>
      <c r="BQ482" s="796"/>
      <c r="BR482" s="796"/>
      <c r="BS482" s="794"/>
      <c r="BT482" s="14"/>
      <c r="BU482" s="1468" t="s">
        <v>3773</v>
      </c>
      <c r="BV482" s="14"/>
      <c r="BW482" s="14"/>
      <c r="BX482" s="14"/>
      <c r="BY482" s="1433" t="s">
        <v>2098</v>
      </c>
      <c r="BZ482" s="40"/>
      <c r="CA482" s="582"/>
      <c r="CB482" s="582"/>
      <c r="CC482" s="582"/>
      <c r="CD482" s="582"/>
      <c r="CE482" s="582"/>
      <c r="CF482" s="582"/>
      <c r="CG482" s="582"/>
      <c r="CH482" s="16"/>
    </row>
    <row r="483" spans="2:86" s="1241" customFormat="1" ht="50.1" hidden="1" customHeight="1">
      <c r="B483" s="1242"/>
      <c r="C483" s="1242"/>
      <c r="D483" s="1242"/>
      <c r="E483" s="1243"/>
      <c r="F483" s="1243"/>
      <c r="G483" s="610"/>
      <c r="H483" s="700"/>
      <c r="I483" s="1244">
        <v>2020</v>
      </c>
      <c r="J483" s="1683">
        <v>205.29</v>
      </c>
      <c r="K483" s="1245" t="s">
        <v>166</v>
      </c>
      <c r="L483" s="1246" t="s">
        <v>3327</v>
      </c>
      <c r="M483" s="904" t="s">
        <v>251</v>
      </c>
      <c r="N483" s="1247" t="s">
        <v>4017</v>
      </c>
      <c r="O483" s="1247"/>
      <c r="P483" s="1248"/>
      <c r="Q483" s="1250"/>
      <c r="R483" s="1250" t="s">
        <v>68</v>
      </c>
      <c r="S483" s="1251" t="s">
        <v>68</v>
      </c>
      <c r="T483" s="1252" t="s">
        <v>68</v>
      </c>
      <c r="U483" s="1246" t="s">
        <v>3408</v>
      </c>
      <c r="V483" s="1245"/>
      <c r="W483" s="1278"/>
      <c r="X483" s="1631" t="s">
        <v>1177</v>
      </c>
      <c r="Y483" s="340"/>
      <c r="Z483" s="1254"/>
      <c r="AA483" s="1255"/>
      <c r="AB483" s="1255"/>
      <c r="AC483" s="1256"/>
      <c r="AD483" s="1257" t="s">
        <v>68</v>
      </c>
      <c r="AE483" s="1258" t="s">
        <v>68</v>
      </c>
      <c r="AF483" s="1258" t="s">
        <v>68</v>
      </c>
      <c r="AG483" s="1259" t="s">
        <v>68</v>
      </c>
      <c r="AH483" s="1260" t="s">
        <v>68</v>
      </c>
      <c r="AI483" s="340" t="s">
        <v>68</v>
      </c>
      <c r="AJ483" s="1261" t="s">
        <v>68</v>
      </c>
      <c r="AK483" s="1262"/>
      <c r="AL483" s="1261" t="s">
        <v>68</v>
      </c>
      <c r="AM483" s="1262"/>
      <c r="AN483" s="1261" t="s">
        <v>68</v>
      </c>
      <c r="AO483" s="1262"/>
      <c r="AP483" s="1263">
        <v>0</v>
      </c>
      <c r="AQ483" s="1264">
        <v>0</v>
      </c>
      <c r="AR483" s="1265"/>
      <c r="AS483" s="1266"/>
      <c r="AT483" s="1267" t="s">
        <v>68</v>
      </c>
      <c r="AU483" s="1268" t="s">
        <v>68</v>
      </c>
      <c r="AV483" s="1269" t="s">
        <v>551</v>
      </c>
      <c r="AW483" s="1270" t="s">
        <v>68</v>
      </c>
      <c r="AX483" s="1267"/>
      <c r="AY483" s="1262"/>
      <c r="AZ483" s="1262"/>
      <c r="BA483" s="1268"/>
      <c r="BB483" s="1267"/>
      <c r="BC483" s="1944"/>
      <c r="BD483" s="1262"/>
      <c r="BE483" s="1262"/>
      <c r="BF483" s="1262"/>
      <c r="BG483" s="1272"/>
      <c r="BH483" s="1748"/>
      <c r="BI483" s="1753"/>
      <c r="BJ483" s="1754"/>
      <c r="BK483" s="1754"/>
      <c r="BL483" s="1770"/>
      <c r="BM483" s="1770"/>
      <c r="BN483" s="1770"/>
      <c r="BO483" s="1054"/>
      <c r="BP483" s="1770"/>
      <c r="BQ483" s="1770"/>
      <c r="BR483" s="1770"/>
      <c r="BS483" s="1753"/>
      <c r="BT483" s="1273"/>
      <c r="BU483" s="1468"/>
      <c r="BV483" s="1273"/>
      <c r="BW483" s="1273"/>
      <c r="BX483" s="1273"/>
      <c r="BY483" s="1769" t="s">
        <v>2098</v>
      </c>
      <c r="BZ483" s="1276"/>
      <c r="CA483" s="903"/>
      <c r="CB483" s="903"/>
      <c r="CC483" s="903"/>
      <c r="CD483" s="903"/>
      <c r="CE483" s="903"/>
      <c r="CF483" s="903"/>
      <c r="CG483" s="903"/>
      <c r="CH483" s="1277"/>
    </row>
    <row r="484" spans="2:86" ht="75.75" hidden="1" customHeight="1">
      <c r="B484" s="23"/>
      <c r="C484" s="23"/>
      <c r="D484" s="23"/>
      <c r="E484" s="1051"/>
      <c r="F484" s="1051"/>
      <c r="G484" s="1055"/>
      <c r="H484" s="365"/>
      <c r="I484" s="182">
        <v>2020</v>
      </c>
      <c r="J484" s="1678">
        <v>205.3</v>
      </c>
      <c r="K484" s="716" t="s">
        <v>166</v>
      </c>
      <c r="L484" s="739" t="s">
        <v>3328</v>
      </c>
      <c r="M484" s="185" t="s">
        <v>45</v>
      </c>
      <c r="N484" s="495" t="s">
        <v>3420</v>
      </c>
      <c r="O484" s="495" t="s">
        <v>2548</v>
      </c>
      <c r="P484" s="661">
        <f>8000*1.16</f>
        <v>9280</v>
      </c>
      <c r="Q484" s="779">
        <v>44089</v>
      </c>
      <c r="R484" s="664" t="s">
        <v>68</v>
      </c>
      <c r="S484" s="665" t="s">
        <v>68</v>
      </c>
      <c r="T484" s="1148" t="s">
        <v>68</v>
      </c>
      <c r="U484" s="739" t="s">
        <v>3408</v>
      </c>
      <c r="V484" s="716" t="s">
        <v>3304</v>
      </c>
      <c r="W484" s="1227"/>
      <c r="X484" s="1629" t="s">
        <v>1177</v>
      </c>
      <c r="Y484" s="280"/>
      <c r="Z484" s="9"/>
      <c r="AA484" s="4"/>
      <c r="AB484" s="4"/>
      <c r="AC484" s="34"/>
      <c r="AD484" s="36" t="s">
        <v>68</v>
      </c>
      <c r="AE484" s="119" t="s">
        <v>68</v>
      </c>
      <c r="AF484" s="119" t="s">
        <v>68</v>
      </c>
      <c r="AG484" s="7" t="s">
        <v>68</v>
      </c>
      <c r="AH484" s="116" t="s">
        <v>68</v>
      </c>
      <c r="AI484" s="35" t="s">
        <v>68</v>
      </c>
      <c r="AJ484" s="1" t="s">
        <v>68</v>
      </c>
      <c r="AK484" s="5"/>
      <c r="AL484" s="1" t="s">
        <v>68</v>
      </c>
      <c r="AM484" s="5"/>
      <c r="AN484" s="1" t="s">
        <v>68</v>
      </c>
      <c r="AO484" s="5"/>
      <c r="AP484" s="306">
        <v>0</v>
      </c>
      <c r="AQ484" s="74">
        <v>0</v>
      </c>
      <c r="AR484" s="1040"/>
      <c r="AS484" s="1027"/>
      <c r="AT484" s="78" t="s">
        <v>68</v>
      </c>
      <c r="AU484" s="12" t="s">
        <v>68</v>
      </c>
      <c r="AV484" s="243" t="s">
        <v>551</v>
      </c>
      <c r="AW484" s="54" t="s">
        <v>68</v>
      </c>
      <c r="AX484" s="78" t="s">
        <v>1177</v>
      </c>
      <c r="AY484" s="255"/>
      <c r="AZ484" s="255"/>
      <c r="BA484" s="245"/>
      <c r="BB484" s="78" t="s">
        <v>1177</v>
      </c>
      <c r="BC484" s="344"/>
      <c r="BD484" s="5"/>
      <c r="BE484" s="5"/>
      <c r="BF484" s="5"/>
      <c r="BG484" s="38">
        <f>AQ484+AR484</f>
        <v>0</v>
      </c>
      <c r="BH484" s="64" t="s">
        <v>68</v>
      </c>
      <c r="BI484" s="1228"/>
      <c r="BJ484" s="795"/>
      <c r="BK484" s="795"/>
      <c r="BL484" s="796"/>
      <c r="BM484" s="796"/>
      <c r="BN484" s="796"/>
      <c r="BO484" s="1054"/>
      <c r="BP484" s="796"/>
      <c r="BQ484" s="796"/>
      <c r="BR484" s="796"/>
      <c r="BS484" s="794"/>
      <c r="BT484" s="14"/>
      <c r="BU484" s="1468" t="s">
        <v>3773</v>
      </c>
      <c r="BV484" s="14"/>
      <c r="BW484" s="14"/>
      <c r="BX484" s="14"/>
      <c r="BY484" s="1433" t="s">
        <v>2098</v>
      </c>
      <c r="BZ484" s="40"/>
      <c r="CA484" s="582"/>
      <c r="CB484" s="582"/>
      <c r="CC484" s="582"/>
      <c r="CD484" s="582"/>
      <c r="CE484" s="582"/>
      <c r="CF484" s="582"/>
      <c r="CG484" s="582"/>
      <c r="CH484" s="16"/>
    </row>
    <row r="485" spans="2:86" ht="102.75" hidden="1" customHeight="1">
      <c r="B485" s="23"/>
      <c r="C485" s="23"/>
      <c r="D485" s="23"/>
      <c r="E485" s="1051"/>
      <c r="F485" s="1051"/>
      <c r="G485" s="1055"/>
      <c r="H485" s="365"/>
      <c r="I485" s="182">
        <v>2020</v>
      </c>
      <c r="J485" s="1678">
        <v>205.31</v>
      </c>
      <c r="K485" s="716" t="s">
        <v>166</v>
      </c>
      <c r="L485" s="739" t="s">
        <v>3329</v>
      </c>
      <c r="M485" s="185" t="s">
        <v>45</v>
      </c>
      <c r="N485" s="495" t="s">
        <v>3421</v>
      </c>
      <c r="O485" s="495" t="s">
        <v>4459</v>
      </c>
      <c r="P485" s="661">
        <f>4500*1.16</f>
        <v>5220</v>
      </c>
      <c r="Q485" s="779">
        <v>44089</v>
      </c>
      <c r="R485" s="664" t="s">
        <v>68</v>
      </c>
      <c r="S485" s="665" t="s">
        <v>68</v>
      </c>
      <c r="T485" s="1148" t="s">
        <v>68</v>
      </c>
      <c r="U485" s="739" t="s">
        <v>3408</v>
      </c>
      <c r="V485" s="716" t="s">
        <v>3304</v>
      </c>
      <c r="W485" s="1227"/>
      <c r="X485" s="1629" t="s">
        <v>1177</v>
      </c>
      <c r="Y485" s="280"/>
      <c r="Z485" s="9"/>
      <c r="AA485" s="4"/>
      <c r="AB485" s="4"/>
      <c r="AC485" s="34"/>
      <c r="AD485" s="36" t="s">
        <v>68</v>
      </c>
      <c r="AE485" s="119" t="s">
        <v>68</v>
      </c>
      <c r="AF485" s="119" t="s">
        <v>68</v>
      </c>
      <c r="AG485" s="7" t="s">
        <v>68</v>
      </c>
      <c r="AH485" s="116" t="s">
        <v>68</v>
      </c>
      <c r="AI485" s="35" t="s">
        <v>68</v>
      </c>
      <c r="AJ485" s="1" t="s">
        <v>68</v>
      </c>
      <c r="AK485" s="5"/>
      <c r="AL485" s="1" t="s">
        <v>68</v>
      </c>
      <c r="AM485" s="5"/>
      <c r="AN485" s="1" t="s">
        <v>68</v>
      </c>
      <c r="AO485" s="5"/>
      <c r="AP485" s="306">
        <v>0</v>
      </c>
      <c r="AQ485" s="74">
        <v>0</v>
      </c>
      <c r="AR485" s="1040"/>
      <c r="AS485" s="1027"/>
      <c r="AT485" s="78" t="s">
        <v>68</v>
      </c>
      <c r="AU485" s="12" t="s">
        <v>68</v>
      </c>
      <c r="AV485" s="243" t="s">
        <v>551</v>
      </c>
      <c r="AW485" s="54" t="s">
        <v>68</v>
      </c>
      <c r="AX485" s="78" t="s">
        <v>1177</v>
      </c>
      <c r="AY485" s="255"/>
      <c r="AZ485" s="255"/>
      <c r="BA485" s="245"/>
      <c r="BB485" s="78" t="s">
        <v>1177</v>
      </c>
      <c r="BC485" s="344"/>
      <c r="BD485" s="5"/>
      <c r="BE485" s="5"/>
      <c r="BF485" s="5"/>
      <c r="BG485" s="38">
        <f>AQ485+AR485</f>
        <v>0</v>
      </c>
      <c r="BH485" s="64" t="s">
        <v>68</v>
      </c>
      <c r="BI485" s="1228"/>
      <c r="BJ485" s="795"/>
      <c r="BK485" s="795"/>
      <c r="BL485" s="796"/>
      <c r="BM485" s="796"/>
      <c r="BN485" s="796"/>
      <c r="BO485" s="1054"/>
      <c r="BP485" s="796"/>
      <c r="BQ485" s="796"/>
      <c r="BR485" s="796"/>
      <c r="BS485" s="794"/>
      <c r="BT485" s="14"/>
      <c r="BU485" s="1468" t="s">
        <v>3773</v>
      </c>
      <c r="BV485" s="14"/>
      <c r="BW485" s="14"/>
      <c r="BX485" s="14"/>
      <c r="BY485" s="1433" t="s">
        <v>2098</v>
      </c>
      <c r="BZ485" s="40"/>
      <c r="CA485" s="582"/>
      <c r="CB485" s="582"/>
      <c r="CC485" s="582"/>
      <c r="CD485" s="582"/>
      <c r="CE485" s="582"/>
      <c r="CF485" s="582"/>
      <c r="CG485" s="582"/>
      <c r="CH485" s="16"/>
    </row>
    <row r="486" spans="2:86" ht="109.5" hidden="1" customHeight="1">
      <c r="B486" s="23"/>
      <c r="C486" s="23"/>
      <c r="D486" s="23"/>
      <c r="E486" s="1051"/>
      <c r="F486" s="1051"/>
      <c r="G486" s="1055"/>
      <c r="H486" s="365"/>
      <c r="I486" s="182">
        <v>2020</v>
      </c>
      <c r="J486" s="1678">
        <v>205.32</v>
      </c>
      <c r="K486" s="716" t="s">
        <v>166</v>
      </c>
      <c r="L486" s="739" t="s">
        <v>3330</v>
      </c>
      <c r="M486" s="185" t="s">
        <v>45</v>
      </c>
      <c r="N486" s="495" t="s">
        <v>3422</v>
      </c>
      <c r="O486" s="495" t="s">
        <v>1979</v>
      </c>
      <c r="P486" s="661">
        <f>8500*1.16</f>
        <v>9860</v>
      </c>
      <c r="Q486" s="779">
        <v>44089</v>
      </c>
      <c r="R486" s="664" t="s">
        <v>68</v>
      </c>
      <c r="S486" s="665" t="s">
        <v>68</v>
      </c>
      <c r="T486" s="1148" t="s">
        <v>68</v>
      </c>
      <c r="U486" s="739" t="s">
        <v>3408</v>
      </c>
      <c r="V486" s="716" t="s">
        <v>3304</v>
      </c>
      <c r="W486" s="1227"/>
      <c r="X486" s="1629" t="s">
        <v>1177</v>
      </c>
      <c r="Y486" s="280"/>
      <c r="Z486" s="9"/>
      <c r="AA486" s="4"/>
      <c r="AB486" s="4"/>
      <c r="AC486" s="34"/>
      <c r="AD486" s="36" t="s">
        <v>68</v>
      </c>
      <c r="AE486" s="119" t="s">
        <v>68</v>
      </c>
      <c r="AF486" s="119" t="s">
        <v>68</v>
      </c>
      <c r="AG486" s="7" t="s">
        <v>68</v>
      </c>
      <c r="AH486" s="116" t="s">
        <v>68</v>
      </c>
      <c r="AI486" s="35" t="s">
        <v>68</v>
      </c>
      <c r="AJ486" s="1" t="s">
        <v>68</v>
      </c>
      <c r="AK486" s="5"/>
      <c r="AL486" s="1" t="s">
        <v>68</v>
      </c>
      <c r="AM486" s="5"/>
      <c r="AN486" s="1" t="s">
        <v>68</v>
      </c>
      <c r="AO486" s="5"/>
      <c r="AP486" s="306">
        <v>0</v>
      </c>
      <c r="AQ486" s="74">
        <v>0</v>
      </c>
      <c r="AR486" s="1040"/>
      <c r="AS486" s="1027"/>
      <c r="AT486" s="78" t="s">
        <v>68</v>
      </c>
      <c r="AU486" s="12" t="s">
        <v>68</v>
      </c>
      <c r="AV486" s="243" t="s">
        <v>551</v>
      </c>
      <c r="AW486" s="54" t="s">
        <v>68</v>
      </c>
      <c r="AX486" s="78" t="s">
        <v>1177</v>
      </c>
      <c r="AY486" s="255"/>
      <c r="AZ486" s="255"/>
      <c r="BA486" s="245"/>
      <c r="BB486" s="78" t="s">
        <v>1177</v>
      </c>
      <c r="BC486" s="344"/>
      <c r="BD486" s="5"/>
      <c r="BE486" s="5"/>
      <c r="BF486" s="5"/>
      <c r="BG486" s="38">
        <f>AQ486+AR486</f>
        <v>0</v>
      </c>
      <c r="BH486" s="64" t="s">
        <v>68</v>
      </c>
      <c r="BI486" s="1228"/>
      <c r="BJ486" s="795"/>
      <c r="BK486" s="795"/>
      <c r="BL486" s="796"/>
      <c r="BM486" s="796"/>
      <c r="BN486" s="796"/>
      <c r="BO486" s="1054"/>
      <c r="BP486" s="796"/>
      <c r="BQ486" s="796"/>
      <c r="BR486" s="796"/>
      <c r="BS486" s="794"/>
      <c r="BT486" s="14"/>
      <c r="BU486" s="1468" t="s">
        <v>3773</v>
      </c>
      <c r="BV486" s="14"/>
      <c r="BW486" s="14"/>
      <c r="BX486" s="14"/>
      <c r="BY486" s="1433" t="s">
        <v>2098</v>
      </c>
      <c r="BZ486" s="40"/>
      <c r="CA486" s="582"/>
      <c r="CB486" s="582"/>
      <c r="CC486" s="582"/>
      <c r="CD486" s="582"/>
      <c r="CE486" s="582"/>
      <c r="CF486" s="582"/>
      <c r="CG486" s="582"/>
      <c r="CH486" s="16"/>
    </row>
    <row r="487" spans="2:86" ht="93" hidden="1" customHeight="1">
      <c r="B487" s="23"/>
      <c r="C487" s="23"/>
      <c r="D487" s="23"/>
      <c r="E487" s="1051"/>
      <c r="F487" s="1051"/>
      <c r="G487" s="1055"/>
      <c r="H487" s="365"/>
      <c r="I487" s="182">
        <v>2020</v>
      </c>
      <c r="J487" s="1678">
        <v>205.33</v>
      </c>
      <c r="K487" s="716" t="s">
        <v>166</v>
      </c>
      <c r="L487" s="739" t="s">
        <v>3416</v>
      </c>
      <c r="M487" s="185" t="s">
        <v>45</v>
      </c>
      <c r="N487" s="495" t="s">
        <v>3423</v>
      </c>
      <c r="O487" s="495" t="s">
        <v>1979</v>
      </c>
      <c r="P487" s="661">
        <f>3500*1.16</f>
        <v>4059.9999999999995</v>
      </c>
      <c r="Q487" s="779">
        <v>44089</v>
      </c>
      <c r="R487" s="664" t="s">
        <v>68</v>
      </c>
      <c r="S487" s="665" t="s">
        <v>68</v>
      </c>
      <c r="T487" s="1148" t="s">
        <v>68</v>
      </c>
      <c r="U487" s="739" t="s">
        <v>3408</v>
      </c>
      <c r="V487" s="716" t="s">
        <v>3304</v>
      </c>
      <c r="W487" s="1227"/>
      <c r="X487" s="1629" t="s">
        <v>1177</v>
      </c>
      <c r="Y487" s="280"/>
      <c r="Z487" s="9"/>
      <c r="AA487" s="4"/>
      <c r="AB487" s="4"/>
      <c r="AC487" s="34"/>
      <c r="AD487" s="36" t="s">
        <v>68</v>
      </c>
      <c r="AE487" s="119" t="s">
        <v>68</v>
      </c>
      <c r="AF487" s="119" t="s">
        <v>68</v>
      </c>
      <c r="AG487" s="7" t="s">
        <v>68</v>
      </c>
      <c r="AH487" s="116" t="s">
        <v>68</v>
      </c>
      <c r="AI487" s="35" t="s">
        <v>68</v>
      </c>
      <c r="AJ487" s="1" t="s">
        <v>68</v>
      </c>
      <c r="AK487" s="5"/>
      <c r="AL487" s="1" t="s">
        <v>68</v>
      </c>
      <c r="AM487" s="5"/>
      <c r="AN487" s="1" t="s">
        <v>68</v>
      </c>
      <c r="AO487" s="5"/>
      <c r="AP487" s="306">
        <v>0</v>
      </c>
      <c r="AQ487" s="74">
        <v>0</v>
      </c>
      <c r="AR487" s="1040"/>
      <c r="AS487" s="1027"/>
      <c r="AT487" s="78" t="s">
        <v>68</v>
      </c>
      <c r="AU487" s="12" t="s">
        <v>68</v>
      </c>
      <c r="AV487" s="243" t="s">
        <v>551</v>
      </c>
      <c r="AW487" s="54" t="s">
        <v>68</v>
      </c>
      <c r="AX487" s="78" t="s">
        <v>1177</v>
      </c>
      <c r="AY487" s="255"/>
      <c r="AZ487" s="255"/>
      <c r="BA487" s="245"/>
      <c r="BB487" s="78" t="s">
        <v>1177</v>
      </c>
      <c r="BC487" s="344"/>
      <c r="BD487" s="5"/>
      <c r="BE487" s="5"/>
      <c r="BF487" s="5"/>
      <c r="BG487" s="38">
        <f>AQ487+AR487</f>
        <v>0</v>
      </c>
      <c r="BH487" s="64" t="s">
        <v>68</v>
      </c>
      <c r="BI487" s="1228"/>
      <c r="BJ487" s="795"/>
      <c r="BK487" s="795"/>
      <c r="BL487" s="796"/>
      <c r="BM487" s="796"/>
      <c r="BN487" s="796"/>
      <c r="BO487" s="1054"/>
      <c r="BP487" s="796"/>
      <c r="BQ487" s="796"/>
      <c r="BR487" s="796"/>
      <c r="BS487" s="794"/>
      <c r="BT487" s="14"/>
      <c r="BU487" s="1468" t="s">
        <v>3773</v>
      </c>
      <c r="BV487" s="14"/>
      <c r="BW487" s="14"/>
      <c r="BX487" s="14"/>
      <c r="BY487" s="1433" t="s">
        <v>2098</v>
      </c>
      <c r="BZ487" s="40"/>
      <c r="CA487" s="582"/>
      <c r="CB487" s="582"/>
      <c r="CC487" s="582"/>
      <c r="CD487" s="582"/>
      <c r="CE487" s="582"/>
      <c r="CF487" s="582"/>
      <c r="CG487" s="582"/>
      <c r="CH487" s="16"/>
    </row>
    <row r="488" spans="2:86" ht="78" hidden="1" customHeight="1">
      <c r="B488" s="23"/>
      <c r="C488" s="23"/>
      <c r="D488" s="23"/>
      <c r="E488" s="1051">
        <v>44075</v>
      </c>
      <c r="F488" s="1051"/>
      <c r="G488" s="1055"/>
      <c r="H488" s="365">
        <v>43985</v>
      </c>
      <c r="I488" s="182">
        <v>2020</v>
      </c>
      <c r="J488" s="1678">
        <v>206.01</v>
      </c>
      <c r="K488" s="716" t="s">
        <v>166</v>
      </c>
      <c r="L488" s="739" t="s">
        <v>2770</v>
      </c>
      <c r="M488" s="663" t="s">
        <v>79</v>
      </c>
      <c r="N488" s="495" t="s">
        <v>2836</v>
      </c>
      <c r="O488" s="495" t="s">
        <v>1979</v>
      </c>
      <c r="P488" s="661">
        <v>156714.98000000001</v>
      </c>
      <c r="Q488" s="664">
        <v>43894</v>
      </c>
      <c r="R488" s="664">
        <v>43894</v>
      </c>
      <c r="S488" s="665">
        <v>43960</v>
      </c>
      <c r="T488" s="578">
        <v>43892</v>
      </c>
      <c r="U488" s="739" t="s">
        <v>2837</v>
      </c>
      <c r="V488" s="1232" t="s">
        <v>984</v>
      </c>
      <c r="W488" s="740" t="s">
        <v>68</v>
      </c>
      <c r="X488" s="1629"/>
      <c r="Y488" s="266" t="s">
        <v>2852</v>
      </c>
      <c r="Z488" s="9">
        <v>43884</v>
      </c>
      <c r="AA488" s="4">
        <v>160069.69</v>
      </c>
      <c r="AB488" s="4"/>
      <c r="AC488" s="34"/>
      <c r="AD488" s="36" t="s">
        <v>68</v>
      </c>
      <c r="AE488" s="119" t="s">
        <v>68</v>
      </c>
      <c r="AF488" s="119" t="s">
        <v>68</v>
      </c>
      <c r="AG488" s="7" t="s">
        <v>68</v>
      </c>
      <c r="AH488" s="116" t="s">
        <v>68</v>
      </c>
      <c r="AI488" s="266" t="s">
        <v>2854</v>
      </c>
      <c r="AJ488" s="1" t="s">
        <v>68</v>
      </c>
      <c r="AK488" s="5"/>
      <c r="AL488" s="1" t="s">
        <v>2853</v>
      </c>
      <c r="AM488" s="5">
        <v>43892</v>
      </c>
      <c r="AN488" s="1" t="s">
        <v>2855</v>
      </c>
      <c r="AO488" s="5">
        <v>43923</v>
      </c>
      <c r="AP488" s="306">
        <f>15671.5+15671.5</f>
        <v>31343</v>
      </c>
      <c r="AQ488" s="37">
        <v>0</v>
      </c>
      <c r="AR488" s="1038">
        <v>156609.66</v>
      </c>
      <c r="AS488" s="1019">
        <v>156609.66</v>
      </c>
      <c r="AT488" s="247">
        <v>43915</v>
      </c>
      <c r="AU488" s="12">
        <v>43923</v>
      </c>
      <c r="AV488" s="243" t="s">
        <v>68</v>
      </c>
      <c r="AW488" s="54" t="s">
        <v>68</v>
      </c>
      <c r="AX488" s="247">
        <v>43924</v>
      </c>
      <c r="AY488" s="5">
        <v>43894</v>
      </c>
      <c r="AZ488" s="5">
        <v>43960</v>
      </c>
      <c r="BA488" s="12">
        <v>43923</v>
      </c>
      <c r="BB488" s="247">
        <v>43925</v>
      </c>
      <c r="BC488" s="1942"/>
      <c r="BD488" s="5">
        <v>43894</v>
      </c>
      <c r="BE488" s="5">
        <v>43960</v>
      </c>
      <c r="BF488" s="5">
        <v>43923</v>
      </c>
      <c r="BG488" s="38">
        <f t="shared" ref="BG488:BG494" si="15">AQ488+AR488</f>
        <v>156609.66</v>
      </c>
      <c r="BH488" s="415">
        <v>43923</v>
      </c>
      <c r="BI488" s="1212">
        <v>43893</v>
      </c>
      <c r="BJ488" s="360">
        <v>43910</v>
      </c>
      <c r="BK488" s="360">
        <v>43910</v>
      </c>
      <c r="BL488" s="1282"/>
      <c r="BM488" s="1282"/>
      <c r="BN488" s="1282"/>
      <c r="BO488" s="1054"/>
      <c r="BP488" s="1282">
        <v>43920</v>
      </c>
      <c r="BQ488" s="1282"/>
      <c r="BR488" s="1283">
        <v>43920</v>
      </c>
      <c r="BS488" s="1284" t="s">
        <v>2856</v>
      </c>
      <c r="BT488" s="14"/>
      <c r="BU488" s="1548" t="s">
        <v>3595</v>
      </c>
      <c r="BV488" s="14"/>
      <c r="BW488" s="14"/>
      <c r="BX488" s="14"/>
      <c r="BY488" s="1433" t="s">
        <v>2098</v>
      </c>
      <c r="BZ488" s="649" t="s">
        <v>1143</v>
      </c>
      <c r="CA488" s="582"/>
      <c r="CB488" s="582"/>
      <c r="CC488" s="582"/>
      <c r="CD488" s="582"/>
      <c r="CE488" s="582"/>
      <c r="CF488" s="582"/>
      <c r="CG488" s="582"/>
      <c r="CH488" s="16"/>
    </row>
    <row r="489" spans="2:86" ht="101.25" hidden="1" customHeight="1">
      <c r="B489" s="23"/>
      <c r="C489" s="23"/>
      <c r="D489" s="23"/>
      <c r="E489" s="1051">
        <v>44075</v>
      </c>
      <c r="F489" s="1051"/>
      <c r="G489" s="1055">
        <v>44286</v>
      </c>
      <c r="H489" s="365">
        <v>43985</v>
      </c>
      <c r="I489" s="182">
        <v>2020</v>
      </c>
      <c r="J489" s="1678">
        <v>206.02</v>
      </c>
      <c r="K489" s="716" t="s">
        <v>77</v>
      </c>
      <c r="L489" s="739" t="s">
        <v>2771</v>
      </c>
      <c r="M489" s="185" t="s">
        <v>79</v>
      </c>
      <c r="N489" s="186" t="s">
        <v>2780</v>
      </c>
      <c r="O489" s="186" t="s">
        <v>2574</v>
      </c>
      <c r="P489" s="187">
        <v>654632.78</v>
      </c>
      <c r="Q489" s="664">
        <v>43936</v>
      </c>
      <c r="R489" s="664">
        <v>43937</v>
      </c>
      <c r="S489" s="665">
        <v>43958</v>
      </c>
      <c r="T489" s="578">
        <v>43934</v>
      </c>
      <c r="U489" s="739" t="s">
        <v>1268</v>
      </c>
      <c r="V489" s="183" t="s">
        <v>3087</v>
      </c>
      <c r="W489" s="740">
        <v>44335</v>
      </c>
      <c r="X489" s="1629"/>
      <c r="Y489" s="266" t="s">
        <v>2848</v>
      </c>
      <c r="Z489" s="9">
        <v>43923</v>
      </c>
      <c r="AA489" s="4">
        <v>665287.4</v>
      </c>
      <c r="AB489" s="4"/>
      <c r="AC489" s="34"/>
      <c r="AD489" s="36" t="s">
        <v>68</v>
      </c>
      <c r="AE489" s="119" t="s">
        <v>68</v>
      </c>
      <c r="AF489" s="119" t="s">
        <v>68</v>
      </c>
      <c r="AG489" s="7" t="s">
        <v>68</v>
      </c>
      <c r="AH489" s="116" t="s">
        <v>68</v>
      </c>
      <c r="AI489" s="180" t="s">
        <v>2954</v>
      </c>
      <c r="AJ489" s="1" t="s">
        <v>68</v>
      </c>
      <c r="AK489" s="5"/>
      <c r="AL489" s="1" t="s">
        <v>2851</v>
      </c>
      <c r="AM489" s="5">
        <v>43936</v>
      </c>
      <c r="AN489" s="2" t="s">
        <v>2953</v>
      </c>
      <c r="AO489" s="5">
        <v>44005</v>
      </c>
      <c r="AP489" s="306">
        <f>65463.27*2</f>
        <v>130926.54</v>
      </c>
      <c r="AQ489" s="37">
        <v>0</v>
      </c>
      <c r="AR489" s="1032">
        <v>685944.29</v>
      </c>
      <c r="AS489" s="1019">
        <v>685944.29</v>
      </c>
      <c r="AT489" s="253">
        <v>43937</v>
      </c>
      <c r="AU489" s="12"/>
      <c r="AV489" s="243" t="s">
        <v>68</v>
      </c>
      <c r="AW489" s="54" t="s">
        <v>68</v>
      </c>
      <c r="AX489" s="247">
        <v>43959</v>
      </c>
      <c r="AY489" s="5">
        <v>43937</v>
      </c>
      <c r="AZ489" s="5">
        <v>43958</v>
      </c>
      <c r="BA489" s="12">
        <v>43958</v>
      </c>
      <c r="BB489" s="247">
        <v>47293</v>
      </c>
      <c r="BC489" s="1942"/>
      <c r="BD489" s="5">
        <v>43937</v>
      </c>
      <c r="BE489" s="5">
        <v>43958</v>
      </c>
      <c r="BF489" s="5">
        <v>43958</v>
      </c>
      <c r="BG489" s="38">
        <f t="shared" si="15"/>
        <v>685944.29</v>
      </c>
      <c r="BH489" s="415">
        <v>44007</v>
      </c>
      <c r="BI489" s="1212">
        <v>43936</v>
      </c>
      <c r="BJ489" s="1305"/>
      <c r="BK489" s="360">
        <v>43936</v>
      </c>
      <c r="BL489" s="1716"/>
      <c r="BM489" s="1716"/>
      <c r="BN489" s="1716"/>
      <c r="BO489" s="1054"/>
      <c r="BP489" s="1282">
        <v>43956</v>
      </c>
      <c r="BQ489" s="1716"/>
      <c r="BR489" s="1054">
        <v>43949</v>
      </c>
      <c r="BS489" s="794"/>
      <c r="BT489" s="14"/>
      <c r="BU489" s="1468" t="s">
        <v>3773</v>
      </c>
      <c r="BV489" s="14" t="s">
        <v>1295</v>
      </c>
      <c r="BW489" s="14" t="s">
        <v>1295</v>
      </c>
      <c r="BX489" s="14" t="s">
        <v>1295</v>
      </c>
      <c r="BY489" s="1433" t="s">
        <v>2098</v>
      </c>
      <c r="BZ489" s="40"/>
      <c r="CA489" s="582"/>
      <c r="CB489" s="582"/>
      <c r="CC489" s="582"/>
      <c r="CD489" s="582"/>
      <c r="CE489" s="582"/>
      <c r="CF489" s="582"/>
      <c r="CG489" s="582"/>
      <c r="CH489" s="16"/>
    </row>
    <row r="490" spans="2:86" ht="94.5" hidden="1" customHeight="1">
      <c r="B490" s="23"/>
      <c r="C490" s="23"/>
      <c r="D490" s="23"/>
      <c r="E490" s="1051">
        <v>44075</v>
      </c>
      <c r="F490" s="1051"/>
      <c r="G490" s="1055">
        <v>44291</v>
      </c>
      <c r="H490" s="365">
        <v>43985</v>
      </c>
      <c r="I490" s="182">
        <v>2020</v>
      </c>
      <c r="J490" s="1678">
        <v>206.03</v>
      </c>
      <c r="K490" s="716" t="s">
        <v>77</v>
      </c>
      <c r="L490" s="739" t="s">
        <v>2772</v>
      </c>
      <c r="M490" s="185" t="s">
        <v>79</v>
      </c>
      <c r="N490" s="186" t="s">
        <v>2781</v>
      </c>
      <c r="O490" s="186" t="s">
        <v>2613</v>
      </c>
      <c r="P490" s="187">
        <v>248927.96</v>
      </c>
      <c r="Q490" s="664">
        <v>43948</v>
      </c>
      <c r="R490" s="664">
        <v>43949</v>
      </c>
      <c r="S490" s="665">
        <v>43980</v>
      </c>
      <c r="T490" s="578">
        <v>43945</v>
      </c>
      <c r="U490" s="1231" t="s">
        <v>3078</v>
      </c>
      <c r="V490" s="1232" t="s">
        <v>984</v>
      </c>
      <c r="W490" s="1285">
        <v>43976</v>
      </c>
      <c r="X490" s="1638"/>
      <c r="Y490" s="266" t="s">
        <v>2849</v>
      </c>
      <c r="Z490" s="9">
        <v>43923</v>
      </c>
      <c r="AA490" s="4">
        <v>249126.75</v>
      </c>
      <c r="AB490" s="4"/>
      <c r="AC490" s="34"/>
      <c r="AD490" s="36" t="s">
        <v>68</v>
      </c>
      <c r="AE490" s="119" t="s">
        <v>68</v>
      </c>
      <c r="AF490" s="119" t="s">
        <v>68</v>
      </c>
      <c r="AG490" s="7" t="s">
        <v>68</v>
      </c>
      <c r="AH490" s="116" t="s">
        <v>68</v>
      </c>
      <c r="AI490" s="266" t="s">
        <v>1226</v>
      </c>
      <c r="AJ490" s="1">
        <v>20999</v>
      </c>
      <c r="AK490" s="5">
        <v>43945</v>
      </c>
      <c r="AL490" s="1">
        <v>20998</v>
      </c>
      <c r="AM490" s="5">
        <v>43945</v>
      </c>
      <c r="AN490" s="1">
        <v>200915</v>
      </c>
      <c r="AO490" s="5">
        <v>43980</v>
      </c>
      <c r="AP490" s="306">
        <f>62231.99+24892.79+101098.05</f>
        <v>188222.83000000002</v>
      </c>
      <c r="AQ490" s="37">
        <v>0</v>
      </c>
      <c r="AR490" s="1038">
        <v>255753.06</v>
      </c>
      <c r="AS490" s="1019">
        <v>255753.06</v>
      </c>
      <c r="AT490" s="68" t="s">
        <v>74</v>
      </c>
      <c r="AU490" s="12"/>
      <c r="AV490" s="243" t="s">
        <v>68</v>
      </c>
      <c r="AW490" s="54" t="s">
        <v>68</v>
      </c>
      <c r="AX490" s="247">
        <v>43980</v>
      </c>
      <c r="AY490" s="5">
        <v>43949</v>
      </c>
      <c r="AZ490" s="5" t="s">
        <v>2881</v>
      </c>
      <c r="BA490" s="12">
        <v>43980</v>
      </c>
      <c r="BB490" s="247">
        <v>43983</v>
      </c>
      <c r="BC490" s="1942"/>
      <c r="BD490" s="5">
        <v>43949</v>
      </c>
      <c r="BE490" s="5">
        <v>43980</v>
      </c>
      <c r="BF490" s="5">
        <v>43980</v>
      </c>
      <c r="BG490" s="38">
        <f t="shared" si="15"/>
        <v>255753.06</v>
      </c>
      <c r="BH490" s="415">
        <v>43953</v>
      </c>
      <c r="BI490" s="1212">
        <v>43945</v>
      </c>
      <c r="BJ490" s="360">
        <v>43963</v>
      </c>
      <c r="BK490" s="360">
        <v>43963</v>
      </c>
      <c r="BL490" s="1282"/>
      <c r="BM490" s="1282"/>
      <c r="BN490" s="1282"/>
      <c r="BO490" s="1054"/>
      <c r="BP490" s="1282">
        <v>43977</v>
      </c>
      <c r="BQ490" s="1282"/>
      <c r="BR490" s="1054">
        <v>43971</v>
      </c>
      <c r="BS490" s="794"/>
      <c r="BT490" s="14"/>
      <c r="BU490" s="1468" t="s">
        <v>3773</v>
      </c>
      <c r="BV490" s="166" t="s">
        <v>3611</v>
      </c>
      <c r="BW490" s="166" t="s">
        <v>3611</v>
      </c>
      <c r="BX490" s="166" t="s">
        <v>3589</v>
      </c>
      <c r="BY490" s="1433" t="s">
        <v>2098</v>
      </c>
      <c r="BZ490" s="40"/>
      <c r="CA490" s="582"/>
      <c r="CB490" s="582"/>
      <c r="CC490" s="582"/>
      <c r="CD490" s="582"/>
      <c r="CE490" s="582"/>
      <c r="CF490" s="582"/>
      <c r="CG490" s="582"/>
      <c r="CH490" s="16"/>
    </row>
    <row r="491" spans="2:86" ht="96.75" hidden="1" customHeight="1">
      <c r="B491" s="23"/>
      <c r="C491" s="23"/>
      <c r="D491" s="23"/>
      <c r="E491" s="1051">
        <v>44075</v>
      </c>
      <c r="F491" s="1051"/>
      <c r="G491" s="1055">
        <v>44285</v>
      </c>
      <c r="H491" s="365">
        <v>44017</v>
      </c>
      <c r="I491" s="182">
        <v>2020</v>
      </c>
      <c r="J491" s="1678">
        <v>206.04</v>
      </c>
      <c r="K491" s="716" t="s">
        <v>77</v>
      </c>
      <c r="L491" s="739" t="s">
        <v>2773</v>
      </c>
      <c r="M491" s="663" t="s">
        <v>79</v>
      </c>
      <c r="N491" s="495" t="s">
        <v>2842</v>
      </c>
      <c r="O491" s="495" t="s">
        <v>1979</v>
      </c>
      <c r="P491" s="661">
        <v>1010980.5</v>
      </c>
      <c r="Q491" s="664">
        <v>43951</v>
      </c>
      <c r="R491" s="664">
        <v>43962</v>
      </c>
      <c r="S491" s="665">
        <v>44054</v>
      </c>
      <c r="T491" s="578">
        <v>43950</v>
      </c>
      <c r="U491" s="739" t="s">
        <v>2843</v>
      </c>
      <c r="V491" s="1232" t="s">
        <v>213</v>
      </c>
      <c r="W491" s="505" t="s">
        <v>74</v>
      </c>
      <c r="X491" s="1623"/>
      <c r="Y491" s="266" t="s">
        <v>2847</v>
      </c>
      <c r="Z491" s="9">
        <v>43923</v>
      </c>
      <c r="AA491" s="4">
        <v>1011249.78</v>
      </c>
      <c r="AB491" s="4"/>
      <c r="AC491" s="34"/>
      <c r="AD491" s="36" t="s">
        <v>68</v>
      </c>
      <c r="AE491" s="119" t="s">
        <v>68</v>
      </c>
      <c r="AF491" s="119" t="s">
        <v>68</v>
      </c>
      <c r="AG491" s="7" t="s">
        <v>68</v>
      </c>
      <c r="AH491" s="116" t="s">
        <v>68</v>
      </c>
      <c r="AI491" s="180" t="s">
        <v>1226</v>
      </c>
      <c r="AJ491" s="1">
        <v>20997</v>
      </c>
      <c r="AK491" s="5">
        <v>43962</v>
      </c>
      <c r="AL491" s="1">
        <v>20995</v>
      </c>
      <c r="AM491" s="5">
        <v>43962</v>
      </c>
      <c r="AN491" s="1">
        <v>200921</v>
      </c>
      <c r="AO491" s="5">
        <v>43995</v>
      </c>
      <c r="AP491" s="306">
        <f>252745.12+101098.05+101098.05</f>
        <v>454941.22</v>
      </c>
      <c r="AQ491" s="37">
        <v>0</v>
      </c>
      <c r="AR491" s="1032">
        <v>966143.58</v>
      </c>
      <c r="AS491" s="1019">
        <v>966143.58</v>
      </c>
      <c r="AT491" s="68" t="s">
        <v>74</v>
      </c>
      <c r="AU491" s="12"/>
      <c r="AV491" s="243" t="s">
        <v>68</v>
      </c>
      <c r="AW491" s="54" t="s">
        <v>68</v>
      </c>
      <c r="AX491" s="247">
        <v>43997</v>
      </c>
      <c r="AY491" s="5">
        <v>43962</v>
      </c>
      <c r="AZ491" s="5">
        <v>44054</v>
      </c>
      <c r="BA491" s="12">
        <v>43995</v>
      </c>
      <c r="BB491" s="247">
        <v>43997</v>
      </c>
      <c r="BC491" s="1942"/>
      <c r="BD491" s="5">
        <v>43962</v>
      </c>
      <c r="BE491" s="5">
        <v>44054</v>
      </c>
      <c r="BF491" s="5">
        <v>43995</v>
      </c>
      <c r="BG491" s="38">
        <f t="shared" si="15"/>
        <v>966143.58</v>
      </c>
      <c r="BH491" s="415">
        <v>43997</v>
      </c>
      <c r="BI491" s="1212">
        <v>43951</v>
      </c>
      <c r="BJ491" s="360">
        <v>43962</v>
      </c>
      <c r="BK491" s="360">
        <v>43962</v>
      </c>
      <c r="BL491" s="1282"/>
      <c r="BM491" s="1282"/>
      <c r="BN491" s="1282"/>
      <c r="BO491" s="1054"/>
      <c r="BP491" s="1282">
        <v>43990</v>
      </c>
      <c r="BQ491" s="1282"/>
      <c r="BR491" s="796"/>
      <c r="BS491" s="794"/>
      <c r="BT491" s="14"/>
      <c r="BU491" s="1273" t="s">
        <v>3632</v>
      </c>
      <c r="BV491" s="14" t="s">
        <v>1295</v>
      </c>
      <c r="BW491" s="166" t="s">
        <v>3611</v>
      </c>
      <c r="BX491" s="1273" t="s">
        <v>3633</v>
      </c>
      <c r="BY491" s="1433" t="s">
        <v>2098</v>
      </c>
      <c r="BZ491" s="40"/>
      <c r="CA491" s="582"/>
      <c r="CB491" s="582"/>
      <c r="CC491" s="582"/>
      <c r="CD491" s="582"/>
      <c r="CE491" s="582"/>
      <c r="CF491" s="582"/>
      <c r="CG491" s="582"/>
      <c r="CH491" s="16"/>
    </row>
    <row r="492" spans="2:86" ht="93.75" hidden="1" customHeight="1">
      <c r="B492" s="23"/>
      <c r="C492" s="23"/>
      <c r="D492" s="23"/>
      <c r="E492" s="1051">
        <v>44075</v>
      </c>
      <c r="F492" s="1051"/>
      <c r="G492" s="1055">
        <v>44291</v>
      </c>
      <c r="H492" s="365">
        <v>43985</v>
      </c>
      <c r="I492" s="182">
        <v>2020</v>
      </c>
      <c r="J492" s="1678">
        <v>206.05</v>
      </c>
      <c r="K492" s="1232" t="s">
        <v>77</v>
      </c>
      <c r="L492" s="191" t="s">
        <v>2774</v>
      </c>
      <c r="M492" s="185" t="s">
        <v>79</v>
      </c>
      <c r="N492" s="186" t="s">
        <v>2874</v>
      </c>
      <c r="O492" s="186" t="s">
        <v>2613</v>
      </c>
      <c r="P492" s="187">
        <v>125624.96000000001</v>
      </c>
      <c r="Q492" s="664">
        <v>43948</v>
      </c>
      <c r="R492" s="189">
        <v>43949</v>
      </c>
      <c r="S492" s="190">
        <v>43980</v>
      </c>
      <c r="T492" s="1148">
        <v>43945</v>
      </c>
      <c r="U492" s="1231" t="s">
        <v>2850</v>
      </c>
      <c r="V492" s="1232" t="s">
        <v>984</v>
      </c>
      <c r="W492" s="1285">
        <v>43976</v>
      </c>
      <c r="X492" s="1638"/>
      <c r="Y492" s="266" t="s">
        <v>2882</v>
      </c>
      <c r="Z492" s="596">
        <v>43972</v>
      </c>
      <c r="AA492" s="4">
        <v>127065.7</v>
      </c>
      <c r="AB492" s="4"/>
      <c r="AC492" s="34"/>
      <c r="AD492" s="36" t="s">
        <v>68</v>
      </c>
      <c r="AE492" s="119" t="s">
        <v>68</v>
      </c>
      <c r="AF492" s="119" t="s">
        <v>68</v>
      </c>
      <c r="AG492" s="7" t="s">
        <v>68</v>
      </c>
      <c r="AH492" s="116" t="s">
        <v>68</v>
      </c>
      <c r="AI492" s="266" t="s">
        <v>2883</v>
      </c>
      <c r="AJ492" s="1"/>
      <c r="AK492" s="5"/>
      <c r="AL492" s="1">
        <v>21013</v>
      </c>
      <c r="AM492" s="5">
        <v>43949</v>
      </c>
      <c r="AN492" s="1">
        <v>200919</v>
      </c>
      <c r="AO492" s="5">
        <v>43980</v>
      </c>
      <c r="AP492" s="306">
        <f>12562.49+12562.49</f>
        <v>25124.98</v>
      </c>
      <c r="AQ492" s="37">
        <v>0</v>
      </c>
      <c r="AR492" s="1038">
        <v>133293.67000000001</v>
      </c>
      <c r="AS492" s="1019">
        <v>133293.67000000001</v>
      </c>
      <c r="AT492" s="68" t="s">
        <v>74</v>
      </c>
      <c r="AU492" s="12"/>
      <c r="AV492" s="243" t="s">
        <v>68</v>
      </c>
      <c r="AW492" s="54" t="s">
        <v>68</v>
      </c>
      <c r="AX492" s="247">
        <v>43978</v>
      </c>
      <c r="AY492" s="5">
        <v>43949</v>
      </c>
      <c r="AZ492" s="5">
        <v>43980</v>
      </c>
      <c r="BA492" s="12">
        <v>43977</v>
      </c>
      <c r="BB492" s="247">
        <v>43979</v>
      </c>
      <c r="BC492" s="1942"/>
      <c r="BD492" s="5">
        <v>43949</v>
      </c>
      <c r="BE492" s="5">
        <v>43980</v>
      </c>
      <c r="BF492" s="5">
        <v>43977</v>
      </c>
      <c r="BG492" s="38">
        <f t="shared" si="15"/>
        <v>133293.67000000001</v>
      </c>
      <c r="BH492" s="415">
        <v>43980</v>
      </c>
      <c r="BI492" s="1212">
        <v>43945</v>
      </c>
      <c r="BJ492" s="360">
        <v>43948</v>
      </c>
      <c r="BK492" s="360">
        <v>43948</v>
      </c>
      <c r="BL492" s="1282"/>
      <c r="BM492" s="1282"/>
      <c r="BN492" s="1282"/>
      <c r="BO492" s="1054"/>
      <c r="BP492" s="1282">
        <v>43976</v>
      </c>
      <c r="BQ492" s="1282"/>
      <c r="BR492" s="1054">
        <v>43973</v>
      </c>
      <c r="BS492" s="794"/>
      <c r="BT492" s="14"/>
      <c r="BU492" s="1468" t="s">
        <v>3773</v>
      </c>
      <c r="BV492" s="166" t="s">
        <v>3611</v>
      </c>
      <c r="BW492" s="166" t="s">
        <v>3611</v>
      </c>
      <c r="BX492" s="166" t="s">
        <v>3584</v>
      </c>
      <c r="BY492" s="1433" t="s">
        <v>2098</v>
      </c>
      <c r="BZ492" s="40"/>
      <c r="CA492" s="582"/>
      <c r="CB492" s="582"/>
      <c r="CC492" s="582"/>
      <c r="CD492" s="582"/>
      <c r="CE492" s="582"/>
      <c r="CF492" s="582"/>
      <c r="CG492" s="582"/>
      <c r="CH492" s="16"/>
    </row>
    <row r="493" spans="2:86" ht="119.25" hidden="1" customHeight="1">
      <c r="B493" s="23"/>
      <c r="C493" s="23"/>
      <c r="D493" s="23"/>
      <c r="E493" s="1051">
        <v>44075</v>
      </c>
      <c r="F493" s="1051"/>
      <c r="G493" s="1055">
        <v>44286</v>
      </c>
      <c r="H493" s="365">
        <v>43985</v>
      </c>
      <c r="I493" s="182">
        <v>2020</v>
      </c>
      <c r="J493" s="1678">
        <v>206.06</v>
      </c>
      <c r="K493" s="716" t="s">
        <v>77</v>
      </c>
      <c r="L493" s="191" t="s">
        <v>2775</v>
      </c>
      <c r="M493" s="185" t="s">
        <v>79</v>
      </c>
      <c r="N493" s="186" t="s">
        <v>2857</v>
      </c>
      <c r="O493" s="186" t="s">
        <v>1979</v>
      </c>
      <c r="P493" s="187">
        <v>965741.4</v>
      </c>
      <c r="Q493" s="664">
        <v>43977</v>
      </c>
      <c r="R493" s="664">
        <v>43984</v>
      </c>
      <c r="S493" s="665">
        <v>44040</v>
      </c>
      <c r="T493" s="578">
        <v>43976</v>
      </c>
      <c r="U493" s="739" t="s">
        <v>2858</v>
      </c>
      <c r="V493" s="716" t="s">
        <v>449</v>
      </c>
      <c r="W493" s="740">
        <v>43973</v>
      </c>
      <c r="X493" s="1629"/>
      <c r="Y493" s="180" t="s">
        <v>2945</v>
      </c>
      <c r="Z493" s="9">
        <v>43972</v>
      </c>
      <c r="AA493" s="4">
        <f>216010.26+127177.52+616699.1</f>
        <v>959886.88</v>
      </c>
      <c r="AB493" s="4"/>
      <c r="AC493" s="34"/>
      <c r="AD493" s="36" t="s">
        <v>68</v>
      </c>
      <c r="AE493" s="119" t="s">
        <v>68</v>
      </c>
      <c r="AF493" s="119" t="s">
        <v>68</v>
      </c>
      <c r="AG493" s="7" t="s">
        <v>68</v>
      </c>
      <c r="AH493" s="116" t="s">
        <v>68</v>
      </c>
      <c r="AI493" s="180" t="s">
        <v>3614</v>
      </c>
      <c r="AJ493" s="1">
        <v>2485915</v>
      </c>
      <c r="AK493" s="5">
        <v>43977</v>
      </c>
      <c r="AL493" s="1">
        <v>2485938</v>
      </c>
      <c r="AM493" s="5">
        <v>43977</v>
      </c>
      <c r="AN493" s="1">
        <v>2492932</v>
      </c>
      <c r="AO493" s="5">
        <v>44039</v>
      </c>
      <c r="AP493" s="306">
        <f>241435.35+96574.14+96574.14</f>
        <v>434583.63</v>
      </c>
      <c r="AQ493" s="37">
        <v>0</v>
      </c>
      <c r="AR493" s="1032">
        <v>961549.42</v>
      </c>
      <c r="AS493" s="1019">
        <f>223704.98+135577.76+602266.68</f>
        <v>961549.42</v>
      </c>
      <c r="AT493" s="78">
        <v>43984</v>
      </c>
      <c r="AU493" s="12">
        <v>44036</v>
      </c>
      <c r="AV493" s="243" t="s">
        <v>68</v>
      </c>
      <c r="AW493" s="54" t="s">
        <v>68</v>
      </c>
      <c r="AX493" s="78">
        <v>44039</v>
      </c>
      <c r="AY493" s="255">
        <v>43984</v>
      </c>
      <c r="AZ493" s="255">
        <v>44040</v>
      </c>
      <c r="BA493" s="245">
        <v>44036</v>
      </c>
      <c r="BB493" s="78">
        <v>44039</v>
      </c>
      <c r="BC493" s="344"/>
      <c r="BD493" s="5">
        <v>43984</v>
      </c>
      <c r="BE493" s="5">
        <v>44040</v>
      </c>
      <c r="BF493" s="5">
        <v>44036</v>
      </c>
      <c r="BG493" s="38">
        <f t="shared" si="15"/>
        <v>961549.42</v>
      </c>
      <c r="BH493" s="216">
        <v>44039</v>
      </c>
      <c r="BI493" s="372">
        <v>43973</v>
      </c>
      <c r="BJ493" s="76">
        <v>43983</v>
      </c>
      <c r="BK493" s="76">
        <v>43983</v>
      </c>
      <c r="BL493" s="1054"/>
      <c r="BM493" s="1054"/>
      <c r="BN493" s="1054"/>
      <c r="BO493" s="1054"/>
      <c r="BP493" s="1054">
        <v>44035</v>
      </c>
      <c r="BQ493" s="1054"/>
      <c r="BR493" s="796"/>
      <c r="BS493" s="794"/>
      <c r="BT493" s="14"/>
      <c r="BU493" s="1467" t="s">
        <v>3608</v>
      </c>
      <c r="BV493" s="166" t="s">
        <v>1295</v>
      </c>
      <c r="BW493" s="166" t="s">
        <v>1295</v>
      </c>
      <c r="BX493" s="166" t="s">
        <v>3589</v>
      </c>
      <c r="BY493" s="1433" t="s">
        <v>2098</v>
      </c>
      <c r="BZ493" s="649" t="s">
        <v>1143</v>
      </c>
      <c r="CA493" s="582"/>
      <c r="CB493" s="582"/>
      <c r="CC493" s="582"/>
      <c r="CD493" s="582"/>
      <c r="CE493" s="582"/>
      <c r="CF493" s="582"/>
      <c r="CG493" s="582"/>
      <c r="CH493" s="16"/>
    </row>
    <row r="494" spans="2:86" ht="104.25" hidden="1" customHeight="1">
      <c r="B494" s="23"/>
      <c r="C494" s="23"/>
      <c r="D494" s="23"/>
      <c r="E494" s="1051">
        <v>44075</v>
      </c>
      <c r="F494" s="1051"/>
      <c r="G494" s="1055">
        <v>44286</v>
      </c>
      <c r="H494" s="365">
        <v>43985</v>
      </c>
      <c r="I494" s="182">
        <v>2020</v>
      </c>
      <c r="J494" s="1678">
        <v>206.07</v>
      </c>
      <c r="K494" s="716" t="s">
        <v>77</v>
      </c>
      <c r="L494" s="191" t="s">
        <v>2776</v>
      </c>
      <c r="M494" s="185" t="s">
        <v>79</v>
      </c>
      <c r="N494" s="186" t="s">
        <v>2863</v>
      </c>
      <c r="O494" s="186" t="s">
        <v>1979</v>
      </c>
      <c r="P494" s="187">
        <v>334158.86</v>
      </c>
      <c r="Q494" s="664">
        <v>43977</v>
      </c>
      <c r="R494" s="664">
        <v>43984</v>
      </c>
      <c r="S494" s="665">
        <v>44040</v>
      </c>
      <c r="T494" s="578">
        <v>43976</v>
      </c>
      <c r="U494" s="739" t="s">
        <v>2858</v>
      </c>
      <c r="V494" s="716" t="s">
        <v>449</v>
      </c>
      <c r="W494" s="740">
        <v>43973</v>
      </c>
      <c r="X494" s="1629"/>
      <c r="Y494" s="180" t="s">
        <v>2946</v>
      </c>
      <c r="Z494" s="9">
        <v>43972</v>
      </c>
      <c r="AA494" s="4">
        <f>110984.55+61216.15+154114.22</f>
        <v>326314.92000000004</v>
      </c>
      <c r="AB494" s="4"/>
      <c r="AC494" s="34"/>
      <c r="AD494" s="36" t="s">
        <v>68</v>
      </c>
      <c r="AE494" s="119" t="s">
        <v>68</v>
      </c>
      <c r="AF494" s="119" t="s">
        <v>68</v>
      </c>
      <c r="AG494" s="7" t="s">
        <v>68</v>
      </c>
      <c r="AH494" s="116" t="s">
        <v>68</v>
      </c>
      <c r="AI494" s="180" t="s">
        <v>3612</v>
      </c>
      <c r="AJ494" s="1">
        <v>2448891</v>
      </c>
      <c r="AK494" s="5">
        <v>43977</v>
      </c>
      <c r="AL494" s="1">
        <v>2448906</v>
      </c>
      <c r="AM494" s="5">
        <v>43977</v>
      </c>
      <c r="AN494" s="1">
        <v>2493324</v>
      </c>
      <c r="AO494" s="5">
        <v>44013</v>
      </c>
      <c r="AP494" s="306">
        <f>83539.72+33415.89+33415.89</f>
        <v>150371.5</v>
      </c>
      <c r="AQ494" s="37">
        <v>0</v>
      </c>
      <c r="AR494" s="1032">
        <v>340712.1</v>
      </c>
      <c r="AS494" s="1019">
        <f>62456.9+126851.41+151403.79</f>
        <v>340712.1</v>
      </c>
      <c r="AT494" s="78">
        <v>43984</v>
      </c>
      <c r="AU494" s="12">
        <v>44012</v>
      </c>
      <c r="AV494" s="243" t="s">
        <v>68</v>
      </c>
      <c r="AW494" s="54" t="s">
        <v>68</v>
      </c>
      <c r="AX494" s="78">
        <v>44013</v>
      </c>
      <c r="AY494" s="255">
        <v>43984</v>
      </c>
      <c r="AZ494" s="255">
        <v>44040</v>
      </c>
      <c r="BA494" s="245">
        <v>44012</v>
      </c>
      <c r="BB494" s="78">
        <v>44013</v>
      </c>
      <c r="BC494" s="344"/>
      <c r="BD494" s="255">
        <v>43984</v>
      </c>
      <c r="BE494" s="255">
        <v>44040</v>
      </c>
      <c r="BF494" s="255">
        <v>44042</v>
      </c>
      <c r="BG494" s="72">
        <f t="shared" si="15"/>
        <v>340712.1</v>
      </c>
      <c r="BH494" s="216">
        <v>44014</v>
      </c>
      <c r="BI494" s="372">
        <v>43973</v>
      </c>
      <c r="BJ494" s="76">
        <v>43983</v>
      </c>
      <c r="BK494" s="76">
        <v>43983</v>
      </c>
      <c r="BL494" s="1054"/>
      <c r="BM494" s="1054"/>
      <c r="BN494" s="1054"/>
      <c r="BO494" s="1054"/>
      <c r="BP494" s="1054">
        <v>44011</v>
      </c>
      <c r="BQ494" s="1054"/>
      <c r="BR494" s="1283"/>
      <c r="BS494" s="794"/>
      <c r="BT494" s="14"/>
      <c r="BU494" s="1466" t="s">
        <v>3608</v>
      </c>
      <c r="BV494" s="166" t="s">
        <v>3583</v>
      </c>
      <c r="BW494" s="166" t="s">
        <v>3583</v>
      </c>
      <c r="BX494" s="166" t="s">
        <v>3584</v>
      </c>
      <c r="BY494" s="1433" t="s">
        <v>2098</v>
      </c>
      <c r="BZ494" s="649" t="s">
        <v>1143</v>
      </c>
      <c r="CA494" s="582"/>
      <c r="CB494" s="582"/>
      <c r="CC494" s="582"/>
      <c r="CD494" s="582"/>
      <c r="CE494" s="582"/>
      <c r="CF494" s="582"/>
      <c r="CG494" s="582"/>
      <c r="CH494" s="16"/>
    </row>
    <row r="495" spans="2:86" ht="114" hidden="1" customHeight="1">
      <c r="B495" s="23"/>
      <c r="C495" s="23"/>
      <c r="D495" s="23"/>
      <c r="E495" s="1051">
        <v>44075</v>
      </c>
      <c r="F495" s="1051"/>
      <c r="G495" s="1055">
        <v>44291</v>
      </c>
      <c r="H495" s="365">
        <v>44017</v>
      </c>
      <c r="I495" s="182">
        <v>2020</v>
      </c>
      <c r="J495" s="1678">
        <v>206.08</v>
      </c>
      <c r="K495" s="716" t="s">
        <v>77</v>
      </c>
      <c r="L495" s="191" t="s">
        <v>2777</v>
      </c>
      <c r="M495" s="185" t="s">
        <v>79</v>
      </c>
      <c r="N495" s="186" t="s">
        <v>2885</v>
      </c>
      <c r="O495" s="186" t="s">
        <v>2574</v>
      </c>
      <c r="P495" s="187">
        <v>755011.1</v>
      </c>
      <c r="Q495" s="664">
        <v>43977</v>
      </c>
      <c r="R495" s="664">
        <v>43984</v>
      </c>
      <c r="S495" s="665">
        <v>44037</v>
      </c>
      <c r="T495" s="578">
        <v>43976</v>
      </c>
      <c r="U495" s="739" t="s">
        <v>2886</v>
      </c>
      <c r="V495" s="716" t="s">
        <v>3087</v>
      </c>
      <c r="W495" s="740">
        <v>43982</v>
      </c>
      <c r="X495" s="1629"/>
      <c r="Y495" s="180" t="s">
        <v>3046</v>
      </c>
      <c r="Z495" s="9">
        <v>43972</v>
      </c>
      <c r="AA495" s="4">
        <v>756194.44</v>
      </c>
      <c r="AB495" s="4"/>
      <c r="AC495" s="34"/>
      <c r="AD495" s="36" t="s">
        <v>68</v>
      </c>
      <c r="AE495" s="119" t="s">
        <v>68</v>
      </c>
      <c r="AF495" s="119" t="s">
        <v>68</v>
      </c>
      <c r="AG495" s="7" t="s">
        <v>68</v>
      </c>
      <c r="AH495" s="116" t="s">
        <v>68</v>
      </c>
      <c r="AI495" s="180" t="s">
        <v>1011</v>
      </c>
      <c r="AJ495" s="2" t="s">
        <v>3088</v>
      </c>
      <c r="AK495" s="5">
        <v>43977</v>
      </c>
      <c r="AL495" s="1" t="s">
        <v>3089</v>
      </c>
      <c r="AM495" s="5">
        <v>43977</v>
      </c>
      <c r="AN495" s="139" t="s">
        <v>74</v>
      </c>
      <c r="AO495" s="5"/>
      <c r="AP495" s="306">
        <f>75501.11+75501.11</f>
        <v>151002.22</v>
      </c>
      <c r="AQ495" s="37">
        <v>0</v>
      </c>
      <c r="AR495" s="1032">
        <v>665921</v>
      </c>
      <c r="AS495" s="1019">
        <v>665921</v>
      </c>
      <c r="AT495" s="78">
        <v>44165</v>
      </c>
      <c r="AU495" s="12">
        <v>44176</v>
      </c>
      <c r="AV495" s="243" t="s">
        <v>68</v>
      </c>
      <c r="AW495" s="54" t="s">
        <v>68</v>
      </c>
      <c r="AX495" s="78">
        <v>44039</v>
      </c>
      <c r="AY495" s="255">
        <v>43984</v>
      </c>
      <c r="AZ495" s="255">
        <v>44037</v>
      </c>
      <c r="BA495" s="245">
        <v>44037</v>
      </c>
      <c r="BB495" s="78">
        <v>44039</v>
      </c>
      <c r="BC495" s="344"/>
      <c r="BD495" s="255">
        <v>43984</v>
      </c>
      <c r="BE495" s="255">
        <v>44037</v>
      </c>
      <c r="BF495" s="255">
        <v>44037</v>
      </c>
      <c r="BG495" s="136">
        <v>665921</v>
      </c>
      <c r="BH495" s="216">
        <v>44039</v>
      </c>
      <c r="BI495" s="372">
        <v>43983</v>
      </c>
      <c r="BJ495" s="360">
        <v>43997</v>
      </c>
      <c r="BK495" s="360">
        <v>43997</v>
      </c>
      <c r="BL495" s="1282"/>
      <c r="BM495" s="1282"/>
      <c r="BN495" s="1282"/>
      <c r="BO495" s="1054"/>
      <c r="BP495" s="1054">
        <v>44036</v>
      </c>
      <c r="BQ495" s="1054"/>
      <c r="BR495" s="796"/>
      <c r="BS495" s="794"/>
      <c r="BT495" s="14"/>
      <c r="BU495" s="1544" t="s">
        <v>3608</v>
      </c>
      <c r="BV495" s="166" t="s">
        <v>3583</v>
      </c>
      <c r="BW495" s="166" t="s">
        <v>3583</v>
      </c>
      <c r="BX495" s="166" t="s">
        <v>3623</v>
      </c>
      <c r="BY495" s="1433" t="s">
        <v>2098</v>
      </c>
      <c r="BZ495" s="40"/>
      <c r="CA495" s="582"/>
      <c r="CB495" s="582"/>
      <c r="CC495" s="582"/>
      <c r="CD495" s="582"/>
      <c r="CE495" s="582"/>
      <c r="CF495" s="582"/>
      <c r="CG495" s="582"/>
      <c r="CH495" s="16"/>
    </row>
    <row r="496" spans="2:86" ht="95.25" hidden="1" customHeight="1">
      <c r="B496" s="23"/>
      <c r="C496" s="23"/>
      <c r="D496" s="23"/>
      <c r="E496" s="1051">
        <v>44075</v>
      </c>
      <c r="F496" s="1051"/>
      <c r="G496" s="1055">
        <v>44267</v>
      </c>
      <c r="H496" s="365">
        <v>44017</v>
      </c>
      <c r="I496" s="182">
        <v>2020</v>
      </c>
      <c r="J496" s="1678">
        <v>206.09</v>
      </c>
      <c r="K496" s="716" t="s">
        <v>77</v>
      </c>
      <c r="L496" s="191" t="s">
        <v>2778</v>
      </c>
      <c r="M496" s="185" t="s">
        <v>79</v>
      </c>
      <c r="N496" s="186" t="s">
        <v>2901</v>
      </c>
      <c r="O496" s="186" t="s">
        <v>1979</v>
      </c>
      <c r="P496" s="187">
        <v>317000</v>
      </c>
      <c r="Q496" s="664">
        <v>44005</v>
      </c>
      <c r="R496" s="664">
        <v>44032</v>
      </c>
      <c r="S496" s="665">
        <v>44063</v>
      </c>
      <c r="T496" s="578">
        <v>44004</v>
      </c>
      <c r="U496" s="739" t="s">
        <v>2890</v>
      </c>
      <c r="V496" s="716" t="s">
        <v>1107</v>
      </c>
      <c r="W496" s="740">
        <v>43982</v>
      </c>
      <c r="X496" s="1629"/>
      <c r="Y496" s="180" t="s">
        <v>2944</v>
      </c>
      <c r="Z496" s="9">
        <v>44003</v>
      </c>
      <c r="AA496" s="4">
        <v>365068.34</v>
      </c>
      <c r="AB496" s="4"/>
      <c r="AC496" s="34"/>
      <c r="AD496" s="36" t="s">
        <v>68</v>
      </c>
      <c r="AE496" s="119" t="s">
        <v>68</v>
      </c>
      <c r="AF496" s="119" t="s">
        <v>68</v>
      </c>
      <c r="AG496" s="7" t="s">
        <v>68</v>
      </c>
      <c r="AH496" s="116" t="s">
        <v>68</v>
      </c>
      <c r="AI496" s="180" t="s">
        <v>1226</v>
      </c>
      <c r="AJ496" s="1">
        <v>2003</v>
      </c>
      <c r="AK496" s="5">
        <v>44011</v>
      </c>
      <c r="AL496" s="1">
        <v>2004</v>
      </c>
      <c r="AM496" s="5">
        <v>44011</v>
      </c>
      <c r="AN496" s="1">
        <v>2005</v>
      </c>
      <c r="AO496" s="5">
        <v>44041</v>
      </c>
      <c r="AP496" s="306">
        <f>79250+37100+37100</f>
        <v>153450</v>
      </c>
      <c r="AQ496" s="37">
        <v>0</v>
      </c>
      <c r="AR496" s="1032">
        <v>316487.46000000002</v>
      </c>
      <c r="AS496" s="1019">
        <v>316487.46000000002</v>
      </c>
      <c r="AT496" s="68" t="s">
        <v>74</v>
      </c>
      <c r="AU496" s="559">
        <v>44058</v>
      </c>
      <c r="AV496" s="243" t="s">
        <v>68</v>
      </c>
      <c r="AW496" s="54" t="s">
        <v>68</v>
      </c>
      <c r="AX496" s="78">
        <v>44056</v>
      </c>
      <c r="AY496" s="255">
        <v>44032</v>
      </c>
      <c r="AZ496" s="255">
        <v>44063</v>
      </c>
      <c r="BA496" s="245" t="s">
        <v>68</v>
      </c>
      <c r="BB496" s="78">
        <v>44057</v>
      </c>
      <c r="BC496" s="344"/>
      <c r="BD496" s="255">
        <v>44032</v>
      </c>
      <c r="BE496" s="255">
        <v>44063</v>
      </c>
      <c r="BF496" s="255">
        <v>44056</v>
      </c>
      <c r="BG496" s="72">
        <v>316487.44</v>
      </c>
      <c r="BH496" s="216">
        <v>44060</v>
      </c>
      <c r="BI496" s="372">
        <v>43999</v>
      </c>
      <c r="BJ496" s="76">
        <v>44029</v>
      </c>
      <c r="BK496" s="76">
        <v>44029</v>
      </c>
      <c r="BL496" s="1054"/>
      <c r="BM496" s="1054"/>
      <c r="BN496" s="1054"/>
      <c r="BO496" s="1054"/>
      <c r="BP496" s="1054">
        <v>44054</v>
      </c>
      <c r="BQ496" s="1054"/>
      <c r="BR496" s="796"/>
      <c r="BS496" s="794"/>
      <c r="BT496" s="14"/>
      <c r="BU496" s="1467" t="s">
        <v>3608</v>
      </c>
      <c r="BV496" s="166" t="s">
        <v>3611</v>
      </c>
      <c r="BW496" s="166" t="s">
        <v>3611</v>
      </c>
      <c r="BX496" s="166" t="s">
        <v>3589</v>
      </c>
      <c r="BY496" s="1433" t="s">
        <v>2098</v>
      </c>
      <c r="BZ496" s="40"/>
      <c r="CA496" s="582"/>
      <c r="CB496" s="582"/>
      <c r="CC496" s="582"/>
      <c r="CD496" s="582"/>
      <c r="CE496" s="582"/>
      <c r="CF496" s="582"/>
      <c r="CG496" s="582"/>
      <c r="CH496" s="16"/>
    </row>
    <row r="497" spans="2:86" ht="97.5" hidden="1" customHeight="1">
      <c r="B497" s="23"/>
      <c r="C497" s="23"/>
      <c r="D497" s="23"/>
      <c r="E497" s="1051">
        <v>44075</v>
      </c>
      <c r="F497" s="1051"/>
      <c r="G497" s="1055">
        <v>44286</v>
      </c>
      <c r="H497" s="365">
        <v>44080</v>
      </c>
      <c r="I497" s="182">
        <v>2020</v>
      </c>
      <c r="J497" s="1678">
        <v>206.1</v>
      </c>
      <c r="K497" s="716" t="s">
        <v>77</v>
      </c>
      <c r="L497" s="191" t="s">
        <v>2779</v>
      </c>
      <c r="M497" s="185" t="s">
        <v>79</v>
      </c>
      <c r="N497" s="186" t="s">
        <v>2869</v>
      </c>
      <c r="O497" s="186" t="s">
        <v>2574</v>
      </c>
      <c r="P497" s="187">
        <v>239360.13</v>
      </c>
      <c r="Q497" s="664">
        <v>43974</v>
      </c>
      <c r="R497" s="664">
        <v>43976</v>
      </c>
      <c r="S497" s="665">
        <v>43983</v>
      </c>
      <c r="T497" s="578">
        <v>43973</v>
      </c>
      <c r="U497" s="739" t="s">
        <v>1268</v>
      </c>
      <c r="V497" s="183" t="s">
        <v>3087</v>
      </c>
      <c r="W497" s="740">
        <v>44335</v>
      </c>
      <c r="X497" s="1629"/>
      <c r="Y497" s="180" t="s">
        <v>2955</v>
      </c>
      <c r="Z497" s="9">
        <v>43972</v>
      </c>
      <c r="AA497" s="4">
        <v>239360.13</v>
      </c>
      <c r="AB497" s="4"/>
      <c r="AC497" s="34"/>
      <c r="AD497" s="36" t="s">
        <v>68</v>
      </c>
      <c r="AE497" s="119" t="s">
        <v>68</v>
      </c>
      <c r="AF497" s="119" t="s">
        <v>68</v>
      </c>
      <c r="AG497" s="7" t="s">
        <v>68</v>
      </c>
      <c r="AH497" s="116" t="s">
        <v>68</v>
      </c>
      <c r="AI497" s="180" t="s">
        <v>2956</v>
      </c>
      <c r="AJ497" s="71" t="s">
        <v>68</v>
      </c>
      <c r="AK497" s="5"/>
      <c r="AL497" s="71" t="s">
        <v>3090</v>
      </c>
      <c r="AM497" s="5">
        <v>43974</v>
      </c>
      <c r="AN497" s="202" t="s">
        <v>2957</v>
      </c>
      <c r="AO497" s="5">
        <v>44005</v>
      </c>
      <c r="AP497" s="306">
        <f>23936.01*2</f>
        <v>47872.02</v>
      </c>
      <c r="AQ497" s="37">
        <v>0</v>
      </c>
      <c r="AR497" s="1032">
        <v>233601.31</v>
      </c>
      <c r="AS497" s="1019">
        <v>233601.31</v>
      </c>
      <c r="AT497" s="68" t="s">
        <v>74</v>
      </c>
      <c r="AU497" s="12"/>
      <c r="AV497" s="243" t="s">
        <v>68</v>
      </c>
      <c r="AW497" s="54" t="s">
        <v>68</v>
      </c>
      <c r="AX497" s="78">
        <v>43983</v>
      </c>
      <c r="AY497" s="255">
        <v>43976</v>
      </c>
      <c r="AZ497" s="255">
        <v>43983</v>
      </c>
      <c r="BA497" s="245" t="s">
        <v>68</v>
      </c>
      <c r="BB497" s="78">
        <v>43984</v>
      </c>
      <c r="BC497" s="344"/>
      <c r="BD497" s="5">
        <v>43976</v>
      </c>
      <c r="BE497" s="5">
        <v>43983</v>
      </c>
      <c r="BF497" s="5">
        <v>43982</v>
      </c>
      <c r="BG497" s="38">
        <f>AQ497+AR497</f>
        <v>233601.31</v>
      </c>
      <c r="BH497" s="415">
        <v>44007</v>
      </c>
      <c r="BI497" s="372">
        <v>43975</v>
      </c>
      <c r="BJ497" s="1305"/>
      <c r="BK497" s="1305"/>
      <c r="BL497" s="1465"/>
      <c r="BM497" s="1465"/>
      <c r="BN497" s="1465"/>
      <c r="BO497" s="1054"/>
      <c r="BP497" s="1465"/>
      <c r="BQ497" s="1465"/>
      <c r="BR497" s="796"/>
      <c r="BS497" s="794"/>
      <c r="BT497" s="14"/>
      <c r="BU497" s="1468" t="s">
        <v>3773</v>
      </c>
      <c r="BV497" s="14" t="s">
        <v>1295</v>
      </c>
      <c r="BW497" s="14" t="s">
        <v>1295</v>
      </c>
      <c r="BX497" s="14" t="s">
        <v>1295</v>
      </c>
      <c r="BY497" s="1433" t="s">
        <v>2098</v>
      </c>
      <c r="BZ497" s="40"/>
      <c r="CA497" s="582"/>
      <c r="CB497" s="582"/>
      <c r="CC497" s="582"/>
      <c r="CD497" s="582"/>
      <c r="CE497" s="582"/>
      <c r="CF497" s="582"/>
      <c r="CG497" s="582"/>
      <c r="CH497" s="16"/>
    </row>
    <row r="498" spans="2:86" ht="96" hidden="1" customHeight="1">
      <c r="B498" s="23"/>
      <c r="C498" s="23"/>
      <c r="D498" s="23"/>
      <c r="E498" s="1051">
        <v>44075</v>
      </c>
      <c r="F498" s="1051"/>
      <c r="G498" s="1055">
        <v>44286</v>
      </c>
      <c r="H498" s="365">
        <v>44080</v>
      </c>
      <c r="I498" s="182">
        <v>2020</v>
      </c>
      <c r="J498" s="1678">
        <v>206.11</v>
      </c>
      <c r="K498" s="716" t="s">
        <v>166</v>
      </c>
      <c r="L498" s="191" t="s">
        <v>2864</v>
      </c>
      <c r="M498" s="185" t="s">
        <v>79</v>
      </c>
      <c r="N498" s="186" t="s">
        <v>2870</v>
      </c>
      <c r="O498" s="186" t="s">
        <v>2574</v>
      </c>
      <c r="P498" s="187">
        <v>410553.76</v>
      </c>
      <c r="Q498" s="664">
        <v>43978</v>
      </c>
      <c r="R498" s="664">
        <v>43952</v>
      </c>
      <c r="S498" s="665">
        <v>43987</v>
      </c>
      <c r="T498" s="578">
        <v>43977</v>
      </c>
      <c r="U498" s="739" t="s">
        <v>1268</v>
      </c>
      <c r="V498" s="183" t="s">
        <v>3087</v>
      </c>
      <c r="W498" s="740" t="s">
        <v>1431</v>
      </c>
      <c r="X498" s="1629"/>
      <c r="Y498" s="180" t="s">
        <v>2958</v>
      </c>
      <c r="Z498" s="9">
        <v>43972</v>
      </c>
      <c r="AA498" s="4">
        <v>410553.76</v>
      </c>
      <c r="AB498" s="4"/>
      <c r="AC498" s="34"/>
      <c r="AD498" s="36" t="s">
        <v>68</v>
      </c>
      <c r="AE498" s="119" t="s">
        <v>68</v>
      </c>
      <c r="AF498" s="119" t="s">
        <v>68</v>
      </c>
      <c r="AG498" s="7" t="s">
        <v>68</v>
      </c>
      <c r="AH498" s="116" t="s">
        <v>68</v>
      </c>
      <c r="AI498" s="180" t="s">
        <v>2956</v>
      </c>
      <c r="AJ498" s="71" t="s">
        <v>68</v>
      </c>
      <c r="AK498" s="5"/>
      <c r="AL498" s="1" t="s">
        <v>3630</v>
      </c>
      <c r="AM498" s="5">
        <v>43977</v>
      </c>
      <c r="AN498" s="1" t="s">
        <v>3631</v>
      </c>
      <c r="AO498" s="5">
        <v>44005</v>
      </c>
      <c r="AP498" s="306">
        <f>41055.37*2</f>
        <v>82110.740000000005</v>
      </c>
      <c r="AQ498" s="37">
        <v>0</v>
      </c>
      <c r="AR498" s="1032">
        <v>401181.07</v>
      </c>
      <c r="AS498" s="1019">
        <v>401181.07</v>
      </c>
      <c r="AT498" s="68" t="s">
        <v>74</v>
      </c>
      <c r="AU498" s="12"/>
      <c r="AV498" s="243" t="s">
        <v>68</v>
      </c>
      <c r="AW498" s="54" t="s">
        <v>68</v>
      </c>
      <c r="AX498" s="78">
        <v>43990</v>
      </c>
      <c r="AY498" s="255">
        <v>43983</v>
      </c>
      <c r="AZ498" s="255">
        <v>43987</v>
      </c>
      <c r="BA498" s="245"/>
      <c r="BB498" s="78">
        <v>44005</v>
      </c>
      <c r="BC498" s="344"/>
      <c r="BD498" s="255">
        <v>43983</v>
      </c>
      <c r="BE498" s="255">
        <v>43987</v>
      </c>
      <c r="BF498" s="255">
        <v>43987</v>
      </c>
      <c r="BG498" s="72">
        <f>AQ498+AR498</f>
        <v>401181.07</v>
      </c>
      <c r="BH498" s="216">
        <v>44006</v>
      </c>
      <c r="BI498" s="1228"/>
      <c r="BJ498" s="1187"/>
      <c r="BK498" s="76">
        <v>43982</v>
      </c>
      <c r="BL498" s="1716"/>
      <c r="BM498" s="1716"/>
      <c r="BN498" s="1716"/>
      <c r="BO498" s="1054"/>
      <c r="BP498" s="1230"/>
      <c r="BQ498" s="1230"/>
      <c r="BR498" s="796"/>
      <c r="BS498" s="794" t="s">
        <v>68</v>
      </c>
      <c r="BT498" s="14"/>
      <c r="BU498" s="1468" t="s">
        <v>3773</v>
      </c>
      <c r="BV498" s="14" t="s">
        <v>1295</v>
      </c>
      <c r="BW498" s="14" t="s">
        <v>1295</v>
      </c>
      <c r="BX498" s="14" t="s">
        <v>1295</v>
      </c>
      <c r="BY498" s="1433" t="s">
        <v>2098</v>
      </c>
      <c r="BZ498" s="40"/>
      <c r="CA498" s="582"/>
      <c r="CB498" s="582"/>
      <c r="CC498" s="582"/>
      <c r="CD498" s="582"/>
      <c r="CE498" s="582"/>
      <c r="CF498" s="582"/>
      <c r="CG498" s="582"/>
      <c r="CH498" s="16"/>
    </row>
    <row r="499" spans="2:86" ht="122.25" hidden="1" customHeight="1">
      <c r="B499" s="23"/>
      <c r="C499" s="23"/>
      <c r="D499" s="23"/>
      <c r="E499" s="1051">
        <v>44075</v>
      </c>
      <c r="F499" s="1051"/>
      <c r="G499" s="1055">
        <v>44278</v>
      </c>
      <c r="H499" s="365">
        <v>44080</v>
      </c>
      <c r="I499" s="182">
        <v>2020</v>
      </c>
      <c r="J499" s="1678">
        <v>206.12</v>
      </c>
      <c r="K499" s="716" t="s">
        <v>77</v>
      </c>
      <c r="L499" s="191" t="s">
        <v>2865</v>
      </c>
      <c r="M499" s="185" t="s">
        <v>79</v>
      </c>
      <c r="N499" s="186" t="s">
        <v>2887</v>
      </c>
      <c r="O499" s="186" t="s">
        <v>1979</v>
      </c>
      <c r="P499" s="187">
        <v>1306545.6299999999</v>
      </c>
      <c r="Q499" s="664">
        <v>43987</v>
      </c>
      <c r="R499" s="664">
        <v>43990</v>
      </c>
      <c r="S499" s="665">
        <v>44057</v>
      </c>
      <c r="T499" s="578">
        <v>43986</v>
      </c>
      <c r="U499" s="739" t="s">
        <v>2888</v>
      </c>
      <c r="V499" s="716" t="s">
        <v>449</v>
      </c>
      <c r="W499" s="685">
        <v>43998</v>
      </c>
      <c r="X499" s="1625"/>
      <c r="Y499" s="180" t="s">
        <v>2947</v>
      </c>
      <c r="Z499" s="9">
        <v>43972</v>
      </c>
      <c r="AA499" s="4">
        <f>314566.67+147393.11+877535.55</f>
        <v>1339495.33</v>
      </c>
      <c r="AB499" s="4"/>
      <c r="AC499" s="34"/>
      <c r="AD499" s="36" t="s">
        <v>68</v>
      </c>
      <c r="AE499" s="119" t="s">
        <v>68</v>
      </c>
      <c r="AF499" s="119" t="s">
        <v>68</v>
      </c>
      <c r="AG499" s="7" t="s">
        <v>68</v>
      </c>
      <c r="AH499" s="116" t="s">
        <v>68</v>
      </c>
      <c r="AI499" s="180" t="s">
        <v>3596</v>
      </c>
      <c r="AJ499" s="1" t="s">
        <v>3597</v>
      </c>
      <c r="AK499" s="5">
        <v>43990</v>
      </c>
      <c r="AL499" s="1" t="s">
        <v>3598</v>
      </c>
      <c r="AM499" s="5">
        <v>43990</v>
      </c>
      <c r="AN499" s="1" t="s">
        <v>3598</v>
      </c>
      <c r="AO499" s="521">
        <v>43990</v>
      </c>
      <c r="AP499" s="306">
        <f>130654.56*3</f>
        <v>391963.68</v>
      </c>
      <c r="AQ499" s="37">
        <v>0</v>
      </c>
      <c r="AR499" s="1032">
        <v>1281375.1299999999</v>
      </c>
      <c r="AS499" s="1019">
        <f>103342+305926.93+872106.2</f>
        <v>1281375.1299999999</v>
      </c>
      <c r="AT499" s="78">
        <v>44004</v>
      </c>
      <c r="AU499" s="245">
        <v>44068</v>
      </c>
      <c r="AV499" s="243" t="s">
        <v>68</v>
      </c>
      <c r="AW499" s="54" t="s">
        <v>68</v>
      </c>
      <c r="AX499" s="78">
        <v>44068</v>
      </c>
      <c r="AY499" s="255">
        <v>44004</v>
      </c>
      <c r="AZ499" s="255">
        <v>44074</v>
      </c>
      <c r="BA499" s="245">
        <v>44068</v>
      </c>
      <c r="BB499" s="78">
        <v>44068</v>
      </c>
      <c r="BC499" s="344"/>
      <c r="BD499" s="5">
        <v>44004</v>
      </c>
      <c r="BE499" s="5">
        <v>44074</v>
      </c>
      <c r="BF499" s="5">
        <v>44068</v>
      </c>
      <c r="BG499" s="38">
        <f>305926.93+103368.22+872106.2</f>
        <v>1281401.3500000001</v>
      </c>
      <c r="BH499" s="216">
        <v>44068</v>
      </c>
      <c r="BI499" s="372">
        <v>43983</v>
      </c>
      <c r="BJ499" s="76">
        <v>43985</v>
      </c>
      <c r="BK499" s="76">
        <v>43985</v>
      </c>
      <c r="BL499" s="1054"/>
      <c r="BM499" s="1054"/>
      <c r="BN499" s="1054"/>
      <c r="BO499" s="1054"/>
      <c r="BP499" s="1054">
        <v>44067</v>
      </c>
      <c r="BQ499" s="1054"/>
      <c r="BR499" s="796"/>
      <c r="BS499" s="794" t="s">
        <v>68</v>
      </c>
      <c r="BT499" s="14"/>
      <c r="BU499" s="1461" t="s">
        <v>3599</v>
      </c>
      <c r="BV499" s="166" t="s">
        <v>551</v>
      </c>
      <c r="BW499" s="166" t="s">
        <v>3583</v>
      </c>
      <c r="BX499" s="166" t="s">
        <v>3589</v>
      </c>
      <c r="BY499" s="1433" t="s">
        <v>2098</v>
      </c>
      <c r="BZ499" s="40" t="s">
        <v>3634</v>
      </c>
      <c r="CA499" s="582"/>
      <c r="CB499" s="582"/>
      <c r="CC499" s="582"/>
      <c r="CD499" s="582"/>
      <c r="CE499" s="582"/>
      <c r="CF499" s="582"/>
      <c r="CG499" s="582"/>
      <c r="CH499" s="16"/>
    </row>
    <row r="500" spans="2:86" ht="118.5" hidden="1" customHeight="1">
      <c r="B500" s="23"/>
      <c r="C500" s="23"/>
      <c r="D500" s="23"/>
      <c r="E500" s="1051">
        <v>44075</v>
      </c>
      <c r="F500" s="1051"/>
      <c r="G500" s="1055">
        <v>44286</v>
      </c>
      <c r="H500" s="365">
        <v>44017</v>
      </c>
      <c r="I500" s="182">
        <v>2020</v>
      </c>
      <c r="J500" s="1678">
        <v>206.13</v>
      </c>
      <c r="K500" s="716" t="s">
        <v>77</v>
      </c>
      <c r="L500" s="739" t="s">
        <v>2866</v>
      </c>
      <c r="M500" s="663" t="s">
        <v>79</v>
      </c>
      <c r="N500" s="495" t="s">
        <v>2884</v>
      </c>
      <c r="O500" s="495" t="s">
        <v>1979</v>
      </c>
      <c r="P500" s="661">
        <v>281826.5</v>
      </c>
      <c r="Q500" s="664">
        <v>43994</v>
      </c>
      <c r="R500" s="664">
        <v>43997</v>
      </c>
      <c r="S500" s="665">
        <v>44011</v>
      </c>
      <c r="T500" s="578">
        <v>43993</v>
      </c>
      <c r="U500" s="739" t="s">
        <v>2850</v>
      </c>
      <c r="V500" s="716" t="s">
        <v>1107</v>
      </c>
      <c r="W500" s="740">
        <v>43984</v>
      </c>
      <c r="X500" s="1629"/>
      <c r="Y500" s="180" t="s">
        <v>2899</v>
      </c>
      <c r="Z500" s="9">
        <v>43972</v>
      </c>
      <c r="AA500" s="4">
        <f>86961.91+44805.76+150514.2</f>
        <v>282281.87</v>
      </c>
      <c r="AB500" s="4"/>
      <c r="AC500" s="34"/>
      <c r="AD500" s="36" t="s">
        <v>68</v>
      </c>
      <c r="AE500" s="119" t="s">
        <v>68</v>
      </c>
      <c r="AF500" s="119" t="s">
        <v>68</v>
      </c>
      <c r="AG500" s="7" t="s">
        <v>68</v>
      </c>
      <c r="AH500" s="116" t="s">
        <v>68</v>
      </c>
      <c r="AI500" s="180" t="s">
        <v>1289</v>
      </c>
      <c r="AJ500" s="1" t="s">
        <v>68</v>
      </c>
      <c r="AK500" s="5"/>
      <c r="AL500" s="1">
        <v>2016</v>
      </c>
      <c r="AM500" s="5">
        <v>43997</v>
      </c>
      <c r="AN500" s="1">
        <v>2015</v>
      </c>
      <c r="AO500" s="5">
        <v>44027</v>
      </c>
      <c r="AP500" s="306">
        <f>28182.65*2</f>
        <v>56365.3</v>
      </c>
      <c r="AQ500" s="37">
        <v>0</v>
      </c>
      <c r="AR500" s="1032">
        <v>320004.51</v>
      </c>
      <c r="AS500" s="1019">
        <f>44677.76+85922.73+189404.01</f>
        <v>320004.5</v>
      </c>
      <c r="AT500" s="68" t="s">
        <v>74</v>
      </c>
      <c r="AU500" s="12"/>
      <c r="AV500" s="243" t="s">
        <v>68</v>
      </c>
      <c r="AW500" s="54" t="s">
        <v>68</v>
      </c>
      <c r="AX500" s="78">
        <v>44026</v>
      </c>
      <c r="AY500" s="5">
        <v>43997</v>
      </c>
      <c r="AZ500" s="5" t="s">
        <v>2952</v>
      </c>
      <c r="BA500" s="12">
        <v>44025</v>
      </c>
      <c r="BB500" s="78">
        <v>44027</v>
      </c>
      <c r="BC500" s="344"/>
      <c r="BD500" s="255">
        <v>43997</v>
      </c>
      <c r="BE500" s="255">
        <v>44041</v>
      </c>
      <c r="BF500" s="5">
        <v>44025</v>
      </c>
      <c r="BG500" s="72">
        <f t="shared" ref="BG500:BG510" si="16">AQ500+AR500</f>
        <v>320004.51</v>
      </c>
      <c r="BH500" s="216">
        <v>44028</v>
      </c>
      <c r="BI500" s="372">
        <v>43983</v>
      </c>
      <c r="BJ500" s="76">
        <v>43994</v>
      </c>
      <c r="BK500" s="76">
        <v>43994</v>
      </c>
      <c r="BL500" s="1054"/>
      <c r="BM500" s="1054"/>
      <c r="BN500" s="1054"/>
      <c r="BO500" s="1054"/>
      <c r="BP500" s="1054">
        <v>44022</v>
      </c>
      <c r="BQ500" s="1054"/>
      <c r="BR500" s="796"/>
      <c r="BS500" s="794" t="s">
        <v>68</v>
      </c>
      <c r="BT500" s="14"/>
      <c r="BU500" s="14" t="s">
        <v>3613</v>
      </c>
      <c r="BV500" s="14" t="s">
        <v>1295</v>
      </c>
      <c r="BW500" s="14" t="s">
        <v>1295</v>
      </c>
      <c r="BX500" s="14" t="s">
        <v>1295</v>
      </c>
      <c r="BY500" s="1433" t="s">
        <v>2098</v>
      </c>
      <c r="BZ500" s="40"/>
      <c r="CA500" s="582"/>
      <c r="CB500" s="582"/>
      <c r="CC500" s="582"/>
      <c r="CD500" s="582"/>
      <c r="CE500" s="582"/>
      <c r="CF500" s="582"/>
      <c r="CG500" s="582"/>
      <c r="CH500" s="16"/>
    </row>
    <row r="501" spans="2:86" ht="103.5" hidden="1" customHeight="1">
      <c r="B501" s="23"/>
      <c r="C501" s="23"/>
      <c r="D501" s="23"/>
      <c r="E501" s="1051">
        <v>44075</v>
      </c>
      <c r="F501" s="1051"/>
      <c r="G501" s="1055">
        <v>43921</v>
      </c>
      <c r="H501" s="365">
        <v>44080</v>
      </c>
      <c r="I501" s="182">
        <v>2020</v>
      </c>
      <c r="J501" s="1678">
        <v>206.14</v>
      </c>
      <c r="K501" s="716" t="s">
        <v>77</v>
      </c>
      <c r="L501" s="191" t="s">
        <v>2867</v>
      </c>
      <c r="M501" s="185" t="s">
        <v>79</v>
      </c>
      <c r="N501" s="186" t="s">
        <v>2889</v>
      </c>
      <c r="O501" s="186" t="s">
        <v>1979</v>
      </c>
      <c r="P501" s="187">
        <v>241381.67</v>
      </c>
      <c r="Q501" s="664">
        <v>43994</v>
      </c>
      <c r="R501" s="189">
        <v>44000</v>
      </c>
      <c r="S501" s="190">
        <v>44030</v>
      </c>
      <c r="T501" s="578">
        <v>43993</v>
      </c>
      <c r="U501" s="739" t="s">
        <v>2890</v>
      </c>
      <c r="V501" s="183" t="s">
        <v>3087</v>
      </c>
      <c r="W501" s="740">
        <v>43965</v>
      </c>
      <c r="X501" s="1629"/>
      <c r="Y501" s="180" t="s">
        <v>2943</v>
      </c>
      <c r="Z501" s="9">
        <v>43972</v>
      </c>
      <c r="AA501" s="4">
        <v>241945.72</v>
      </c>
      <c r="AB501" s="4"/>
      <c r="AC501" s="34"/>
      <c r="AD501" s="36" t="s">
        <v>68</v>
      </c>
      <c r="AE501" s="119" t="s">
        <v>68</v>
      </c>
      <c r="AF501" s="119" t="s">
        <v>68</v>
      </c>
      <c r="AG501" s="7" t="s">
        <v>68</v>
      </c>
      <c r="AH501" s="116" t="s">
        <v>68</v>
      </c>
      <c r="AI501" s="180" t="s">
        <v>1289</v>
      </c>
      <c r="AJ501" s="71" t="s">
        <v>68</v>
      </c>
      <c r="AK501" s="5"/>
      <c r="AL501" s="1">
        <v>2011</v>
      </c>
      <c r="AM501" s="5">
        <v>44000</v>
      </c>
      <c r="AN501" s="1">
        <v>2010</v>
      </c>
      <c r="AO501" s="5">
        <v>44030</v>
      </c>
      <c r="AP501" s="306">
        <f>24138.1*2</f>
        <v>48276.2</v>
      </c>
      <c r="AQ501" s="37">
        <v>0</v>
      </c>
      <c r="AR501" s="1032">
        <v>230567.7</v>
      </c>
      <c r="AS501" s="1019">
        <f>138821.24+91746.46</f>
        <v>230567.7</v>
      </c>
      <c r="AT501" s="68" t="s">
        <v>74</v>
      </c>
      <c r="AU501" s="12"/>
      <c r="AV501" s="243" t="s">
        <v>68</v>
      </c>
      <c r="AW501" s="54" t="s">
        <v>68</v>
      </c>
      <c r="AX501" s="253">
        <v>44027</v>
      </c>
      <c r="AY501" s="255">
        <v>43997</v>
      </c>
      <c r="AZ501" s="255">
        <v>44025</v>
      </c>
      <c r="BA501" s="245">
        <v>44030</v>
      </c>
      <c r="BB501" s="253">
        <v>44028</v>
      </c>
      <c r="BC501" s="558"/>
      <c r="BD501" s="255">
        <v>43997</v>
      </c>
      <c r="BE501" s="255">
        <v>44024</v>
      </c>
      <c r="BF501" s="255">
        <v>44030</v>
      </c>
      <c r="BG501" s="72">
        <f t="shared" si="16"/>
        <v>230567.7</v>
      </c>
      <c r="BH501" s="216">
        <v>44028</v>
      </c>
      <c r="BI501" s="1476">
        <v>43983</v>
      </c>
      <c r="BJ501" s="76">
        <v>44024</v>
      </c>
      <c r="BK501" s="76">
        <v>44024</v>
      </c>
      <c r="BL501" s="1054"/>
      <c r="BM501" s="1054"/>
      <c r="BN501" s="1054"/>
      <c r="BO501" s="1054"/>
      <c r="BP501" s="1054">
        <v>44024</v>
      </c>
      <c r="BQ501" s="1054"/>
      <c r="BR501" s="1054">
        <v>44008</v>
      </c>
      <c r="BS501" s="794" t="s">
        <v>68</v>
      </c>
      <c r="BT501" s="14"/>
      <c r="BU501" s="1468" t="s">
        <v>3773</v>
      </c>
      <c r="BV501" s="166" t="s">
        <v>3583</v>
      </c>
      <c r="BW501" s="166" t="s">
        <v>3611</v>
      </c>
      <c r="BX501" s="166" t="s">
        <v>3584</v>
      </c>
      <c r="BY501" s="1433" t="s">
        <v>2098</v>
      </c>
      <c r="BZ501" s="40" t="s">
        <v>3635</v>
      </c>
      <c r="CA501" s="582"/>
      <c r="CB501" s="582"/>
      <c r="CC501" s="582"/>
      <c r="CD501" s="582"/>
      <c r="CE501" s="582"/>
      <c r="CF501" s="582"/>
      <c r="CG501" s="582"/>
      <c r="CH501" s="16"/>
    </row>
    <row r="502" spans="2:86" ht="97.5" hidden="1" customHeight="1">
      <c r="B502" s="23"/>
      <c r="C502" s="23"/>
      <c r="D502" s="23"/>
      <c r="E502" s="1051">
        <v>44075</v>
      </c>
      <c r="F502" s="1051"/>
      <c r="G502" s="1055">
        <v>44291</v>
      </c>
      <c r="H502" s="365">
        <v>44302</v>
      </c>
      <c r="I502" s="182">
        <v>2020</v>
      </c>
      <c r="J502" s="1678">
        <v>206.15</v>
      </c>
      <c r="K502" s="716" t="s">
        <v>166</v>
      </c>
      <c r="L502" s="191" t="s">
        <v>2868</v>
      </c>
      <c r="M502" s="185" t="s">
        <v>79</v>
      </c>
      <c r="N502" s="186" t="s">
        <v>2965</v>
      </c>
      <c r="O502" s="186" t="s">
        <v>1979</v>
      </c>
      <c r="P502" s="187">
        <v>232396.73</v>
      </c>
      <c r="Q502" s="664">
        <v>44012</v>
      </c>
      <c r="R502" s="664">
        <v>44046</v>
      </c>
      <c r="S502" s="665">
        <v>44099</v>
      </c>
      <c r="T502" s="578">
        <v>44011</v>
      </c>
      <c r="U502" s="739" t="s">
        <v>2966</v>
      </c>
      <c r="V502" s="716" t="s">
        <v>984</v>
      </c>
      <c r="W502" s="740" t="s">
        <v>1431</v>
      </c>
      <c r="X502" s="1629"/>
      <c r="Y502" s="180" t="s">
        <v>3624</v>
      </c>
      <c r="Z502" s="9">
        <v>43972</v>
      </c>
      <c r="AA502" s="4">
        <f>135093.5+104883.11</f>
        <v>239976.61</v>
      </c>
      <c r="AB502" s="4"/>
      <c r="AC502" s="34"/>
      <c r="AD502" s="36" t="s">
        <v>68</v>
      </c>
      <c r="AE502" s="119" t="s">
        <v>68</v>
      </c>
      <c r="AF502" s="119" t="s">
        <v>68</v>
      </c>
      <c r="AG502" s="7" t="s">
        <v>68</v>
      </c>
      <c r="AH502" s="116" t="s">
        <v>68</v>
      </c>
      <c r="AI502" s="180" t="s">
        <v>1270</v>
      </c>
      <c r="AJ502" s="1" t="s">
        <v>68</v>
      </c>
      <c r="AK502" s="5"/>
      <c r="AL502" s="1" t="s">
        <v>3625</v>
      </c>
      <c r="AM502" s="5">
        <v>44021</v>
      </c>
      <c r="AN502" s="1" t="s">
        <v>3626</v>
      </c>
      <c r="AO502" s="5">
        <v>44092</v>
      </c>
      <c r="AP502" s="306">
        <f>23239.67+25170.45</f>
        <v>48410.119999999995</v>
      </c>
      <c r="AQ502" s="37">
        <v>0</v>
      </c>
      <c r="AR502" s="1032">
        <v>251704.57</v>
      </c>
      <c r="AS502" s="1019">
        <f>108500.8+143203.78</f>
        <v>251704.58000000002</v>
      </c>
      <c r="AT502" s="78">
        <v>44071</v>
      </c>
      <c r="AU502" s="12">
        <v>44092</v>
      </c>
      <c r="AV502" s="243" t="s">
        <v>68</v>
      </c>
      <c r="AW502" s="54" t="s">
        <v>68</v>
      </c>
      <c r="AX502" s="78">
        <v>44091</v>
      </c>
      <c r="AY502" s="255">
        <v>44046</v>
      </c>
      <c r="AZ502" s="255">
        <v>44099</v>
      </c>
      <c r="BA502" s="245" t="s">
        <v>68</v>
      </c>
      <c r="BB502" s="78">
        <v>44092</v>
      </c>
      <c r="BC502" s="344"/>
      <c r="BD502" s="255">
        <v>44046</v>
      </c>
      <c r="BE502" s="255">
        <v>44099</v>
      </c>
      <c r="BF502" s="255">
        <v>44092</v>
      </c>
      <c r="BG502" s="72">
        <f t="shared" si="16"/>
        <v>251704.57</v>
      </c>
      <c r="BH502" s="216">
        <v>44093</v>
      </c>
      <c r="BI502" s="372">
        <v>44043</v>
      </c>
      <c r="BJ502" s="76">
        <v>44068</v>
      </c>
      <c r="BK502" s="76">
        <v>44068</v>
      </c>
      <c r="BL502" s="1054"/>
      <c r="BM502" s="1054"/>
      <c r="BN502" s="1054"/>
      <c r="BO502" s="1054"/>
      <c r="BP502" s="1054">
        <v>44092</v>
      </c>
      <c r="BQ502" s="1054"/>
      <c r="BR502" s="796"/>
      <c r="BS502" s="794" t="s">
        <v>68</v>
      </c>
      <c r="BT502" s="14"/>
      <c r="BU502" s="1468" t="s">
        <v>3773</v>
      </c>
      <c r="BV502" s="166" t="s">
        <v>3594</v>
      </c>
      <c r="BW502" s="166" t="s">
        <v>3611</v>
      </c>
      <c r="BX502" s="166" t="s">
        <v>3584</v>
      </c>
      <c r="BY502" s="1433" t="s">
        <v>2098</v>
      </c>
      <c r="BZ502" s="649" t="s">
        <v>1143</v>
      </c>
      <c r="CA502" s="582"/>
      <c r="CB502" s="582"/>
      <c r="CC502" s="582"/>
      <c r="CD502" s="582"/>
      <c r="CE502" s="582"/>
      <c r="CF502" s="582"/>
      <c r="CG502" s="582"/>
      <c r="CH502" s="16"/>
    </row>
    <row r="503" spans="2:86" ht="86.25" hidden="1" customHeight="1">
      <c r="B503" s="23"/>
      <c r="C503" s="23"/>
      <c r="D503" s="23"/>
      <c r="E503" s="1051">
        <v>44075</v>
      </c>
      <c r="F503" s="1051"/>
      <c r="G503" s="1055">
        <v>44281</v>
      </c>
      <c r="H503" s="365">
        <v>44295</v>
      </c>
      <c r="I503" s="182">
        <v>2020</v>
      </c>
      <c r="J503" s="1678">
        <v>206.16</v>
      </c>
      <c r="K503" s="716" t="s">
        <v>166</v>
      </c>
      <c r="L503" s="191" t="s">
        <v>2893</v>
      </c>
      <c r="M503" s="185" t="s">
        <v>79</v>
      </c>
      <c r="N503" s="186" t="s">
        <v>3076</v>
      </c>
      <c r="O503" s="186" t="s">
        <v>2699</v>
      </c>
      <c r="P503" s="187">
        <v>302749.5</v>
      </c>
      <c r="Q503" s="664">
        <v>44007</v>
      </c>
      <c r="R503" s="664">
        <v>44008</v>
      </c>
      <c r="S503" s="665">
        <v>44074</v>
      </c>
      <c r="T503" s="578">
        <v>44006</v>
      </c>
      <c r="U503" s="739" t="s">
        <v>2843</v>
      </c>
      <c r="V503" s="716" t="s">
        <v>449</v>
      </c>
      <c r="W503" s="740" t="s">
        <v>1431</v>
      </c>
      <c r="X503" s="1629"/>
      <c r="Y503" s="180" t="s">
        <v>3610</v>
      </c>
      <c r="Z503" s="9">
        <v>44005</v>
      </c>
      <c r="AA503" s="4">
        <v>316052.5</v>
      </c>
      <c r="AB503" s="4"/>
      <c r="AC503" s="34"/>
      <c r="AD503" s="36" t="s">
        <v>68</v>
      </c>
      <c r="AE503" s="119" t="s">
        <v>68</v>
      </c>
      <c r="AF503" s="119" t="s">
        <v>68</v>
      </c>
      <c r="AG503" s="7" t="s">
        <v>68</v>
      </c>
      <c r="AH503" s="116" t="s">
        <v>68</v>
      </c>
      <c r="AI503" s="180" t="s">
        <v>1289</v>
      </c>
      <c r="AJ503" s="1" t="s">
        <v>68</v>
      </c>
      <c r="AK503" s="5"/>
      <c r="AL503" s="1">
        <v>209932</v>
      </c>
      <c r="AM503" s="5">
        <v>44008</v>
      </c>
      <c r="AN503" s="1">
        <v>209933</v>
      </c>
      <c r="AO503" s="5">
        <v>44074</v>
      </c>
      <c r="AP503" s="306">
        <f>30274.95+30274.05</f>
        <v>60549</v>
      </c>
      <c r="AQ503" s="37">
        <v>0</v>
      </c>
      <c r="AR503" s="1032">
        <v>301450.13</v>
      </c>
      <c r="AS503" s="1611">
        <v>724669.84</v>
      </c>
      <c r="AT503" s="78">
        <v>44008</v>
      </c>
      <c r="AU503" s="12">
        <v>44020</v>
      </c>
      <c r="AV503" s="243" t="s">
        <v>68</v>
      </c>
      <c r="AW503" s="54" t="s">
        <v>68</v>
      </c>
      <c r="AX503" s="78">
        <v>44021</v>
      </c>
      <c r="AY503" s="255">
        <v>44008</v>
      </c>
      <c r="AZ503" s="255">
        <v>44074</v>
      </c>
      <c r="BA503" s="245">
        <v>44020</v>
      </c>
      <c r="BB503" s="78">
        <v>44021</v>
      </c>
      <c r="BC503" s="344"/>
      <c r="BD503" s="255">
        <v>44008</v>
      </c>
      <c r="BE503" s="255">
        <v>44074</v>
      </c>
      <c r="BF503" s="255">
        <v>44020</v>
      </c>
      <c r="BG503" s="72">
        <f t="shared" si="16"/>
        <v>301450.13</v>
      </c>
      <c r="BH503" s="216">
        <v>44021</v>
      </c>
      <c r="BI503" s="372">
        <v>44006</v>
      </c>
      <c r="BJ503" s="76">
        <v>44007</v>
      </c>
      <c r="BK503" s="76">
        <v>44007</v>
      </c>
      <c r="BL503" s="1054"/>
      <c r="BM503" s="1054"/>
      <c r="BN503" s="1054"/>
      <c r="BO503" s="1054"/>
      <c r="BP503" s="1054">
        <v>44020</v>
      </c>
      <c r="BQ503" s="1054"/>
      <c r="BR503" s="1283"/>
      <c r="BS503" s="1284" t="s">
        <v>68</v>
      </c>
      <c r="BT503" s="14"/>
      <c r="BU503" s="166" t="s">
        <v>3608</v>
      </c>
      <c r="BV503" s="166" t="s">
        <v>3583</v>
      </c>
      <c r="BW503" s="166" t="s">
        <v>3611</v>
      </c>
      <c r="BX503" s="166" t="s">
        <v>3584</v>
      </c>
      <c r="BY503" s="1433" t="s">
        <v>2098</v>
      </c>
      <c r="BZ503" s="649" t="s">
        <v>1143</v>
      </c>
      <c r="CA503" s="582"/>
      <c r="CB503" s="582"/>
      <c r="CC503" s="582"/>
      <c r="CD503" s="582"/>
      <c r="CE503" s="582"/>
      <c r="CF503" s="582"/>
      <c r="CG503" s="582"/>
      <c r="CH503" s="16"/>
    </row>
    <row r="504" spans="2:86" ht="90.75" hidden="1" customHeight="1">
      <c r="B504" s="23"/>
      <c r="C504" s="23"/>
      <c r="D504" s="23"/>
      <c r="E504" s="1051">
        <v>44075</v>
      </c>
      <c r="F504" s="1051"/>
      <c r="G504" s="1055">
        <v>44281</v>
      </c>
      <c r="H504" s="365">
        <v>44295</v>
      </c>
      <c r="I504" s="182">
        <v>2020</v>
      </c>
      <c r="J504" s="1678">
        <v>206.17</v>
      </c>
      <c r="K504" s="716" t="s">
        <v>166</v>
      </c>
      <c r="L504" s="191" t="s">
        <v>2894</v>
      </c>
      <c r="M504" s="185" t="s">
        <v>79</v>
      </c>
      <c r="N504" s="186" t="s">
        <v>2969</v>
      </c>
      <c r="O504" s="186" t="s">
        <v>2699</v>
      </c>
      <c r="P504" s="187">
        <v>423536.77</v>
      </c>
      <c r="Q504" s="664">
        <v>44012</v>
      </c>
      <c r="R504" s="664">
        <v>44018</v>
      </c>
      <c r="S504" s="665">
        <v>44104</v>
      </c>
      <c r="T504" s="578">
        <v>44011</v>
      </c>
      <c r="U504" s="739" t="s">
        <v>2843</v>
      </c>
      <c r="V504" s="716" t="s">
        <v>449</v>
      </c>
      <c r="W504" s="740" t="s">
        <v>1431</v>
      </c>
      <c r="X504" s="1629"/>
      <c r="Y504" s="180" t="s">
        <v>2959</v>
      </c>
      <c r="Z504" s="9">
        <v>44005</v>
      </c>
      <c r="AA504" s="4">
        <v>423536.77</v>
      </c>
      <c r="AB504" s="4"/>
      <c r="AC504" s="34"/>
      <c r="AD504" s="36" t="s">
        <v>68</v>
      </c>
      <c r="AE504" s="119" t="s">
        <v>68</v>
      </c>
      <c r="AF504" s="119" t="s">
        <v>68</v>
      </c>
      <c r="AG504" s="7" t="s">
        <v>68</v>
      </c>
      <c r="AH504" s="116" t="s">
        <v>68</v>
      </c>
      <c r="AI504" s="180" t="s">
        <v>1289</v>
      </c>
      <c r="AJ504" s="1" t="s">
        <v>68</v>
      </c>
      <c r="AK504" s="5"/>
      <c r="AL504" s="1">
        <v>209944</v>
      </c>
      <c r="AM504" s="5">
        <v>44018</v>
      </c>
      <c r="AN504" s="1">
        <v>209945</v>
      </c>
      <c r="AO504" s="5">
        <v>44104</v>
      </c>
      <c r="AP504" s="306">
        <f>42353.67*2</f>
        <v>84707.34</v>
      </c>
      <c r="AQ504" s="37">
        <v>0</v>
      </c>
      <c r="AR504" s="1032">
        <v>423219.71</v>
      </c>
      <c r="AS504" s="1611">
        <v>416263.57</v>
      </c>
      <c r="AT504" s="78">
        <v>44018</v>
      </c>
      <c r="AU504" s="12">
        <v>44060</v>
      </c>
      <c r="AV504" s="243" t="s">
        <v>68</v>
      </c>
      <c r="AW504" s="54" t="s">
        <v>68</v>
      </c>
      <c r="AX504" s="78">
        <v>44061</v>
      </c>
      <c r="AY504" s="255">
        <v>44018</v>
      </c>
      <c r="AZ504" s="255">
        <v>44104</v>
      </c>
      <c r="BA504" s="245">
        <v>44060</v>
      </c>
      <c r="BB504" s="78">
        <v>44061</v>
      </c>
      <c r="BC504" s="344"/>
      <c r="BD504" s="255">
        <v>44018</v>
      </c>
      <c r="BE504" s="255">
        <v>44104</v>
      </c>
      <c r="BF504" s="255">
        <v>44060</v>
      </c>
      <c r="BG504" s="72">
        <f t="shared" si="16"/>
        <v>423219.71</v>
      </c>
      <c r="BH504" s="216">
        <v>44061</v>
      </c>
      <c r="BI504" s="372">
        <v>44017</v>
      </c>
      <c r="BJ504" s="76">
        <v>44015</v>
      </c>
      <c r="BK504" s="76">
        <v>44015</v>
      </c>
      <c r="BL504" s="1054"/>
      <c r="BM504" s="1054"/>
      <c r="BN504" s="1054"/>
      <c r="BO504" s="1054"/>
      <c r="BP504" s="1054">
        <v>44060</v>
      </c>
      <c r="BQ504" s="1054"/>
      <c r="BR504" s="796"/>
      <c r="BS504" s="794" t="s">
        <v>68</v>
      </c>
      <c r="BT504" s="14"/>
      <c r="BU504" s="166" t="s">
        <v>3608</v>
      </c>
      <c r="BV504" s="166" t="s">
        <v>3583</v>
      </c>
      <c r="BW504" s="166" t="s">
        <v>3583</v>
      </c>
      <c r="BX504" s="166" t="s">
        <v>3584</v>
      </c>
      <c r="BY504" s="1433" t="s">
        <v>2098</v>
      </c>
      <c r="BZ504" s="649" t="s">
        <v>1143</v>
      </c>
      <c r="CA504" s="582"/>
      <c r="CB504" s="582"/>
      <c r="CC504" s="582"/>
      <c r="CD504" s="582"/>
      <c r="CE504" s="582"/>
      <c r="CF504" s="582"/>
      <c r="CG504" s="582"/>
      <c r="CH504" s="16"/>
    </row>
    <row r="505" spans="2:86" ht="78" hidden="1" customHeight="1">
      <c r="B505" s="23"/>
      <c r="C505" s="23"/>
      <c r="D505" s="23"/>
      <c r="E505" s="1051"/>
      <c r="F505" s="1051"/>
      <c r="G505" s="1055">
        <v>44408</v>
      </c>
      <c r="H505" s="365">
        <v>44302</v>
      </c>
      <c r="I505" s="182">
        <v>2020</v>
      </c>
      <c r="J505" s="1678">
        <v>206.18</v>
      </c>
      <c r="K505" s="716" t="s">
        <v>77</v>
      </c>
      <c r="L505" s="191" t="s">
        <v>2895</v>
      </c>
      <c r="M505" s="185" t="s">
        <v>79</v>
      </c>
      <c r="N505" s="186" t="s">
        <v>2971</v>
      </c>
      <c r="O505" s="186" t="s">
        <v>2574</v>
      </c>
      <c r="P505" s="187">
        <v>174784.71</v>
      </c>
      <c r="Q505" s="664">
        <v>44019</v>
      </c>
      <c r="R505" s="664">
        <v>44032</v>
      </c>
      <c r="S505" s="665">
        <v>44051</v>
      </c>
      <c r="T505" s="70">
        <v>44018</v>
      </c>
      <c r="U505" s="739" t="s">
        <v>2972</v>
      </c>
      <c r="V505" s="716" t="s">
        <v>114</v>
      </c>
      <c r="W505" s="740">
        <v>43973</v>
      </c>
      <c r="X505" s="1629"/>
      <c r="Y505" s="180" t="s">
        <v>3615</v>
      </c>
      <c r="Z505" s="9">
        <v>43972</v>
      </c>
      <c r="AA505" s="4">
        <v>240672.69</v>
      </c>
      <c r="AB505" s="4"/>
      <c r="AC505" s="34"/>
      <c r="AD505" s="36" t="s">
        <v>68</v>
      </c>
      <c r="AE505" s="119" t="s">
        <v>68</v>
      </c>
      <c r="AF505" s="119" t="s">
        <v>68</v>
      </c>
      <c r="AG505" s="7" t="s">
        <v>68</v>
      </c>
      <c r="AH505" s="116" t="s">
        <v>68</v>
      </c>
      <c r="AI505" s="180" t="s">
        <v>3596</v>
      </c>
      <c r="AJ505" s="1" t="s">
        <v>3616</v>
      </c>
      <c r="AK505" s="5">
        <v>44019</v>
      </c>
      <c r="AL505" s="1" t="s">
        <v>3617</v>
      </c>
      <c r="AM505" s="5">
        <v>44019</v>
      </c>
      <c r="AN505" s="1" t="s">
        <v>83</v>
      </c>
      <c r="AO505" s="5"/>
      <c r="AP505" s="306">
        <f>43696.18+17478.47</f>
        <v>61174.65</v>
      </c>
      <c r="AQ505" s="37">
        <v>0</v>
      </c>
      <c r="AR505" s="1032">
        <v>174784.71</v>
      </c>
      <c r="AS505" s="1019">
        <v>174784.71</v>
      </c>
      <c r="AT505" s="68" t="s">
        <v>74</v>
      </c>
      <c r="AU505" s="12"/>
      <c r="AV505" s="243" t="s">
        <v>68</v>
      </c>
      <c r="AW505" s="54" t="s">
        <v>68</v>
      </c>
      <c r="AX505" s="78">
        <v>44047</v>
      </c>
      <c r="AY505" s="255">
        <v>44032</v>
      </c>
      <c r="AZ505" s="255">
        <v>44051</v>
      </c>
      <c r="BA505" s="245">
        <v>44047</v>
      </c>
      <c r="BB505" s="78">
        <v>44048</v>
      </c>
      <c r="BC505" s="344"/>
      <c r="BD505" s="255">
        <v>44032</v>
      </c>
      <c r="BE505" s="255">
        <v>44051</v>
      </c>
      <c r="BF505" s="255">
        <v>44047</v>
      </c>
      <c r="BG505" s="72">
        <f t="shared" si="16"/>
        <v>174784.71</v>
      </c>
      <c r="BH505" s="216">
        <v>44049</v>
      </c>
      <c r="BI505" s="372">
        <v>44028</v>
      </c>
      <c r="BJ505" s="76">
        <v>44027</v>
      </c>
      <c r="BK505" s="76">
        <v>44027</v>
      </c>
      <c r="BL505" s="1054"/>
      <c r="BM505" s="1054"/>
      <c r="BN505" s="1054"/>
      <c r="BO505" s="1054"/>
      <c r="BP505" s="236" t="s">
        <v>74</v>
      </c>
      <c r="BQ505" s="236"/>
      <c r="BR505" s="796"/>
      <c r="BS505" s="794" t="s">
        <v>68</v>
      </c>
      <c r="BT505" s="14"/>
      <c r="BU505" s="1468" t="s">
        <v>3773</v>
      </c>
      <c r="BV505" s="1469" t="s">
        <v>74</v>
      </c>
      <c r="BW505" s="166" t="s">
        <v>3583</v>
      </c>
      <c r="BX505" s="166" t="s">
        <v>3589</v>
      </c>
      <c r="BY505" s="1433" t="s">
        <v>2098</v>
      </c>
      <c r="BZ505" s="40"/>
      <c r="CA505" s="582"/>
      <c r="CB505" s="582"/>
      <c r="CC505" s="582"/>
      <c r="CD505" s="582"/>
      <c r="CE505" s="582"/>
      <c r="CF505" s="582"/>
      <c r="CG505" s="582"/>
      <c r="CH505" s="16"/>
    </row>
    <row r="506" spans="2:86" ht="75.75" hidden="1" customHeight="1">
      <c r="B506" s="23"/>
      <c r="C506" s="23"/>
      <c r="D506" s="23"/>
      <c r="E506" s="1051"/>
      <c r="F506" s="1051"/>
      <c r="G506" s="1055">
        <v>44408</v>
      </c>
      <c r="H506" s="365">
        <v>44302</v>
      </c>
      <c r="I506" s="182">
        <v>2020</v>
      </c>
      <c r="J506" s="1678">
        <v>206.19</v>
      </c>
      <c r="K506" s="716" t="s">
        <v>77</v>
      </c>
      <c r="L506" s="191" t="s">
        <v>2896</v>
      </c>
      <c r="M506" s="185" t="s">
        <v>79</v>
      </c>
      <c r="N506" s="495" t="s">
        <v>2974</v>
      </c>
      <c r="O506" s="495" t="s">
        <v>2613</v>
      </c>
      <c r="P506" s="661">
        <v>165908.29999999999</v>
      </c>
      <c r="Q506" s="686">
        <v>44019</v>
      </c>
      <c r="R506" s="686">
        <v>44032</v>
      </c>
      <c r="S506" s="687">
        <v>44051</v>
      </c>
      <c r="T506" s="70">
        <v>44018</v>
      </c>
      <c r="U506" s="739" t="s">
        <v>2972</v>
      </c>
      <c r="V506" s="716" t="s">
        <v>114</v>
      </c>
      <c r="W506" s="505" t="s">
        <v>74</v>
      </c>
      <c r="X506" s="1623"/>
      <c r="Y506" s="180" t="s">
        <v>3047</v>
      </c>
      <c r="Z506" s="9">
        <v>43972</v>
      </c>
      <c r="AA506" s="4">
        <v>240672.69</v>
      </c>
      <c r="AB506" s="4"/>
      <c r="AC506" s="34"/>
      <c r="AD506" s="36" t="s">
        <v>68</v>
      </c>
      <c r="AE506" s="119" t="s">
        <v>68</v>
      </c>
      <c r="AF506" s="119" t="s">
        <v>68</v>
      </c>
      <c r="AG506" s="7" t="s">
        <v>68</v>
      </c>
      <c r="AH506" s="116" t="s">
        <v>68</v>
      </c>
      <c r="AI506" s="180" t="s">
        <v>3596</v>
      </c>
      <c r="AJ506" s="1" t="s">
        <v>3618</v>
      </c>
      <c r="AK506" s="5">
        <v>44019</v>
      </c>
      <c r="AL506" s="71" t="s">
        <v>1177</v>
      </c>
      <c r="AM506" s="255"/>
      <c r="AN506" s="71" t="s">
        <v>1177</v>
      </c>
      <c r="AO506" s="5"/>
      <c r="AP506" s="306">
        <f>41477.09</f>
        <v>41477.089999999997</v>
      </c>
      <c r="AQ506" s="37">
        <v>0</v>
      </c>
      <c r="AR506" s="1032">
        <v>0</v>
      </c>
      <c r="AS506" s="1019">
        <v>0</v>
      </c>
      <c r="AT506" s="78" t="s">
        <v>1177</v>
      </c>
      <c r="AU506" s="12"/>
      <c r="AV506" s="243" t="s">
        <v>68</v>
      </c>
      <c r="AW506" s="54" t="s">
        <v>68</v>
      </c>
      <c r="AX506" s="68" t="s">
        <v>74</v>
      </c>
      <c r="AY506" s="255"/>
      <c r="AZ506" s="255"/>
      <c r="BA506" s="245"/>
      <c r="BB506" s="68" t="s">
        <v>74</v>
      </c>
      <c r="BC506" s="1686"/>
      <c r="BD506" s="5"/>
      <c r="BE506" s="5"/>
      <c r="BF506" s="5"/>
      <c r="BG506" s="38">
        <f t="shared" si="16"/>
        <v>0</v>
      </c>
      <c r="BH506" s="217" t="s">
        <v>74</v>
      </c>
      <c r="BI506" s="372">
        <v>44028</v>
      </c>
      <c r="BJ506" s="135" t="s">
        <v>1177</v>
      </c>
      <c r="BK506" s="135" t="s">
        <v>1177</v>
      </c>
      <c r="BL506" s="1283"/>
      <c r="BM506" s="1283"/>
      <c r="BN506" s="1283"/>
      <c r="BO506" s="1054"/>
      <c r="BP506" s="1283" t="s">
        <v>1177</v>
      </c>
      <c r="BQ506" s="1283"/>
      <c r="BR506" s="796"/>
      <c r="BS506" s="794" t="s">
        <v>68</v>
      </c>
      <c r="BT506" s="1470"/>
      <c r="BU506" s="1471" t="s">
        <v>1177</v>
      </c>
      <c r="BV506" s="1472" t="s">
        <v>1177</v>
      </c>
      <c r="BW506" s="166" t="s">
        <v>3583</v>
      </c>
      <c r="BX506" s="166" t="s">
        <v>3622</v>
      </c>
      <c r="BY506" s="1433" t="s">
        <v>2098</v>
      </c>
      <c r="BZ506" s="1470" t="s">
        <v>3619</v>
      </c>
      <c r="CA506" s="582"/>
      <c r="CB506" s="582"/>
      <c r="CC506" s="582"/>
      <c r="CD506" s="582"/>
      <c r="CE506" s="582"/>
      <c r="CF506" s="582"/>
      <c r="CG506" s="582"/>
      <c r="CH506" s="16"/>
    </row>
    <row r="507" spans="2:86" s="1241" customFormat="1" ht="34.5" hidden="1" customHeight="1">
      <c r="B507" s="1242"/>
      <c r="C507" s="1242"/>
      <c r="D507" s="1242"/>
      <c r="E507" s="1243"/>
      <c r="F507" s="1243"/>
      <c r="G507" s="610"/>
      <c r="H507" s="700"/>
      <c r="I507" s="1244">
        <v>2020</v>
      </c>
      <c r="J507" s="1683">
        <v>206.2</v>
      </c>
      <c r="K507" s="1245"/>
      <c r="L507" s="1246" t="s">
        <v>2897</v>
      </c>
      <c r="M507" s="904" t="s">
        <v>251</v>
      </c>
      <c r="N507" s="1247" t="s">
        <v>4017</v>
      </c>
      <c r="O507" s="1247"/>
      <c r="P507" s="1248"/>
      <c r="Q507" s="1250"/>
      <c r="R507" s="1250"/>
      <c r="S507" s="1251"/>
      <c r="T507" s="1252"/>
      <c r="U507" s="1246"/>
      <c r="V507" s="1245"/>
      <c r="W507" s="1278"/>
      <c r="X507" s="1631"/>
      <c r="Y507" s="340"/>
      <c r="Z507" s="1254"/>
      <c r="AA507" s="1255"/>
      <c r="AB507" s="1255"/>
      <c r="AC507" s="1256"/>
      <c r="AD507" s="1257" t="s">
        <v>68</v>
      </c>
      <c r="AE507" s="1258" t="s">
        <v>68</v>
      </c>
      <c r="AF507" s="1258" t="s">
        <v>68</v>
      </c>
      <c r="AG507" s="1259" t="s">
        <v>68</v>
      </c>
      <c r="AH507" s="1260" t="s">
        <v>68</v>
      </c>
      <c r="AI507" s="340"/>
      <c r="AJ507" s="1261"/>
      <c r="AK507" s="1262"/>
      <c r="AL507" s="1261"/>
      <c r="AM507" s="1262"/>
      <c r="AN507" s="1261"/>
      <c r="AO507" s="1262"/>
      <c r="AP507" s="1263"/>
      <c r="AQ507" s="1264">
        <v>0</v>
      </c>
      <c r="AR507" s="1265"/>
      <c r="AS507" s="1266"/>
      <c r="AT507" s="1267"/>
      <c r="AU507" s="1268"/>
      <c r="AV507" s="1269" t="s">
        <v>68</v>
      </c>
      <c r="AW507" s="1270" t="s">
        <v>68</v>
      </c>
      <c r="AX507" s="1267"/>
      <c r="AY507" s="1262"/>
      <c r="AZ507" s="1262"/>
      <c r="BA507" s="1268"/>
      <c r="BB507" s="1267"/>
      <c r="BC507" s="1944"/>
      <c r="BD507" s="1262"/>
      <c r="BE507" s="1262"/>
      <c r="BF507" s="1262"/>
      <c r="BG507" s="1272">
        <f t="shared" si="16"/>
        <v>0</v>
      </c>
      <c r="BH507" s="1273"/>
      <c r="BI507" s="1753"/>
      <c r="BJ507" s="1754"/>
      <c r="BK507" s="1754"/>
      <c r="BL507" s="1770"/>
      <c r="BM507" s="1770"/>
      <c r="BN507" s="1770"/>
      <c r="BO507" s="1054"/>
      <c r="BP507" s="1770"/>
      <c r="BQ507" s="1770"/>
      <c r="BR507" s="1770"/>
      <c r="BS507" s="1753" t="s">
        <v>68</v>
      </c>
      <c r="BT507" s="1273"/>
      <c r="BU507" s="1468"/>
      <c r="BV507" s="1273"/>
      <c r="BW507" s="1273"/>
      <c r="BX507" s="1273"/>
      <c r="BY507" s="1769" t="s">
        <v>2098</v>
      </c>
      <c r="BZ507" s="1276"/>
      <c r="CA507" s="903"/>
      <c r="CB507" s="903"/>
      <c r="CC507" s="903"/>
      <c r="CD507" s="903"/>
      <c r="CE507" s="903"/>
      <c r="CF507" s="903"/>
      <c r="CG507" s="903"/>
      <c r="CH507" s="1277"/>
    </row>
    <row r="508" spans="2:86" ht="114.75" hidden="1" customHeight="1">
      <c r="B508" s="23"/>
      <c r="C508" s="23"/>
      <c r="D508" s="23"/>
      <c r="E508" s="1051">
        <v>44075</v>
      </c>
      <c r="F508" s="1051"/>
      <c r="G508" s="1055">
        <v>44279</v>
      </c>
      <c r="H508" s="365">
        <v>44080</v>
      </c>
      <c r="I508" s="182">
        <v>2020</v>
      </c>
      <c r="J508" s="1678">
        <v>206.21</v>
      </c>
      <c r="K508" s="716" t="s">
        <v>77</v>
      </c>
      <c r="L508" s="191" t="s">
        <v>2961</v>
      </c>
      <c r="M508" s="185" t="s">
        <v>79</v>
      </c>
      <c r="N508" s="186" t="s">
        <v>2976</v>
      </c>
      <c r="O508" s="186" t="s">
        <v>3664</v>
      </c>
      <c r="P508" s="187">
        <v>773550.52</v>
      </c>
      <c r="Q508" s="664">
        <v>44021</v>
      </c>
      <c r="R508" s="664">
        <v>44032</v>
      </c>
      <c r="S508" s="665">
        <v>44077</v>
      </c>
      <c r="T508" s="578">
        <v>44020</v>
      </c>
      <c r="U508" s="739" t="s">
        <v>2977</v>
      </c>
      <c r="V508" s="716" t="s">
        <v>213</v>
      </c>
      <c r="W508" s="740">
        <v>43985</v>
      </c>
      <c r="X508" s="1629"/>
      <c r="Y508" s="180" t="s">
        <v>3023</v>
      </c>
      <c r="Z508" s="9">
        <v>43972</v>
      </c>
      <c r="AA508" s="4">
        <v>801629.24</v>
      </c>
      <c r="AB508" s="4"/>
      <c r="AC508" s="34"/>
      <c r="AD508" s="36" t="s">
        <v>68</v>
      </c>
      <c r="AE508" s="119" t="s">
        <v>68</v>
      </c>
      <c r="AF508" s="119" t="s">
        <v>68</v>
      </c>
      <c r="AG508" s="7" t="s">
        <v>68</v>
      </c>
      <c r="AH508" s="116" t="s">
        <v>68</v>
      </c>
      <c r="AI508" s="180" t="s">
        <v>1011</v>
      </c>
      <c r="AJ508" s="2" t="s">
        <v>3605</v>
      </c>
      <c r="AK508" s="263">
        <v>44021</v>
      </c>
      <c r="AL508" s="2" t="s">
        <v>3606</v>
      </c>
      <c r="AM508" s="263">
        <v>44021</v>
      </c>
      <c r="AN508" s="2" t="s">
        <v>3607</v>
      </c>
      <c r="AO508" s="263">
        <v>44093</v>
      </c>
      <c r="AP508" s="306">
        <f>193876.63+77355.05+77331.44</f>
        <v>348563.12</v>
      </c>
      <c r="AQ508" s="37">
        <v>0</v>
      </c>
      <c r="AR508" s="1032">
        <v>773314.41</v>
      </c>
      <c r="AS508" s="1019">
        <v>773314.41</v>
      </c>
      <c r="AT508" s="68" t="s">
        <v>74</v>
      </c>
      <c r="AU508" s="12"/>
      <c r="AV508" s="243" t="s">
        <v>68</v>
      </c>
      <c r="AW508" s="54" t="s">
        <v>68</v>
      </c>
      <c r="AX508" s="78">
        <v>44093</v>
      </c>
      <c r="AY508" s="255">
        <v>44032</v>
      </c>
      <c r="AZ508" s="255">
        <v>44077</v>
      </c>
      <c r="BA508" s="245" t="s">
        <v>68</v>
      </c>
      <c r="BB508" s="78">
        <v>44093</v>
      </c>
      <c r="BC508" s="344"/>
      <c r="BD508" s="5">
        <v>44032</v>
      </c>
      <c r="BE508" s="5">
        <v>44077</v>
      </c>
      <c r="BF508" s="5">
        <v>44093</v>
      </c>
      <c r="BG508" s="270">
        <f t="shared" si="16"/>
        <v>773314.41</v>
      </c>
      <c r="BH508" s="216">
        <v>44093</v>
      </c>
      <c r="BI508" s="372">
        <v>44028</v>
      </c>
      <c r="BJ508" s="76">
        <v>44032</v>
      </c>
      <c r="BK508" s="76">
        <v>44032</v>
      </c>
      <c r="BL508" s="1054"/>
      <c r="BM508" s="1054"/>
      <c r="BN508" s="1054"/>
      <c r="BO508" s="1054"/>
      <c r="BP508" s="1054">
        <v>44095</v>
      </c>
      <c r="BQ508" s="1054"/>
      <c r="BR508" s="1054">
        <v>44074</v>
      </c>
      <c r="BS508" s="372">
        <v>44062</v>
      </c>
      <c r="BT508" s="14"/>
      <c r="BU508" s="166" t="s">
        <v>3608</v>
      </c>
      <c r="BV508" s="166" t="s">
        <v>551</v>
      </c>
      <c r="BW508" s="166" t="s">
        <v>3583</v>
      </c>
      <c r="BX508" s="166" t="s">
        <v>3589</v>
      </c>
      <c r="BY508" s="1433" t="s">
        <v>2098</v>
      </c>
      <c r="BZ508" s="40" t="s">
        <v>3609</v>
      </c>
      <c r="CA508" s="582"/>
      <c r="CB508" s="582"/>
      <c r="CC508" s="582"/>
      <c r="CD508" s="582"/>
      <c r="CE508" s="582"/>
      <c r="CF508" s="582"/>
      <c r="CG508" s="582"/>
      <c r="CH508" s="16"/>
    </row>
    <row r="509" spans="2:86" ht="140.25" hidden="1" customHeight="1">
      <c r="B509" s="23"/>
      <c r="C509" s="23"/>
      <c r="D509" s="23"/>
      <c r="E509" s="1051">
        <v>44075</v>
      </c>
      <c r="F509" s="1051"/>
      <c r="G509" s="1055">
        <v>44279</v>
      </c>
      <c r="H509" s="365">
        <v>44080</v>
      </c>
      <c r="I509" s="182">
        <v>2020</v>
      </c>
      <c r="J509" s="1678">
        <v>206.22</v>
      </c>
      <c r="K509" s="716" t="s">
        <v>77</v>
      </c>
      <c r="L509" s="191" t="s">
        <v>2962</v>
      </c>
      <c r="M509" s="185" t="s">
        <v>79</v>
      </c>
      <c r="N509" s="186" t="s">
        <v>3021</v>
      </c>
      <c r="O509" s="186" t="s">
        <v>3664</v>
      </c>
      <c r="P509" s="187">
        <v>844236.05</v>
      </c>
      <c r="Q509" s="664">
        <v>44021</v>
      </c>
      <c r="R509" s="664">
        <v>44027</v>
      </c>
      <c r="S509" s="665">
        <v>44088</v>
      </c>
      <c r="T509" s="578">
        <v>44020</v>
      </c>
      <c r="U509" s="739" t="s">
        <v>3013</v>
      </c>
      <c r="V509" s="716" t="s">
        <v>213</v>
      </c>
      <c r="W509" s="1227">
        <v>43985</v>
      </c>
      <c r="X509" s="1637"/>
      <c r="Y509" s="180" t="s">
        <v>3022</v>
      </c>
      <c r="Z509" s="9">
        <v>43972</v>
      </c>
      <c r="AA509" s="4">
        <f>113550.87+211191.7+524071.24</f>
        <v>848813.81</v>
      </c>
      <c r="AB509" s="4"/>
      <c r="AC509" s="34"/>
      <c r="AD509" s="36" t="s">
        <v>68</v>
      </c>
      <c r="AE509" s="119" t="s">
        <v>68</v>
      </c>
      <c r="AF509" s="119" t="s">
        <v>68</v>
      </c>
      <c r="AG509" s="7" t="s">
        <v>68</v>
      </c>
      <c r="AH509" s="116" t="s">
        <v>68</v>
      </c>
      <c r="AI509" s="180" t="s">
        <v>1011</v>
      </c>
      <c r="AJ509" s="1" t="s">
        <v>68</v>
      </c>
      <c r="AK509" s="5"/>
      <c r="AL509" s="1" t="s">
        <v>3602</v>
      </c>
      <c r="AM509" s="5">
        <v>44021</v>
      </c>
      <c r="AN509" s="202" t="s">
        <v>3603</v>
      </c>
      <c r="AO509" s="5">
        <v>44085</v>
      </c>
      <c r="AP509" s="306">
        <f>84423.61*2</f>
        <v>168847.22</v>
      </c>
      <c r="AQ509" s="37">
        <v>0</v>
      </c>
      <c r="AR509" s="1032">
        <v>947197.91</v>
      </c>
      <c r="AS509" s="1611">
        <f>110457.65+178804.12+446877.13</f>
        <v>736138.9</v>
      </c>
      <c r="AT509" s="68" t="s">
        <v>74</v>
      </c>
      <c r="AU509" s="12"/>
      <c r="AV509" s="243" t="s">
        <v>68</v>
      </c>
      <c r="AW509" s="54" t="s">
        <v>68</v>
      </c>
      <c r="AX509" s="68" t="s">
        <v>74</v>
      </c>
      <c r="AY509" s="5"/>
      <c r="AZ509" s="5"/>
      <c r="BA509" s="12"/>
      <c r="BB509" s="78">
        <v>44085</v>
      </c>
      <c r="BC509" s="344"/>
      <c r="BD509" s="5">
        <v>44027</v>
      </c>
      <c r="BE509" s="5">
        <v>44088</v>
      </c>
      <c r="BF509" s="5">
        <v>44085</v>
      </c>
      <c r="BG509" s="270">
        <f t="shared" si="16"/>
        <v>947197.91</v>
      </c>
      <c r="BH509" s="223">
        <v>44085</v>
      </c>
      <c r="BI509" s="372">
        <v>44028</v>
      </c>
      <c r="BJ509" s="139" t="s">
        <v>74</v>
      </c>
      <c r="BK509" s="139" t="s">
        <v>74</v>
      </c>
      <c r="BL509" s="1462"/>
      <c r="BM509" s="1462"/>
      <c r="BN509" s="1462"/>
      <c r="BO509" s="1054"/>
      <c r="BP509" s="1462" t="s">
        <v>74</v>
      </c>
      <c r="BQ509" s="1462"/>
      <c r="BR509" s="796"/>
      <c r="BS509" s="794" t="s">
        <v>68</v>
      </c>
      <c r="BT509" s="14"/>
      <c r="BU509" s="1544" t="s">
        <v>3608</v>
      </c>
      <c r="BV509" s="14"/>
      <c r="BW509" s="14"/>
      <c r="BX509" s="14"/>
      <c r="BY509" s="1433" t="s">
        <v>2098</v>
      </c>
      <c r="BZ509" s="40" t="s">
        <v>3604</v>
      </c>
      <c r="CA509" s="582"/>
      <c r="CB509" s="582"/>
      <c r="CC509" s="582"/>
      <c r="CD509" s="582"/>
      <c r="CE509" s="582"/>
      <c r="CF509" s="582"/>
      <c r="CG509" s="582"/>
      <c r="CH509" s="16"/>
    </row>
    <row r="510" spans="2:86" ht="75.75" hidden="1" customHeight="1">
      <c r="B510" s="23"/>
      <c r="C510" s="23"/>
      <c r="D510" s="23"/>
      <c r="E510" s="1051">
        <v>44075</v>
      </c>
      <c r="F510" s="1051"/>
      <c r="G510" s="1055">
        <v>44286</v>
      </c>
      <c r="H510" s="365">
        <v>44302</v>
      </c>
      <c r="I510" s="182">
        <v>2020</v>
      </c>
      <c r="J510" s="1678">
        <v>206.23</v>
      </c>
      <c r="K510" s="716" t="s">
        <v>77</v>
      </c>
      <c r="L510" s="191" t="s">
        <v>2963</v>
      </c>
      <c r="M510" s="185" t="s">
        <v>79</v>
      </c>
      <c r="N510" s="186" t="s">
        <v>2982</v>
      </c>
      <c r="O510" s="186" t="s">
        <v>1979</v>
      </c>
      <c r="P510" s="187">
        <v>189588.54</v>
      </c>
      <c r="Q510" s="664">
        <v>44019</v>
      </c>
      <c r="R510" s="664">
        <v>44032</v>
      </c>
      <c r="S510" s="665">
        <v>44051</v>
      </c>
      <c r="T510" s="70">
        <v>44018</v>
      </c>
      <c r="U510" s="739" t="s">
        <v>2972</v>
      </c>
      <c r="V510" s="716" t="s">
        <v>114</v>
      </c>
      <c r="W510" s="740">
        <v>43973</v>
      </c>
      <c r="X510" s="1629"/>
      <c r="Y510" s="180" t="s">
        <v>3048</v>
      </c>
      <c r="Z510" s="9">
        <v>43972</v>
      </c>
      <c r="AA510" s="4">
        <v>240672.69</v>
      </c>
      <c r="AB510" s="4"/>
      <c r="AC510" s="34"/>
      <c r="AD510" s="36" t="s">
        <v>68</v>
      </c>
      <c r="AE510" s="119" t="s">
        <v>68</v>
      </c>
      <c r="AF510" s="119" t="s">
        <v>68</v>
      </c>
      <c r="AG510" s="7" t="s">
        <v>68</v>
      </c>
      <c r="AH510" s="116" t="s">
        <v>68</v>
      </c>
      <c r="AI510" s="180" t="s">
        <v>3596</v>
      </c>
      <c r="AJ510" s="1" t="s">
        <v>3620</v>
      </c>
      <c r="AK510" s="5">
        <v>44019</v>
      </c>
      <c r="AL510" s="1" t="s">
        <v>3621</v>
      </c>
      <c r="AM510" s="5">
        <v>44019</v>
      </c>
      <c r="AN510" s="1" t="s">
        <v>83</v>
      </c>
      <c r="AO510" s="5"/>
      <c r="AP510" s="306">
        <f>47397.15+18958.85</f>
        <v>66356</v>
      </c>
      <c r="AQ510" s="37">
        <v>0</v>
      </c>
      <c r="AR510" s="1032">
        <v>189588.55</v>
      </c>
      <c r="AS510" s="1019">
        <v>189588.55</v>
      </c>
      <c r="AT510" s="68" t="s">
        <v>74</v>
      </c>
      <c r="AU510" s="12"/>
      <c r="AV510" s="243" t="s">
        <v>68</v>
      </c>
      <c r="AW510" s="54" t="s">
        <v>68</v>
      </c>
      <c r="AX510" s="78">
        <v>44042</v>
      </c>
      <c r="AY510" s="255">
        <v>44032</v>
      </c>
      <c r="AZ510" s="255">
        <v>44051</v>
      </c>
      <c r="BA510" s="245">
        <v>44042</v>
      </c>
      <c r="BB510" s="78">
        <v>44047</v>
      </c>
      <c r="BC510" s="344"/>
      <c r="BD510" s="255">
        <v>44032</v>
      </c>
      <c r="BE510" s="255">
        <v>44051</v>
      </c>
      <c r="BF510" s="255">
        <v>44042</v>
      </c>
      <c r="BG510" s="72">
        <f t="shared" si="16"/>
        <v>189588.55</v>
      </c>
      <c r="BH510" s="216">
        <v>44047</v>
      </c>
      <c r="BI510" s="372">
        <v>44028</v>
      </c>
      <c r="BJ510" s="238" t="s">
        <v>74</v>
      </c>
      <c r="BK510" s="238" t="s">
        <v>74</v>
      </c>
      <c r="BL510" s="236"/>
      <c r="BM510" s="236"/>
      <c r="BN510" s="236"/>
      <c r="BO510" s="1054"/>
      <c r="BP510" s="236" t="s">
        <v>74</v>
      </c>
      <c r="BQ510" s="236"/>
      <c r="BR510" s="796"/>
      <c r="BS510" s="794" t="s">
        <v>68</v>
      </c>
      <c r="BT510" s="14"/>
      <c r="BU510" s="1468" t="s">
        <v>3773</v>
      </c>
      <c r="BV510" s="1469" t="s">
        <v>74</v>
      </c>
      <c r="BW510" s="166" t="s">
        <v>3583</v>
      </c>
      <c r="BX510" s="166" t="s">
        <v>3589</v>
      </c>
      <c r="BY510" s="1433" t="s">
        <v>2098</v>
      </c>
      <c r="BZ510" s="40"/>
      <c r="CA510" s="582"/>
      <c r="CB510" s="582"/>
      <c r="CC510" s="582"/>
      <c r="CD510" s="582"/>
      <c r="CE510" s="582"/>
      <c r="CF510" s="582"/>
      <c r="CG510" s="582"/>
      <c r="CH510" s="16"/>
    </row>
    <row r="511" spans="2:86" ht="121.5" hidden="1" customHeight="1">
      <c r="B511" s="23"/>
      <c r="C511" s="1051"/>
      <c r="D511" s="1051"/>
      <c r="E511" s="1051">
        <v>44075</v>
      </c>
      <c r="F511" s="1051"/>
      <c r="G511" s="1055">
        <v>44267</v>
      </c>
      <c r="H511" s="365">
        <v>44267</v>
      </c>
      <c r="I511" s="182">
        <v>2020</v>
      </c>
      <c r="J511" s="1678">
        <v>206.24</v>
      </c>
      <c r="K511" s="716" t="s">
        <v>77</v>
      </c>
      <c r="L511" s="191" t="s">
        <v>2964</v>
      </c>
      <c r="M511" s="185" t="s">
        <v>79</v>
      </c>
      <c r="N511" s="495" t="s">
        <v>3073</v>
      </c>
      <c r="O511" s="495" t="s">
        <v>2574</v>
      </c>
      <c r="P511" s="187">
        <v>1003699.45</v>
      </c>
      <c r="Q511" s="664">
        <v>44028</v>
      </c>
      <c r="R511" s="664">
        <v>44032</v>
      </c>
      <c r="S511" s="665">
        <v>44089</v>
      </c>
      <c r="T511" s="578">
        <v>44026</v>
      </c>
      <c r="U511" s="739" t="s">
        <v>739</v>
      </c>
      <c r="V511" s="716" t="s">
        <v>1107</v>
      </c>
      <c r="W511" s="740">
        <v>44034</v>
      </c>
      <c r="X511" s="1629"/>
      <c r="Y511" s="180" t="s">
        <v>3019</v>
      </c>
      <c r="Z511" s="9">
        <v>43972</v>
      </c>
      <c r="AA511" s="4">
        <v>955219.27</v>
      </c>
      <c r="AB511" s="4"/>
      <c r="AC511" s="34"/>
      <c r="AD511" s="36" t="s">
        <v>68</v>
      </c>
      <c r="AE511" s="119" t="s">
        <v>68</v>
      </c>
      <c r="AF511" s="119" t="s">
        <v>68</v>
      </c>
      <c r="AG511" s="7" t="s">
        <v>68</v>
      </c>
      <c r="AH511" s="116" t="s">
        <v>68</v>
      </c>
      <c r="AI511" s="180" t="s">
        <v>3020</v>
      </c>
      <c r="AJ511" s="71">
        <v>2461253</v>
      </c>
      <c r="AK511" s="255">
        <v>44028</v>
      </c>
      <c r="AL511" s="71">
        <v>2461257</v>
      </c>
      <c r="AM511" s="255">
        <v>44028</v>
      </c>
      <c r="AN511" s="71">
        <v>2477171</v>
      </c>
      <c r="AO511" s="255">
        <v>44101</v>
      </c>
      <c r="AP511" s="306">
        <f>250924.86+100369.94+100369.94</f>
        <v>451664.74</v>
      </c>
      <c r="AQ511" s="37">
        <v>0</v>
      </c>
      <c r="AR511" s="1032">
        <v>961943.47</v>
      </c>
      <c r="AS511" s="1019">
        <v>961942.61</v>
      </c>
      <c r="AT511" s="68" t="s">
        <v>74</v>
      </c>
      <c r="AU511" s="12"/>
      <c r="AV511" s="243" t="s">
        <v>68</v>
      </c>
      <c r="AW511" s="54" t="s">
        <v>68</v>
      </c>
      <c r="AX511" s="78">
        <v>44104</v>
      </c>
      <c r="AY511" s="255">
        <v>44032</v>
      </c>
      <c r="AZ511" s="255">
        <v>44089</v>
      </c>
      <c r="BA511" s="245" t="s">
        <v>68</v>
      </c>
      <c r="BB511" s="78">
        <v>44105</v>
      </c>
      <c r="BC511" s="344"/>
      <c r="BD511" s="5">
        <v>44032</v>
      </c>
      <c r="BE511" s="5">
        <v>44089</v>
      </c>
      <c r="BF511" s="5">
        <v>44100</v>
      </c>
      <c r="BG511" s="38">
        <v>961943.47</v>
      </c>
      <c r="BH511" s="216">
        <v>44105</v>
      </c>
      <c r="BI511" s="1458" t="s">
        <v>74</v>
      </c>
      <c r="BJ511" s="238" t="s">
        <v>74</v>
      </c>
      <c r="BK511" s="76">
        <v>44032</v>
      </c>
      <c r="BL511" s="1282" t="s">
        <v>68</v>
      </c>
      <c r="BM511" s="238" t="s">
        <v>74</v>
      </c>
      <c r="BN511" s="238" t="s">
        <v>74</v>
      </c>
      <c r="BO511" s="1054" t="s">
        <v>74</v>
      </c>
      <c r="BP511" s="1054">
        <v>44102</v>
      </c>
      <c r="BQ511" s="1054"/>
      <c r="BR511" s="1283" t="s">
        <v>551</v>
      </c>
      <c r="BS511" s="794" t="s">
        <v>68</v>
      </c>
      <c r="BT511" s="14"/>
      <c r="BU511" s="166" t="s">
        <v>3608</v>
      </c>
      <c r="BV511" s="166" t="s">
        <v>3594</v>
      </c>
      <c r="BW511" s="166" t="s">
        <v>3583</v>
      </c>
      <c r="BX511" s="166" t="s">
        <v>3589</v>
      </c>
      <c r="BY511" s="1433" t="s">
        <v>2098</v>
      </c>
      <c r="BZ511" s="40"/>
      <c r="CA511" s="582"/>
      <c r="CB511" s="582"/>
      <c r="CC511" s="582"/>
      <c r="CD511" s="582"/>
      <c r="CE511" s="582"/>
      <c r="CF511" s="582"/>
      <c r="CG511" s="582"/>
      <c r="CH511" s="16"/>
    </row>
    <row r="512" spans="2:86" ht="156" hidden="1" customHeight="1">
      <c r="B512" s="23"/>
      <c r="C512" s="1051"/>
      <c r="D512" s="1051"/>
      <c r="E512" s="1051">
        <v>44075</v>
      </c>
      <c r="F512" s="1051"/>
      <c r="G512" s="1055">
        <v>44267</v>
      </c>
      <c r="H512" s="365">
        <v>44267</v>
      </c>
      <c r="I512" s="182">
        <v>2020</v>
      </c>
      <c r="J512" s="1678">
        <v>206.25</v>
      </c>
      <c r="K512" s="716" t="s">
        <v>77</v>
      </c>
      <c r="L512" s="191" t="s">
        <v>3050</v>
      </c>
      <c r="M512" s="185" t="s">
        <v>79</v>
      </c>
      <c r="N512" s="495" t="s">
        <v>3218</v>
      </c>
      <c r="O512" s="495" t="s">
        <v>2574</v>
      </c>
      <c r="P512" s="661">
        <v>961974.96</v>
      </c>
      <c r="Q512" s="664">
        <v>44028</v>
      </c>
      <c r="R512" s="664">
        <v>44032</v>
      </c>
      <c r="S512" s="665">
        <v>44089</v>
      </c>
      <c r="T512" s="578">
        <v>44026</v>
      </c>
      <c r="U512" s="739" t="s">
        <v>739</v>
      </c>
      <c r="V512" s="716" t="s">
        <v>1107</v>
      </c>
      <c r="W512" s="740">
        <v>44034</v>
      </c>
      <c r="X512" s="1629"/>
      <c r="Y512" s="180" t="s">
        <v>3019</v>
      </c>
      <c r="Z512" s="9">
        <v>43972</v>
      </c>
      <c r="AA512" s="85">
        <f>801868.45+112115.45</f>
        <v>913983.89999999991</v>
      </c>
      <c r="AB512" s="4"/>
      <c r="AC512" s="34"/>
      <c r="AD512" s="36" t="s">
        <v>68</v>
      </c>
      <c r="AE512" s="119" t="s">
        <v>68</v>
      </c>
      <c r="AF512" s="119" t="s">
        <v>68</v>
      </c>
      <c r="AG512" s="7" t="s">
        <v>68</v>
      </c>
      <c r="AH512" s="116" t="s">
        <v>68</v>
      </c>
      <c r="AI512" s="180" t="s">
        <v>3020</v>
      </c>
      <c r="AJ512" s="71">
        <v>2461266</v>
      </c>
      <c r="AK512" s="255">
        <v>44028</v>
      </c>
      <c r="AL512" s="71">
        <v>2461270</v>
      </c>
      <c r="AM512" s="255">
        <v>44028</v>
      </c>
      <c r="AN512" s="71">
        <v>2477176</v>
      </c>
      <c r="AO512" s="5">
        <v>44101</v>
      </c>
      <c r="AP512" s="306">
        <f>240493.73+96197.49+96197.49</f>
        <v>432888.71</v>
      </c>
      <c r="AQ512" s="37">
        <v>0</v>
      </c>
      <c r="AR512" s="1038">
        <v>976127.66</v>
      </c>
      <c r="AS512" s="1611">
        <v>842373.69</v>
      </c>
      <c r="AT512" s="68" t="s">
        <v>74</v>
      </c>
      <c r="AU512" s="12"/>
      <c r="AV512" s="243" t="s">
        <v>68</v>
      </c>
      <c r="AW512" s="54" t="s">
        <v>68</v>
      </c>
      <c r="AX512" s="78">
        <v>44104</v>
      </c>
      <c r="AY512" s="255">
        <v>44032</v>
      </c>
      <c r="AZ512" s="255">
        <v>44089</v>
      </c>
      <c r="BA512" s="245" t="s">
        <v>68</v>
      </c>
      <c r="BB512" s="78">
        <v>44105</v>
      </c>
      <c r="BC512" s="344"/>
      <c r="BD512" s="255">
        <v>44032</v>
      </c>
      <c r="BE512" s="255">
        <v>44089</v>
      </c>
      <c r="BF512" s="255">
        <v>44100</v>
      </c>
      <c r="BG512" s="72">
        <f>854170.84+121956.82</f>
        <v>976127.65999999992</v>
      </c>
      <c r="BH512" s="216">
        <v>44105</v>
      </c>
      <c r="BI512" s="1458" t="s">
        <v>74</v>
      </c>
      <c r="BJ512" s="238" t="s">
        <v>74</v>
      </c>
      <c r="BK512" s="76">
        <v>44032</v>
      </c>
      <c r="BL512" s="1282" t="s">
        <v>68</v>
      </c>
      <c r="BM512" s="238" t="s">
        <v>74</v>
      </c>
      <c r="BN512" s="238" t="s">
        <v>74</v>
      </c>
      <c r="BO512" s="1054" t="s">
        <v>74</v>
      </c>
      <c r="BP512" s="1054">
        <v>44102</v>
      </c>
      <c r="BQ512" s="1054"/>
      <c r="BR512" s="1283" t="s">
        <v>551</v>
      </c>
      <c r="BS512" s="794" t="s">
        <v>68</v>
      </c>
      <c r="BT512" s="14"/>
      <c r="BU512" s="166" t="s">
        <v>3608</v>
      </c>
      <c r="BV512" s="166" t="s">
        <v>3594</v>
      </c>
      <c r="BW512" s="166" t="s">
        <v>3583</v>
      </c>
      <c r="BX512" s="166" t="s">
        <v>3589</v>
      </c>
      <c r="BY512" s="1433" t="s">
        <v>2098</v>
      </c>
      <c r="BZ512" s="40"/>
      <c r="CA512" s="582"/>
      <c r="CB512" s="582"/>
      <c r="CC512" s="582"/>
      <c r="CD512" s="582"/>
      <c r="CE512" s="582"/>
      <c r="CF512" s="582"/>
      <c r="CG512" s="582"/>
      <c r="CH512" s="16"/>
    </row>
    <row r="513" spans="2:86" ht="117.75" hidden="1" customHeight="1">
      <c r="B513" s="23"/>
      <c r="C513" s="1718">
        <v>44494</v>
      </c>
      <c r="D513" s="1718"/>
      <c r="E513" s="1051">
        <v>44075</v>
      </c>
      <c r="F513" s="1051"/>
      <c r="G513" s="1055">
        <v>44278</v>
      </c>
      <c r="H513" s="365">
        <v>44295</v>
      </c>
      <c r="I513" s="182">
        <v>2020</v>
      </c>
      <c r="J513" s="1678">
        <v>206.26</v>
      </c>
      <c r="K513" s="716" t="s">
        <v>77</v>
      </c>
      <c r="L513" s="191" t="s">
        <v>3011</v>
      </c>
      <c r="M513" s="185" t="s">
        <v>79</v>
      </c>
      <c r="N513" s="186" t="s">
        <v>3245</v>
      </c>
      <c r="O513" s="186" t="s">
        <v>2574</v>
      </c>
      <c r="P513" s="187">
        <v>720809.67</v>
      </c>
      <c r="Q513" s="664">
        <v>44076</v>
      </c>
      <c r="R513" s="664">
        <v>44069</v>
      </c>
      <c r="S513" s="665">
        <v>44142</v>
      </c>
      <c r="T513" s="578">
        <v>44074</v>
      </c>
      <c r="U513" s="739" t="s">
        <v>1319</v>
      </c>
      <c r="V513" s="716" t="s">
        <v>984</v>
      </c>
      <c r="W513" s="688" t="s">
        <v>4072</v>
      </c>
      <c r="X513" s="1623"/>
      <c r="Y513" s="180" t="s">
        <v>3019</v>
      </c>
      <c r="Z513" s="9">
        <v>43972</v>
      </c>
      <c r="AA513" s="4">
        <v>725198.91</v>
      </c>
      <c r="AB513" s="4"/>
      <c r="AC513" s="34"/>
      <c r="AD513" s="36" t="s">
        <v>68</v>
      </c>
      <c r="AE513" s="119" t="s">
        <v>68</v>
      </c>
      <c r="AF513" s="119" t="s">
        <v>68</v>
      </c>
      <c r="AG513" s="7" t="s">
        <v>68</v>
      </c>
      <c r="AH513" s="116" t="s">
        <v>68</v>
      </c>
      <c r="AI513" s="180" t="s">
        <v>1011</v>
      </c>
      <c r="AJ513" s="2" t="s">
        <v>3590</v>
      </c>
      <c r="AK513" s="263">
        <v>44076</v>
      </c>
      <c r="AL513" s="2" t="s">
        <v>3591</v>
      </c>
      <c r="AM513" s="263">
        <v>44076</v>
      </c>
      <c r="AN513" s="2" t="s">
        <v>3592</v>
      </c>
      <c r="AO513" s="263">
        <v>44148</v>
      </c>
      <c r="AP513" s="306">
        <f>180202.41+72080.97+82245.12</f>
        <v>334528.5</v>
      </c>
      <c r="AQ513" s="37">
        <v>0</v>
      </c>
      <c r="AR513" s="1032">
        <v>822451.21</v>
      </c>
      <c r="AS513" s="1019">
        <v>822451.22</v>
      </c>
      <c r="AT513" s="359">
        <v>44123</v>
      </c>
      <c r="AU513" s="12">
        <v>44196</v>
      </c>
      <c r="AV513" s="243" t="s">
        <v>68</v>
      </c>
      <c r="AW513" s="54" t="s">
        <v>68</v>
      </c>
      <c r="AX513" s="78">
        <v>44147</v>
      </c>
      <c r="AY513" s="5">
        <v>44069</v>
      </c>
      <c r="AZ513" s="60">
        <v>44148</v>
      </c>
      <c r="BA513" s="12" t="s">
        <v>68</v>
      </c>
      <c r="BB513" s="78">
        <v>44148</v>
      </c>
      <c r="BC513" s="344"/>
      <c r="BD513" s="5">
        <v>44069</v>
      </c>
      <c r="BE513" s="5">
        <v>44142</v>
      </c>
      <c r="BF513" s="5">
        <v>44148</v>
      </c>
      <c r="BG513" s="38">
        <v>822451.21</v>
      </c>
      <c r="BH513" s="216">
        <v>44148</v>
      </c>
      <c r="BI513" s="372">
        <v>44068</v>
      </c>
      <c r="BJ513" s="238" t="s">
        <v>74</v>
      </c>
      <c r="BK513" s="238" t="s">
        <v>74</v>
      </c>
      <c r="BL513" s="1282" t="s">
        <v>68</v>
      </c>
      <c r="BM513" s="238" t="s">
        <v>74</v>
      </c>
      <c r="BN513" s="238" t="s">
        <v>74</v>
      </c>
      <c r="BO513" s="1054" t="s">
        <v>74</v>
      </c>
      <c r="BP513" s="1054">
        <v>44145</v>
      </c>
      <c r="BQ513" s="1054"/>
      <c r="BR513" s="1054">
        <v>44130</v>
      </c>
      <c r="BS513" s="794" t="s">
        <v>68</v>
      </c>
      <c r="BT513" s="14"/>
      <c r="BU513" s="1545" t="s">
        <v>3613</v>
      </c>
      <c r="BV513" s="166" t="s">
        <v>3594</v>
      </c>
      <c r="BW513" s="166" t="s">
        <v>3583</v>
      </c>
      <c r="BX513" s="166" t="s">
        <v>3589</v>
      </c>
      <c r="BY513" s="1433" t="s">
        <v>2098</v>
      </c>
      <c r="BZ513" s="40"/>
      <c r="CA513" s="582"/>
      <c r="CB513" s="582"/>
      <c r="CC513" s="582"/>
      <c r="CD513" s="582"/>
      <c r="CE513" s="582"/>
      <c r="CF513" s="582"/>
      <c r="CG513" s="582"/>
      <c r="CH513" s="16"/>
    </row>
    <row r="514" spans="2:86" ht="67.5" hidden="1" customHeight="1">
      <c r="B514" s="23"/>
      <c r="C514" s="23"/>
      <c r="D514" s="23"/>
      <c r="E514" s="1051"/>
      <c r="F514" s="1051"/>
      <c r="G514" s="1055">
        <v>44278</v>
      </c>
      <c r="H514" s="365">
        <v>44295</v>
      </c>
      <c r="I514" s="182">
        <v>2020</v>
      </c>
      <c r="J514" s="1678">
        <v>206.27</v>
      </c>
      <c r="K514" s="716" t="s">
        <v>77</v>
      </c>
      <c r="L514" s="191" t="s">
        <v>3012</v>
      </c>
      <c r="M514" s="185" t="s">
        <v>3252</v>
      </c>
      <c r="N514" s="186" t="s">
        <v>3373</v>
      </c>
      <c r="O514" s="186" t="s">
        <v>1979</v>
      </c>
      <c r="P514" s="187">
        <v>2630623.62</v>
      </c>
      <c r="Q514" s="664">
        <v>44007</v>
      </c>
      <c r="R514" s="189">
        <v>44008</v>
      </c>
      <c r="S514" s="190">
        <v>44099</v>
      </c>
      <c r="T514" s="774" t="s">
        <v>68</v>
      </c>
      <c r="U514" s="739" t="s">
        <v>3374</v>
      </c>
      <c r="V514" s="716" t="s">
        <v>449</v>
      </c>
      <c r="W514" s="505" t="s">
        <v>74</v>
      </c>
      <c r="X514" s="1623"/>
      <c r="Y514" s="180" t="s">
        <v>3582</v>
      </c>
      <c r="Z514" s="9">
        <v>44021</v>
      </c>
      <c r="AA514" s="1456">
        <v>2631731.1800000002</v>
      </c>
      <c r="AB514" s="4"/>
      <c r="AC514" s="34"/>
      <c r="AD514" s="36">
        <v>43983</v>
      </c>
      <c r="AE514" s="119">
        <v>43990</v>
      </c>
      <c r="AF514" s="119">
        <v>43990</v>
      </c>
      <c r="AG514" s="7">
        <v>44000</v>
      </c>
      <c r="AH514" s="116">
        <v>44007</v>
      </c>
      <c r="AI514" s="180" t="s">
        <v>1270</v>
      </c>
      <c r="AJ514" s="1" t="s">
        <v>68</v>
      </c>
      <c r="AK514" s="5"/>
      <c r="AL514" s="1457" t="s">
        <v>74</v>
      </c>
      <c r="AM514" s="263"/>
      <c r="AN514" s="2" t="s">
        <v>3585</v>
      </c>
      <c r="AO514" s="5">
        <v>44100</v>
      </c>
      <c r="AP514" s="306">
        <f>263173.42</f>
        <v>263173.42</v>
      </c>
      <c r="AQ514" s="37">
        <v>0</v>
      </c>
      <c r="AR514" s="1032">
        <v>2631734.15</v>
      </c>
      <c r="AS514" s="1611">
        <v>2729206.78</v>
      </c>
      <c r="AT514" s="68" t="s">
        <v>74</v>
      </c>
      <c r="AU514" s="12"/>
      <c r="AV514" s="243" t="s">
        <v>68</v>
      </c>
      <c r="AW514" s="54" t="s">
        <v>68</v>
      </c>
      <c r="AX514" s="78">
        <v>44100</v>
      </c>
      <c r="AY514" s="255">
        <v>44008</v>
      </c>
      <c r="AZ514" s="255">
        <v>44100</v>
      </c>
      <c r="BA514" s="245">
        <v>44098</v>
      </c>
      <c r="BB514" s="78">
        <v>44100</v>
      </c>
      <c r="BC514" s="344"/>
      <c r="BD514" s="5">
        <v>44008</v>
      </c>
      <c r="BE514" s="5">
        <v>44100</v>
      </c>
      <c r="BF514" s="5">
        <v>44098</v>
      </c>
      <c r="BG514" s="38">
        <v>461128.74</v>
      </c>
      <c r="BH514" s="216">
        <v>44100</v>
      </c>
      <c r="BI514" s="1458" t="s">
        <v>74</v>
      </c>
      <c r="BJ514" s="238" t="s">
        <v>74</v>
      </c>
      <c r="BK514" s="238" t="s">
        <v>74</v>
      </c>
      <c r="BL514" s="1282" t="s">
        <v>68</v>
      </c>
      <c r="BM514" s="238" t="s">
        <v>74</v>
      </c>
      <c r="BN514" s="238" t="s">
        <v>74</v>
      </c>
      <c r="BO514" s="1054" t="s">
        <v>74</v>
      </c>
      <c r="BP514" s="236" t="s">
        <v>74</v>
      </c>
      <c r="BQ514" s="236"/>
      <c r="BR514" s="796"/>
      <c r="BS514" s="794" t="s">
        <v>68</v>
      </c>
      <c r="BT514" s="14"/>
      <c r="BU514" s="1460" t="s">
        <v>3773</v>
      </c>
      <c r="BV514" s="14" t="s">
        <v>551</v>
      </c>
      <c r="BW514" s="1459" t="s">
        <v>3583</v>
      </c>
      <c r="BX514" s="166" t="s">
        <v>3584</v>
      </c>
      <c r="BY514" s="1433" t="s">
        <v>2098</v>
      </c>
      <c r="BZ514" s="40"/>
      <c r="CA514" s="582"/>
      <c r="CB514" s="582"/>
      <c r="CC514" s="582"/>
      <c r="CD514" s="582"/>
      <c r="CE514" s="582"/>
      <c r="CF514" s="582"/>
      <c r="CG514" s="582"/>
      <c r="CH514" s="16"/>
    </row>
    <row r="515" spans="2:86" ht="64.5" hidden="1" customHeight="1">
      <c r="B515" s="23"/>
      <c r="C515" s="1719">
        <v>44494</v>
      </c>
      <c r="D515" s="1719"/>
      <c r="E515" s="1051"/>
      <c r="F515" s="1051"/>
      <c r="G515" s="1055">
        <v>44516</v>
      </c>
      <c r="H515" s="365">
        <v>44309</v>
      </c>
      <c r="I515" s="182">
        <v>2020</v>
      </c>
      <c r="J515" s="1678">
        <v>206.28</v>
      </c>
      <c r="K515" s="1232" t="s">
        <v>867</v>
      </c>
      <c r="L515" s="191" t="s">
        <v>3251</v>
      </c>
      <c r="M515" s="185" t="s">
        <v>3252</v>
      </c>
      <c r="N515" s="186" t="s">
        <v>3253</v>
      </c>
      <c r="O515" s="186" t="s">
        <v>2574</v>
      </c>
      <c r="P515" s="187">
        <v>8270578.4299999997</v>
      </c>
      <c r="Q515" s="664">
        <v>44120</v>
      </c>
      <c r="R515" s="189">
        <v>44123</v>
      </c>
      <c r="S515" s="190">
        <v>44176</v>
      </c>
      <c r="T515" s="578" t="s">
        <v>1431</v>
      </c>
      <c r="U515" s="1231" t="s">
        <v>739</v>
      </c>
      <c r="V515" s="1232" t="s">
        <v>3297</v>
      </c>
      <c r="W515" s="688" t="s">
        <v>4072</v>
      </c>
      <c r="X515" s="1625" t="s">
        <v>3910</v>
      </c>
      <c r="Y515" s="180" t="s">
        <v>3333</v>
      </c>
      <c r="Z515" s="137">
        <v>44021</v>
      </c>
      <c r="AA515" s="85">
        <v>10000000</v>
      </c>
      <c r="AB515" s="759" t="s">
        <v>3334</v>
      </c>
      <c r="AC515" s="34">
        <v>10000000</v>
      </c>
      <c r="AD515" s="1568">
        <v>44099</v>
      </c>
      <c r="AE515" s="1569">
        <v>44102</v>
      </c>
      <c r="AF515" s="1569">
        <v>44103</v>
      </c>
      <c r="AG515" s="647">
        <v>44109</v>
      </c>
      <c r="AH515" s="644">
        <v>44113</v>
      </c>
      <c r="AI515" s="491" t="s">
        <v>3874</v>
      </c>
      <c r="AJ515" s="1" t="s">
        <v>68</v>
      </c>
      <c r="AK515" s="5"/>
      <c r="AL515" s="1">
        <v>2489379</v>
      </c>
      <c r="AM515" s="5">
        <v>44123</v>
      </c>
      <c r="AN515" s="1">
        <v>2537213</v>
      </c>
      <c r="AO515" s="5">
        <v>44272</v>
      </c>
      <c r="AP515" s="306">
        <f>827057.84*2</f>
        <v>1654115.68</v>
      </c>
      <c r="AQ515" s="37">
        <v>0</v>
      </c>
      <c r="AR515" s="1032">
        <v>8270576.8799999999</v>
      </c>
      <c r="AS515" s="1019">
        <f>9999989.88-AR516</f>
        <v>8270576.870000001</v>
      </c>
      <c r="AT515" s="75">
        <v>44123</v>
      </c>
      <c r="AU515" s="12">
        <v>44196</v>
      </c>
      <c r="AV515" s="243" t="s">
        <v>68</v>
      </c>
      <c r="AW515" s="54" t="s">
        <v>68</v>
      </c>
      <c r="AX515" s="359">
        <v>44200</v>
      </c>
      <c r="AY515" s="5">
        <v>44123</v>
      </c>
      <c r="AZ515" s="5">
        <v>44196</v>
      </c>
      <c r="BA515" s="12">
        <v>44196</v>
      </c>
      <c r="BB515" s="75">
        <v>44200</v>
      </c>
      <c r="BC515" s="1950"/>
      <c r="BD515" s="5">
        <v>44123</v>
      </c>
      <c r="BE515" s="60">
        <v>44196</v>
      </c>
      <c r="BF515" s="60">
        <v>44196</v>
      </c>
      <c r="BG515" s="1222">
        <v>8270576.8799999999</v>
      </c>
      <c r="BH515" s="1209">
        <v>44200</v>
      </c>
      <c r="BI515" s="372">
        <v>44123</v>
      </c>
      <c r="BJ515" s="76">
        <v>44123</v>
      </c>
      <c r="BK515" s="76">
        <v>44123</v>
      </c>
      <c r="BL515" s="1054">
        <v>44123</v>
      </c>
      <c r="BM515" s="1282">
        <v>44109</v>
      </c>
      <c r="BN515" s="1282">
        <v>44109</v>
      </c>
      <c r="BO515" s="1054" t="s">
        <v>74</v>
      </c>
      <c r="BP515" s="1282">
        <v>44196</v>
      </c>
      <c r="BQ515" s="1282">
        <v>44196</v>
      </c>
      <c r="BR515" s="1054" t="s">
        <v>3875</v>
      </c>
      <c r="BS515" s="794" t="s">
        <v>68</v>
      </c>
      <c r="BT515" s="14"/>
      <c r="BU515" s="1544" t="s">
        <v>3608</v>
      </c>
      <c r="BV515" s="14"/>
      <c r="BW515" s="14"/>
      <c r="BX515" s="14"/>
      <c r="BY515" s="1433" t="s">
        <v>2098</v>
      </c>
      <c r="BZ515" s="40"/>
      <c r="CA515" s="582"/>
      <c r="CB515" s="582"/>
      <c r="CC515" s="582"/>
      <c r="CD515" s="582"/>
      <c r="CE515" s="582"/>
      <c r="CF515" s="582"/>
      <c r="CG515" s="582"/>
      <c r="CH515" s="16"/>
    </row>
    <row r="516" spans="2:86" ht="72" hidden="1" customHeight="1">
      <c r="B516" s="23"/>
      <c r="C516" s="1719">
        <v>44494</v>
      </c>
      <c r="D516" s="1719"/>
      <c r="E516" s="1051"/>
      <c r="F516" s="1051"/>
      <c r="G516" s="1055">
        <v>44516</v>
      </c>
      <c r="H516" s="365">
        <v>44309</v>
      </c>
      <c r="I516" s="182">
        <v>2020</v>
      </c>
      <c r="J516" s="1678">
        <v>206.29</v>
      </c>
      <c r="K516" s="716" t="s">
        <v>867</v>
      </c>
      <c r="L516" s="191" t="s">
        <v>3394</v>
      </c>
      <c r="M516" s="185" t="s">
        <v>3252</v>
      </c>
      <c r="N516" s="495" t="s">
        <v>3331</v>
      </c>
      <c r="O516" s="495" t="s">
        <v>2574</v>
      </c>
      <c r="P516" s="187">
        <v>1729413</v>
      </c>
      <c r="Q516" s="1146">
        <v>44485</v>
      </c>
      <c r="R516" s="189">
        <v>44123</v>
      </c>
      <c r="S516" s="190">
        <v>44196</v>
      </c>
      <c r="T516" s="578" t="s">
        <v>1431</v>
      </c>
      <c r="U516" s="739" t="s">
        <v>3332</v>
      </c>
      <c r="V516" s="1232" t="s">
        <v>3297</v>
      </c>
      <c r="W516" s="688" t="s">
        <v>4072</v>
      </c>
      <c r="X516" s="1625" t="s">
        <v>3910</v>
      </c>
      <c r="Y516" s="180" t="s">
        <v>3333</v>
      </c>
      <c r="Z516" s="9">
        <v>44021</v>
      </c>
      <c r="AA516" s="4">
        <v>10000000</v>
      </c>
      <c r="AB516" s="759" t="s">
        <v>3334</v>
      </c>
      <c r="AC516" s="34">
        <v>10000000</v>
      </c>
      <c r="AD516" s="1568">
        <v>44099</v>
      </c>
      <c r="AE516" s="1569">
        <v>44102</v>
      </c>
      <c r="AF516" s="1569">
        <v>44103</v>
      </c>
      <c r="AG516" s="1570">
        <v>44109</v>
      </c>
      <c r="AH516" s="444">
        <v>44113</v>
      </c>
      <c r="AI516" s="380" t="s">
        <v>1011</v>
      </c>
      <c r="AJ516" s="1" t="s">
        <v>68</v>
      </c>
      <c r="AK516" s="5"/>
      <c r="AL516" s="1" t="s">
        <v>3876</v>
      </c>
      <c r="AM516" s="5">
        <v>44120</v>
      </c>
      <c r="AN516" s="1" t="s">
        <v>3877</v>
      </c>
      <c r="AO516" s="5">
        <v>44196</v>
      </c>
      <c r="AP516" s="306">
        <f>172941.3+172941.3</f>
        <v>345882.6</v>
      </c>
      <c r="AQ516" s="37">
        <v>0</v>
      </c>
      <c r="AR516" s="1032">
        <v>1729413.01</v>
      </c>
      <c r="AS516" s="1019">
        <f>9999989.88-AR515</f>
        <v>1729413.0000000009</v>
      </c>
      <c r="AT516" s="75">
        <v>44123</v>
      </c>
      <c r="AU516" s="12">
        <v>44196</v>
      </c>
      <c r="AV516" s="243" t="s">
        <v>68</v>
      </c>
      <c r="AW516" s="54" t="s">
        <v>68</v>
      </c>
      <c r="AX516" s="359">
        <v>44200</v>
      </c>
      <c r="AY516" s="714">
        <v>44123</v>
      </c>
      <c r="AZ516" s="714">
        <v>44196</v>
      </c>
      <c r="BA516" s="1606">
        <v>44196</v>
      </c>
      <c r="BB516" s="271">
        <v>44200</v>
      </c>
      <c r="BC516" s="1838"/>
      <c r="BD516" s="5">
        <v>44123</v>
      </c>
      <c r="BE516" s="5">
        <v>44196</v>
      </c>
      <c r="BF516" s="5">
        <v>44196</v>
      </c>
      <c r="BG516" s="38">
        <f>AQ516+AR516</f>
        <v>1729413.01</v>
      </c>
      <c r="BH516" s="264">
        <v>44200</v>
      </c>
      <c r="BI516" s="372">
        <v>44123</v>
      </c>
      <c r="BJ516" s="76">
        <v>44123</v>
      </c>
      <c r="BK516" s="76">
        <v>44123</v>
      </c>
      <c r="BL516" s="1054">
        <v>44123</v>
      </c>
      <c r="BM516" s="1282">
        <v>44109</v>
      </c>
      <c r="BN516" s="1282">
        <v>44109</v>
      </c>
      <c r="BO516" s="1054" t="s">
        <v>74</v>
      </c>
      <c r="BP516" s="1282">
        <v>44196</v>
      </c>
      <c r="BQ516" s="1282">
        <v>44196</v>
      </c>
      <c r="BR516" s="1283" t="s">
        <v>3878</v>
      </c>
      <c r="BS516" s="794" t="s">
        <v>68</v>
      </c>
      <c r="BT516" s="14"/>
      <c r="BU516" s="1545" t="s">
        <v>3608</v>
      </c>
      <c r="BV516" s="14"/>
      <c r="BW516" s="14"/>
      <c r="BX516" s="14"/>
      <c r="BY516" s="1433" t="s">
        <v>2098</v>
      </c>
      <c r="BZ516" s="40"/>
      <c r="CA516" s="582"/>
      <c r="CB516" s="582"/>
      <c r="CC516" s="582"/>
      <c r="CD516" s="582"/>
      <c r="CE516" s="582"/>
      <c r="CF516" s="582"/>
      <c r="CG516" s="582"/>
      <c r="CH516" s="16"/>
    </row>
    <row r="517" spans="2:86" ht="89.25" hidden="1" customHeight="1">
      <c r="B517" s="23"/>
      <c r="C517" s="1719">
        <v>44494</v>
      </c>
      <c r="D517" s="1719"/>
      <c r="E517" s="1051"/>
      <c r="F517" s="1051"/>
      <c r="G517" s="1055">
        <v>44516</v>
      </c>
      <c r="H517" s="365">
        <v>44309</v>
      </c>
      <c r="I517" s="182">
        <v>2020</v>
      </c>
      <c r="J517" s="1678">
        <v>206.3</v>
      </c>
      <c r="K517" s="716" t="s">
        <v>867</v>
      </c>
      <c r="L517" s="191" t="s">
        <v>3396</v>
      </c>
      <c r="M517" s="185" t="s">
        <v>3252</v>
      </c>
      <c r="N517" s="495" t="s">
        <v>3398</v>
      </c>
      <c r="O517" s="495" t="s">
        <v>1979</v>
      </c>
      <c r="P517" s="187">
        <v>4896549.54</v>
      </c>
      <c r="Q517" s="664">
        <v>44110</v>
      </c>
      <c r="R517" s="189">
        <v>44130</v>
      </c>
      <c r="S517" s="190">
        <v>44196</v>
      </c>
      <c r="T517" s="578">
        <v>44109</v>
      </c>
      <c r="U517" s="739" t="s">
        <v>2977</v>
      </c>
      <c r="V517" s="183" t="s">
        <v>3087</v>
      </c>
      <c r="W517" s="685" t="s">
        <v>352</v>
      </c>
      <c r="X517" s="1625" t="s">
        <v>3910</v>
      </c>
      <c r="Y517" s="180" t="s">
        <v>3335</v>
      </c>
      <c r="Z517" s="9">
        <v>44049</v>
      </c>
      <c r="AA517" s="4">
        <v>10000000</v>
      </c>
      <c r="AB517" s="759" t="s">
        <v>3334</v>
      </c>
      <c r="AC517" s="34">
        <v>10000000</v>
      </c>
      <c r="AD517" s="1572">
        <v>44099</v>
      </c>
      <c r="AE517" s="1569">
        <v>44102</v>
      </c>
      <c r="AF517" s="1569">
        <v>44103</v>
      </c>
      <c r="AG517" s="1570">
        <v>44109</v>
      </c>
      <c r="AH517" s="1571">
        <v>44109</v>
      </c>
      <c r="AI517" s="491" t="s">
        <v>1289</v>
      </c>
      <c r="AJ517" s="1" t="s">
        <v>68</v>
      </c>
      <c r="AK517" s="5"/>
      <c r="AL517" s="1">
        <v>20081</v>
      </c>
      <c r="AM517" s="5">
        <v>44110</v>
      </c>
      <c r="AN517" s="379">
        <v>20088</v>
      </c>
      <c r="AO517" s="5">
        <v>44286</v>
      </c>
      <c r="AP517" s="306">
        <f>517042.39+517042.39</f>
        <v>1034084.78</v>
      </c>
      <c r="AQ517" s="37">
        <v>0</v>
      </c>
      <c r="AR517" s="1032">
        <v>5170423.96</v>
      </c>
      <c r="AS517" s="1019">
        <f>9799999.53-AR518</f>
        <v>5170523.97</v>
      </c>
      <c r="AT517" s="75">
        <v>44130</v>
      </c>
      <c r="AU517" s="134">
        <v>44196</v>
      </c>
      <c r="AV517" s="243" t="s">
        <v>68</v>
      </c>
      <c r="AW517" s="54" t="s">
        <v>68</v>
      </c>
      <c r="AX517" s="359">
        <v>44287</v>
      </c>
      <c r="AY517" s="5">
        <v>44130</v>
      </c>
      <c r="AZ517" s="5">
        <v>44286</v>
      </c>
      <c r="BA517" s="12"/>
      <c r="BB517" s="359">
        <v>44288</v>
      </c>
      <c r="BC517" s="1951"/>
      <c r="BD517" s="5">
        <v>44130</v>
      </c>
      <c r="BE517" s="5">
        <v>44196</v>
      </c>
      <c r="BF517" s="5">
        <v>44286</v>
      </c>
      <c r="BG517" s="38">
        <f>AQ517+AR517-0.02</f>
        <v>5170423.9400000004</v>
      </c>
      <c r="BH517" s="1209">
        <v>44291</v>
      </c>
      <c r="BI517" s="372">
        <v>44111</v>
      </c>
      <c r="BJ517" s="76">
        <v>44127</v>
      </c>
      <c r="BK517" s="76">
        <v>44127</v>
      </c>
      <c r="BL517" s="236" t="s">
        <v>74</v>
      </c>
      <c r="BM517" s="1282">
        <v>44109</v>
      </c>
      <c r="BN517" s="1282">
        <v>44109</v>
      </c>
      <c r="BO517" s="1054">
        <v>44109</v>
      </c>
      <c r="BP517" s="1282">
        <v>44280</v>
      </c>
      <c r="BQ517" s="1282">
        <v>44284</v>
      </c>
      <c r="BR517" s="796"/>
      <c r="BS517" s="794" t="s">
        <v>68</v>
      </c>
      <c r="BT517" s="14"/>
      <c r="BU517" s="1654" t="s">
        <v>3608</v>
      </c>
      <c r="BV517" s="14" t="s">
        <v>3938</v>
      </c>
      <c r="BW517" s="14"/>
      <c r="BX517" s="14"/>
      <c r="BY517" s="1433" t="s">
        <v>2098</v>
      </c>
      <c r="BZ517" s="40"/>
      <c r="CA517" s="582"/>
      <c r="CB517" s="582"/>
      <c r="CC517" s="582"/>
      <c r="CD517" s="582"/>
      <c r="CE517" s="582"/>
      <c r="CF517" s="582"/>
      <c r="CG517" s="582"/>
      <c r="CH517" s="16"/>
    </row>
    <row r="518" spans="2:86" ht="73.5" hidden="1" customHeight="1">
      <c r="B518" s="23"/>
      <c r="C518" s="1719">
        <v>44494</v>
      </c>
      <c r="D518" s="1719"/>
      <c r="E518" s="1051"/>
      <c r="F518" s="1051"/>
      <c r="G518" s="1055">
        <v>44408</v>
      </c>
      <c r="H518" s="365">
        <v>44309</v>
      </c>
      <c r="I518" s="182">
        <v>2020</v>
      </c>
      <c r="J518" s="1678">
        <v>206.31</v>
      </c>
      <c r="K518" s="716" t="s">
        <v>867</v>
      </c>
      <c r="L518" s="191" t="s">
        <v>3397</v>
      </c>
      <c r="M518" s="185" t="s">
        <v>3252</v>
      </c>
      <c r="N518" s="495" t="s">
        <v>3399</v>
      </c>
      <c r="O518" s="495" t="s">
        <v>1979</v>
      </c>
      <c r="P518" s="187">
        <v>4629575.57</v>
      </c>
      <c r="Q518" s="1146">
        <v>44110</v>
      </c>
      <c r="R518" s="189">
        <v>44164</v>
      </c>
      <c r="S518" s="190">
        <v>44185</v>
      </c>
      <c r="T518" s="578">
        <v>44109</v>
      </c>
      <c r="U518" s="739" t="s">
        <v>3336</v>
      </c>
      <c r="V518" s="183" t="s">
        <v>3087</v>
      </c>
      <c r="W518" s="685" t="s">
        <v>352</v>
      </c>
      <c r="X518" s="1625" t="s">
        <v>3910</v>
      </c>
      <c r="Y518" s="266" t="s">
        <v>3335</v>
      </c>
      <c r="Z518" s="9">
        <v>44049</v>
      </c>
      <c r="AA518" s="4">
        <v>10000000</v>
      </c>
      <c r="AB518" s="1655" t="s">
        <v>3334</v>
      </c>
      <c r="AC518" s="34">
        <v>10000000</v>
      </c>
      <c r="AD518" s="1572">
        <v>44099</v>
      </c>
      <c r="AE518" s="1569">
        <v>44467</v>
      </c>
      <c r="AF518" s="1569">
        <v>44103</v>
      </c>
      <c r="AG518" s="1570">
        <v>44109</v>
      </c>
      <c r="AH518" s="1571">
        <v>44113</v>
      </c>
      <c r="AI518" s="491" t="s">
        <v>1289</v>
      </c>
      <c r="AJ518" s="1" t="s">
        <v>68</v>
      </c>
      <c r="AK518" s="5"/>
      <c r="AL518" s="1">
        <v>2099430</v>
      </c>
      <c r="AM518" s="5">
        <v>44164</v>
      </c>
      <c r="AN518" s="1">
        <v>2099431</v>
      </c>
      <c r="AO518" s="5">
        <v>44286</v>
      </c>
      <c r="AP518" s="306">
        <f>462957.55*2</f>
        <v>925915.1</v>
      </c>
      <c r="AQ518" s="37">
        <v>0</v>
      </c>
      <c r="AR518" s="1032">
        <v>4629475.5599999996</v>
      </c>
      <c r="AS518" s="1019">
        <f>AR518</f>
        <v>4629475.5599999996</v>
      </c>
      <c r="AT518" s="68" t="s">
        <v>74</v>
      </c>
      <c r="AU518" s="12"/>
      <c r="AV518" s="243" t="s">
        <v>68</v>
      </c>
      <c r="AW518" s="54" t="s">
        <v>68</v>
      </c>
      <c r="AX518" s="359">
        <v>44287</v>
      </c>
      <c r="AY518" s="5">
        <v>44164</v>
      </c>
      <c r="AZ518" s="5"/>
      <c r="BA518" s="12">
        <v>43921</v>
      </c>
      <c r="BB518" s="359">
        <v>44288</v>
      </c>
      <c r="BC518" s="1951"/>
      <c r="BD518" s="5">
        <v>44164</v>
      </c>
      <c r="BE518" s="5">
        <v>44196</v>
      </c>
      <c r="BF518" s="5">
        <v>44286</v>
      </c>
      <c r="BG518" s="38">
        <f>AQ518+AR518</f>
        <v>4629475.5599999996</v>
      </c>
      <c r="BH518" s="1209">
        <v>44291</v>
      </c>
      <c r="BI518" s="1458" t="s">
        <v>74</v>
      </c>
      <c r="BJ518" s="238" t="s">
        <v>74</v>
      </c>
      <c r="BK518" s="238" t="s">
        <v>74</v>
      </c>
      <c r="BL518" s="236" t="s">
        <v>74</v>
      </c>
      <c r="BM518" s="236" t="s">
        <v>74</v>
      </c>
      <c r="BN518" s="236" t="s">
        <v>74</v>
      </c>
      <c r="BO518" s="1054" t="s">
        <v>74</v>
      </c>
      <c r="BP518" s="236" t="s">
        <v>74</v>
      </c>
      <c r="BQ518" s="236"/>
      <c r="BR518" s="796"/>
      <c r="BS518" s="794" t="s">
        <v>68</v>
      </c>
      <c r="BT518" s="14"/>
      <c r="BU518" s="1545" t="s">
        <v>3608</v>
      </c>
      <c r="BV518" s="14"/>
      <c r="BW518" s="14"/>
      <c r="BX518" s="14"/>
      <c r="BY518" s="1433" t="s">
        <v>2098</v>
      </c>
      <c r="BZ518" s="40"/>
      <c r="CA518" s="582"/>
      <c r="CB518" s="582"/>
      <c r="CC518" s="582"/>
      <c r="CD518" s="582"/>
      <c r="CE518" s="582"/>
      <c r="CF518" s="582"/>
      <c r="CG518" s="582"/>
      <c r="CH518" s="16"/>
    </row>
    <row r="519" spans="2:86" ht="74.25" hidden="1" customHeight="1">
      <c r="B519" s="23"/>
      <c r="C519" s="23"/>
      <c r="D519" s="23"/>
      <c r="E519" s="1051"/>
      <c r="F519" s="1051"/>
      <c r="G519" s="1055">
        <v>44408</v>
      </c>
      <c r="H519" s="365">
        <v>44295</v>
      </c>
      <c r="I519" s="182">
        <v>2020</v>
      </c>
      <c r="J519" s="1678">
        <v>206.32</v>
      </c>
      <c r="K519" s="183" t="s">
        <v>77</v>
      </c>
      <c r="L519" s="191" t="s">
        <v>3337</v>
      </c>
      <c r="M519" s="185" t="s">
        <v>79</v>
      </c>
      <c r="N519" s="495" t="s">
        <v>3338</v>
      </c>
      <c r="O519" s="495" t="s">
        <v>4458</v>
      </c>
      <c r="P519" s="187">
        <v>287771.56</v>
      </c>
      <c r="Q519" s="657">
        <v>44155</v>
      </c>
      <c r="R519" s="664">
        <v>44165</v>
      </c>
      <c r="S519" s="665">
        <v>44180</v>
      </c>
      <c r="T519" s="578">
        <v>44154</v>
      </c>
      <c r="U519" s="739" t="s">
        <v>2843</v>
      </c>
      <c r="V519" s="183" t="s">
        <v>3087</v>
      </c>
      <c r="W519" s="685">
        <v>44057</v>
      </c>
      <c r="X519" s="1625"/>
      <c r="Y519" s="180" t="s">
        <v>3339</v>
      </c>
      <c r="Z519" s="9">
        <v>44180</v>
      </c>
      <c r="AA519" s="4">
        <v>287741.15000000002</v>
      </c>
      <c r="AB519" s="4"/>
      <c r="AC519" s="34"/>
      <c r="AD519" s="36" t="s">
        <v>68</v>
      </c>
      <c r="AE519" s="119" t="s">
        <v>68</v>
      </c>
      <c r="AF519" s="119" t="s">
        <v>68</v>
      </c>
      <c r="AG519" s="7" t="s">
        <v>68</v>
      </c>
      <c r="AH519" s="116" t="s">
        <v>68</v>
      </c>
      <c r="AI519" s="180" t="s">
        <v>855</v>
      </c>
      <c r="AJ519" s="1" t="s">
        <v>68</v>
      </c>
      <c r="AK519" s="5"/>
      <c r="AL519" s="1">
        <v>2099441</v>
      </c>
      <c r="AM519" s="5">
        <v>44165</v>
      </c>
      <c r="AN519" s="1">
        <v>2099442</v>
      </c>
      <c r="AO519" s="5">
        <v>44180</v>
      </c>
      <c r="AP519" s="306">
        <f>28777.15*2</f>
        <v>57554.3</v>
      </c>
      <c r="AQ519" s="37">
        <v>0</v>
      </c>
      <c r="AR519" s="1032">
        <v>287771.57</v>
      </c>
      <c r="AS519" s="1019">
        <v>287771.57</v>
      </c>
      <c r="AT519" s="78">
        <v>43997</v>
      </c>
      <c r="AU519" s="12">
        <v>44037</v>
      </c>
      <c r="AV519" s="243" t="s">
        <v>68</v>
      </c>
      <c r="AW519" s="54" t="s">
        <v>68</v>
      </c>
      <c r="AX519" s="78">
        <v>44179</v>
      </c>
      <c r="AY519" s="255">
        <v>44165</v>
      </c>
      <c r="AZ519" s="255">
        <v>44180</v>
      </c>
      <c r="BA519" s="245" t="s">
        <v>68</v>
      </c>
      <c r="BB519" s="78">
        <v>44179</v>
      </c>
      <c r="BC519" s="344"/>
      <c r="BD519" s="255">
        <v>44165</v>
      </c>
      <c r="BE519" s="255">
        <v>44180</v>
      </c>
      <c r="BF519" s="255">
        <v>44177</v>
      </c>
      <c r="BG519" s="72">
        <f>AQ519+AR519</f>
        <v>287771.57</v>
      </c>
      <c r="BH519" s="216">
        <v>44180</v>
      </c>
      <c r="BI519" s="372">
        <v>44162</v>
      </c>
      <c r="BJ519" s="76">
        <v>44162</v>
      </c>
      <c r="BK519" s="76">
        <v>44162</v>
      </c>
      <c r="BL519" s="1282" t="s">
        <v>68</v>
      </c>
      <c r="BM519" s="238" t="s">
        <v>74</v>
      </c>
      <c r="BN519" s="238" t="s">
        <v>74</v>
      </c>
      <c r="BO519" s="1054" t="s">
        <v>74</v>
      </c>
      <c r="BP519" s="1054">
        <v>44174</v>
      </c>
      <c r="BQ519" s="1054"/>
      <c r="BR519" s="796"/>
      <c r="BS519" s="794" t="s">
        <v>68</v>
      </c>
      <c r="BT519" s="14"/>
      <c r="BU519" s="1460" t="s">
        <v>3773</v>
      </c>
      <c r="BV519" s="1464" t="s">
        <v>74</v>
      </c>
      <c r="BW519" s="166" t="s">
        <v>551</v>
      </c>
      <c r="BX519" s="1463" t="s">
        <v>3584</v>
      </c>
      <c r="BY519" s="1433" t="s">
        <v>2098</v>
      </c>
      <c r="BZ519" s="40"/>
      <c r="CA519" s="582"/>
      <c r="CB519" s="582"/>
      <c r="CC519" s="582"/>
      <c r="CD519" s="582"/>
      <c r="CE519" s="582"/>
      <c r="CF519" s="582"/>
      <c r="CG519" s="582"/>
      <c r="CH519" s="16"/>
    </row>
    <row r="520" spans="2:86" ht="78.75" hidden="1" customHeight="1">
      <c r="B520" s="23"/>
      <c r="C520" s="23"/>
      <c r="D520" s="23"/>
      <c r="E520" s="1051"/>
      <c r="F520" s="1051"/>
      <c r="G520" s="1055">
        <v>44358</v>
      </c>
      <c r="H520" s="365">
        <v>44250</v>
      </c>
      <c r="I520" s="182">
        <v>2020</v>
      </c>
      <c r="J520" s="1678">
        <v>206.33</v>
      </c>
      <c r="K520" s="183" t="s">
        <v>3340</v>
      </c>
      <c r="L520" s="191" t="s">
        <v>3341</v>
      </c>
      <c r="M520" s="185" t="s">
        <v>79</v>
      </c>
      <c r="N520" s="495" t="s">
        <v>3688</v>
      </c>
      <c r="O520" s="495" t="s">
        <v>1979</v>
      </c>
      <c r="P520" s="187">
        <v>1600000</v>
      </c>
      <c r="Q520" s="657">
        <v>44158</v>
      </c>
      <c r="R520" s="664">
        <v>44166</v>
      </c>
      <c r="S520" s="665">
        <v>44189</v>
      </c>
      <c r="T520" s="578">
        <v>44155</v>
      </c>
      <c r="U520" s="739" t="s">
        <v>3342</v>
      </c>
      <c r="V520" s="716" t="s">
        <v>1107</v>
      </c>
      <c r="W520" s="740" t="s">
        <v>1431</v>
      </c>
      <c r="X520" s="1629"/>
      <c r="Y520" s="180" t="s">
        <v>3343</v>
      </c>
      <c r="Z520" s="9">
        <v>44153</v>
      </c>
      <c r="AA520" s="4">
        <v>1600000</v>
      </c>
      <c r="AB520" s="4"/>
      <c r="AC520" s="34"/>
      <c r="AD520" s="36" t="s">
        <v>68</v>
      </c>
      <c r="AE520" s="119" t="s">
        <v>68</v>
      </c>
      <c r="AF520" s="119" t="s">
        <v>68</v>
      </c>
      <c r="AG520" s="7" t="s">
        <v>68</v>
      </c>
      <c r="AH520" s="116" t="s">
        <v>68</v>
      </c>
      <c r="AI520" s="180" t="s">
        <v>3614</v>
      </c>
      <c r="AJ520" s="1" t="s">
        <v>68</v>
      </c>
      <c r="AK520" s="5"/>
      <c r="AL520" s="1">
        <v>2527874</v>
      </c>
      <c r="AM520" s="5">
        <v>44179</v>
      </c>
      <c r="AN520" s="1">
        <v>2564889</v>
      </c>
      <c r="AO520" s="5">
        <v>44355</v>
      </c>
      <c r="AP520" s="306">
        <f>160000+160000</f>
        <v>320000</v>
      </c>
      <c r="AQ520" s="37">
        <v>0</v>
      </c>
      <c r="AR520" s="1032">
        <v>1600000</v>
      </c>
      <c r="AS520" s="1027"/>
      <c r="AT520" s="253">
        <v>44179</v>
      </c>
      <c r="AU520" s="12">
        <v>44247</v>
      </c>
      <c r="AV520" s="243" t="s">
        <v>68</v>
      </c>
      <c r="AW520" s="54" t="s">
        <v>68</v>
      </c>
      <c r="AX520" s="253">
        <v>44355</v>
      </c>
      <c r="AY520" s="5">
        <v>44166</v>
      </c>
      <c r="AZ520" s="5">
        <v>44189</v>
      </c>
      <c r="BA520" s="12">
        <v>44247</v>
      </c>
      <c r="BB520" s="253">
        <v>44355</v>
      </c>
      <c r="BC520" s="558"/>
      <c r="BD520" s="5">
        <v>44166</v>
      </c>
      <c r="BE520" s="5">
        <v>44189</v>
      </c>
      <c r="BF520" s="5">
        <v>44247</v>
      </c>
      <c r="BG520" s="38">
        <v>1600000</v>
      </c>
      <c r="BH520" s="1559">
        <v>44355</v>
      </c>
      <c r="BI520" s="1291"/>
      <c r="BJ520" s="1557">
        <v>44178</v>
      </c>
      <c r="BK520" s="1557">
        <v>44178</v>
      </c>
      <c r="BL520" s="1282" t="s">
        <v>68</v>
      </c>
      <c r="BM520" s="238" t="s">
        <v>74</v>
      </c>
      <c r="BN520" s="238" t="s">
        <v>74</v>
      </c>
      <c r="BO520" s="1054" t="s">
        <v>74</v>
      </c>
      <c r="BP520" s="1557">
        <v>44253</v>
      </c>
      <c r="BQ520" s="1558"/>
      <c r="BR520" s="1283" t="s">
        <v>3814</v>
      </c>
      <c r="BS520" s="1560"/>
      <c r="BT520" s="14"/>
      <c r="BU520" s="1561" t="s">
        <v>3608</v>
      </c>
      <c r="BV520" s="14"/>
      <c r="BW520" s="14"/>
      <c r="BX520" s="14"/>
      <c r="BY520" s="1433" t="s">
        <v>2098</v>
      </c>
      <c r="BZ520" s="40"/>
      <c r="CA520" s="582"/>
      <c r="CB520" s="582"/>
      <c r="CC520" s="582"/>
      <c r="CD520" s="582"/>
      <c r="CE520" s="582"/>
      <c r="CF520" s="582"/>
      <c r="CG520" s="582"/>
      <c r="CH520" s="16"/>
    </row>
    <row r="521" spans="2:86" ht="88.5" hidden="1" customHeight="1">
      <c r="B521" s="23"/>
      <c r="C521" s="23"/>
      <c r="D521" s="23"/>
      <c r="E521" s="1051"/>
      <c r="F521" s="1051"/>
      <c r="G521" s="1055">
        <v>44278</v>
      </c>
      <c r="H521" s="365">
        <v>44295</v>
      </c>
      <c r="I521" s="182">
        <v>2020</v>
      </c>
      <c r="J521" s="1678">
        <v>206.34</v>
      </c>
      <c r="K521" s="183" t="s">
        <v>77</v>
      </c>
      <c r="L521" s="191" t="s">
        <v>3344</v>
      </c>
      <c r="M521" s="185" t="s">
        <v>79</v>
      </c>
      <c r="N521" s="495" t="s">
        <v>3345</v>
      </c>
      <c r="O521" s="495" t="s">
        <v>1979</v>
      </c>
      <c r="P521" s="187">
        <v>914194.81</v>
      </c>
      <c r="Q521" s="657">
        <v>44168</v>
      </c>
      <c r="R521" s="664">
        <v>44169</v>
      </c>
      <c r="S521" s="665">
        <v>44180</v>
      </c>
      <c r="T521" s="578">
        <v>44167</v>
      </c>
      <c r="U521" s="191" t="s">
        <v>2886</v>
      </c>
      <c r="V521" s="183" t="s">
        <v>984</v>
      </c>
      <c r="W521" s="505" t="s">
        <v>74</v>
      </c>
      <c r="X521" s="1623"/>
      <c r="Y521" s="280" t="s">
        <v>3346</v>
      </c>
      <c r="Z521" s="9">
        <v>44153</v>
      </c>
      <c r="AA521" s="4">
        <v>570635.42000000004</v>
      </c>
      <c r="AB521" s="759" t="s">
        <v>3347</v>
      </c>
      <c r="AC521" s="34">
        <v>559187.35</v>
      </c>
      <c r="AD521" s="36" t="s">
        <v>68</v>
      </c>
      <c r="AE521" s="119" t="s">
        <v>68</v>
      </c>
      <c r="AF521" s="119" t="s">
        <v>68</v>
      </c>
      <c r="AG521" s="7" t="s">
        <v>68</v>
      </c>
      <c r="AH521" s="116" t="s">
        <v>68</v>
      </c>
      <c r="AI521" s="180" t="s">
        <v>1011</v>
      </c>
      <c r="AJ521" s="2" t="s">
        <v>3586</v>
      </c>
      <c r="AK521" s="263">
        <v>44168</v>
      </c>
      <c r="AL521" s="2" t="s">
        <v>3587</v>
      </c>
      <c r="AM521" s="263">
        <v>44168</v>
      </c>
      <c r="AN521" s="2" t="s">
        <v>3588</v>
      </c>
      <c r="AO521" s="5">
        <v>44184</v>
      </c>
      <c r="AP521" s="306">
        <f>228549.53+91419.81+91419.81</f>
        <v>411389.14999999997</v>
      </c>
      <c r="AQ521" s="37">
        <v>0</v>
      </c>
      <c r="AR521" s="1032">
        <v>911242.76</v>
      </c>
      <c r="AS521" s="1611">
        <f>355010.78+559187.36</f>
        <v>914198.14</v>
      </c>
      <c r="AT521" s="68" t="s">
        <v>74</v>
      </c>
      <c r="AU521" s="12"/>
      <c r="AV521" s="243" t="s">
        <v>68</v>
      </c>
      <c r="AW521" s="54" t="s">
        <v>68</v>
      </c>
      <c r="AX521" s="78">
        <v>44186</v>
      </c>
      <c r="AY521" s="255">
        <v>44168</v>
      </c>
      <c r="AZ521" s="255">
        <v>44184</v>
      </c>
      <c r="BA521" s="245" t="s">
        <v>68</v>
      </c>
      <c r="BB521" s="78">
        <v>44187</v>
      </c>
      <c r="BC521" s="344"/>
      <c r="BD521" s="5">
        <v>44168</v>
      </c>
      <c r="BE521" s="5">
        <v>44184</v>
      </c>
      <c r="BF521" s="5">
        <v>44184</v>
      </c>
      <c r="BG521" s="38">
        <v>559187.35</v>
      </c>
      <c r="BH521" s="217" t="s">
        <v>74</v>
      </c>
      <c r="BI521" s="372">
        <v>44166</v>
      </c>
      <c r="BJ521" s="76">
        <v>44166</v>
      </c>
      <c r="BK521" s="76">
        <v>44166</v>
      </c>
      <c r="BL521" s="1282" t="s">
        <v>68</v>
      </c>
      <c r="BM521" s="238" t="s">
        <v>74</v>
      </c>
      <c r="BN521" s="238" t="s">
        <v>74</v>
      </c>
      <c r="BO521" s="1054" t="s">
        <v>74</v>
      </c>
      <c r="BP521" s="1054">
        <v>44180</v>
      </c>
      <c r="BQ521" s="1054"/>
      <c r="BR521" s="796"/>
      <c r="BS521" s="794" t="s">
        <v>68</v>
      </c>
      <c r="BT521" s="14"/>
      <c r="BU521" s="1468" t="s">
        <v>3773</v>
      </c>
      <c r="BV521" s="166" t="s">
        <v>551</v>
      </c>
      <c r="BW521" s="166" t="s">
        <v>551</v>
      </c>
      <c r="BX521" s="166" t="s">
        <v>3589</v>
      </c>
      <c r="BY521" s="1433" t="s">
        <v>2098</v>
      </c>
      <c r="BZ521" s="40"/>
      <c r="CA521" s="582"/>
      <c r="CB521" s="582"/>
      <c r="CC521" s="582"/>
      <c r="CD521" s="582"/>
      <c r="CE521" s="582"/>
      <c r="CF521" s="582"/>
      <c r="CG521" s="582"/>
      <c r="CH521" s="16"/>
    </row>
    <row r="522" spans="2:86" ht="68.25" hidden="1" customHeight="1">
      <c r="B522" s="23"/>
      <c r="C522" s="23"/>
      <c r="D522" s="23"/>
      <c r="E522" s="1051"/>
      <c r="F522" s="1051"/>
      <c r="G522" s="1055">
        <v>44375</v>
      </c>
      <c r="H522" s="365">
        <v>44378</v>
      </c>
      <c r="I522" s="182">
        <v>2020</v>
      </c>
      <c r="J522" s="1678">
        <v>206.35</v>
      </c>
      <c r="K522" s="716" t="s">
        <v>2716</v>
      </c>
      <c r="L522" s="739" t="s">
        <v>3348</v>
      </c>
      <c r="M522" s="663" t="s">
        <v>79</v>
      </c>
      <c r="N522" s="495" t="s">
        <v>3402</v>
      </c>
      <c r="O522" s="495" t="s">
        <v>1979</v>
      </c>
      <c r="P522" s="661">
        <v>537866.98</v>
      </c>
      <c r="Q522" s="657">
        <v>44195</v>
      </c>
      <c r="R522" s="664">
        <v>44195</v>
      </c>
      <c r="S522" s="665">
        <v>44227</v>
      </c>
      <c r="T522" s="578">
        <v>44560</v>
      </c>
      <c r="U522" s="739" t="s">
        <v>1319</v>
      </c>
      <c r="V522" s="716" t="s">
        <v>213</v>
      </c>
      <c r="W522" s="505" t="s">
        <v>74</v>
      </c>
      <c r="X522" s="1623"/>
      <c r="Y522" s="491" t="s">
        <v>3879</v>
      </c>
      <c r="Z522" s="9">
        <v>44195</v>
      </c>
      <c r="AA522" s="4">
        <f>2775548.6+1719336.12</f>
        <v>4494884.7200000007</v>
      </c>
      <c r="AB522" s="4"/>
      <c r="AC522" s="34"/>
      <c r="AD522" s="36" t="s">
        <v>68</v>
      </c>
      <c r="AE522" s="119" t="s">
        <v>68</v>
      </c>
      <c r="AF522" s="119" t="s">
        <v>68</v>
      </c>
      <c r="AG522" s="7" t="s">
        <v>68</v>
      </c>
      <c r="AH522" s="116" t="s">
        <v>68</v>
      </c>
      <c r="AI522" s="180" t="s">
        <v>1011</v>
      </c>
      <c r="AJ522" s="2" t="s">
        <v>3880</v>
      </c>
      <c r="AK522" s="5">
        <v>44195</v>
      </c>
      <c r="AL522" s="1" t="s">
        <v>3881</v>
      </c>
      <c r="AM522" s="521">
        <v>44183</v>
      </c>
      <c r="AN522" s="1"/>
      <c r="AO522" s="5"/>
      <c r="AP522" s="306"/>
      <c r="AQ522" s="37">
        <v>0</v>
      </c>
      <c r="AR522" s="1040"/>
      <c r="AS522" s="1027"/>
      <c r="AT522" s="68" t="s">
        <v>74</v>
      </c>
      <c r="AU522" s="12"/>
      <c r="AV522" s="243" t="s">
        <v>68</v>
      </c>
      <c r="AW522" s="54" t="s">
        <v>68</v>
      </c>
      <c r="AX522" s="68" t="s">
        <v>74</v>
      </c>
      <c r="AY522" s="255"/>
      <c r="AZ522" s="255"/>
      <c r="BA522" s="245"/>
      <c r="BB522" s="68" t="s">
        <v>74</v>
      </c>
      <c r="BC522" s="1686"/>
      <c r="BD522" s="5"/>
      <c r="BE522" s="5"/>
      <c r="BF522" s="5"/>
      <c r="BG522" s="38">
        <f>AQ522+AR522</f>
        <v>0</v>
      </c>
      <c r="BH522" s="217" t="s">
        <v>74</v>
      </c>
      <c r="BI522" s="1458" t="s">
        <v>74</v>
      </c>
      <c r="BJ522" s="238" t="s">
        <v>74</v>
      </c>
      <c r="BK522" s="238" t="s">
        <v>74</v>
      </c>
      <c r="BL522" s="1282" t="s">
        <v>68</v>
      </c>
      <c r="BM522" s="238" t="s">
        <v>74</v>
      </c>
      <c r="BN522" s="238" t="s">
        <v>74</v>
      </c>
      <c r="BO522" s="1054" t="s">
        <v>74</v>
      </c>
      <c r="BP522" s="1230"/>
      <c r="BQ522" s="1230"/>
      <c r="BR522" s="796"/>
      <c r="BS522" s="794" t="s">
        <v>68</v>
      </c>
      <c r="BT522" s="14"/>
      <c r="BU522" s="1468" t="s">
        <v>3773</v>
      </c>
      <c r="BV522" s="1607" t="s">
        <v>74</v>
      </c>
      <c r="BW522" s="1607" t="s">
        <v>74</v>
      </c>
      <c r="BX522" s="14" t="s">
        <v>3882</v>
      </c>
      <c r="BY522" s="1433" t="s">
        <v>2098</v>
      </c>
      <c r="BZ522" s="40"/>
      <c r="CA522" s="582"/>
      <c r="CB522" s="582"/>
      <c r="CC522" s="582"/>
      <c r="CD522" s="582"/>
      <c r="CE522" s="582"/>
      <c r="CF522" s="582"/>
      <c r="CG522" s="582"/>
      <c r="CH522" s="16"/>
    </row>
    <row r="523" spans="2:86" s="1241" customFormat="1" ht="51" hidden="1" customHeight="1">
      <c r="B523" s="1242"/>
      <c r="C523" s="1242"/>
      <c r="D523" s="1242"/>
      <c r="E523" s="1243"/>
      <c r="F523" s="1243"/>
      <c r="G523" s="610"/>
      <c r="H523" s="700"/>
      <c r="I523" s="1244">
        <v>2020</v>
      </c>
      <c r="J523" s="1683">
        <v>206.36</v>
      </c>
      <c r="K523" s="1245"/>
      <c r="L523" s="1246" t="s">
        <v>3349</v>
      </c>
      <c r="M523" s="904" t="s">
        <v>251</v>
      </c>
      <c r="N523" s="1247" t="s">
        <v>4017</v>
      </c>
      <c r="O523" s="1247"/>
      <c r="P523" s="1248"/>
      <c r="Q523" s="1249"/>
      <c r="R523" s="1250"/>
      <c r="S523" s="1251"/>
      <c r="T523" s="1252"/>
      <c r="U523" s="1246"/>
      <c r="V523" s="1245"/>
      <c r="W523" s="1278"/>
      <c r="X523" s="1631"/>
      <c r="Y523" s="340"/>
      <c r="Z523" s="1254"/>
      <c r="AA523" s="1255"/>
      <c r="AB523" s="1255"/>
      <c r="AC523" s="1256"/>
      <c r="AD523" s="1257"/>
      <c r="AE523" s="1258"/>
      <c r="AF523" s="1258"/>
      <c r="AG523" s="1259"/>
      <c r="AH523" s="1260"/>
      <c r="AI523" s="340"/>
      <c r="AJ523" s="1261"/>
      <c r="AK523" s="1262"/>
      <c r="AL523" s="1261"/>
      <c r="AM523" s="1262"/>
      <c r="AN523" s="1261"/>
      <c r="AO523" s="1262"/>
      <c r="AP523" s="1263"/>
      <c r="AQ523" s="1264">
        <v>0</v>
      </c>
      <c r="AR523" s="1265"/>
      <c r="AS523" s="1266"/>
      <c r="AT523" s="1267"/>
      <c r="AU523" s="1268"/>
      <c r="AV523" s="1269" t="s">
        <v>68</v>
      </c>
      <c r="AW523" s="1270" t="s">
        <v>68</v>
      </c>
      <c r="AX523" s="1267"/>
      <c r="AY523" s="1262"/>
      <c r="AZ523" s="1262"/>
      <c r="BA523" s="1268"/>
      <c r="BB523" s="1267"/>
      <c r="BC523" s="1944"/>
      <c r="BD523" s="1262"/>
      <c r="BE523" s="1262"/>
      <c r="BF523" s="1262"/>
      <c r="BG523" s="1272">
        <f>AQ523+AR523</f>
        <v>0</v>
      </c>
      <c r="BH523" s="1273"/>
      <c r="BI523" s="1753"/>
      <c r="BJ523" s="1754"/>
      <c r="BK523" s="1754"/>
      <c r="BL523" s="1770"/>
      <c r="BM523" s="1770"/>
      <c r="BN523" s="1770"/>
      <c r="BO523" s="1054"/>
      <c r="BP523" s="1770"/>
      <c r="BQ523" s="1770"/>
      <c r="BR523" s="1770"/>
      <c r="BS523" s="1753" t="s">
        <v>68</v>
      </c>
      <c r="BT523" s="1273"/>
      <c r="BU523" s="1468"/>
      <c r="BV523" s="1273"/>
      <c r="BW523" s="1273"/>
      <c r="BX523" s="1273"/>
      <c r="BY523" s="1769" t="s">
        <v>2098</v>
      </c>
      <c r="BZ523" s="1276"/>
      <c r="CA523" s="903"/>
      <c r="CB523" s="903"/>
      <c r="CC523" s="903"/>
      <c r="CD523" s="903"/>
      <c r="CE523" s="903"/>
      <c r="CF523" s="903"/>
      <c r="CG523" s="903"/>
      <c r="CH523" s="1277"/>
    </row>
    <row r="524" spans="2:86" ht="69" hidden="1" customHeight="1">
      <c r="B524" s="23"/>
      <c r="C524" s="23"/>
      <c r="D524" s="23"/>
      <c r="E524" s="1051"/>
      <c r="F524" s="1051"/>
      <c r="G524" s="1055">
        <v>44343</v>
      </c>
      <c r="H524" s="365">
        <v>44358</v>
      </c>
      <c r="I524" s="182">
        <v>2020</v>
      </c>
      <c r="J524" s="1678">
        <v>206.37</v>
      </c>
      <c r="K524" s="183" t="s">
        <v>77</v>
      </c>
      <c r="L524" s="191" t="s">
        <v>3350</v>
      </c>
      <c r="M524" s="185" t="s">
        <v>79</v>
      </c>
      <c r="N524" s="495" t="s">
        <v>3351</v>
      </c>
      <c r="O524" s="495" t="s">
        <v>1979</v>
      </c>
      <c r="P524" s="187">
        <v>229496.26</v>
      </c>
      <c r="Q524" s="657">
        <v>44168</v>
      </c>
      <c r="R524" s="189">
        <v>44172</v>
      </c>
      <c r="S524" s="190">
        <v>44184</v>
      </c>
      <c r="T524" s="578">
        <v>44167</v>
      </c>
      <c r="U524" s="191" t="s">
        <v>3352</v>
      </c>
      <c r="V524" s="183" t="s">
        <v>3812</v>
      </c>
      <c r="W524" s="685">
        <v>44165</v>
      </c>
      <c r="X524" s="1625"/>
      <c r="Y524" s="180" t="s">
        <v>3353</v>
      </c>
      <c r="Z524" s="9">
        <v>44180</v>
      </c>
      <c r="AA524" s="4">
        <v>229496.26</v>
      </c>
      <c r="AB524" s="4"/>
      <c r="AC524" s="34"/>
      <c r="AD524" s="36" t="s">
        <v>68</v>
      </c>
      <c r="AE524" s="119" t="s">
        <v>68</v>
      </c>
      <c r="AF524" s="119" t="s">
        <v>68</v>
      </c>
      <c r="AG524" s="7" t="s">
        <v>68</v>
      </c>
      <c r="AH524" s="116" t="s">
        <v>68</v>
      </c>
      <c r="AI524" s="180" t="s">
        <v>3810</v>
      </c>
      <c r="AJ524" s="1" t="s">
        <v>68</v>
      </c>
      <c r="AK524" s="5"/>
      <c r="AL524" s="1">
        <v>2099447</v>
      </c>
      <c r="AM524" s="5">
        <v>44172</v>
      </c>
      <c r="AN524" s="1">
        <v>2099448</v>
      </c>
      <c r="AO524" s="5">
        <v>44184</v>
      </c>
      <c r="AP524" s="306">
        <f>22949.62*2</f>
        <v>45899.24</v>
      </c>
      <c r="AQ524" s="37">
        <v>0</v>
      </c>
      <c r="AR524" s="1032">
        <v>229496.26</v>
      </c>
      <c r="AS524" s="1027"/>
      <c r="AT524" s="68" t="s">
        <v>74</v>
      </c>
      <c r="AU524" s="12"/>
      <c r="AV524" s="243" t="s">
        <v>68</v>
      </c>
      <c r="AW524" s="54" t="s">
        <v>68</v>
      </c>
      <c r="AX524" s="78">
        <v>44186</v>
      </c>
      <c r="AY524" s="5">
        <v>44172</v>
      </c>
      <c r="AZ524" s="5">
        <v>44184</v>
      </c>
      <c r="BA524" s="12">
        <v>44184</v>
      </c>
      <c r="BB524" s="78">
        <v>44186</v>
      </c>
      <c r="BC524" s="344"/>
      <c r="BD524" s="5">
        <v>44172</v>
      </c>
      <c r="BE524" s="5">
        <v>44184</v>
      </c>
      <c r="BF524" s="5">
        <v>44184</v>
      </c>
      <c r="BG524" s="38">
        <f>AQ524+AR524</f>
        <v>229496.26</v>
      </c>
      <c r="BH524" s="216">
        <v>44186</v>
      </c>
      <c r="BI524" s="1458" t="s">
        <v>74</v>
      </c>
      <c r="BJ524" s="238" t="s">
        <v>74</v>
      </c>
      <c r="BK524" s="238" t="s">
        <v>74</v>
      </c>
      <c r="BL524" s="1480" t="s">
        <v>74</v>
      </c>
      <c r="BM524" s="238" t="s">
        <v>74</v>
      </c>
      <c r="BN524" s="238" t="s">
        <v>74</v>
      </c>
      <c r="BO524" s="1054" t="s">
        <v>74</v>
      </c>
      <c r="BP524" s="1555">
        <v>44183</v>
      </c>
      <c r="BQ524" s="1555"/>
      <c r="BR524" s="796"/>
      <c r="BS524" s="794" t="s">
        <v>68</v>
      </c>
      <c r="BT524" s="14"/>
      <c r="BU524" s="1546" t="s">
        <v>1404</v>
      </c>
      <c r="BV524" s="14" t="s">
        <v>1295</v>
      </c>
      <c r="BW524" s="222" t="s">
        <v>1404</v>
      </c>
      <c r="BX524" s="14" t="s">
        <v>3584</v>
      </c>
      <c r="BY524" s="1433" t="s">
        <v>2098</v>
      </c>
      <c r="BZ524" s="40"/>
      <c r="CA524" s="582"/>
      <c r="CB524" s="582"/>
      <c r="CC524" s="582"/>
      <c r="CD524" s="582"/>
      <c r="CE524" s="582"/>
      <c r="CF524" s="582"/>
      <c r="CG524" s="582"/>
      <c r="CH524" s="16"/>
    </row>
    <row r="525" spans="2:86" ht="125.25" hidden="1" customHeight="1">
      <c r="B525" s="23"/>
      <c r="C525" s="23"/>
      <c r="D525" s="23"/>
      <c r="E525" s="1051"/>
      <c r="F525" s="1051"/>
      <c r="G525" s="1055"/>
      <c r="H525" s="365"/>
      <c r="I525" s="182">
        <v>2020</v>
      </c>
      <c r="J525" s="1678">
        <v>206.38</v>
      </c>
      <c r="K525" s="183" t="s">
        <v>166</v>
      </c>
      <c r="L525" s="191" t="s">
        <v>3354</v>
      </c>
      <c r="M525" s="185" t="s">
        <v>79</v>
      </c>
      <c r="N525" s="186" t="s">
        <v>3355</v>
      </c>
      <c r="O525" s="186" t="s">
        <v>2551</v>
      </c>
      <c r="P525" s="187">
        <v>868714.16</v>
      </c>
      <c r="Q525" s="1403">
        <v>44548</v>
      </c>
      <c r="R525" s="189">
        <v>44194</v>
      </c>
      <c r="S525" s="190">
        <v>44284</v>
      </c>
      <c r="T525" s="773">
        <v>44181</v>
      </c>
      <c r="U525" s="191" t="s">
        <v>1319</v>
      </c>
      <c r="V525" s="716" t="s">
        <v>213</v>
      </c>
      <c r="W525" s="740" t="s">
        <v>1431</v>
      </c>
      <c r="X525" s="1629"/>
      <c r="Y525" s="280" t="s">
        <v>3870</v>
      </c>
      <c r="Z525" s="9">
        <v>44180</v>
      </c>
      <c r="AA525" s="4">
        <f>546158.91+322555.25</f>
        <v>868714.16</v>
      </c>
      <c r="AB525" s="4"/>
      <c r="AC525" s="34"/>
      <c r="AD525" s="36"/>
      <c r="AE525" s="119"/>
      <c r="AF525" s="119"/>
      <c r="AG525" s="7"/>
      <c r="AH525" s="116"/>
      <c r="AI525" s="280"/>
      <c r="AJ525" s="239"/>
      <c r="AK525" s="5"/>
      <c r="AL525" s="239"/>
      <c r="AM525" s="5"/>
      <c r="AN525" s="239"/>
      <c r="AO525" s="5"/>
      <c r="AP525" s="306">
        <v>0</v>
      </c>
      <c r="AQ525" s="37">
        <v>0</v>
      </c>
      <c r="AR525" s="1040"/>
      <c r="AS525" s="1027"/>
      <c r="AT525" s="68" t="s">
        <v>74</v>
      </c>
      <c r="AU525" s="12"/>
      <c r="AV525" s="243"/>
      <c r="AW525" s="54"/>
      <c r="AX525" s="68" t="s">
        <v>74</v>
      </c>
      <c r="AY525" s="255"/>
      <c r="AZ525" s="255"/>
      <c r="BA525" s="245"/>
      <c r="BB525" s="68" t="s">
        <v>74</v>
      </c>
      <c r="BC525" s="1686"/>
      <c r="BD525" s="5"/>
      <c r="BE525" s="5"/>
      <c r="BF525" s="5"/>
      <c r="BG525" s="38">
        <f>AQ525+AR525</f>
        <v>0</v>
      </c>
      <c r="BH525" s="217" t="s">
        <v>74</v>
      </c>
      <c r="BI525" s="794" t="s">
        <v>68</v>
      </c>
      <c r="BJ525" s="795" t="s">
        <v>68</v>
      </c>
      <c r="BK525" s="795" t="s">
        <v>68</v>
      </c>
      <c r="BL525" s="1282" t="s">
        <v>68</v>
      </c>
      <c r="BM525" s="238" t="s">
        <v>74</v>
      </c>
      <c r="BN525" s="238" t="s">
        <v>74</v>
      </c>
      <c r="BO525" s="1054" t="s">
        <v>74</v>
      </c>
      <c r="BP525" s="796"/>
      <c r="BQ525" s="796"/>
      <c r="BR525" s="796"/>
      <c r="BS525" s="794" t="s">
        <v>68</v>
      </c>
      <c r="BT525" s="14"/>
      <c r="BU525" s="1468" t="s">
        <v>3773</v>
      </c>
      <c r="BV525" s="14"/>
      <c r="BW525" s="14"/>
      <c r="BX525" s="14"/>
      <c r="BY525" s="1433" t="s">
        <v>2098</v>
      </c>
      <c r="BZ525" s="40"/>
      <c r="CA525" s="582"/>
      <c r="CB525" s="582"/>
      <c r="CC525" s="582"/>
      <c r="CD525" s="582"/>
      <c r="CE525" s="582"/>
      <c r="CF525" s="582"/>
      <c r="CG525" s="582"/>
      <c r="CH525" s="16"/>
    </row>
    <row r="526" spans="2:86" ht="150.75" hidden="1" customHeight="1">
      <c r="B526" s="23"/>
      <c r="C526" s="1982"/>
      <c r="D526" s="1982"/>
      <c r="E526" s="1051">
        <v>44440</v>
      </c>
      <c r="F526" s="1051"/>
      <c r="G526" s="1055"/>
      <c r="H526" s="365"/>
      <c r="I526" s="182">
        <v>2021</v>
      </c>
      <c r="J526" s="1678">
        <v>210.6</v>
      </c>
      <c r="K526" s="183" t="s">
        <v>867</v>
      </c>
      <c r="L526" s="191" t="s">
        <v>3863</v>
      </c>
      <c r="M526" s="185" t="s">
        <v>467</v>
      </c>
      <c r="N526" s="186" t="s">
        <v>3864</v>
      </c>
      <c r="O526" s="186" t="s">
        <v>2611</v>
      </c>
      <c r="P526" s="187">
        <v>9000000</v>
      </c>
      <c r="Q526" s="657">
        <v>44251</v>
      </c>
      <c r="R526" s="664">
        <v>44251</v>
      </c>
      <c r="S526" s="665">
        <v>44469</v>
      </c>
      <c r="T526" s="578" t="s">
        <v>68</v>
      </c>
      <c r="U526" s="191" t="s">
        <v>1177</v>
      </c>
      <c r="V526" s="716" t="s">
        <v>1177</v>
      </c>
      <c r="W526" s="740" t="s">
        <v>68</v>
      </c>
      <c r="X526" s="1629"/>
      <c r="Y526" s="373"/>
      <c r="Z526" s="9"/>
      <c r="AA526" s="4"/>
      <c r="AB526" s="4"/>
      <c r="AC526" s="34"/>
      <c r="AD526" s="36"/>
      <c r="AE526" s="119"/>
      <c r="AF526" s="119"/>
      <c r="AG526" s="7"/>
      <c r="AH526" s="116"/>
      <c r="AI526" s="280"/>
      <c r="AJ526" s="239"/>
      <c r="AK526" s="5"/>
      <c r="AL526" s="239"/>
      <c r="AM526" s="5"/>
      <c r="AN526" s="239"/>
      <c r="AO526" s="5"/>
      <c r="AP526" s="306">
        <v>0</v>
      </c>
      <c r="AQ526" s="37">
        <v>0</v>
      </c>
      <c r="AR526" s="1040"/>
      <c r="AS526" s="1027"/>
      <c r="AT526" s="68" t="s">
        <v>74</v>
      </c>
      <c r="AU526" s="12"/>
      <c r="AV526" s="243"/>
      <c r="AW526" s="54"/>
      <c r="AX526" s="78" t="s">
        <v>1177</v>
      </c>
      <c r="AY526" s="255"/>
      <c r="AZ526" s="255"/>
      <c r="BA526" s="245"/>
      <c r="BB526" s="78" t="s">
        <v>1177</v>
      </c>
      <c r="BC526" s="344"/>
      <c r="BD526" s="5"/>
      <c r="BE526" s="5"/>
      <c r="BF526" s="5"/>
      <c r="BG526" s="38">
        <f>AQ526+AR526</f>
        <v>0</v>
      </c>
      <c r="BH526" s="64" t="s">
        <v>68</v>
      </c>
      <c r="BI526" s="794"/>
      <c r="BJ526" s="795"/>
      <c r="BK526" s="795"/>
      <c r="BL526" s="1282"/>
      <c r="BM526" s="236"/>
      <c r="BN526" s="236"/>
      <c r="BO526" s="1054"/>
      <c r="BP526" s="796"/>
      <c r="BQ526" s="796"/>
      <c r="BR526" s="796"/>
      <c r="BS526" s="794"/>
      <c r="BT526" s="14"/>
      <c r="BU526" s="1468"/>
      <c r="BV526" s="14"/>
      <c r="BW526" s="14"/>
      <c r="BX526" s="14"/>
      <c r="BY526" s="1433" t="s">
        <v>2098</v>
      </c>
      <c r="BZ526" s="40"/>
      <c r="CA526" s="582"/>
      <c r="CB526" s="582"/>
      <c r="CC526" s="582"/>
      <c r="CD526" s="582"/>
      <c r="CE526" s="582"/>
      <c r="CF526" s="582"/>
      <c r="CG526" s="582"/>
      <c r="CH526" s="16"/>
    </row>
    <row r="527" spans="2:86" s="110" customFormat="1" ht="78" hidden="1" customHeight="1">
      <c r="B527" s="87"/>
      <c r="C527" s="1984"/>
      <c r="D527" s="1984"/>
      <c r="E527" s="1161"/>
      <c r="F527" s="1161"/>
      <c r="G527" s="130"/>
      <c r="H527" s="700"/>
      <c r="I527" s="1162">
        <v>2021</v>
      </c>
      <c r="J527" s="1681">
        <v>211.01</v>
      </c>
      <c r="K527" s="701" t="s">
        <v>166</v>
      </c>
      <c r="L527" s="706" t="s">
        <v>3479</v>
      </c>
      <c r="M527" s="747" t="s">
        <v>251</v>
      </c>
      <c r="N527" s="748" t="s">
        <v>3519</v>
      </c>
      <c r="O527" s="748"/>
      <c r="P527" s="702">
        <v>710000</v>
      </c>
      <c r="Q527" s="703">
        <v>44221</v>
      </c>
      <c r="R527" s="704">
        <v>44222</v>
      </c>
      <c r="S527" s="705">
        <v>44377</v>
      </c>
      <c r="T527" s="408" t="s">
        <v>68</v>
      </c>
      <c r="U527" s="706" t="s">
        <v>1177</v>
      </c>
      <c r="V527" s="701" t="s">
        <v>1107</v>
      </c>
      <c r="W527" s="611" t="s">
        <v>1177</v>
      </c>
      <c r="X527" s="1615" t="s">
        <v>1177</v>
      </c>
      <c r="Y527" s="96"/>
      <c r="Z527" s="98"/>
      <c r="AA527" s="92"/>
      <c r="AB527" s="92"/>
      <c r="AC527" s="99"/>
      <c r="AD527" s="100" t="s">
        <v>68</v>
      </c>
      <c r="AE527" s="120" t="s">
        <v>68</v>
      </c>
      <c r="AF527" s="120" t="s">
        <v>68</v>
      </c>
      <c r="AG527" s="101" t="s">
        <v>68</v>
      </c>
      <c r="AH527" s="117" t="s">
        <v>68</v>
      </c>
      <c r="AI527" s="96" t="s">
        <v>68</v>
      </c>
      <c r="AJ527" s="102" t="s">
        <v>68</v>
      </c>
      <c r="AK527" s="94"/>
      <c r="AL527" s="102" t="s">
        <v>68</v>
      </c>
      <c r="AM527" s="94"/>
      <c r="AN527" s="102" t="s">
        <v>68</v>
      </c>
      <c r="AO527" s="94"/>
      <c r="AP527" s="311">
        <v>0</v>
      </c>
      <c r="AQ527" s="104"/>
      <c r="AR527" s="1036"/>
      <c r="AS527" s="1023"/>
      <c r="AT527" s="728" t="s">
        <v>74</v>
      </c>
      <c r="AU527" s="95"/>
      <c r="AV527" s="374"/>
      <c r="AW527" s="107"/>
      <c r="AX527" s="728" t="s">
        <v>74</v>
      </c>
      <c r="AY527" s="94"/>
      <c r="AZ527" s="94"/>
      <c r="BA527" s="95"/>
      <c r="BB527" s="728" t="s">
        <v>74</v>
      </c>
      <c r="BC527" s="1965"/>
      <c r="BD527" s="94"/>
      <c r="BE527" s="94"/>
      <c r="BF527" s="94"/>
      <c r="BG527" s="105">
        <f t="shared" ref="BG527:BG533" si="17">AQ527+AR527</f>
        <v>0</v>
      </c>
      <c r="BH527" s="108" t="s">
        <v>68</v>
      </c>
      <c r="BI527" s="983"/>
      <c r="BJ527" s="984" t="s">
        <v>68</v>
      </c>
      <c r="BK527" s="984" t="s">
        <v>68</v>
      </c>
      <c r="BL527" s="1163"/>
      <c r="BM527" s="1163" t="s">
        <v>68</v>
      </c>
      <c r="BN527" s="1163" t="s">
        <v>68</v>
      </c>
      <c r="BO527" s="1054" t="s">
        <v>68</v>
      </c>
      <c r="BP527" s="1163" t="s">
        <v>68</v>
      </c>
      <c r="BQ527" s="1163"/>
      <c r="BR527" s="1163" t="s">
        <v>68</v>
      </c>
      <c r="BS527" s="983" t="s">
        <v>68</v>
      </c>
      <c r="BT527" s="108"/>
      <c r="BU527" s="1468" t="s">
        <v>3773</v>
      </c>
      <c r="BV527" s="108"/>
      <c r="BW527" s="108"/>
      <c r="BX527" s="108"/>
      <c r="BY527" s="1660" t="s">
        <v>2098</v>
      </c>
      <c r="BZ527" s="985" t="s">
        <v>3961</v>
      </c>
      <c r="CA527" s="583"/>
      <c r="CB527" s="583"/>
      <c r="CC527" s="583"/>
      <c r="CD527" s="583"/>
      <c r="CE527" s="583"/>
      <c r="CF527" s="583"/>
      <c r="CG527" s="583"/>
      <c r="CH527" s="707"/>
    </row>
    <row r="528" spans="2:86" ht="117.75" hidden="1" customHeight="1">
      <c r="B528" s="23"/>
      <c r="C528" s="1982"/>
      <c r="D528" s="1982"/>
      <c r="E528" s="1051">
        <v>44440</v>
      </c>
      <c r="F528" s="1051"/>
      <c r="G528" s="1055">
        <v>44655</v>
      </c>
      <c r="H528" s="365">
        <v>37298</v>
      </c>
      <c r="I528" s="182">
        <v>2021</v>
      </c>
      <c r="J528" s="1678">
        <v>211.02</v>
      </c>
      <c r="K528" s="183" t="s">
        <v>166</v>
      </c>
      <c r="L528" s="191" t="s">
        <v>3480</v>
      </c>
      <c r="M528" s="156" t="s">
        <v>4077</v>
      </c>
      <c r="N528" s="186" t="s">
        <v>3520</v>
      </c>
      <c r="O528" s="186" t="s">
        <v>3664</v>
      </c>
      <c r="P528" s="187">
        <v>650000</v>
      </c>
      <c r="Q528" s="188">
        <v>44221</v>
      </c>
      <c r="R528" s="189">
        <v>44222</v>
      </c>
      <c r="S528" s="190">
        <v>44377</v>
      </c>
      <c r="T528" s="111" t="s">
        <v>68</v>
      </c>
      <c r="U528" s="191" t="s">
        <v>1177</v>
      </c>
      <c r="V528" s="716" t="s">
        <v>3692</v>
      </c>
      <c r="W528" s="220" t="s">
        <v>1177</v>
      </c>
      <c r="X528" s="406" t="s">
        <v>1177</v>
      </c>
      <c r="Y528" s="280"/>
      <c r="Z528" s="9"/>
      <c r="AA528" s="4"/>
      <c r="AB528" s="4"/>
      <c r="AC528" s="34"/>
      <c r="AD528" s="36" t="s">
        <v>68</v>
      </c>
      <c r="AE528" s="119" t="s">
        <v>68</v>
      </c>
      <c r="AF528" s="119" t="s">
        <v>68</v>
      </c>
      <c r="AG528" s="7" t="s">
        <v>68</v>
      </c>
      <c r="AH528" s="116" t="s">
        <v>68</v>
      </c>
      <c r="AI528" s="35" t="s">
        <v>68</v>
      </c>
      <c r="AJ528" s="1" t="s">
        <v>68</v>
      </c>
      <c r="AK528" s="5"/>
      <c r="AL528" s="1" t="s">
        <v>68</v>
      </c>
      <c r="AM528" s="5"/>
      <c r="AN528" s="1" t="s">
        <v>68</v>
      </c>
      <c r="AO528" s="5"/>
      <c r="AP528" s="306">
        <v>0</v>
      </c>
      <c r="AQ528" s="74">
        <v>225000</v>
      </c>
      <c r="AR528" s="1032">
        <v>468456.16</v>
      </c>
      <c r="AS528" s="1027"/>
      <c r="AT528" s="68" t="s">
        <v>74</v>
      </c>
      <c r="AU528" s="12"/>
      <c r="AV528" s="243"/>
      <c r="AW528" s="54"/>
      <c r="AX528" s="68" t="s">
        <v>74</v>
      </c>
      <c r="AY528" s="255"/>
      <c r="AZ528" s="255"/>
      <c r="BA528" s="245"/>
      <c r="BB528" s="68" t="s">
        <v>74</v>
      </c>
      <c r="BC528" s="1686"/>
      <c r="BD528" s="5"/>
      <c r="BE528" s="5"/>
      <c r="BF528" s="5"/>
      <c r="BG528" s="38">
        <f t="shared" si="17"/>
        <v>693456.15999999992</v>
      </c>
      <c r="BH528" s="14" t="s">
        <v>68</v>
      </c>
      <c r="BI528" s="1228"/>
      <c r="BJ528" s="795" t="s">
        <v>68</v>
      </c>
      <c r="BK528" s="795" t="s">
        <v>68</v>
      </c>
      <c r="BL528" s="1230"/>
      <c r="BM528" s="796" t="s">
        <v>68</v>
      </c>
      <c r="BN528" s="796" t="s">
        <v>68</v>
      </c>
      <c r="BO528" s="1054" t="s">
        <v>68</v>
      </c>
      <c r="BP528" s="796" t="s">
        <v>68</v>
      </c>
      <c r="BQ528" s="796"/>
      <c r="BR528" s="796" t="s">
        <v>68</v>
      </c>
      <c r="BS528" s="794" t="s">
        <v>68</v>
      </c>
      <c r="BT528" s="14"/>
      <c r="BU528" s="1542" t="s">
        <v>3773</v>
      </c>
      <c r="BV528" s="14"/>
      <c r="BW528" s="14"/>
      <c r="BX528" s="14"/>
      <c r="BY528" s="1433" t="s">
        <v>2098</v>
      </c>
      <c r="BZ528" s="40"/>
      <c r="CA528" s="582"/>
      <c r="CB528" s="582"/>
      <c r="CC528" s="582"/>
      <c r="CD528" s="582"/>
      <c r="CE528" s="582"/>
      <c r="CF528" s="582"/>
      <c r="CG528" s="582"/>
      <c r="CH528" s="16"/>
    </row>
    <row r="529" spans="1:86" ht="137.25" hidden="1" customHeight="1">
      <c r="B529" s="23"/>
      <c r="C529" s="1982"/>
      <c r="D529" s="1982"/>
      <c r="E529" s="1051">
        <v>44805</v>
      </c>
      <c r="F529" s="1051">
        <v>44805</v>
      </c>
      <c r="G529" s="1055">
        <v>44735</v>
      </c>
      <c r="H529" s="365"/>
      <c r="I529" s="182">
        <v>2021</v>
      </c>
      <c r="J529" s="1678">
        <v>211.03</v>
      </c>
      <c r="K529" s="183" t="s">
        <v>77</v>
      </c>
      <c r="L529" s="191" t="s">
        <v>3481</v>
      </c>
      <c r="M529" s="156" t="s">
        <v>4077</v>
      </c>
      <c r="N529" s="186" t="s">
        <v>3498</v>
      </c>
      <c r="O529" s="186" t="s">
        <v>1979</v>
      </c>
      <c r="P529" s="187">
        <f>124378.67+50260.4</f>
        <v>174639.07</v>
      </c>
      <c r="Q529" s="657">
        <v>44435</v>
      </c>
      <c r="R529" s="189">
        <v>44440</v>
      </c>
      <c r="S529" s="190">
        <v>44455</v>
      </c>
      <c r="T529" s="111" t="s">
        <v>68</v>
      </c>
      <c r="U529" s="191" t="s">
        <v>1177</v>
      </c>
      <c r="V529" s="716" t="s">
        <v>449</v>
      </c>
      <c r="W529" s="220" t="s">
        <v>1177</v>
      </c>
      <c r="X529" s="1623" t="s">
        <v>74</v>
      </c>
      <c r="Y529" s="180" t="s">
        <v>3844</v>
      </c>
      <c r="Z529" s="9">
        <v>44197</v>
      </c>
      <c r="AA529" s="4">
        <v>18585634.399999999</v>
      </c>
      <c r="AB529" s="4"/>
      <c r="AC529" s="34"/>
      <c r="AD529" s="36" t="s">
        <v>68</v>
      </c>
      <c r="AE529" s="119" t="s">
        <v>68</v>
      </c>
      <c r="AF529" s="119" t="s">
        <v>68</v>
      </c>
      <c r="AG529" s="7" t="s">
        <v>68</v>
      </c>
      <c r="AH529" s="116" t="s">
        <v>68</v>
      </c>
      <c r="AI529" s="35" t="s">
        <v>68</v>
      </c>
      <c r="AJ529" s="1" t="s">
        <v>68</v>
      </c>
      <c r="AK529" s="5"/>
      <c r="AL529" s="1" t="s">
        <v>68</v>
      </c>
      <c r="AM529" s="5"/>
      <c r="AN529" s="1" t="s">
        <v>68</v>
      </c>
      <c r="AO529" s="5"/>
      <c r="AP529" s="306">
        <v>0</v>
      </c>
      <c r="AQ529" s="771"/>
      <c r="AR529" s="1040"/>
      <c r="AS529" s="1027"/>
      <c r="AT529" s="68" t="s">
        <v>74</v>
      </c>
      <c r="AU529" s="12"/>
      <c r="AV529" s="1695"/>
      <c r="AW529" s="1014"/>
      <c r="AX529" s="68" t="s">
        <v>74</v>
      </c>
      <c r="AY529" s="255"/>
      <c r="AZ529" s="255"/>
      <c r="BA529" s="245"/>
      <c r="BB529" s="75">
        <v>44270</v>
      </c>
      <c r="BC529" s="1950"/>
      <c r="BD529" s="5">
        <v>44201</v>
      </c>
      <c r="BE529" s="5">
        <v>44270</v>
      </c>
      <c r="BF529" s="5">
        <v>44270</v>
      </c>
      <c r="BG529" s="38">
        <f>124378.67+50260.4</f>
        <v>174639.07</v>
      </c>
      <c r="BH529" s="14" t="s">
        <v>68</v>
      </c>
      <c r="BI529" s="1228"/>
      <c r="BJ529" s="795" t="s">
        <v>68</v>
      </c>
      <c r="BK529" s="795" t="s">
        <v>68</v>
      </c>
      <c r="BL529" s="1230"/>
      <c r="BM529" s="796" t="s">
        <v>68</v>
      </c>
      <c r="BN529" s="796" t="s">
        <v>68</v>
      </c>
      <c r="BO529" s="1054" t="s">
        <v>68</v>
      </c>
      <c r="BP529" s="796" t="s">
        <v>68</v>
      </c>
      <c r="BQ529" s="796"/>
      <c r="BR529" s="796" t="s">
        <v>68</v>
      </c>
      <c r="BS529" s="794" t="s">
        <v>68</v>
      </c>
      <c r="BT529" s="14"/>
      <c r="BU529" s="1546" t="s">
        <v>1404</v>
      </c>
      <c r="BV529" s="14"/>
      <c r="BW529" s="14"/>
      <c r="BX529" s="14"/>
      <c r="BY529" s="1433" t="s">
        <v>2098</v>
      </c>
      <c r="BZ529" s="40"/>
      <c r="CA529" s="582"/>
      <c r="CB529" s="582"/>
      <c r="CC529" s="582"/>
      <c r="CD529" s="582"/>
      <c r="CE529" s="582"/>
      <c r="CF529" s="582"/>
      <c r="CG529" s="582"/>
      <c r="CH529" s="16"/>
    </row>
    <row r="530" spans="1:86" ht="81" hidden="1" customHeight="1">
      <c r="B530" s="23"/>
      <c r="C530" s="1982"/>
      <c r="D530" s="1982"/>
      <c r="E530" s="1051">
        <v>44440</v>
      </c>
      <c r="F530" s="1051">
        <v>44440</v>
      </c>
      <c r="G530" s="1055">
        <v>44655</v>
      </c>
      <c r="H530" s="365"/>
      <c r="I530" s="182">
        <v>2021</v>
      </c>
      <c r="J530" s="1678">
        <v>211.04</v>
      </c>
      <c r="K530" s="183" t="s">
        <v>166</v>
      </c>
      <c r="L530" s="191" t="s">
        <v>3482</v>
      </c>
      <c r="M530" s="156" t="s">
        <v>4077</v>
      </c>
      <c r="N530" s="186" t="s">
        <v>3521</v>
      </c>
      <c r="O530" s="186" t="s">
        <v>1979</v>
      </c>
      <c r="P530" s="187">
        <v>27000</v>
      </c>
      <c r="Q530" s="188">
        <v>44225</v>
      </c>
      <c r="R530" s="189">
        <v>44228</v>
      </c>
      <c r="S530" s="190">
        <v>44250</v>
      </c>
      <c r="T530" s="111" t="s">
        <v>68</v>
      </c>
      <c r="U530" s="191" t="s">
        <v>1177</v>
      </c>
      <c r="V530" s="716" t="s">
        <v>3087</v>
      </c>
      <c r="W530" s="220" t="s">
        <v>1177</v>
      </c>
      <c r="X530" s="406" t="s">
        <v>1177</v>
      </c>
      <c r="Y530" s="280"/>
      <c r="Z530" s="9"/>
      <c r="AA530" s="4"/>
      <c r="AB530" s="4"/>
      <c r="AC530" s="34"/>
      <c r="AD530" s="36" t="s">
        <v>68</v>
      </c>
      <c r="AE530" s="119" t="s">
        <v>68</v>
      </c>
      <c r="AF530" s="119" t="s">
        <v>68</v>
      </c>
      <c r="AG530" s="7" t="s">
        <v>68</v>
      </c>
      <c r="AH530" s="116" t="s">
        <v>68</v>
      </c>
      <c r="AI530" s="35" t="s">
        <v>68</v>
      </c>
      <c r="AJ530" s="1" t="s">
        <v>68</v>
      </c>
      <c r="AK530" s="5"/>
      <c r="AL530" s="1" t="s">
        <v>68</v>
      </c>
      <c r="AM530" s="5"/>
      <c r="AN530" s="1" t="s">
        <v>68</v>
      </c>
      <c r="AO530" s="5"/>
      <c r="AP530" s="306">
        <v>0</v>
      </c>
      <c r="AQ530" s="771"/>
      <c r="AR530" s="1040"/>
      <c r="AS530" s="1018">
        <v>27000</v>
      </c>
      <c r="AT530" s="68" t="s">
        <v>74</v>
      </c>
      <c r="AU530" s="12"/>
      <c r="AV530" s="243"/>
      <c r="AW530" s="54"/>
      <c r="AX530" s="68" t="s">
        <v>74</v>
      </c>
      <c r="AY530" s="255"/>
      <c r="AZ530" s="255"/>
      <c r="BA530" s="245"/>
      <c r="BB530" s="68" t="s">
        <v>74</v>
      </c>
      <c r="BC530" s="1686"/>
      <c r="BD530" s="5"/>
      <c r="BE530" s="5"/>
      <c r="BF530" s="5"/>
      <c r="BG530" s="38">
        <f t="shared" si="17"/>
        <v>0</v>
      </c>
      <c r="BH530" s="14" t="s">
        <v>68</v>
      </c>
      <c r="BI530" s="1228"/>
      <c r="BJ530" s="795" t="s">
        <v>68</v>
      </c>
      <c r="BK530" s="795" t="s">
        <v>68</v>
      </c>
      <c r="BL530" s="1230"/>
      <c r="BM530" s="796" t="s">
        <v>68</v>
      </c>
      <c r="BN530" s="796" t="s">
        <v>68</v>
      </c>
      <c r="BO530" s="1054" t="s">
        <v>68</v>
      </c>
      <c r="BP530" s="796" t="s">
        <v>68</v>
      </c>
      <c r="BQ530" s="796"/>
      <c r="BR530" s="796" t="s">
        <v>68</v>
      </c>
      <c r="BS530" s="794" t="s">
        <v>68</v>
      </c>
      <c r="BT530" s="14"/>
      <c r="BU530" s="1468" t="s">
        <v>3773</v>
      </c>
      <c r="BV530" s="14"/>
      <c r="BW530" s="14"/>
      <c r="BX530" s="14"/>
      <c r="BY530" s="1433" t="s">
        <v>2098</v>
      </c>
      <c r="BZ530" s="40"/>
      <c r="CA530" s="582"/>
      <c r="CB530" s="582"/>
      <c r="CC530" s="582"/>
      <c r="CD530" s="582"/>
      <c r="CE530" s="582"/>
      <c r="CF530" s="582"/>
      <c r="CG530" s="582"/>
      <c r="CH530" s="16"/>
    </row>
    <row r="531" spans="1:86" ht="99" hidden="1" customHeight="1">
      <c r="B531" s="23"/>
      <c r="C531" s="1982"/>
      <c r="D531" s="1982"/>
      <c r="E531" s="1051">
        <v>44440</v>
      </c>
      <c r="F531" s="1051">
        <v>44440</v>
      </c>
      <c r="G531" s="1055">
        <v>44655</v>
      </c>
      <c r="H531" s="365"/>
      <c r="I531" s="182">
        <v>2021</v>
      </c>
      <c r="J531" s="1678">
        <v>211.05</v>
      </c>
      <c r="K531" s="183" t="s">
        <v>166</v>
      </c>
      <c r="L531" s="191" t="s">
        <v>3483</v>
      </c>
      <c r="M531" s="156" t="s">
        <v>4077</v>
      </c>
      <c r="N531" s="186" t="s">
        <v>3522</v>
      </c>
      <c r="O531" s="186" t="s">
        <v>4459</v>
      </c>
      <c r="P531" s="187">
        <v>266000</v>
      </c>
      <c r="Q531" s="1403">
        <v>44225</v>
      </c>
      <c r="R531" s="189">
        <v>44228</v>
      </c>
      <c r="S531" s="190">
        <v>44281</v>
      </c>
      <c r="T531" s="111" t="s">
        <v>68</v>
      </c>
      <c r="U531" s="191" t="s">
        <v>1177</v>
      </c>
      <c r="V531" s="716" t="s">
        <v>1107</v>
      </c>
      <c r="W531" s="220" t="s">
        <v>1177</v>
      </c>
      <c r="X531" s="406" t="s">
        <v>1177</v>
      </c>
      <c r="Y531" s="280"/>
      <c r="Z531" s="9"/>
      <c r="AA531" s="4"/>
      <c r="AB531" s="4"/>
      <c r="AC531" s="34"/>
      <c r="AD531" s="36" t="s">
        <v>68</v>
      </c>
      <c r="AE531" s="119" t="s">
        <v>68</v>
      </c>
      <c r="AF531" s="119" t="s">
        <v>68</v>
      </c>
      <c r="AG531" s="7" t="s">
        <v>68</v>
      </c>
      <c r="AH531" s="116" t="s">
        <v>68</v>
      </c>
      <c r="AI531" s="35" t="s">
        <v>68</v>
      </c>
      <c r="AJ531" s="1" t="s">
        <v>68</v>
      </c>
      <c r="AK531" s="5"/>
      <c r="AL531" s="1" t="s">
        <v>68</v>
      </c>
      <c r="AM531" s="5"/>
      <c r="AN531" s="1" t="s">
        <v>68</v>
      </c>
      <c r="AO531" s="5"/>
      <c r="AP531" s="306">
        <v>0</v>
      </c>
      <c r="AQ531" s="771"/>
      <c r="AR531" s="1040"/>
      <c r="AS531" s="1027">
        <v>506784</v>
      </c>
      <c r="AT531" s="68" t="s">
        <v>74</v>
      </c>
      <c r="AU531" s="12"/>
      <c r="AV531" s="243"/>
      <c r="AW531" s="54"/>
      <c r="AX531" s="68" t="s">
        <v>74</v>
      </c>
      <c r="AY531" s="255"/>
      <c r="AZ531" s="255"/>
      <c r="BA531" s="245"/>
      <c r="BB531" s="68" t="s">
        <v>74</v>
      </c>
      <c r="BC531" s="1686"/>
      <c r="BD531" s="5"/>
      <c r="BE531" s="5"/>
      <c r="BF531" s="5"/>
      <c r="BG531" s="38">
        <f t="shared" si="17"/>
        <v>0</v>
      </c>
      <c r="BH531" s="14" t="s">
        <v>68</v>
      </c>
      <c r="BI531" s="1228"/>
      <c r="BJ531" s="795" t="s">
        <v>68</v>
      </c>
      <c r="BK531" s="795" t="s">
        <v>68</v>
      </c>
      <c r="BL531" s="1230"/>
      <c r="BM531" s="796" t="s">
        <v>68</v>
      </c>
      <c r="BN531" s="796" t="s">
        <v>68</v>
      </c>
      <c r="BO531" s="1054" t="s">
        <v>68</v>
      </c>
      <c r="BP531" s="796" t="s">
        <v>68</v>
      </c>
      <c r="BQ531" s="796"/>
      <c r="BR531" s="796" t="s">
        <v>68</v>
      </c>
      <c r="BS531" s="794" t="s">
        <v>68</v>
      </c>
      <c r="BT531" s="14"/>
      <c r="BU531" s="1468" t="s">
        <v>3773</v>
      </c>
      <c r="BV531" s="14"/>
      <c r="BW531" s="14"/>
      <c r="BX531" s="14"/>
      <c r="BY531" s="1433" t="s">
        <v>2098</v>
      </c>
      <c r="BZ531" s="40"/>
      <c r="CA531" s="582"/>
      <c r="CB531" s="582"/>
      <c r="CC531" s="582"/>
      <c r="CD531" s="582"/>
      <c r="CE531" s="582"/>
      <c r="CF531" s="582"/>
      <c r="CG531" s="582"/>
      <c r="CH531" s="16"/>
    </row>
    <row r="532" spans="1:86" s="1241" customFormat="1" ht="37.5" hidden="1" customHeight="1">
      <c r="B532" s="1242"/>
      <c r="C532" s="1985"/>
      <c r="D532" s="1985"/>
      <c r="E532" s="1243"/>
      <c r="F532" s="1243"/>
      <c r="G532" s="610"/>
      <c r="H532" s="700"/>
      <c r="I532" s="1244">
        <v>2021</v>
      </c>
      <c r="J532" s="1683">
        <v>211.06</v>
      </c>
      <c r="K532" s="1245"/>
      <c r="L532" s="1246" t="s">
        <v>3484</v>
      </c>
      <c r="M532" s="904" t="s">
        <v>251</v>
      </c>
      <c r="N532" s="1247"/>
      <c r="O532" s="1247"/>
      <c r="P532" s="1248"/>
      <c r="Q532" s="1249"/>
      <c r="R532" s="1250"/>
      <c r="S532" s="1251"/>
      <c r="T532" s="1252" t="s">
        <v>68</v>
      </c>
      <c r="U532" s="1246" t="s">
        <v>1177</v>
      </c>
      <c r="V532" s="1245" t="s">
        <v>305</v>
      </c>
      <c r="W532" s="1278" t="s">
        <v>1177</v>
      </c>
      <c r="X532" s="1631"/>
      <c r="Y532" s="340"/>
      <c r="Z532" s="1254"/>
      <c r="AA532" s="1255"/>
      <c r="AB532" s="1255"/>
      <c r="AC532" s="1256"/>
      <c r="AD532" s="1257" t="s">
        <v>68</v>
      </c>
      <c r="AE532" s="1258" t="s">
        <v>68</v>
      </c>
      <c r="AF532" s="1258" t="s">
        <v>68</v>
      </c>
      <c r="AG532" s="1259" t="s">
        <v>68</v>
      </c>
      <c r="AH532" s="1260" t="s">
        <v>68</v>
      </c>
      <c r="AI532" s="340" t="s">
        <v>68</v>
      </c>
      <c r="AJ532" s="1261" t="s">
        <v>68</v>
      </c>
      <c r="AK532" s="1262"/>
      <c r="AL532" s="1261" t="s">
        <v>68</v>
      </c>
      <c r="AM532" s="1262"/>
      <c r="AN532" s="1261" t="s">
        <v>68</v>
      </c>
      <c r="AO532" s="1262"/>
      <c r="AP532" s="1263">
        <v>0</v>
      </c>
      <c r="AQ532" s="1264"/>
      <c r="AR532" s="1265"/>
      <c r="AS532" s="1266"/>
      <c r="AT532" s="1762" t="s">
        <v>74</v>
      </c>
      <c r="AU532" s="1268"/>
      <c r="AV532" s="1269"/>
      <c r="AW532" s="1270"/>
      <c r="AX532" s="1267"/>
      <c r="AY532" s="1262"/>
      <c r="AZ532" s="1262"/>
      <c r="BA532" s="1268"/>
      <c r="BB532" s="1267"/>
      <c r="BC532" s="1944"/>
      <c r="BD532" s="1262"/>
      <c r="BE532" s="1262"/>
      <c r="BF532" s="1262"/>
      <c r="BG532" s="1272">
        <f t="shared" si="17"/>
        <v>0</v>
      </c>
      <c r="BH532" s="1273" t="s">
        <v>68</v>
      </c>
      <c r="BI532" s="1753"/>
      <c r="BJ532" s="1754" t="s">
        <v>68</v>
      </c>
      <c r="BK532" s="1754" t="s">
        <v>68</v>
      </c>
      <c r="BL532" s="1770"/>
      <c r="BM532" s="1770" t="s">
        <v>68</v>
      </c>
      <c r="BN532" s="1770" t="s">
        <v>68</v>
      </c>
      <c r="BO532" s="1054" t="s">
        <v>68</v>
      </c>
      <c r="BP532" s="1770" t="s">
        <v>68</v>
      </c>
      <c r="BQ532" s="1770"/>
      <c r="BR532" s="1770" t="s">
        <v>68</v>
      </c>
      <c r="BS532" s="1753" t="s">
        <v>68</v>
      </c>
      <c r="BT532" s="1273"/>
      <c r="BU532" s="1468"/>
      <c r="BV532" s="1273"/>
      <c r="BW532" s="1273"/>
      <c r="BX532" s="1273"/>
      <c r="BY532" s="1769" t="s">
        <v>2098</v>
      </c>
      <c r="BZ532" s="1276"/>
      <c r="CA532" s="903"/>
      <c r="CB532" s="903"/>
      <c r="CC532" s="903"/>
      <c r="CD532" s="903"/>
      <c r="CE532" s="903"/>
      <c r="CF532" s="903"/>
      <c r="CG532" s="903"/>
      <c r="CH532" s="1277"/>
    </row>
    <row r="533" spans="1:86" s="110" customFormat="1" ht="89.25" hidden="1" customHeight="1">
      <c r="B533" s="87"/>
      <c r="C533" s="1984"/>
      <c r="D533" s="1984"/>
      <c r="E533" s="1161"/>
      <c r="F533" s="1161"/>
      <c r="G533" s="130"/>
      <c r="H533" s="700"/>
      <c r="I533" s="1162">
        <v>2021</v>
      </c>
      <c r="J533" s="1681">
        <v>211.07</v>
      </c>
      <c r="K533" s="701" t="s">
        <v>166</v>
      </c>
      <c r="L533" s="706" t="s">
        <v>3960</v>
      </c>
      <c r="M533" s="747" t="s">
        <v>251</v>
      </c>
      <c r="N533" s="748" t="s">
        <v>3942</v>
      </c>
      <c r="O533" s="748"/>
      <c r="P533" s="702">
        <v>227155</v>
      </c>
      <c r="Q533" s="703">
        <v>44302</v>
      </c>
      <c r="R533" s="704">
        <v>44228</v>
      </c>
      <c r="S533" s="705">
        <v>44281</v>
      </c>
      <c r="T533" s="408" t="s">
        <v>68</v>
      </c>
      <c r="U533" s="706" t="s">
        <v>1177</v>
      </c>
      <c r="V533" s="701"/>
      <c r="W533" s="611" t="s">
        <v>1177</v>
      </c>
      <c r="X533" s="1615"/>
      <c r="Y533" s="96"/>
      <c r="Z533" s="98"/>
      <c r="AA533" s="92"/>
      <c r="AB533" s="92"/>
      <c r="AC533" s="99"/>
      <c r="AD533" s="100" t="s">
        <v>68</v>
      </c>
      <c r="AE533" s="120" t="s">
        <v>68</v>
      </c>
      <c r="AF533" s="120" t="s">
        <v>68</v>
      </c>
      <c r="AG533" s="101" t="s">
        <v>68</v>
      </c>
      <c r="AH533" s="117" t="s">
        <v>68</v>
      </c>
      <c r="AI533" s="96" t="s">
        <v>68</v>
      </c>
      <c r="AJ533" s="102" t="s">
        <v>68</v>
      </c>
      <c r="AK533" s="94"/>
      <c r="AL533" s="102" t="s">
        <v>68</v>
      </c>
      <c r="AM533" s="94"/>
      <c r="AN533" s="102" t="s">
        <v>68</v>
      </c>
      <c r="AO533" s="94"/>
      <c r="AP533" s="311">
        <v>0</v>
      </c>
      <c r="AQ533" s="104"/>
      <c r="AR533" s="1036"/>
      <c r="AS533" s="1023"/>
      <c r="AT533" s="728" t="s">
        <v>74</v>
      </c>
      <c r="AU533" s="95"/>
      <c r="AV533" s="374"/>
      <c r="AW533" s="107"/>
      <c r="AX533" s="728" t="s">
        <v>74</v>
      </c>
      <c r="AY533" s="94"/>
      <c r="AZ533" s="94"/>
      <c r="BA533" s="95"/>
      <c r="BB533" s="728" t="s">
        <v>74</v>
      </c>
      <c r="BC533" s="1965"/>
      <c r="BD533" s="94"/>
      <c r="BE533" s="94"/>
      <c r="BF533" s="94"/>
      <c r="BG533" s="105">
        <f t="shared" si="17"/>
        <v>0</v>
      </c>
      <c r="BH533" s="108" t="s">
        <v>68</v>
      </c>
      <c r="BI533" s="983"/>
      <c r="BJ533" s="984" t="s">
        <v>68</v>
      </c>
      <c r="BK533" s="984" t="s">
        <v>68</v>
      </c>
      <c r="BL533" s="1163"/>
      <c r="BM533" s="1163" t="s">
        <v>68</v>
      </c>
      <c r="BN533" s="1163" t="s">
        <v>68</v>
      </c>
      <c r="BO533" s="1054" t="s">
        <v>68</v>
      </c>
      <c r="BP533" s="1163" t="s">
        <v>68</v>
      </c>
      <c r="BQ533" s="1163"/>
      <c r="BR533" s="1163" t="s">
        <v>68</v>
      </c>
      <c r="BS533" s="983" t="s">
        <v>68</v>
      </c>
      <c r="BT533" s="108"/>
      <c r="BU533" s="956"/>
      <c r="BV533" s="108"/>
      <c r="BW533" s="108"/>
      <c r="BX533" s="108"/>
      <c r="BY533" s="1660" t="s">
        <v>2098</v>
      </c>
      <c r="BZ533" s="985" t="s">
        <v>3961</v>
      </c>
      <c r="CA533" s="583"/>
      <c r="CB533" s="583"/>
      <c r="CC533" s="583"/>
      <c r="CD533" s="583"/>
      <c r="CE533" s="583"/>
      <c r="CF533" s="583"/>
      <c r="CG533" s="583"/>
      <c r="CH533" s="707"/>
    </row>
    <row r="534" spans="1:86" ht="89.25" hidden="1" customHeight="1">
      <c r="B534" s="23"/>
      <c r="C534" s="1982"/>
      <c r="D534" s="1982"/>
      <c r="E534" s="1051">
        <v>44805</v>
      </c>
      <c r="F534" s="1051">
        <v>44440</v>
      </c>
      <c r="G534" s="1055">
        <v>44452</v>
      </c>
      <c r="H534" s="365">
        <v>44452</v>
      </c>
      <c r="I534" s="182">
        <v>2021</v>
      </c>
      <c r="J534" s="1678">
        <v>211.08</v>
      </c>
      <c r="K534" s="183" t="s">
        <v>77</v>
      </c>
      <c r="L534" s="191" t="s">
        <v>3485</v>
      </c>
      <c r="M534" s="156" t="s">
        <v>4077</v>
      </c>
      <c r="N534" s="186" t="s">
        <v>3936</v>
      </c>
      <c r="O534" s="186" t="s">
        <v>2548</v>
      </c>
      <c r="P534" s="187">
        <v>113778.58</v>
      </c>
      <c r="Q534" s="188">
        <v>44356</v>
      </c>
      <c r="R534" s="189">
        <v>44361</v>
      </c>
      <c r="S534" s="190">
        <v>44379</v>
      </c>
      <c r="T534" s="111" t="s">
        <v>68</v>
      </c>
      <c r="U534" s="191" t="s">
        <v>1177</v>
      </c>
      <c r="V534" s="716" t="s">
        <v>305</v>
      </c>
      <c r="W534" s="1623" t="s">
        <v>74</v>
      </c>
      <c r="X534" s="1623" t="s">
        <v>74</v>
      </c>
      <c r="Y534" s="180" t="s">
        <v>3937</v>
      </c>
      <c r="Z534" s="9">
        <v>44406</v>
      </c>
      <c r="AA534" s="4">
        <v>116483.73</v>
      </c>
      <c r="AB534" s="4"/>
      <c r="AC534" s="34"/>
      <c r="AD534" s="36" t="s">
        <v>68</v>
      </c>
      <c r="AE534" s="119" t="s">
        <v>68</v>
      </c>
      <c r="AF534" s="119" t="s">
        <v>68</v>
      </c>
      <c r="AG534" s="7" t="s">
        <v>68</v>
      </c>
      <c r="AH534" s="116" t="s">
        <v>68</v>
      </c>
      <c r="AI534" s="35" t="s">
        <v>68</v>
      </c>
      <c r="AJ534" s="1" t="s">
        <v>68</v>
      </c>
      <c r="AK534" s="5"/>
      <c r="AL534" s="1" t="s">
        <v>68</v>
      </c>
      <c r="AM534" s="5"/>
      <c r="AN534" s="1" t="s">
        <v>68</v>
      </c>
      <c r="AO534" s="5"/>
      <c r="AP534" s="306">
        <v>0</v>
      </c>
      <c r="AQ534" s="771"/>
      <c r="AR534" s="1040"/>
      <c r="AS534" s="1027"/>
      <c r="AT534" s="68" t="s">
        <v>74</v>
      </c>
      <c r="AU534" s="12"/>
      <c r="AV534" s="1695"/>
      <c r="AW534" s="1014"/>
      <c r="AX534" s="68" t="s">
        <v>74</v>
      </c>
      <c r="AY534" s="255"/>
      <c r="AZ534" s="255"/>
      <c r="BA534" s="245"/>
      <c r="BB534" s="68" t="s">
        <v>74</v>
      </c>
      <c r="BC534" s="1686"/>
      <c r="BD534" s="5"/>
      <c r="BE534" s="5"/>
      <c r="BF534" s="5"/>
      <c r="BG534" s="38">
        <f>AQ534+AR534</f>
        <v>0</v>
      </c>
      <c r="BH534" s="14" t="s">
        <v>68</v>
      </c>
      <c r="BI534" s="1228"/>
      <c r="BJ534" s="795" t="s">
        <v>68</v>
      </c>
      <c r="BK534" s="795" t="s">
        <v>68</v>
      </c>
      <c r="BL534" s="1230"/>
      <c r="BM534" s="796" t="s">
        <v>68</v>
      </c>
      <c r="BN534" s="796" t="s">
        <v>68</v>
      </c>
      <c r="BO534" s="1054" t="s">
        <v>68</v>
      </c>
      <c r="BP534" s="796" t="s">
        <v>68</v>
      </c>
      <c r="BQ534" s="796"/>
      <c r="BR534" s="796" t="s">
        <v>68</v>
      </c>
      <c r="BS534" s="794" t="s">
        <v>68</v>
      </c>
      <c r="BT534" s="14"/>
      <c r="BU534" s="166"/>
      <c r="BV534" s="14"/>
      <c r="BW534" s="14"/>
      <c r="BX534" s="14"/>
      <c r="BY534" s="1433" t="s">
        <v>2098</v>
      </c>
      <c r="BZ534" s="40"/>
      <c r="CA534" s="582"/>
      <c r="CB534" s="582"/>
      <c r="CC534" s="582"/>
      <c r="CD534" s="582"/>
      <c r="CE534" s="582"/>
      <c r="CF534" s="582"/>
      <c r="CG534" s="582"/>
      <c r="CH534" s="16"/>
    </row>
    <row r="535" spans="1:86" ht="93" hidden="1" customHeight="1">
      <c r="B535" s="23"/>
      <c r="C535" s="1982"/>
      <c r="D535" s="1982"/>
      <c r="E535" s="1051"/>
      <c r="F535" s="1051"/>
      <c r="G535" s="1055"/>
      <c r="H535" s="365"/>
      <c r="I535" s="182">
        <v>2021</v>
      </c>
      <c r="J535" s="1678">
        <v>211.09</v>
      </c>
      <c r="K535" s="183" t="s">
        <v>166</v>
      </c>
      <c r="L535" s="191" t="s">
        <v>3486</v>
      </c>
      <c r="M535" s="185" t="s">
        <v>251</v>
      </c>
      <c r="N535" s="495" t="s">
        <v>3943</v>
      </c>
      <c r="O535" s="495"/>
      <c r="P535" s="187">
        <v>77686.679999999993</v>
      </c>
      <c r="Q535" s="1403">
        <v>44356</v>
      </c>
      <c r="R535" s="189">
        <v>44369</v>
      </c>
      <c r="S535" s="190">
        <v>44383</v>
      </c>
      <c r="T535" s="111" t="s">
        <v>68</v>
      </c>
      <c r="U535" s="191" t="s">
        <v>1177</v>
      </c>
      <c r="V535" s="716" t="s">
        <v>305</v>
      </c>
      <c r="W535" s="220" t="s">
        <v>1177</v>
      </c>
      <c r="X535" s="1637"/>
      <c r="Y535" s="280"/>
      <c r="Z535" s="9"/>
      <c r="AA535" s="4"/>
      <c r="AB535" s="4"/>
      <c r="AC535" s="34"/>
      <c r="AD535" s="36" t="s">
        <v>68</v>
      </c>
      <c r="AE535" s="119" t="s">
        <v>68</v>
      </c>
      <c r="AF535" s="119" t="s">
        <v>68</v>
      </c>
      <c r="AG535" s="7" t="s">
        <v>68</v>
      </c>
      <c r="AH535" s="116" t="s">
        <v>68</v>
      </c>
      <c r="AI535" s="35" t="s">
        <v>68</v>
      </c>
      <c r="AJ535" s="1" t="s">
        <v>68</v>
      </c>
      <c r="AK535" s="5"/>
      <c r="AL535" s="1" t="s">
        <v>68</v>
      </c>
      <c r="AM535" s="5"/>
      <c r="AN535" s="1" t="s">
        <v>68</v>
      </c>
      <c r="AO535" s="5"/>
      <c r="AP535" s="306">
        <v>0</v>
      </c>
      <c r="AQ535" s="771"/>
      <c r="AR535" s="1040"/>
      <c r="AS535" s="1027"/>
      <c r="AT535" s="68" t="s">
        <v>74</v>
      </c>
      <c r="AU535" s="12"/>
      <c r="AV535" s="243"/>
      <c r="AW535" s="54"/>
      <c r="AX535" s="68" t="s">
        <v>74</v>
      </c>
      <c r="AY535" s="255"/>
      <c r="AZ535" s="255"/>
      <c r="BA535" s="245"/>
      <c r="BB535" s="68" t="s">
        <v>74</v>
      </c>
      <c r="BC535" s="1686"/>
      <c r="BD535" s="5"/>
      <c r="BE535" s="5"/>
      <c r="BF535" s="5"/>
      <c r="BG535" s="38">
        <f>AQ535+AR535</f>
        <v>0</v>
      </c>
      <c r="BH535" s="14" t="s">
        <v>68</v>
      </c>
      <c r="BI535" s="1228"/>
      <c r="BJ535" s="795" t="s">
        <v>68</v>
      </c>
      <c r="BK535" s="795" t="s">
        <v>68</v>
      </c>
      <c r="BL535" s="1230"/>
      <c r="BM535" s="796" t="s">
        <v>68</v>
      </c>
      <c r="BN535" s="796" t="s">
        <v>68</v>
      </c>
      <c r="BO535" s="1054" t="s">
        <v>68</v>
      </c>
      <c r="BP535" s="796" t="s">
        <v>68</v>
      </c>
      <c r="BQ535" s="796"/>
      <c r="BR535" s="796" t="s">
        <v>68</v>
      </c>
      <c r="BS535" s="794" t="s">
        <v>68</v>
      </c>
      <c r="BT535" s="14"/>
      <c r="BU535" s="166"/>
      <c r="BV535" s="14"/>
      <c r="BW535" s="14"/>
      <c r="BX535" s="14"/>
      <c r="BY535" s="1433" t="s">
        <v>2098</v>
      </c>
      <c r="BZ535" s="40"/>
      <c r="CA535" s="582"/>
      <c r="CB535" s="582"/>
      <c r="CC535" s="582"/>
      <c r="CD535" s="582"/>
      <c r="CE535" s="582"/>
      <c r="CF535" s="582"/>
      <c r="CG535" s="582"/>
      <c r="CH535" s="16"/>
    </row>
    <row r="536" spans="1:86" s="1241" customFormat="1" ht="118.5" hidden="1" customHeight="1">
      <c r="B536" s="1242"/>
      <c r="C536" s="1985"/>
      <c r="D536" s="1985"/>
      <c r="E536" s="1243"/>
      <c r="F536" s="1243"/>
      <c r="G536" s="610"/>
      <c r="H536" s="700"/>
      <c r="I536" s="1244">
        <v>2021</v>
      </c>
      <c r="J536" s="1683">
        <v>211.1</v>
      </c>
      <c r="K536" s="1245"/>
      <c r="L536" s="1246" t="s">
        <v>4014</v>
      </c>
      <c r="M536" s="904" t="s">
        <v>251</v>
      </c>
      <c r="N536" s="1247"/>
      <c r="O536" s="1247"/>
      <c r="P536" s="1248"/>
      <c r="Q536" s="1249"/>
      <c r="R536" s="1250"/>
      <c r="S536" s="1251"/>
      <c r="T536" s="1252"/>
      <c r="U536" s="1246" t="s">
        <v>1177</v>
      </c>
      <c r="V536" s="1245"/>
      <c r="W536" s="1278"/>
      <c r="X536" s="1631"/>
      <c r="Y536" s="340"/>
      <c r="Z536" s="1254"/>
      <c r="AA536" s="1255"/>
      <c r="AB536" s="1255"/>
      <c r="AC536" s="1256"/>
      <c r="AD536" s="1257"/>
      <c r="AE536" s="1258"/>
      <c r="AF536" s="1258"/>
      <c r="AG536" s="1259"/>
      <c r="AH536" s="1260"/>
      <c r="AI536" s="340"/>
      <c r="AJ536" s="1261"/>
      <c r="AK536" s="1262"/>
      <c r="AL536" s="1261"/>
      <c r="AM536" s="1262"/>
      <c r="AN536" s="1261"/>
      <c r="AO536" s="1262"/>
      <c r="AP536" s="1263">
        <v>0</v>
      </c>
      <c r="AQ536" s="1264"/>
      <c r="AR536" s="1265"/>
      <c r="AS536" s="1266"/>
      <c r="AT536" s="1762" t="s">
        <v>74</v>
      </c>
      <c r="AU536" s="1268"/>
      <c r="AV536" s="1269"/>
      <c r="AW536" s="1270"/>
      <c r="AX536" s="1267"/>
      <c r="AY536" s="1262"/>
      <c r="AZ536" s="1262"/>
      <c r="BA536" s="1268"/>
      <c r="BB536" s="1267"/>
      <c r="BC536" s="1944"/>
      <c r="BD536" s="1262"/>
      <c r="BE536" s="1262"/>
      <c r="BF536" s="1262"/>
      <c r="BG536" s="1272"/>
      <c r="BH536" s="1273"/>
      <c r="BI536" s="1753"/>
      <c r="BJ536" s="1754"/>
      <c r="BK536" s="1754"/>
      <c r="BL536" s="1770"/>
      <c r="BM536" s="1770"/>
      <c r="BN536" s="1770"/>
      <c r="BO536" s="1054"/>
      <c r="BP536" s="1770"/>
      <c r="BQ536" s="1770"/>
      <c r="BR536" s="1770"/>
      <c r="BS536" s="1753"/>
      <c r="BT536" s="1273"/>
      <c r="BU536" s="1468"/>
      <c r="BV536" s="1273"/>
      <c r="BW536" s="1273"/>
      <c r="BX536" s="1273"/>
      <c r="BY536" s="1769" t="s">
        <v>2098</v>
      </c>
      <c r="BZ536" s="1276"/>
      <c r="CA536" s="903"/>
      <c r="CB536" s="903"/>
      <c r="CC536" s="903"/>
      <c r="CD536" s="903"/>
      <c r="CE536" s="903"/>
      <c r="CF536" s="903"/>
      <c r="CG536" s="903"/>
      <c r="CH536" s="1277"/>
    </row>
    <row r="537" spans="1:86" s="110" customFormat="1" ht="157.5" hidden="1" customHeight="1">
      <c r="A537" s="1711"/>
      <c r="B537" s="23"/>
      <c r="C537" s="1982"/>
      <c r="D537" s="1982"/>
      <c r="E537" s="1051">
        <v>44440</v>
      </c>
      <c r="F537" s="1051">
        <v>44228</v>
      </c>
      <c r="G537" s="1055">
        <v>44467</v>
      </c>
      <c r="H537" s="365"/>
      <c r="I537" s="182">
        <v>2021</v>
      </c>
      <c r="J537" s="1678">
        <v>211.11</v>
      </c>
      <c r="K537" s="183" t="s">
        <v>166</v>
      </c>
      <c r="L537" s="191" t="s">
        <v>3939</v>
      </c>
      <c r="M537" s="156" t="s">
        <v>4077</v>
      </c>
      <c r="N537" s="495" t="s">
        <v>3944</v>
      </c>
      <c r="O537" s="495" t="s">
        <v>1979</v>
      </c>
      <c r="P537" s="187">
        <f>220000+51040</f>
        <v>271040</v>
      </c>
      <c r="Q537" s="1403">
        <v>44232</v>
      </c>
      <c r="R537" s="189">
        <v>44236</v>
      </c>
      <c r="S537" s="190">
        <v>44257</v>
      </c>
      <c r="T537" s="111" t="s">
        <v>68</v>
      </c>
      <c r="U537" s="191" t="s">
        <v>1177</v>
      </c>
      <c r="V537" s="716" t="s">
        <v>1107</v>
      </c>
      <c r="W537" s="220" t="s">
        <v>1177</v>
      </c>
      <c r="X537" s="1637"/>
      <c r="Y537" s="280"/>
      <c r="Z537" s="9"/>
      <c r="AA537" s="4"/>
      <c r="AB537" s="4"/>
      <c r="AC537" s="34"/>
      <c r="AD537" s="36" t="s">
        <v>68</v>
      </c>
      <c r="AE537" s="119" t="s">
        <v>68</v>
      </c>
      <c r="AF537" s="119" t="s">
        <v>68</v>
      </c>
      <c r="AG537" s="7" t="s">
        <v>68</v>
      </c>
      <c r="AH537" s="116" t="s">
        <v>68</v>
      </c>
      <c r="AI537" s="35" t="s">
        <v>68</v>
      </c>
      <c r="AJ537" s="1" t="s">
        <v>68</v>
      </c>
      <c r="AK537" s="5"/>
      <c r="AL537" s="1" t="s">
        <v>68</v>
      </c>
      <c r="AM537" s="5"/>
      <c r="AN537" s="1" t="s">
        <v>68</v>
      </c>
      <c r="AO537" s="5"/>
      <c r="AP537" s="306">
        <v>0</v>
      </c>
      <c r="AQ537" s="771"/>
      <c r="AR537" s="1040"/>
      <c r="AS537" s="1027"/>
      <c r="AT537" s="68" t="s">
        <v>74</v>
      </c>
      <c r="AU537" s="12"/>
      <c r="AV537" s="243"/>
      <c r="AW537" s="54"/>
      <c r="AX537" s="68" t="s">
        <v>74</v>
      </c>
      <c r="AY537" s="255"/>
      <c r="AZ537" s="255"/>
      <c r="BA537" s="245"/>
      <c r="BB537" s="68" t="s">
        <v>74</v>
      </c>
      <c r="BC537" s="1686"/>
      <c r="BD537" s="5"/>
      <c r="BE537" s="5"/>
      <c r="BF537" s="5"/>
      <c r="BG537" s="38">
        <f>AQ537+AR537</f>
        <v>0</v>
      </c>
      <c r="BH537" s="14" t="s">
        <v>68</v>
      </c>
      <c r="BI537" s="1228"/>
      <c r="BJ537" s="795" t="s">
        <v>68</v>
      </c>
      <c r="BK537" s="795" t="s">
        <v>68</v>
      </c>
      <c r="BL537" s="1230"/>
      <c r="BM537" s="796" t="s">
        <v>68</v>
      </c>
      <c r="BN537" s="796" t="s">
        <v>68</v>
      </c>
      <c r="BO537" s="1054" t="s">
        <v>68</v>
      </c>
      <c r="BP537" s="796" t="s">
        <v>68</v>
      </c>
      <c r="BQ537" s="796"/>
      <c r="BR537" s="796" t="s">
        <v>68</v>
      </c>
      <c r="BS537" s="794" t="s">
        <v>68</v>
      </c>
      <c r="BT537" s="14"/>
      <c r="BU537" s="166"/>
      <c r="BV537" s="14"/>
      <c r="BW537" s="14"/>
      <c r="BX537" s="14"/>
      <c r="BY537" s="1433" t="s">
        <v>2098</v>
      </c>
      <c r="BZ537" s="40"/>
      <c r="CA537" s="583"/>
      <c r="CB537" s="583"/>
      <c r="CC537" s="583"/>
      <c r="CD537" s="583"/>
      <c r="CE537" s="583"/>
      <c r="CF537" s="583"/>
      <c r="CG537" s="583"/>
      <c r="CH537" s="707"/>
    </row>
    <row r="538" spans="1:86" s="1241" customFormat="1" ht="76.5" hidden="1" customHeight="1">
      <c r="B538" s="1242"/>
      <c r="C538" s="1985"/>
      <c r="D538" s="1985"/>
      <c r="E538" s="1243"/>
      <c r="F538" s="1243"/>
      <c r="G538" s="610"/>
      <c r="H538" s="700"/>
      <c r="I538" s="1244">
        <v>2021</v>
      </c>
      <c r="J538" s="1683">
        <v>211.12</v>
      </c>
      <c r="K538" s="1245" t="s">
        <v>3392</v>
      </c>
      <c r="L538" s="1246" t="s">
        <v>3940</v>
      </c>
      <c r="M538" s="904" t="s">
        <v>251</v>
      </c>
      <c r="N538" s="1247" t="s">
        <v>3945</v>
      </c>
      <c r="O538" s="1247"/>
      <c r="P538" s="1248">
        <v>124003.71</v>
      </c>
      <c r="Q538" s="1249">
        <v>44438</v>
      </c>
      <c r="R538" s="1250">
        <v>44445</v>
      </c>
      <c r="S538" s="1251">
        <v>44463</v>
      </c>
      <c r="T538" s="1252" t="s">
        <v>68</v>
      </c>
      <c r="U538" s="1246" t="s">
        <v>68</v>
      </c>
      <c r="V538" s="1245" t="s">
        <v>213</v>
      </c>
      <c r="W538" s="1278" t="s">
        <v>1177</v>
      </c>
      <c r="X538" s="1631"/>
      <c r="Y538" s="340"/>
      <c r="Z538" s="1254"/>
      <c r="AA538" s="1255"/>
      <c r="AB538" s="1255"/>
      <c r="AC538" s="1256"/>
      <c r="AD538" s="1257" t="s">
        <v>68</v>
      </c>
      <c r="AE538" s="1258" t="s">
        <v>68</v>
      </c>
      <c r="AF538" s="1258" t="s">
        <v>68</v>
      </c>
      <c r="AG538" s="1259" t="s">
        <v>68</v>
      </c>
      <c r="AH538" s="1260" t="s">
        <v>68</v>
      </c>
      <c r="AI538" s="340" t="s">
        <v>68</v>
      </c>
      <c r="AJ538" s="1261" t="s">
        <v>68</v>
      </c>
      <c r="AK538" s="1262"/>
      <c r="AL538" s="1261" t="s">
        <v>68</v>
      </c>
      <c r="AM538" s="1262"/>
      <c r="AN538" s="1261" t="s">
        <v>68</v>
      </c>
      <c r="AO538" s="1262"/>
      <c r="AP538" s="1263">
        <v>0</v>
      </c>
      <c r="AQ538" s="1264"/>
      <c r="AR538" s="1265"/>
      <c r="AS538" s="1266"/>
      <c r="AT538" s="1267"/>
      <c r="AU538" s="1268"/>
      <c r="AV538" s="1269"/>
      <c r="AW538" s="1270"/>
      <c r="AX538" s="1267"/>
      <c r="AY538" s="1262"/>
      <c r="AZ538" s="1262"/>
      <c r="BA538" s="1268"/>
      <c r="BB538" s="1267"/>
      <c r="BC538" s="1944"/>
      <c r="BD538" s="1262"/>
      <c r="BE538" s="1262"/>
      <c r="BF538" s="1262"/>
      <c r="BG538" s="1272">
        <f>AQ538+AR538</f>
        <v>0</v>
      </c>
      <c r="BH538" s="1273" t="s">
        <v>68</v>
      </c>
      <c r="BI538" s="1753"/>
      <c r="BJ538" s="1754" t="s">
        <v>68</v>
      </c>
      <c r="BK538" s="1754" t="s">
        <v>68</v>
      </c>
      <c r="BL538" s="1770"/>
      <c r="BM538" s="1770" t="s">
        <v>68</v>
      </c>
      <c r="BN538" s="1770" t="s">
        <v>68</v>
      </c>
      <c r="BO538" s="1054" t="s">
        <v>68</v>
      </c>
      <c r="BP538" s="1770" t="s">
        <v>68</v>
      </c>
      <c r="BQ538" s="1770"/>
      <c r="BR538" s="1770" t="s">
        <v>68</v>
      </c>
      <c r="BS538" s="1753" t="s">
        <v>68</v>
      </c>
      <c r="BT538" s="1273"/>
      <c r="BU538" s="1468"/>
      <c r="BV538" s="1273"/>
      <c r="BW538" s="1273"/>
      <c r="BX538" s="1273"/>
      <c r="BY538" s="1769" t="s">
        <v>2098</v>
      </c>
      <c r="BZ538" s="1276"/>
      <c r="CA538" s="903"/>
      <c r="CB538" s="903"/>
      <c r="CC538" s="903"/>
      <c r="CD538" s="903"/>
      <c r="CE538" s="903"/>
      <c r="CF538" s="903"/>
      <c r="CG538" s="903"/>
      <c r="CH538" s="1277"/>
    </row>
    <row r="539" spans="1:86" ht="130.5" hidden="1" customHeight="1">
      <c r="B539" s="23"/>
      <c r="C539" s="1982"/>
      <c r="D539" s="1982"/>
      <c r="E539" s="1051">
        <v>44805</v>
      </c>
      <c r="F539" s="1051">
        <v>44805</v>
      </c>
      <c r="G539" s="1055">
        <v>44652</v>
      </c>
      <c r="H539" s="365"/>
      <c r="I539" s="182">
        <v>2021</v>
      </c>
      <c r="J539" s="1678">
        <v>211.13</v>
      </c>
      <c r="K539" s="183" t="s">
        <v>166</v>
      </c>
      <c r="L539" s="191" t="s">
        <v>3941</v>
      </c>
      <c r="M539" s="156" t="s">
        <v>4077</v>
      </c>
      <c r="N539" s="495" t="s">
        <v>3946</v>
      </c>
      <c r="O539" s="495" t="s">
        <v>1979</v>
      </c>
      <c r="P539" s="187">
        <v>168528.09</v>
      </c>
      <c r="Q539" s="1403">
        <v>44407</v>
      </c>
      <c r="R539" s="189">
        <v>44410</v>
      </c>
      <c r="S539" s="190">
        <v>44469</v>
      </c>
      <c r="T539" s="111" t="s">
        <v>68</v>
      </c>
      <c r="U539" s="191" t="s">
        <v>1177</v>
      </c>
      <c r="V539" s="716" t="s">
        <v>449</v>
      </c>
      <c r="W539" s="220" t="s">
        <v>1177</v>
      </c>
      <c r="X539" s="1637"/>
      <c r="Y539" s="280"/>
      <c r="Z539" s="9"/>
      <c r="AA539" s="4"/>
      <c r="AB539" s="4"/>
      <c r="AC539" s="34"/>
      <c r="AD539" s="36" t="s">
        <v>68</v>
      </c>
      <c r="AE539" s="119" t="s">
        <v>68</v>
      </c>
      <c r="AF539" s="119" t="s">
        <v>68</v>
      </c>
      <c r="AG539" s="7" t="s">
        <v>68</v>
      </c>
      <c r="AH539" s="116" t="s">
        <v>68</v>
      </c>
      <c r="AI539" s="35" t="s">
        <v>68</v>
      </c>
      <c r="AJ539" s="1" t="s">
        <v>68</v>
      </c>
      <c r="AK539" s="5"/>
      <c r="AL539" s="1" t="s">
        <v>68</v>
      </c>
      <c r="AM539" s="5"/>
      <c r="AN539" s="1" t="s">
        <v>68</v>
      </c>
      <c r="AO539" s="5"/>
      <c r="AP539" s="306">
        <v>0</v>
      </c>
      <c r="AQ539" s="771"/>
      <c r="AR539" s="1040"/>
      <c r="AS539" s="1027"/>
      <c r="AT539" s="68" t="s">
        <v>74</v>
      </c>
      <c r="AU539" s="12"/>
      <c r="AV539" s="243"/>
      <c r="AW539" s="54"/>
      <c r="AX539" s="68" t="s">
        <v>74</v>
      </c>
      <c r="AY539" s="255"/>
      <c r="AZ539" s="255"/>
      <c r="BA539" s="245"/>
      <c r="BB539" s="68" t="s">
        <v>74</v>
      </c>
      <c r="BC539" s="1686"/>
      <c r="BD539" s="5"/>
      <c r="BE539" s="5"/>
      <c r="BF539" s="5"/>
      <c r="BG539" s="38">
        <f>AQ539+AR539</f>
        <v>0</v>
      </c>
      <c r="BH539" s="14" t="s">
        <v>68</v>
      </c>
      <c r="BI539" s="1228"/>
      <c r="BJ539" s="795" t="s">
        <v>68</v>
      </c>
      <c r="BK539" s="795" t="s">
        <v>68</v>
      </c>
      <c r="BL539" s="1230"/>
      <c r="BM539" s="796" t="s">
        <v>68</v>
      </c>
      <c r="BN539" s="796" t="s">
        <v>68</v>
      </c>
      <c r="BO539" s="1054" t="s">
        <v>68</v>
      </c>
      <c r="BP539" s="796" t="s">
        <v>68</v>
      </c>
      <c r="BQ539" s="796"/>
      <c r="BR539" s="796" t="s">
        <v>68</v>
      </c>
      <c r="BS539" s="794" t="s">
        <v>68</v>
      </c>
      <c r="BT539" s="14"/>
      <c r="BU539" s="166"/>
      <c r="BV539" s="14"/>
      <c r="BW539" s="14"/>
      <c r="BX539" s="14"/>
      <c r="BY539" s="1433" t="s">
        <v>2098</v>
      </c>
      <c r="BZ539" s="40"/>
      <c r="CA539" s="582"/>
      <c r="CB539" s="582"/>
      <c r="CC539" s="582"/>
      <c r="CD539" s="582"/>
      <c r="CE539" s="582"/>
      <c r="CF539" s="582"/>
      <c r="CG539" s="582"/>
      <c r="CH539" s="16"/>
    </row>
    <row r="540" spans="1:86" ht="90.75" hidden="1" customHeight="1">
      <c r="B540" s="23"/>
      <c r="C540" s="1982"/>
      <c r="D540" s="1982"/>
      <c r="E540" s="1051">
        <v>44805</v>
      </c>
      <c r="F540" s="1051">
        <v>44805</v>
      </c>
      <c r="G540" s="1055"/>
      <c r="H540" s="365"/>
      <c r="I540" s="182">
        <v>2021</v>
      </c>
      <c r="J540" s="1678">
        <v>211.14</v>
      </c>
      <c r="K540" s="183" t="s">
        <v>3276</v>
      </c>
      <c r="L540" s="191" t="s">
        <v>4093</v>
      </c>
      <c r="M540" s="156" t="s">
        <v>4077</v>
      </c>
      <c r="N540" s="495" t="s">
        <v>4100</v>
      </c>
      <c r="O540" s="495" t="s">
        <v>2574</v>
      </c>
      <c r="P540" s="187">
        <v>80674.649999999994</v>
      </c>
      <c r="Q540" s="1403">
        <v>44378</v>
      </c>
      <c r="R540" s="189">
        <v>44438</v>
      </c>
      <c r="S540" s="190">
        <v>44464</v>
      </c>
      <c r="T540" s="111" t="s">
        <v>68</v>
      </c>
      <c r="U540" s="191" t="s">
        <v>1177</v>
      </c>
      <c r="V540" s="716" t="s">
        <v>305</v>
      </c>
      <c r="W540" s="220" t="s">
        <v>1177</v>
      </c>
      <c r="X540" s="1637"/>
      <c r="Y540" s="280"/>
      <c r="Z540" s="9"/>
      <c r="AA540" s="4"/>
      <c r="AB540" s="4"/>
      <c r="AC540" s="34"/>
      <c r="AD540" s="36"/>
      <c r="AE540" s="119"/>
      <c r="AF540" s="119"/>
      <c r="AG540" s="7"/>
      <c r="AH540" s="116"/>
      <c r="AI540" s="35"/>
      <c r="AJ540" s="1"/>
      <c r="AK540" s="5"/>
      <c r="AL540" s="1"/>
      <c r="AM540" s="5"/>
      <c r="AN540" s="1"/>
      <c r="AO540" s="5"/>
      <c r="AP540" s="306"/>
      <c r="AQ540" s="771"/>
      <c r="AR540" s="1040"/>
      <c r="AS540" s="1027"/>
      <c r="AT540" s="68"/>
      <c r="AU540" s="12"/>
      <c r="AV540" s="243"/>
      <c r="AW540" s="54"/>
      <c r="AX540" s="68"/>
      <c r="AY540" s="255"/>
      <c r="AZ540" s="255"/>
      <c r="BA540" s="245"/>
      <c r="BB540" s="68"/>
      <c r="BC540" s="1686"/>
      <c r="BD540" s="5"/>
      <c r="BE540" s="5"/>
      <c r="BF540" s="5"/>
      <c r="BG540" s="38"/>
      <c r="BH540" s="14"/>
      <c r="BI540" s="1228"/>
      <c r="BJ540" s="795"/>
      <c r="BK540" s="795"/>
      <c r="BL540" s="1230"/>
      <c r="BM540" s="796"/>
      <c r="BN540" s="796"/>
      <c r="BO540" s="1054"/>
      <c r="BP540" s="796"/>
      <c r="BQ540" s="796"/>
      <c r="BR540" s="796"/>
      <c r="BS540" s="794"/>
      <c r="BT540" s="14"/>
      <c r="BU540" s="166"/>
      <c r="BV540" s="14"/>
      <c r="BW540" s="14"/>
      <c r="BX540" s="14"/>
      <c r="BY540" s="1433" t="s">
        <v>2098</v>
      </c>
      <c r="BZ540" s="40"/>
      <c r="CA540" s="582"/>
      <c r="CB540" s="582"/>
      <c r="CC540" s="582"/>
      <c r="CD540" s="582"/>
      <c r="CE540" s="582"/>
      <c r="CF540" s="582"/>
      <c r="CG540" s="582"/>
      <c r="CH540" s="16"/>
    </row>
    <row r="541" spans="1:86" ht="78" hidden="1" customHeight="1">
      <c r="B541" s="23"/>
      <c r="C541" s="1983">
        <v>45068</v>
      </c>
      <c r="D541" s="1983" t="s">
        <v>5052</v>
      </c>
      <c r="E541" s="1051">
        <v>44805</v>
      </c>
      <c r="F541" s="1051">
        <v>44805</v>
      </c>
      <c r="G541" s="1055">
        <v>44687</v>
      </c>
      <c r="H541" s="365">
        <v>44750</v>
      </c>
      <c r="I541" s="182">
        <v>2021</v>
      </c>
      <c r="J541" s="1678">
        <v>211.15</v>
      </c>
      <c r="K541" s="183" t="s">
        <v>3276</v>
      </c>
      <c r="L541" s="191" t="s">
        <v>4094</v>
      </c>
      <c r="M541" s="156" t="s">
        <v>4077</v>
      </c>
      <c r="N541" s="1737" t="s">
        <v>4101</v>
      </c>
      <c r="O541" s="1737" t="s">
        <v>2548</v>
      </c>
      <c r="P541" s="187">
        <v>966321.38</v>
      </c>
      <c r="Q541" s="657">
        <v>44378</v>
      </c>
      <c r="R541" s="189">
        <v>44438</v>
      </c>
      <c r="S541" s="190">
        <v>44452</v>
      </c>
      <c r="T541" s="111" t="s">
        <v>68</v>
      </c>
      <c r="U541" s="191" t="s">
        <v>1177</v>
      </c>
      <c r="V541" s="716" t="s">
        <v>305</v>
      </c>
      <c r="W541" s="1227">
        <v>44426</v>
      </c>
      <c r="X541" s="1637">
        <v>44361</v>
      </c>
      <c r="Y541" s="280"/>
      <c r="Z541" s="9"/>
      <c r="AA541" s="4"/>
      <c r="AB541" s="4"/>
      <c r="AC541" s="34"/>
      <c r="AD541" s="36"/>
      <c r="AE541" s="119"/>
      <c r="AF541" s="119"/>
      <c r="AG541" s="7"/>
      <c r="AH541" s="116"/>
      <c r="AI541" s="35"/>
      <c r="AJ541" s="1"/>
      <c r="AK541" s="5"/>
      <c r="AL541" s="1"/>
      <c r="AM541" s="5"/>
      <c r="AN541" s="1"/>
      <c r="AO541" s="5"/>
      <c r="AP541" s="306"/>
      <c r="AQ541" s="771"/>
      <c r="AR541" s="1040"/>
      <c r="AS541" s="1027"/>
      <c r="AT541" s="68"/>
      <c r="AU541" s="12"/>
      <c r="AV541" s="243"/>
      <c r="AW541" s="54"/>
      <c r="AX541" s="68"/>
      <c r="AY541" s="255"/>
      <c r="AZ541" s="255"/>
      <c r="BA541" s="245"/>
      <c r="BB541" s="68"/>
      <c r="BC541" s="1686"/>
      <c r="BD541" s="5"/>
      <c r="BE541" s="5"/>
      <c r="BF541" s="5"/>
      <c r="BG541" s="38"/>
      <c r="BH541" s="14"/>
      <c r="BI541" s="1228"/>
      <c r="BJ541" s="795"/>
      <c r="BK541" s="795"/>
      <c r="BL541" s="1230"/>
      <c r="BM541" s="796"/>
      <c r="BN541" s="796"/>
      <c r="BO541" s="1054"/>
      <c r="BP541" s="796"/>
      <c r="BQ541" s="796"/>
      <c r="BR541" s="796"/>
      <c r="BS541" s="794"/>
      <c r="BT541" s="14"/>
      <c r="BU541" s="166"/>
      <c r="BV541" s="14"/>
      <c r="BW541" s="14"/>
      <c r="BX541" s="14"/>
      <c r="BY541" s="1433" t="s">
        <v>2098</v>
      </c>
      <c r="BZ541" s="1986" t="s">
        <v>5049</v>
      </c>
      <c r="CA541" s="582"/>
      <c r="CB541" s="582"/>
      <c r="CC541" s="582"/>
      <c r="CD541" s="582"/>
      <c r="CE541" s="582"/>
      <c r="CF541" s="582"/>
      <c r="CG541" s="582"/>
      <c r="CH541" s="16"/>
    </row>
    <row r="542" spans="1:86" ht="60.75" hidden="1" customHeight="1">
      <c r="B542" s="23"/>
      <c r="C542" s="1983">
        <v>45068</v>
      </c>
      <c r="D542" s="1983" t="s">
        <v>5053</v>
      </c>
      <c r="E542" s="1051">
        <v>44805</v>
      </c>
      <c r="F542" s="1051">
        <v>44805</v>
      </c>
      <c r="G542" s="1055">
        <v>44687</v>
      </c>
      <c r="H542" s="365">
        <v>44750</v>
      </c>
      <c r="I542" s="182">
        <v>2021</v>
      </c>
      <c r="J542" s="1678">
        <v>211.16</v>
      </c>
      <c r="K542" s="183" t="s">
        <v>3276</v>
      </c>
      <c r="L542" s="191" t="s">
        <v>4095</v>
      </c>
      <c r="M542" s="156" t="s">
        <v>4077</v>
      </c>
      <c r="N542" s="1737" t="s">
        <v>4102</v>
      </c>
      <c r="O542" s="1737" t="s">
        <v>4458</v>
      </c>
      <c r="P542" s="187">
        <v>831652.39</v>
      </c>
      <c r="Q542" s="657">
        <v>44378</v>
      </c>
      <c r="R542" s="189">
        <v>44466</v>
      </c>
      <c r="S542" s="190">
        <v>44541</v>
      </c>
      <c r="T542" s="111"/>
      <c r="U542" s="191" t="s">
        <v>1177</v>
      </c>
      <c r="V542" s="716" t="s">
        <v>305</v>
      </c>
      <c r="W542" s="1227"/>
      <c r="X542" s="1637"/>
      <c r="Y542" s="280"/>
      <c r="Z542" s="9"/>
      <c r="AA542" s="4"/>
      <c r="AB542" s="4"/>
      <c r="AC542" s="34"/>
      <c r="AD542" s="36"/>
      <c r="AE542" s="119"/>
      <c r="AF542" s="119"/>
      <c r="AG542" s="7"/>
      <c r="AH542" s="116"/>
      <c r="AI542" s="35"/>
      <c r="AJ542" s="1"/>
      <c r="AK542" s="5"/>
      <c r="AL542" s="1"/>
      <c r="AM542" s="5"/>
      <c r="AN542" s="1"/>
      <c r="AO542" s="5"/>
      <c r="AP542" s="306"/>
      <c r="AQ542" s="771"/>
      <c r="AR542" s="1040"/>
      <c r="AS542" s="1027"/>
      <c r="AT542" s="68"/>
      <c r="AU542" s="12"/>
      <c r="AV542" s="243"/>
      <c r="AW542" s="54"/>
      <c r="AX542" s="68"/>
      <c r="AY542" s="255"/>
      <c r="AZ542" s="255"/>
      <c r="BA542" s="245"/>
      <c r="BB542" s="68"/>
      <c r="BC542" s="1686"/>
      <c r="BD542" s="5"/>
      <c r="BE542" s="5"/>
      <c r="BF542" s="5"/>
      <c r="BG542" s="38"/>
      <c r="BH542" s="14"/>
      <c r="BI542" s="1228"/>
      <c r="BJ542" s="795"/>
      <c r="BK542" s="795"/>
      <c r="BL542" s="1230"/>
      <c r="BM542" s="796"/>
      <c r="BN542" s="796"/>
      <c r="BO542" s="1054"/>
      <c r="BP542" s="796"/>
      <c r="BQ542" s="796"/>
      <c r="BR542" s="796"/>
      <c r="BS542" s="794"/>
      <c r="BT542" s="14"/>
      <c r="BU542" s="166"/>
      <c r="BV542" s="14"/>
      <c r="BW542" s="14"/>
      <c r="BX542" s="14"/>
      <c r="BY542" s="1433" t="s">
        <v>2098</v>
      </c>
      <c r="BZ542" s="40" t="s">
        <v>5050</v>
      </c>
      <c r="CA542" s="582"/>
      <c r="CB542" s="582"/>
      <c r="CC542" s="582"/>
      <c r="CD542" s="582"/>
      <c r="CE542" s="582"/>
      <c r="CF542" s="582"/>
      <c r="CG542" s="582"/>
      <c r="CH542" s="16"/>
    </row>
    <row r="543" spans="1:86" ht="69" hidden="1" customHeight="1">
      <c r="B543" s="23"/>
      <c r="C543" s="1983">
        <v>45068</v>
      </c>
      <c r="D543" s="1983" t="s">
        <v>5054</v>
      </c>
      <c r="E543" s="1051">
        <v>44805</v>
      </c>
      <c r="F543" s="1051">
        <v>44805</v>
      </c>
      <c r="G543" s="1055">
        <v>44687</v>
      </c>
      <c r="H543" s="365">
        <v>44750</v>
      </c>
      <c r="I543" s="182">
        <v>2021</v>
      </c>
      <c r="J543" s="1678">
        <v>211.17</v>
      </c>
      <c r="K543" s="183" t="s">
        <v>3276</v>
      </c>
      <c r="L543" s="191" t="s">
        <v>4096</v>
      </c>
      <c r="M543" s="156" t="s">
        <v>4077</v>
      </c>
      <c r="N543" s="1737" t="s">
        <v>4103</v>
      </c>
      <c r="O543" s="1737" t="s">
        <v>2613</v>
      </c>
      <c r="P543" s="187">
        <v>1965177.84</v>
      </c>
      <c r="Q543" s="657">
        <v>44378</v>
      </c>
      <c r="R543" s="189">
        <v>44438</v>
      </c>
      <c r="S543" s="190">
        <v>44492</v>
      </c>
      <c r="T543" s="111"/>
      <c r="U543" s="191" t="s">
        <v>1177</v>
      </c>
      <c r="V543" s="716" t="s">
        <v>305</v>
      </c>
      <c r="W543" s="1227"/>
      <c r="X543" s="1637"/>
      <c r="Y543" s="280"/>
      <c r="Z543" s="9"/>
      <c r="AA543" s="4"/>
      <c r="AB543" s="4"/>
      <c r="AC543" s="34"/>
      <c r="AD543" s="36"/>
      <c r="AE543" s="119"/>
      <c r="AF543" s="119"/>
      <c r="AG543" s="7"/>
      <c r="AH543" s="116"/>
      <c r="AI543" s="35"/>
      <c r="AJ543" s="1"/>
      <c r="AK543" s="5"/>
      <c r="AL543" s="1"/>
      <c r="AM543" s="5"/>
      <c r="AN543" s="1"/>
      <c r="AO543" s="5"/>
      <c r="AP543" s="306"/>
      <c r="AQ543" s="771"/>
      <c r="AR543" s="1040"/>
      <c r="AS543" s="1027"/>
      <c r="AT543" s="68"/>
      <c r="AU543" s="12"/>
      <c r="AV543" s="243"/>
      <c r="AW543" s="54"/>
      <c r="AX543" s="68"/>
      <c r="AY543" s="255"/>
      <c r="AZ543" s="255"/>
      <c r="BA543" s="245"/>
      <c r="BB543" s="68"/>
      <c r="BC543" s="1686"/>
      <c r="BD543" s="5"/>
      <c r="BE543" s="5"/>
      <c r="BF543" s="5"/>
      <c r="BG543" s="38"/>
      <c r="BH543" s="14"/>
      <c r="BI543" s="1228"/>
      <c r="BJ543" s="795"/>
      <c r="BK543" s="795"/>
      <c r="BL543" s="1230"/>
      <c r="BM543" s="796"/>
      <c r="BN543" s="796"/>
      <c r="BO543" s="1054"/>
      <c r="BP543" s="796"/>
      <c r="BQ543" s="796"/>
      <c r="BR543" s="796"/>
      <c r="BS543" s="794"/>
      <c r="BT543" s="14"/>
      <c r="BU543" s="166"/>
      <c r="BV543" s="14"/>
      <c r="BW543" s="14"/>
      <c r="BX543" s="14"/>
      <c r="BY543" s="1433" t="s">
        <v>2098</v>
      </c>
      <c r="BZ543" s="1986" t="s">
        <v>5051</v>
      </c>
      <c r="CA543" s="582"/>
      <c r="CB543" s="582"/>
      <c r="CC543" s="582"/>
      <c r="CD543" s="582"/>
      <c r="CE543" s="582"/>
      <c r="CF543" s="582"/>
      <c r="CG543" s="582"/>
      <c r="CH543" s="16"/>
    </row>
    <row r="544" spans="1:86" ht="96.75" hidden="1" customHeight="1">
      <c r="B544" s="23"/>
      <c r="C544" s="1983">
        <v>45068</v>
      </c>
      <c r="D544" s="1987">
        <v>6</v>
      </c>
      <c r="E544" s="1051">
        <v>44805</v>
      </c>
      <c r="F544" s="1051">
        <v>44805</v>
      </c>
      <c r="G544" s="1055">
        <v>44687</v>
      </c>
      <c r="H544" s="365">
        <v>44750</v>
      </c>
      <c r="I544" s="182">
        <v>2021</v>
      </c>
      <c r="J544" s="1678">
        <v>211.18</v>
      </c>
      <c r="K544" s="183" t="s">
        <v>3276</v>
      </c>
      <c r="L544" s="191" t="s">
        <v>4097</v>
      </c>
      <c r="M544" s="185" t="s">
        <v>4077</v>
      </c>
      <c r="N544" s="495" t="s">
        <v>4122</v>
      </c>
      <c r="O544" s="495" t="s">
        <v>2699</v>
      </c>
      <c r="P544" s="187">
        <v>643795.13</v>
      </c>
      <c r="Q544" s="657">
        <v>44378</v>
      </c>
      <c r="R544" s="189">
        <v>44487</v>
      </c>
      <c r="S544" s="190">
        <v>44541</v>
      </c>
      <c r="T544" s="111"/>
      <c r="U544" s="191" t="s">
        <v>1177</v>
      </c>
      <c r="V544" s="716" t="s">
        <v>305</v>
      </c>
      <c r="W544" s="1227"/>
      <c r="X544" s="1637"/>
      <c r="Y544" s="280"/>
      <c r="Z544" s="9"/>
      <c r="AA544" s="4"/>
      <c r="AB544" s="4"/>
      <c r="AC544" s="34"/>
      <c r="AD544" s="36"/>
      <c r="AE544" s="119"/>
      <c r="AF544" s="119"/>
      <c r="AG544" s="7"/>
      <c r="AH544" s="116"/>
      <c r="AI544" s="35"/>
      <c r="AJ544" s="1"/>
      <c r="AK544" s="5"/>
      <c r="AL544" s="1"/>
      <c r="AM544" s="5"/>
      <c r="AN544" s="1"/>
      <c r="AO544" s="5"/>
      <c r="AP544" s="306"/>
      <c r="AQ544" s="771"/>
      <c r="AR544" s="1040"/>
      <c r="AS544" s="1027"/>
      <c r="AT544" s="68"/>
      <c r="AU544" s="12"/>
      <c r="AV544" s="243"/>
      <c r="AW544" s="54"/>
      <c r="AX544" s="68"/>
      <c r="AY544" s="255"/>
      <c r="AZ544" s="255"/>
      <c r="BA544" s="245"/>
      <c r="BB544" s="68"/>
      <c r="BC544" s="1686"/>
      <c r="BD544" s="5"/>
      <c r="BE544" s="5"/>
      <c r="BF544" s="5"/>
      <c r="BG544" s="38"/>
      <c r="BH544" s="14"/>
      <c r="BI544" s="1228"/>
      <c r="BJ544" s="795"/>
      <c r="BK544" s="795"/>
      <c r="BL544" s="1230"/>
      <c r="BM544" s="796"/>
      <c r="BN544" s="796"/>
      <c r="BO544" s="1054"/>
      <c r="BP544" s="796"/>
      <c r="BQ544" s="796"/>
      <c r="BR544" s="796"/>
      <c r="BS544" s="794"/>
      <c r="BT544" s="14"/>
      <c r="BU544" s="166"/>
      <c r="BV544" s="14"/>
      <c r="BW544" s="14"/>
      <c r="BX544" s="14"/>
      <c r="BY544" s="1433" t="s">
        <v>2098</v>
      </c>
      <c r="BZ544" s="40"/>
      <c r="CA544" s="582"/>
      <c r="CB544" s="582"/>
      <c r="CC544" s="582"/>
      <c r="CD544" s="582"/>
      <c r="CE544" s="582"/>
      <c r="CF544" s="582"/>
      <c r="CG544" s="582"/>
      <c r="CH544" s="16"/>
    </row>
    <row r="545" spans="2:86" ht="107.25" hidden="1" customHeight="1">
      <c r="B545" s="23"/>
      <c r="C545" s="1983">
        <v>45068</v>
      </c>
      <c r="D545" s="1987">
        <v>11</v>
      </c>
      <c r="E545" s="1051">
        <v>44805</v>
      </c>
      <c r="F545" s="1051">
        <v>44805</v>
      </c>
      <c r="G545" s="1055">
        <v>44687</v>
      </c>
      <c r="H545" s="365">
        <v>44750</v>
      </c>
      <c r="I545" s="182">
        <v>2021</v>
      </c>
      <c r="J545" s="1678">
        <v>211.19</v>
      </c>
      <c r="K545" s="183" t="s">
        <v>3276</v>
      </c>
      <c r="L545" s="191" t="s">
        <v>4098</v>
      </c>
      <c r="M545" s="185" t="s">
        <v>4077</v>
      </c>
      <c r="N545" s="495" t="s">
        <v>4104</v>
      </c>
      <c r="O545" s="495" t="s">
        <v>2551</v>
      </c>
      <c r="P545" s="187">
        <v>512378.61</v>
      </c>
      <c r="Q545" s="657">
        <v>44378</v>
      </c>
      <c r="R545" s="189">
        <v>44513</v>
      </c>
      <c r="S545" s="190">
        <v>44541</v>
      </c>
      <c r="T545" s="111"/>
      <c r="U545" s="191" t="s">
        <v>1177</v>
      </c>
      <c r="V545" s="716" t="s">
        <v>305</v>
      </c>
      <c r="W545" s="1227"/>
      <c r="X545" s="1637"/>
      <c r="Y545" s="280"/>
      <c r="Z545" s="9"/>
      <c r="AA545" s="4"/>
      <c r="AB545" s="4"/>
      <c r="AC545" s="34"/>
      <c r="AD545" s="36"/>
      <c r="AE545" s="119"/>
      <c r="AF545" s="119"/>
      <c r="AG545" s="7"/>
      <c r="AH545" s="116"/>
      <c r="AI545" s="35"/>
      <c r="AJ545" s="1"/>
      <c r="AK545" s="5"/>
      <c r="AL545" s="1"/>
      <c r="AM545" s="5"/>
      <c r="AN545" s="1"/>
      <c r="AO545" s="5"/>
      <c r="AP545" s="306"/>
      <c r="AQ545" s="771"/>
      <c r="AR545" s="1040"/>
      <c r="AS545" s="1027"/>
      <c r="AT545" s="68"/>
      <c r="AU545" s="12"/>
      <c r="AV545" s="243"/>
      <c r="AW545" s="54"/>
      <c r="AX545" s="68"/>
      <c r="AY545" s="255"/>
      <c r="AZ545" s="255"/>
      <c r="BA545" s="245"/>
      <c r="BB545" s="68"/>
      <c r="BC545" s="1686"/>
      <c r="BD545" s="5"/>
      <c r="BE545" s="5"/>
      <c r="BF545" s="5"/>
      <c r="BG545" s="38"/>
      <c r="BH545" s="14"/>
      <c r="BI545" s="1228"/>
      <c r="BJ545" s="795"/>
      <c r="BK545" s="795"/>
      <c r="BL545" s="1230"/>
      <c r="BM545" s="796"/>
      <c r="BN545" s="796"/>
      <c r="BO545" s="1054"/>
      <c r="BP545" s="796"/>
      <c r="BQ545" s="796"/>
      <c r="BR545" s="796"/>
      <c r="BS545" s="794"/>
      <c r="BT545" s="14"/>
      <c r="BU545" s="166"/>
      <c r="BV545" s="14"/>
      <c r="BW545" s="14"/>
      <c r="BX545" s="14"/>
      <c r="BY545" s="1433" t="s">
        <v>2098</v>
      </c>
      <c r="BZ545" s="40"/>
      <c r="CA545" s="582"/>
      <c r="CB545" s="582"/>
      <c r="CC545" s="582"/>
      <c r="CD545" s="582"/>
      <c r="CE545" s="582"/>
      <c r="CF545" s="582"/>
      <c r="CG545" s="582"/>
      <c r="CH545" s="16"/>
    </row>
    <row r="546" spans="2:86" s="1241" customFormat="1" ht="40.5" hidden="1" customHeight="1">
      <c r="B546" s="1242"/>
      <c r="C546" s="1985"/>
      <c r="D546" s="1985"/>
      <c r="E546" s="1243"/>
      <c r="F546" s="1243"/>
      <c r="G546" s="610"/>
      <c r="H546" s="700"/>
      <c r="I546" s="1244">
        <v>2021</v>
      </c>
      <c r="J546" s="1683">
        <v>211.2</v>
      </c>
      <c r="K546" s="1245"/>
      <c r="L546" s="1246" t="s">
        <v>4099</v>
      </c>
      <c r="M546" s="904" t="s">
        <v>251</v>
      </c>
      <c r="N546" s="1247"/>
      <c r="O546" s="1247"/>
      <c r="P546" s="1248"/>
      <c r="Q546" s="1249"/>
      <c r="R546" s="1250"/>
      <c r="S546" s="1251"/>
      <c r="T546" s="1252"/>
      <c r="U546" s="1246"/>
      <c r="V546" s="1245"/>
      <c r="W546" s="1278"/>
      <c r="X546" s="1631"/>
      <c r="Y546" s="340"/>
      <c r="Z546" s="1254"/>
      <c r="AA546" s="1255"/>
      <c r="AB546" s="1255"/>
      <c r="AC546" s="1256"/>
      <c r="AD546" s="1257"/>
      <c r="AE546" s="1258"/>
      <c r="AF546" s="1258"/>
      <c r="AG546" s="1259"/>
      <c r="AH546" s="1260"/>
      <c r="AI546" s="340"/>
      <c r="AJ546" s="1261"/>
      <c r="AK546" s="1262"/>
      <c r="AL546" s="1261"/>
      <c r="AM546" s="1262"/>
      <c r="AN546" s="1261"/>
      <c r="AO546" s="1262"/>
      <c r="AP546" s="1263"/>
      <c r="AQ546" s="1264"/>
      <c r="AR546" s="1265"/>
      <c r="AS546" s="1266"/>
      <c r="AT546" s="1762"/>
      <c r="AU546" s="1268"/>
      <c r="AV546" s="1269"/>
      <c r="AW546" s="1270"/>
      <c r="AX546" s="1762"/>
      <c r="AY546" s="1262"/>
      <c r="AZ546" s="1262"/>
      <c r="BA546" s="1268"/>
      <c r="BB546" s="1762"/>
      <c r="BC546" s="1958"/>
      <c r="BD546" s="1262"/>
      <c r="BE546" s="1262"/>
      <c r="BF546" s="1262"/>
      <c r="BG546" s="1272"/>
      <c r="BH546" s="1273"/>
      <c r="BI546" s="1753"/>
      <c r="BJ546" s="1754"/>
      <c r="BK546" s="1754"/>
      <c r="BL546" s="1770"/>
      <c r="BM546" s="1770"/>
      <c r="BN546" s="1770"/>
      <c r="BO546" s="1054"/>
      <c r="BP546" s="1770"/>
      <c r="BQ546" s="1770"/>
      <c r="BR546" s="1770"/>
      <c r="BS546" s="1753"/>
      <c r="BT546" s="1273"/>
      <c r="BU546" s="1468"/>
      <c r="BV546" s="1273"/>
      <c r="BW546" s="1273"/>
      <c r="BX546" s="1273"/>
      <c r="BY546" s="1769" t="s">
        <v>2098</v>
      </c>
      <c r="BZ546" s="1276"/>
      <c r="CA546" s="903"/>
      <c r="CB546" s="903"/>
      <c r="CC546" s="903"/>
      <c r="CD546" s="903"/>
      <c r="CE546" s="903"/>
      <c r="CF546" s="903"/>
      <c r="CG546" s="903"/>
      <c r="CH546" s="1277"/>
    </row>
    <row r="547" spans="2:86" ht="89.25" hidden="1" customHeight="1">
      <c r="B547" s="23"/>
      <c r="C547" s="1982"/>
      <c r="D547" s="1982"/>
      <c r="E547" s="1051"/>
      <c r="F547" s="1051"/>
      <c r="G547" s="1055"/>
      <c r="H547" s="365"/>
      <c r="I547" s="182">
        <v>2021</v>
      </c>
      <c r="J547" s="1678">
        <v>214.01</v>
      </c>
      <c r="K547" s="183" t="s">
        <v>166</v>
      </c>
      <c r="L547" s="191" t="s">
        <v>3794</v>
      </c>
      <c r="M547" s="185" t="s">
        <v>46</v>
      </c>
      <c r="N547" s="186" t="s">
        <v>3806</v>
      </c>
      <c r="O547" s="186" t="s">
        <v>2611</v>
      </c>
      <c r="P547" s="187">
        <v>45000</v>
      </c>
      <c r="Q547" s="188">
        <v>44204</v>
      </c>
      <c r="R547" s="189">
        <v>44208</v>
      </c>
      <c r="S547" s="190">
        <v>44298</v>
      </c>
      <c r="T547" s="111" t="s">
        <v>68</v>
      </c>
      <c r="U547" s="191" t="s">
        <v>3804</v>
      </c>
      <c r="V547" s="716" t="s">
        <v>305</v>
      </c>
      <c r="W547" s="220" t="s">
        <v>1177</v>
      </c>
      <c r="X547" s="406" t="s">
        <v>1177</v>
      </c>
      <c r="Y547" s="35" t="s">
        <v>1431</v>
      </c>
      <c r="Z547" s="9"/>
      <c r="AA547" s="4"/>
      <c r="AB547" s="4"/>
      <c r="AC547" s="34"/>
      <c r="AD547" s="36" t="s">
        <v>68</v>
      </c>
      <c r="AE547" s="119" t="s">
        <v>68</v>
      </c>
      <c r="AF547" s="119" t="s">
        <v>68</v>
      </c>
      <c r="AG547" s="7" t="s">
        <v>68</v>
      </c>
      <c r="AH547" s="116" t="s">
        <v>68</v>
      </c>
      <c r="AI547" s="35" t="s">
        <v>68</v>
      </c>
      <c r="AJ547" s="1" t="s">
        <v>68</v>
      </c>
      <c r="AK547" s="5"/>
      <c r="AL547" s="1" t="s">
        <v>68</v>
      </c>
      <c r="AM547" s="5"/>
      <c r="AN547" s="1" t="s">
        <v>68</v>
      </c>
      <c r="AO547" s="5"/>
      <c r="AP547" s="306">
        <v>0</v>
      </c>
      <c r="AQ547" s="37">
        <v>0</v>
      </c>
      <c r="AR547" s="1040"/>
      <c r="AS547" s="1027"/>
      <c r="AT547" s="32" t="s">
        <v>1177</v>
      </c>
      <c r="AU547" s="12"/>
      <c r="AV547" s="243"/>
      <c r="AW547" s="54"/>
      <c r="AX547" s="78" t="s">
        <v>1177</v>
      </c>
      <c r="AY547" s="255"/>
      <c r="AZ547" s="255"/>
      <c r="BA547" s="245"/>
      <c r="BB547" s="78" t="s">
        <v>1177</v>
      </c>
      <c r="BC547" s="344"/>
      <c r="BD547" s="5"/>
      <c r="BE547" s="5"/>
      <c r="BF547" s="5"/>
      <c r="BG547" s="38">
        <f t="shared" ref="BG547:BG564" si="18">AQ547+AR547</f>
        <v>0</v>
      </c>
      <c r="BH547" s="64" t="s">
        <v>68</v>
      </c>
      <c r="BI547" s="1284" t="s">
        <v>1177</v>
      </c>
      <c r="BJ547" s="135" t="s">
        <v>1177</v>
      </c>
      <c r="BK547" s="135" t="s">
        <v>1177</v>
      </c>
      <c r="BL547" s="1283" t="s">
        <v>1177</v>
      </c>
      <c r="BM547" s="1283" t="s">
        <v>1177</v>
      </c>
      <c r="BN547" s="1283" t="s">
        <v>1177</v>
      </c>
      <c r="BO547" s="1054" t="s">
        <v>1177</v>
      </c>
      <c r="BP547" s="1283" t="s">
        <v>1177</v>
      </c>
      <c r="BQ547" s="1283"/>
      <c r="BR547" s="796"/>
      <c r="BS547" s="794"/>
      <c r="BT547" s="14"/>
      <c r="BU547" s="166"/>
      <c r="BV547" s="14"/>
      <c r="BW547" s="14"/>
      <c r="BX547" s="14"/>
      <c r="BY547" s="1433" t="s">
        <v>2098</v>
      </c>
      <c r="BZ547" s="40"/>
      <c r="CA547" s="582"/>
      <c r="CB547" s="582"/>
      <c r="CC547" s="582"/>
      <c r="CD547" s="582"/>
      <c r="CE547" s="582"/>
      <c r="CF547" s="582"/>
      <c r="CG547" s="582"/>
      <c r="CH547" s="16"/>
    </row>
    <row r="548" spans="2:86" ht="93" hidden="1" customHeight="1">
      <c r="B548" s="23"/>
      <c r="C548" s="1982"/>
      <c r="D548" s="1982"/>
      <c r="E548" s="1051"/>
      <c r="F548" s="1051"/>
      <c r="G548" s="1055"/>
      <c r="H548" s="365"/>
      <c r="I548" s="182">
        <v>2021</v>
      </c>
      <c r="J548" s="1678">
        <v>214.02</v>
      </c>
      <c r="K548" s="183" t="s">
        <v>166</v>
      </c>
      <c r="L548" s="191" t="s">
        <v>3795</v>
      </c>
      <c r="M548" s="185" t="s">
        <v>46</v>
      </c>
      <c r="N548" s="186" t="s">
        <v>3805</v>
      </c>
      <c r="O548" s="186" t="s">
        <v>2611</v>
      </c>
      <c r="P548" s="187">
        <v>64960</v>
      </c>
      <c r="Q548" s="188">
        <v>44224</v>
      </c>
      <c r="R548" s="189">
        <v>44228</v>
      </c>
      <c r="S548" s="190">
        <v>44255</v>
      </c>
      <c r="T548" s="111" t="s">
        <v>68</v>
      </c>
      <c r="U548" s="191" t="s">
        <v>2890</v>
      </c>
      <c r="V548" s="716" t="s">
        <v>305</v>
      </c>
      <c r="W548" s="220" t="s">
        <v>1177</v>
      </c>
      <c r="X548" s="406" t="s">
        <v>1177</v>
      </c>
      <c r="Y548" s="35" t="s">
        <v>1431</v>
      </c>
      <c r="Z548" s="9"/>
      <c r="AA548" s="4"/>
      <c r="AB548" s="4"/>
      <c r="AC548" s="34"/>
      <c r="AD548" s="36" t="s">
        <v>68</v>
      </c>
      <c r="AE548" s="119" t="s">
        <v>68</v>
      </c>
      <c r="AF548" s="119" t="s">
        <v>68</v>
      </c>
      <c r="AG548" s="7" t="s">
        <v>68</v>
      </c>
      <c r="AH548" s="116" t="s">
        <v>68</v>
      </c>
      <c r="AI548" s="35" t="s">
        <v>68</v>
      </c>
      <c r="AJ548" s="1" t="s">
        <v>68</v>
      </c>
      <c r="AK548" s="5"/>
      <c r="AL548" s="1" t="s">
        <v>68</v>
      </c>
      <c r="AM548" s="5"/>
      <c r="AN548" s="1" t="s">
        <v>68</v>
      </c>
      <c r="AO548" s="5"/>
      <c r="AP548" s="306">
        <v>0</v>
      </c>
      <c r="AQ548" s="37">
        <v>0</v>
      </c>
      <c r="AR548" s="1040"/>
      <c r="AS548" s="1027"/>
      <c r="AT548" s="32" t="s">
        <v>1177</v>
      </c>
      <c r="AU548" s="12"/>
      <c r="AV548" s="243"/>
      <c r="AW548" s="54"/>
      <c r="AX548" s="78" t="s">
        <v>1177</v>
      </c>
      <c r="AY548" s="255"/>
      <c r="AZ548" s="255"/>
      <c r="BA548" s="245"/>
      <c r="BB548" s="78" t="s">
        <v>1177</v>
      </c>
      <c r="BC548" s="344"/>
      <c r="BD548" s="5"/>
      <c r="BE548" s="5"/>
      <c r="BF548" s="5"/>
      <c r="BG548" s="38">
        <f t="shared" si="18"/>
        <v>0</v>
      </c>
      <c r="BH548" s="64" t="s">
        <v>68</v>
      </c>
      <c r="BI548" s="1284" t="s">
        <v>1177</v>
      </c>
      <c r="BJ548" s="135" t="s">
        <v>1177</v>
      </c>
      <c r="BK548" s="135" t="s">
        <v>1177</v>
      </c>
      <c r="BL548" s="1283" t="s">
        <v>1177</v>
      </c>
      <c r="BM548" s="1283" t="s">
        <v>1177</v>
      </c>
      <c r="BN548" s="1283" t="s">
        <v>1177</v>
      </c>
      <c r="BO548" s="1054" t="s">
        <v>1177</v>
      </c>
      <c r="BP548" s="1283" t="s">
        <v>1177</v>
      </c>
      <c r="BQ548" s="1283"/>
      <c r="BR548" s="796"/>
      <c r="BS548" s="794"/>
      <c r="BT548" s="14"/>
      <c r="BU548" s="166"/>
      <c r="BV548" s="14"/>
      <c r="BW548" s="14"/>
      <c r="BX548" s="14"/>
      <c r="BY548" s="1433" t="s">
        <v>2098</v>
      </c>
      <c r="BZ548" s="40"/>
      <c r="CA548" s="582"/>
      <c r="CB548" s="582"/>
      <c r="CC548" s="582"/>
      <c r="CD548" s="582"/>
      <c r="CE548" s="582"/>
      <c r="CF548" s="582"/>
      <c r="CG548" s="582"/>
      <c r="CH548" s="16"/>
    </row>
    <row r="549" spans="2:86" ht="69.75" hidden="1" customHeight="1">
      <c r="B549" s="23"/>
      <c r="C549" s="1982"/>
      <c r="D549" s="1982"/>
      <c r="E549" s="1051"/>
      <c r="F549" s="1051"/>
      <c r="G549" s="1055"/>
      <c r="H549" s="365"/>
      <c r="I549" s="182">
        <v>2021</v>
      </c>
      <c r="J549" s="1678">
        <v>214.03</v>
      </c>
      <c r="K549" s="183" t="s">
        <v>166</v>
      </c>
      <c r="L549" s="191" t="s">
        <v>3796</v>
      </c>
      <c r="M549" s="185" t="s">
        <v>4941</v>
      </c>
      <c r="N549" s="186"/>
      <c r="O549" s="186"/>
      <c r="P549" s="187"/>
      <c r="Q549" s="188"/>
      <c r="R549" s="189"/>
      <c r="S549" s="190"/>
      <c r="T549" s="111" t="s">
        <v>68</v>
      </c>
      <c r="U549" s="191"/>
      <c r="V549" s="1064"/>
      <c r="W549" s="220" t="s">
        <v>1177</v>
      </c>
      <c r="X549" s="406" t="s">
        <v>1177</v>
      </c>
      <c r="Y549" s="35" t="s">
        <v>1431</v>
      </c>
      <c r="Z549" s="9"/>
      <c r="AA549" s="4"/>
      <c r="AB549" s="4"/>
      <c r="AC549" s="34"/>
      <c r="AD549" s="36" t="s">
        <v>68</v>
      </c>
      <c r="AE549" s="119" t="s">
        <v>68</v>
      </c>
      <c r="AF549" s="119" t="s">
        <v>68</v>
      </c>
      <c r="AG549" s="7" t="s">
        <v>68</v>
      </c>
      <c r="AH549" s="116" t="s">
        <v>68</v>
      </c>
      <c r="AI549" s="35" t="s">
        <v>68</v>
      </c>
      <c r="AJ549" s="1" t="s">
        <v>68</v>
      </c>
      <c r="AK549" s="5"/>
      <c r="AL549" s="1" t="s">
        <v>68</v>
      </c>
      <c r="AM549" s="5"/>
      <c r="AN549" s="1" t="s">
        <v>68</v>
      </c>
      <c r="AO549" s="5"/>
      <c r="AP549" s="306">
        <v>0</v>
      </c>
      <c r="AQ549" s="37">
        <v>0</v>
      </c>
      <c r="AR549" s="1040"/>
      <c r="AS549" s="1027"/>
      <c r="AT549" s="32" t="s">
        <v>1177</v>
      </c>
      <c r="AU549" s="12"/>
      <c r="AV549" s="243"/>
      <c r="AW549" s="54"/>
      <c r="AX549" s="78" t="s">
        <v>1177</v>
      </c>
      <c r="AY549" s="255"/>
      <c r="AZ549" s="255"/>
      <c r="BA549" s="245"/>
      <c r="BB549" s="78" t="s">
        <v>1177</v>
      </c>
      <c r="BC549" s="344"/>
      <c r="BD549" s="5"/>
      <c r="BE549" s="5"/>
      <c r="BF549" s="5"/>
      <c r="BG549" s="38">
        <f t="shared" si="18"/>
        <v>0</v>
      </c>
      <c r="BH549" s="64" t="s">
        <v>68</v>
      </c>
      <c r="BI549" s="1284" t="s">
        <v>1177</v>
      </c>
      <c r="BJ549" s="135" t="s">
        <v>1177</v>
      </c>
      <c r="BK549" s="135" t="s">
        <v>1177</v>
      </c>
      <c r="BL549" s="1283" t="s">
        <v>1177</v>
      </c>
      <c r="BM549" s="1283" t="s">
        <v>1177</v>
      </c>
      <c r="BN549" s="1283" t="s">
        <v>1177</v>
      </c>
      <c r="BO549" s="1054" t="s">
        <v>1177</v>
      </c>
      <c r="BP549" s="1283" t="s">
        <v>1177</v>
      </c>
      <c r="BQ549" s="1283"/>
      <c r="BR549" s="796"/>
      <c r="BS549" s="794"/>
      <c r="BT549" s="14"/>
      <c r="BU549" s="166"/>
      <c r="BV549" s="14"/>
      <c r="BW549" s="14"/>
      <c r="BX549" s="14"/>
      <c r="BY549" s="1433" t="s">
        <v>2098</v>
      </c>
      <c r="BZ549" s="40"/>
      <c r="CA549" s="582"/>
      <c r="CB549" s="582"/>
      <c r="CC549" s="582"/>
      <c r="CD549" s="582"/>
      <c r="CE549" s="582"/>
      <c r="CF549" s="582"/>
      <c r="CG549" s="582"/>
      <c r="CH549" s="16"/>
    </row>
    <row r="550" spans="2:86" ht="120" hidden="1" customHeight="1">
      <c r="B550" s="23"/>
      <c r="C550" s="1982"/>
      <c r="D550" s="1982"/>
      <c r="E550" s="1051"/>
      <c r="F550" s="1051"/>
      <c r="G550" s="1055"/>
      <c r="H550" s="365"/>
      <c r="I550" s="182">
        <v>2021</v>
      </c>
      <c r="J550" s="1678">
        <v>214.04</v>
      </c>
      <c r="K550" s="183" t="s">
        <v>166</v>
      </c>
      <c r="L550" s="191" t="s">
        <v>3797</v>
      </c>
      <c r="M550" s="185" t="s">
        <v>46</v>
      </c>
      <c r="N550" s="186" t="s">
        <v>3808</v>
      </c>
      <c r="O550" s="186" t="s">
        <v>4459</v>
      </c>
      <c r="P550" s="187">
        <f>500*1.16</f>
        <v>580</v>
      </c>
      <c r="Q550" s="188">
        <v>44227</v>
      </c>
      <c r="R550" s="189" t="s">
        <v>68</v>
      </c>
      <c r="S550" s="190" t="s">
        <v>68</v>
      </c>
      <c r="T550" s="111" t="s">
        <v>68</v>
      </c>
      <c r="U550" s="191" t="s">
        <v>739</v>
      </c>
      <c r="V550" s="1666" t="str">
        <f>V530</f>
        <v>LIC. SALVADOR CONTRERAS OLGUÍN</v>
      </c>
      <c r="W550" s="220" t="s">
        <v>1177</v>
      </c>
      <c r="X550" s="406" t="s">
        <v>1177</v>
      </c>
      <c r="Y550" s="35" t="s">
        <v>1431</v>
      </c>
      <c r="Z550" s="9"/>
      <c r="AA550" s="4"/>
      <c r="AB550" s="4"/>
      <c r="AC550" s="34"/>
      <c r="AD550" s="36" t="s">
        <v>68</v>
      </c>
      <c r="AE550" s="119" t="s">
        <v>68</v>
      </c>
      <c r="AF550" s="119" t="s">
        <v>68</v>
      </c>
      <c r="AG550" s="7" t="s">
        <v>68</v>
      </c>
      <c r="AH550" s="116" t="s">
        <v>68</v>
      </c>
      <c r="AI550" s="35" t="s">
        <v>68</v>
      </c>
      <c r="AJ550" s="1" t="s">
        <v>68</v>
      </c>
      <c r="AK550" s="5"/>
      <c r="AL550" s="1" t="s">
        <v>68</v>
      </c>
      <c r="AM550" s="5"/>
      <c r="AN550" s="1" t="s">
        <v>68</v>
      </c>
      <c r="AO550" s="5"/>
      <c r="AP550" s="306">
        <v>0</v>
      </c>
      <c r="AQ550" s="37">
        <v>0</v>
      </c>
      <c r="AR550" s="1040"/>
      <c r="AS550" s="1027"/>
      <c r="AT550" s="32" t="s">
        <v>1177</v>
      </c>
      <c r="AU550" s="12"/>
      <c r="AV550" s="243"/>
      <c r="AW550" s="54"/>
      <c r="AX550" s="78" t="s">
        <v>1177</v>
      </c>
      <c r="AY550" s="255"/>
      <c r="AZ550" s="255"/>
      <c r="BA550" s="245"/>
      <c r="BB550" s="78" t="s">
        <v>1177</v>
      </c>
      <c r="BC550" s="344"/>
      <c r="BD550" s="5"/>
      <c r="BE550" s="5"/>
      <c r="BF550" s="5"/>
      <c r="BG550" s="38">
        <f t="shared" si="18"/>
        <v>0</v>
      </c>
      <c r="BH550" s="64" t="s">
        <v>68</v>
      </c>
      <c r="BI550" s="1284" t="s">
        <v>1177</v>
      </c>
      <c r="BJ550" s="135" t="s">
        <v>1177</v>
      </c>
      <c r="BK550" s="135" t="s">
        <v>1177</v>
      </c>
      <c r="BL550" s="1283" t="s">
        <v>1177</v>
      </c>
      <c r="BM550" s="1283" t="s">
        <v>1177</v>
      </c>
      <c r="BN550" s="1283" t="s">
        <v>1177</v>
      </c>
      <c r="BO550" s="1054" t="s">
        <v>1177</v>
      </c>
      <c r="BP550" s="1283" t="s">
        <v>1177</v>
      </c>
      <c r="BQ550" s="1283"/>
      <c r="BR550" s="796"/>
      <c r="BS550" s="794"/>
      <c r="BT550" s="14"/>
      <c r="BU550" s="166"/>
      <c r="BV550" s="14"/>
      <c r="BW550" s="14"/>
      <c r="BX550" s="14"/>
      <c r="BY550" s="1433" t="s">
        <v>2098</v>
      </c>
      <c r="BZ550" s="40"/>
      <c r="CA550" s="582"/>
      <c r="CB550" s="582"/>
      <c r="CC550" s="582"/>
      <c r="CD550" s="582"/>
      <c r="CE550" s="582"/>
      <c r="CF550" s="582"/>
      <c r="CG550" s="582"/>
      <c r="CH550" s="16"/>
    </row>
    <row r="551" spans="2:86" ht="117" hidden="1" customHeight="1">
      <c r="B551" s="23"/>
      <c r="C551" s="1982"/>
      <c r="D551" s="1982"/>
      <c r="E551" s="1051"/>
      <c r="F551" s="1051"/>
      <c r="G551" s="1055"/>
      <c r="H551" s="365"/>
      <c r="I551" s="182">
        <v>2021</v>
      </c>
      <c r="J551" s="1678">
        <v>214.05</v>
      </c>
      <c r="K551" s="183" t="s">
        <v>166</v>
      </c>
      <c r="L551" s="191" t="s">
        <v>3798</v>
      </c>
      <c r="M551" s="185" t="s">
        <v>46</v>
      </c>
      <c r="N551" s="186" t="s">
        <v>3809</v>
      </c>
      <c r="O551" s="186" t="s">
        <v>4459</v>
      </c>
      <c r="P551" s="187">
        <f>600*1.16</f>
        <v>696</v>
      </c>
      <c r="Q551" s="188">
        <v>44227</v>
      </c>
      <c r="R551" s="189" t="s">
        <v>68</v>
      </c>
      <c r="S551" s="190" t="s">
        <v>68</v>
      </c>
      <c r="T551" s="111" t="s">
        <v>68</v>
      </c>
      <c r="U551" s="191" t="s">
        <v>739</v>
      </c>
      <c r="V551" s="716" t="str">
        <f>V550</f>
        <v>LIC. SALVADOR CONTRERAS OLGUÍN</v>
      </c>
      <c r="W551" s="220" t="s">
        <v>1177</v>
      </c>
      <c r="X551" s="406" t="s">
        <v>1177</v>
      </c>
      <c r="Y551" s="35" t="s">
        <v>1431</v>
      </c>
      <c r="Z551" s="9"/>
      <c r="AA551" s="4"/>
      <c r="AB551" s="4"/>
      <c r="AC551" s="34"/>
      <c r="AD551" s="36" t="s">
        <v>68</v>
      </c>
      <c r="AE551" s="119" t="s">
        <v>68</v>
      </c>
      <c r="AF551" s="119" t="s">
        <v>68</v>
      </c>
      <c r="AG551" s="7" t="s">
        <v>68</v>
      </c>
      <c r="AH551" s="116" t="s">
        <v>68</v>
      </c>
      <c r="AI551" s="35" t="s">
        <v>68</v>
      </c>
      <c r="AJ551" s="1" t="s">
        <v>68</v>
      </c>
      <c r="AK551" s="5"/>
      <c r="AL551" s="1" t="s">
        <v>68</v>
      </c>
      <c r="AM551" s="5"/>
      <c r="AN551" s="1" t="s">
        <v>68</v>
      </c>
      <c r="AO551" s="5"/>
      <c r="AP551" s="306">
        <v>0</v>
      </c>
      <c r="AQ551" s="37">
        <v>0</v>
      </c>
      <c r="AR551" s="1040"/>
      <c r="AS551" s="1027"/>
      <c r="AT551" s="32" t="s">
        <v>1177</v>
      </c>
      <c r="AU551" s="12"/>
      <c r="AV551" s="243"/>
      <c r="AW551" s="54"/>
      <c r="AX551" s="78" t="s">
        <v>1177</v>
      </c>
      <c r="AY551" s="255"/>
      <c r="AZ551" s="255"/>
      <c r="BA551" s="245"/>
      <c r="BB551" s="78" t="s">
        <v>1177</v>
      </c>
      <c r="BC551" s="344"/>
      <c r="BD551" s="5"/>
      <c r="BE551" s="5"/>
      <c r="BF551" s="5"/>
      <c r="BG551" s="38">
        <f t="shared" si="18"/>
        <v>0</v>
      </c>
      <c r="BH551" s="64" t="s">
        <v>68</v>
      </c>
      <c r="BI551" s="1284" t="s">
        <v>1177</v>
      </c>
      <c r="BJ551" s="135" t="s">
        <v>1177</v>
      </c>
      <c r="BK551" s="135" t="s">
        <v>1177</v>
      </c>
      <c r="BL551" s="1283" t="s">
        <v>1177</v>
      </c>
      <c r="BM551" s="1283" t="s">
        <v>1177</v>
      </c>
      <c r="BN551" s="1283" t="s">
        <v>1177</v>
      </c>
      <c r="BO551" s="1054" t="s">
        <v>1177</v>
      </c>
      <c r="BP551" s="1283" t="s">
        <v>1177</v>
      </c>
      <c r="BQ551" s="1283"/>
      <c r="BR551" s="796"/>
      <c r="BS551" s="794"/>
      <c r="BT551" s="14"/>
      <c r="BU551" s="166"/>
      <c r="BV551" s="14"/>
      <c r="BW551" s="14"/>
      <c r="BX551" s="14"/>
      <c r="BY551" s="1433" t="s">
        <v>2098</v>
      </c>
      <c r="BZ551" s="40"/>
      <c r="CA551" s="582"/>
      <c r="CB551" s="582"/>
      <c r="CC551" s="582"/>
      <c r="CD551" s="582"/>
      <c r="CE551" s="582"/>
      <c r="CF551" s="582"/>
      <c r="CG551" s="582"/>
      <c r="CH551" s="16"/>
    </row>
    <row r="552" spans="2:86" ht="94.5" hidden="1" customHeight="1">
      <c r="B552" s="23"/>
      <c r="C552" s="1982"/>
      <c r="D552" s="1982"/>
      <c r="E552" s="1051"/>
      <c r="F552" s="1051"/>
      <c r="G552" s="1055"/>
      <c r="H552" s="365"/>
      <c r="I552" s="1663">
        <v>2021</v>
      </c>
      <c r="J552" s="1678">
        <v>214.06</v>
      </c>
      <c r="K552" s="183" t="s">
        <v>166</v>
      </c>
      <c r="L552" s="191" t="s">
        <v>3984</v>
      </c>
      <c r="M552" s="185" t="s">
        <v>46</v>
      </c>
      <c r="N552" s="186" t="s">
        <v>4018</v>
      </c>
      <c r="O552" s="186" t="s">
        <v>2611</v>
      </c>
      <c r="P552" s="187">
        <f>20000*1.16</f>
        <v>23200</v>
      </c>
      <c r="Q552" s="188">
        <v>44263</v>
      </c>
      <c r="R552" s="189" t="s">
        <v>68</v>
      </c>
      <c r="S552" s="190" t="s">
        <v>68</v>
      </c>
      <c r="T552" s="111" t="s">
        <v>68</v>
      </c>
      <c r="U552" s="191" t="s">
        <v>3991</v>
      </c>
      <c r="V552" s="716" t="s">
        <v>305</v>
      </c>
      <c r="W552" s="220" t="s">
        <v>1177</v>
      </c>
      <c r="X552" s="406" t="s">
        <v>1177</v>
      </c>
      <c r="Y552" s="35" t="s">
        <v>1431</v>
      </c>
      <c r="Z552" s="9"/>
      <c r="AA552" s="4"/>
      <c r="AB552" s="4"/>
      <c r="AC552" s="34"/>
      <c r="AD552" s="36" t="s">
        <v>68</v>
      </c>
      <c r="AE552" s="119" t="s">
        <v>68</v>
      </c>
      <c r="AF552" s="119" t="s">
        <v>68</v>
      </c>
      <c r="AG552" s="7" t="s">
        <v>68</v>
      </c>
      <c r="AH552" s="116" t="s">
        <v>68</v>
      </c>
      <c r="AI552" s="35" t="s">
        <v>68</v>
      </c>
      <c r="AJ552" s="1" t="s">
        <v>68</v>
      </c>
      <c r="AK552" s="5"/>
      <c r="AL552" s="1" t="s">
        <v>68</v>
      </c>
      <c r="AM552" s="5"/>
      <c r="AN552" s="1" t="s">
        <v>68</v>
      </c>
      <c r="AO552" s="5"/>
      <c r="AP552" s="306">
        <v>0</v>
      </c>
      <c r="AQ552" s="37">
        <v>0</v>
      </c>
      <c r="AR552" s="1040"/>
      <c r="AS552" s="1027"/>
      <c r="AT552" s="32" t="s">
        <v>1177</v>
      </c>
      <c r="AU552" s="12"/>
      <c r="AV552" s="243"/>
      <c r="AW552" s="54"/>
      <c r="AX552" s="78" t="s">
        <v>1177</v>
      </c>
      <c r="AY552" s="255"/>
      <c r="AZ552" s="255"/>
      <c r="BA552" s="245"/>
      <c r="BB552" s="78" t="s">
        <v>1177</v>
      </c>
      <c r="BC552" s="344"/>
      <c r="BD552" s="5"/>
      <c r="BE552" s="5"/>
      <c r="BF552" s="5"/>
      <c r="BG552" s="38">
        <f t="shared" si="18"/>
        <v>0</v>
      </c>
      <c r="BH552" s="64" t="s">
        <v>68</v>
      </c>
      <c r="BI552" s="1284" t="s">
        <v>1177</v>
      </c>
      <c r="BJ552" s="135" t="s">
        <v>1177</v>
      </c>
      <c r="BK552" s="135" t="s">
        <v>1177</v>
      </c>
      <c r="BL552" s="1283" t="s">
        <v>1177</v>
      </c>
      <c r="BM552" s="1283" t="s">
        <v>1177</v>
      </c>
      <c r="BN552" s="1283" t="s">
        <v>1177</v>
      </c>
      <c r="BO552" s="1054" t="s">
        <v>1177</v>
      </c>
      <c r="BP552" s="1283" t="s">
        <v>1177</v>
      </c>
      <c r="BQ552" s="1283"/>
      <c r="BR552" s="796"/>
      <c r="BS552" s="794"/>
      <c r="BT552" s="14"/>
      <c r="BU552" s="166"/>
      <c r="BV552" s="14"/>
      <c r="BW552" s="14"/>
      <c r="BX552" s="14"/>
      <c r="BY552" s="1433" t="s">
        <v>2098</v>
      </c>
      <c r="BZ552" s="40"/>
      <c r="CA552" s="582"/>
      <c r="CB552" s="582"/>
      <c r="CC552" s="582"/>
      <c r="CD552" s="582"/>
      <c r="CE552" s="582"/>
      <c r="CF552" s="582"/>
      <c r="CG552" s="582"/>
      <c r="CH552" s="16"/>
    </row>
    <row r="553" spans="2:86" ht="90" hidden="1" customHeight="1">
      <c r="B553" s="23"/>
      <c r="C553" s="1982"/>
      <c r="D553" s="1982"/>
      <c r="E553" s="1051"/>
      <c r="F553" s="1051"/>
      <c r="G553" s="1055"/>
      <c r="H553" s="365"/>
      <c r="I553" s="1663">
        <v>2021</v>
      </c>
      <c r="J553" s="1678">
        <v>214.07</v>
      </c>
      <c r="K553" s="183" t="s">
        <v>166</v>
      </c>
      <c r="L553" s="191" t="s">
        <v>3985</v>
      </c>
      <c r="M553" s="185" t="s">
        <v>46</v>
      </c>
      <c r="N553" s="186" t="s">
        <v>4018</v>
      </c>
      <c r="O553" s="186" t="s">
        <v>2611</v>
      </c>
      <c r="P553" s="187">
        <f>20000*1.16</f>
        <v>23200</v>
      </c>
      <c r="Q553" s="188">
        <v>44263</v>
      </c>
      <c r="R553" s="189" t="s">
        <v>68</v>
      </c>
      <c r="S553" s="190" t="s">
        <v>68</v>
      </c>
      <c r="T553" s="111" t="s">
        <v>68</v>
      </c>
      <c r="U553" s="191" t="s">
        <v>2890</v>
      </c>
      <c r="V553" s="716" t="s">
        <v>305</v>
      </c>
      <c r="W553" s="220" t="s">
        <v>1177</v>
      </c>
      <c r="X553" s="406" t="s">
        <v>1177</v>
      </c>
      <c r="Y553" s="35" t="s">
        <v>1431</v>
      </c>
      <c r="Z553" s="9"/>
      <c r="AA553" s="4"/>
      <c r="AB553" s="4"/>
      <c r="AC553" s="34"/>
      <c r="AD553" s="36" t="s">
        <v>68</v>
      </c>
      <c r="AE553" s="119" t="s">
        <v>68</v>
      </c>
      <c r="AF553" s="119" t="s">
        <v>68</v>
      </c>
      <c r="AG553" s="7" t="s">
        <v>68</v>
      </c>
      <c r="AH553" s="116" t="s">
        <v>68</v>
      </c>
      <c r="AI553" s="35" t="s">
        <v>68</v>
      </c>
      <c r="AJ553" s="1" t="s">
        <v>68</v>
      </c>
      <c r="AK553" s="5"/>
      <c r="AL553" s="1" t="s">
        <v>68</v>
      </c>
      <c r="AM553" s="5"/>
      <c r="AN553" s="1" t="s">
        <v>68</v>
      </c>
      <c r="AO553" s="5"/>
      <c r="AP553" s="306">
        <v>0</v>
      </c>
      <c r="AQ553" s="37">
        <v>0</v>
      </c>
      <c r="AR553" s="1040"/>
      <c r="AS553" s="1027"/>
      <c r="AT553" s="32" t="s">
        <v>1177</v>
      </c>
      <c r="AU553" s="12"/>
      <c r="AV553" s="243"/>
      <c r="AW553" s="54"/>
      <c r="AX553" s="78" t="s">
        <v>1177</v>
      </c>
      <c r="AY553" s="255"/>
      <c r="AZ553" s="255"/>
      <c r="BA553" s="245"/>
      <c r="BB553" s="78" t="s">
        <v>1177</v>
      </c>
      <c r="BC553" s="344"/>
      <c r="BD553" s="5"/>
      <c r="BE553" s="5"/>
      <c r="BF553" s="5"/>
      <c r="BG553" s="38">
        <f t="shared" si="18"/>
        <v>0</v>
      </c>
      <c r="BH553" s="64" t="s">
        <v>68</v>
      </c>
      <c r="BI553" s="1284" t="s">
        <v>1177</v>
      </c>
      <c r="BJ553" s="135" t="s">
        <v>1177</v>
      </c>
      <c r="BK553" s="135" t="s">
        <v>1177</v>
      </c>
      <c r="BL553" s="1283" t="s">
        <v>1177</v>
      </c>
      <c r="BM553" s="1283" t="s">
        <v>1177</v>
      </c>
      <c r="BN553" s="1283" t="s">
        <v>1177</v>
      </c>
      <c r="BO553" s="1054" t="s">
        <v>1177</v>
      </c>
      <c r="BP553" s="1283" t="s">
        <v>1177</v>
      </c>
      <c r="BQ553" s="1283"/>
      <c r="BR553" s="796"/>
      <c r="BS553" s="794"/>
      <c r="BT553" s="14"/>
      <c r="BU553" s="166"/>
      <c r="BV553" s="14"/>
      <c r="BW553" s="14"/>
      <c r="BX553" s="14"/>
      <c r="BY553" s="1433" t="s">
        <v>2098</v>
      </c>
      <c r="BZ553" s="40"/>
      <c r="CA553" s="582"/>
      <c r="CB553" s="582"/>
      <c r="CC553" s="582"/>
      <c r="CD553" s="582"/>
      <c r="CE553" s="582"/>
      <c r="CF553" s="582"/>
      <c r="CG553" s="582"/>
      <c r="CH553" s="16"/>
    </row>
    <row r="554" spans="2:86" ht="131.25" hidden="1" customHeight="1">
      <c r="B554" s="23"/>
      <c r="C554" s="1982"/>
      <c r="D554" s="1982"/>
      <c r="E554" s="1051"/>
      <c r="F554" s="1051"/>
      <c r="G554" s="1055"/>
      <c r="H554" s="365"/>
      <c r="I554" s="1663">
        <v>2021</v>
      </c>
      <c r="J554" s="1678">
        <v>214.08</v>
      </c>
      <c r="K554" s="183" t="s">
        <v>166</v>
      </c>
      <c r="L554" s="191" t="s">
        <v>3986</v>
      </c>
      <c r="M554" s="185" t="s">
        <v>46</v>
      </c>
      <c r="N554" s="186" t="s">
        <v>4019</v>
      </c>
      <c r="O554" s="186" t="s">
        <v>2548</v>
      </c>
      <c r="P554" s="187">
        <f>4040*1.16</f>
        <v>4686.3999999999996</v>
      </c>
      <c r="Q554" s="188">
        <v>44364</v>
      </c>
      <c r="R554" s="189" t="s">
        <v>68</v>
      </c>
      <c r="S554" s="190" t="s">
        <v>68</v>
      </c>
      <c r="T554" s="111" t="s">
        <v>68</v>
      </c>
      <c r="U554" s="191" t="s">
        <v>3992</v>
      </c>
      <c r="V554" s="716" t="s">
        <v>305</v>
      </c>
      <c r="W554" s="220" t="s">
        <v>1177</v>
      </c>
      <c r="X554" s="406" t="s">
        <v>1177</v>
      </c>
      <c r="Y554" s="35" t="s">
        <v>1431</v>
      </c>
      <c r="Z554" s="9"/>
      <c r="AA554" s="4"/>
      <c r="AB554" s="4"/>
      <c r="AC554" s="34"/>
      <c r="AD554" s="36" t="s">
        <v>68</v>
      </c>
      <c r="AE554" s="119" t="s">
        <v>68</v>
      </c>
      <c r="AF554" s="119" t="s">
        <v>68</v>
      </c>
      <c r="AG554" s="7" t="s">
        <v>68</v>
      </c>
      <c r="AH554" s="116" t="s">
        <v>68</v>
      </c>
      <c r="AI554" s="35" t="s">
        <v>68</v>
      </c>
      <c r="AJ554" s="1" t="s">
        <v>68</v>
      </c>
      <c r="AK554" s="5"/>
      <c r="AL554" s="1" t="s">
        <v>68</v>
      </c>
      <c r="AM554" s="5"/>
      <c r="AN554" s="1" t="s">
        <v>68</v>
      </c>
      <c r="AO554" s="5"/>
      <c r="AP554" s="306">
        <v>0</v>
      </c>
      <c r="AQ554" s="37">
        <v>0</v>
      </c>
      <c r="AR554" s="1040"/>
      <c r="AS554" s="1027"/>
      <c r="AT554" s="32" t="s">
        <v>1177</v>
      </c>
      <c r="AU554" s="12"/>
      <c r="AV554" s="243"/>
      <c r="AW554" s="54"/>
      <c r="AX554" s="78" t="s">
        <v>1177</v>
      </c>
      <c r="AY554" s="255"/>
      <c r="AZ554" s="255"/>
      <c r="BA554" s="245"/>
      <c r="BB554" s="78" t="s">
        <v>1177</v>
      </c>
      <c r="BC554" s="344"/>
      <c r="BD554" s="5"/>
      <c r="BE554" s="5"/>
      <c r="BF554" s="5"/>
      <c r="BG554" s="38">
        <f t="shared" si="18"/>
        <v>0</v>
      </c>
      <c r="BH554" s="64" t="s">
        <v>68</v>
      </c>
      <c r="BI554" s="1284" t="s">
        <v>1177</v>
      </c>
      <c r="BJ554" s="135" t="s">
        <v>1177</v>
      </c>
      <c r="BK554" s="135" t="s">
        <v>1177</v>
      </c>
      <c r="BL554" s="1283" t="s">
        <v>1177</v>
      </c>
      <c r="BM554" s="1283" t="s">
        <v>1177</v>
      </c>
      <c r="BN554" s="1283" t="s">
        <v>1177</v>
      </c>
      <c r="BO554" s="1054" t="s">
        <v>1177</v>
      </c>
      <c r="BP554" s="1283" t="s">
        <v>1177</v>
      </c>
      <c r="BQ554" s="1283"/>
      <c r="BR554" s="796"/>
      <c r="BS554" s="794"/>
      <c r="BT554" s="14"/>
      <c r="BU554" s="166"/>
      <c r="BV554" s="14"/>
      <c r="BW554" s="14"/>
      <c r="BX554" s="14"/>
      <c r="BY554" s="1433" t="s">
        <v>2098</v>
      </c>
      <c r="BZ554" s="40"/>
      <c r="CA554" s="582"/>
      <c r="CB554" s="582"/>
      <c r="CC554" s="582"/>
      <c r="CD554" s="582"/>
      <c r="CE554" s="582"/>
      <c r="CF554" s="582"/>
      <c r="CG554" s="582"/>
      <c r="CH554" s="16"/>
    </row>
    <row r="555" spans="2:86" ht="114" hidden="1" customHeight="1">
      <c r="B555" s="23"/>
      <c r="C555" s="1982"/>
      <c r="D555" s="1982"/>
      <c r="E555" s="1051"/>
      <c r="F555" s="1051"/>
      <c r="G555" s="1055"/>
      <c r="H555" s="365"/>
      <c r="I555" s="1663">
        <v>2021</v>
      </c>
      <c r="J555" s="1678">
        <v>214.09</v>
      </c>
      <c r="K555" s="183" t="s">
        <v>166</v>
      </c>
      <c r="L555" s="191" t="s">
        <v>3987</v>
      </c>
      <c r="M555" s="185" t="s">
        <v>46</v>
      </c>
      <c r="N555" s="186" t="s">
        <v>3990</v>
      </c>
      <c r="O555" s="186" t="s">
        <v>2548</v>
      </c>
      <c r="P555" s="187">
        <f>478*1.16</f>
        <v>554.48</v>
      </c>
      <c r="Q555" s="188">
        <v>44364</v>
      </c>
      <c r="R555" s="189" t="s">
        <v>68</v>
      </c>
      <c r="S555" s="190" t="s">
        <v>68</v>
      </c>
      <c r="T555" s="111" t="s">
        <v>68</v>
      </c>
      <c r="U555" s="191" t="s">
        <v>3992</v>
      </c>
      <c r="V555" s="1232" t="s">
        <v>305</v>
      </c>
      <c r="W555" s="220" t="s">
        <v>1177</v>
      </c>
      <c r="X555" s="406" t="s">
        <v>1177</v>
      </c>
      <c r="Y555" s="35" t="s">
        <v>1431</v>
      </c>
      <c r="Z555" s="9"/>
      <c r="AA555" s="4"/>
      <c r="AB555" s="4"/>
      <c r="AC555" s="34"/>
      <c r="AD555" s="36" t="s">
        <v>68</v>
      </c>
      <c r="AE555" s="119" t="s">
        <v>68</v>
      </c>
      <c r="AF555" s="119" t="s">
        <v>68</v>
      </c>
      <c r="AG555" s="7" t="s">
        <v>68</v>
      </c>
      <c r="AH555" s="116" t="s">
        <v>68</v>
      </c>
      <c r="AI555" s="35" t="s">
        <v>68</v>
      </c>
      <c r="AJ555" s="1" t="s">
        <v>68</v>
      </c>
      <c r="AK555" s="5"/>
      <c r="AL555" s="1" t="s">
        <v>68</v>
      </c>
      <c r="AM555" s="5"/>
      <c r="AN555" s="1" t="s">
        <v>68</v>
      </c>
      <c r="AO555" s="5"/>
      <c r="AP555" s="306">
        <v>0</v>
      </c>
      <c r="AQ555" s="37">
        <v>0</v>
      </c>
      <c r="AR555" s="1040"/>
      <c r="AS555" s="1027"/>
      <c r="AT555" s="32" t="s">
        <v>1177</v>
      </c>
      <c r="AU555" s="12"/>
      <c r="AV555" s="243"/>
      <c r="AW555" s="54"/>
      <c r="AX555" s="78" t="s">
        <v>1177</v>
      </c>
      <c r="AY555" s="255"/>
      <c r="AZ555" s="255"/>
      <c r="BA555" s="245"/>
      <c r="BB555" s="78" t="s">
        <v>1177</v>
      </c>
      <c r="BC555" s="344"/>
      <c r="BD555" s="5"/>
      <c r="BE555" s="5"/>
      <c r="BF555" s="5"/>
      <c r="BG555" s="38">
        <f t="shared" si="18"/>
        <v>0</v>
      </c>
      <c r="BH555" s="64" t="s">
        <v>68</v>
      </c>
      <c r="BI555" s="1284" t="s">
        <v>1177</v>
      </c>
      <c r="BJ555" s="135" t="s">
        <v>1177</v>
      </c>
      <c r="BK555" s="135" t="s">
        <v>1177</v>
      </c>
      <c r="BL555" s="1283" t="s">
        <v>1177</v>
      </c>
      <c r="BM555" s="1283" t="s">
        <v>1177</v>
      </c>
      <c r="BN555" s="1283" t="s">
        <v>1177</v>
      </c>
      <c r="BO555" s="1054" t="s">
        <v>1177</v>
      </c>
      <c r="BP555" s="1283" t="s">
        <v>1177</v>
      </c>
      <c r="BQ555" s="1283"/>
      <c r="BR555" s="796"/>
      <c r="BS555" s="794"/>
      <c r="BT555" s="14"/>
      <c r="BU555" s="166"/>
      <c r="BV555" s="14"/>
      <c r="BW555" s="14"/>
      <c r="BX555" s="14"/>
      <c r="BY555" s="1433" t="s">
        <v>2098</v>
      </c>
      <c r="BZ555" s="40"/>
      <c r="CA555" s="582"/>
      <c r="CB555" s="582"/>
      <c r="CC555" s="582"/>
      <c r="CD555" s="582"/>
      <c r="CE555" s="582"/>
      <c r="CF555" s="582"/>
      <c r="CG555" s="582"/>
      <c r="CH555" s="16"/>
    </row>
    <row r="556" spans="2:86" ht="101.25" hidden="1" customHeight="1">
      <c r="B556" s="23"/>
      <c r="C556" s="1982"/>
      <c r="D556" s="1982"/>
      <c r="E556" s="1051"/>
      <c r="F556" s="1051"/>
      <c r="G556" s="1055"/>
      <c r="H556" s="365"/>
      <c r="I556" s="182">
        <v>2021</v>
      </c>
      <c r="J556" s="1678">
        <v>215.01</v>
      </c>
      <c r="K556" s="183" t="s">
        <v>166</v>
      </c>
      <c r="L556" s="191" t="s">
        <v>3789</v>
      </c>
      <c r="M556" s="185" t="s">
        <v>45</v>
      </c>
      <c r="N556" s="186" t="s">
        <v>3799</v>
      </c>
      <c r="O556" s="186" t="s">
        <v>2613</v>
      </c>
      <c r="P556" s="187">
        <v>11600</v>
      </c>
      <c r="Q556" s="188">
        <v>44204</v>
      </c>
      <c r="R556" s="189">
        <v>44207</v>
      </c>
      <c r="S556" s="190">
        <v>44214</v>
      </c>
      <c r="T556" s="111" t="s">
        <v>68</v>
      </c>
      <c r="U556" s="191" t="s">
        <v>3800</v>
      </c>
      <c r="V556" s="716" t="s">
        <v>3801</v>
      </c>
      <c r="W556" s="220" t="s">
        <v>1177</v>
      </c>
      <c r="X556" s="406"/>
      <c r="Y556" s="35" t="s">
        <v>1431</v>
      </c>
      <c r="Z556" s="9"/>
      <c r="AA556" s="4"/>
      <c r="AB556" s="4"/>
      <c r="AC556" s="34"/>
      <c r="AD556" s="36" t="s">
        <v>68</v>
      </c>
      <c r="AE556" s="119" t="s">
        <v>68</v>
      </c>
      <c r="AF556" s="119" t="s">
        <v>68</v>
      </c>
      <c r="AG556" s="7" t="s">
        <v>68</v>
      </c>
      <c r="AH556" s="116" t="s">
        <v>68</v>
      </c>
      <c r="AI556" s="35" t="s">
        <v>68</v>
      </c>
      <c r="AJ556" s="1" t="s">
        <v>68</v>
      </c>
      <c r="AK556" s="5"/>
      <c r="AL556" s="1" t="s">
        <v>68</v>
      </c>
      <c r="AM556" s="5"/>
      <c r="AN556" s="1" t="s">
        <v>68</v>
      </c>
      <c r="AO556" s="5"/>
      <c r="AP556" s="306">
        <v>0</v>
      </c>
      <c r="AQ556" s="37">
        <v>0</v>
      </c>
      <c r="AR556" s="1040"/>
      <c r="AS556" s="1027"/>
      <c r="AT556" s="32" t="s">
        <v>1177</v>
      </c>
      <c r="AU556" s="12"/>
      <c r="AV556" s="243"/>
      <c r="AW556" s="54"/>
      <c r="AX556" s="78" t="s">
        <v>1177</v>
      </c>
      <c r="AY556" s="255"/>
      <c r="AZ556" s="255"/>
      <c r="BA556" s="245"/>
      <c r="BB556" s="78" t="s">
        <v>1177</v>
      </c>
      <c r="BC556" s="344"/>
      <c r="BD556" s="5"/>
      <c r="BE556" s="5"/>
      <c r="BF556" s="5"/>
      <c r="BG556" s="38">
        <f t="shared" si="18"/>
        <v>0</v>
      </c>
      <c r="BH556" s="64" t="s">
        <v>68</v>
      </c>
      <c r="BI556" s="1284" t="s">
        <v>1177</v>
      </c>
      <c r="BJ556" s="135" t="s">
        <v>1177</v>
      </c>
      <c r="BK556" s="135" t="s">
        <v>1177</v>
      </c>
      <c r="BL556" s="1283" t="s">
        <v>1177</v>
      </c>
      <c r="BM556" s="1283" t="s">
        <v>1177</v>
      </c>
      <c r="BN556" s="1283" t="s">
        <v>1177</v>
      </c>
      <c r="BO556" s="1054" t="s">
        <v>1177</v>
      </c>
      <c r="BP556" s="1283" t="s">
        <v>1177</v>
      </c>
      <c r="BQ556" s="1283"/>
      <c r="BR556" s="796"/>
      <c r="BS556" s="794"/>
      <c r="BT556" s="14"/>
      <c r="BU556" s="166"/>
      <c r="BV556" s="14"/>
      <c r="BW556" s="14"/>
      <c r="BX556" s="14"/>
      <c r="BY556" s="1433" t="s">
        <v>2098</v>
      </c>
      <c r="BZ556" s="40"/>
      <c r="CA556" s="582"/>
      <c r="CB556" s="582"/>
      <c r="CC556" s="582"/>
      <c r="CD556" s="582"/>
      <c r="CE556" s="582"/>
      <c r="CF556" s="582"/>
      <c r="CG556" s="582"/>
      <c r="CH556" s="16"/>
    </row>
    <row r="557" spans="2:86" ht="70.5" hidden="1" customHeight="1">
      <c r="B557" s="23"/>
      <c r="C557" s="1982"/>
      <c r="D557" s="1982"/>
      <c r="E557" s="1051"/>
      <c r="F557" s="1051"/>
      <c r="G557" s="1055"/>
      <c r="H557" s="365"/>
      <c r="I557" s="182">
        <v>2021</v>
      </c>
      <c r="J557" s="1678">
        <v>215.02</v>
      </c>
      <c r="K557" s="183" t="s">
        <v>166</v>
      </c>
      <c r="L557" s="191" t="s">
        <v>3790</v>
      </c>
      <c r="M557" s="185" t="s">
        <v>4158</v>
      </c>
      <c r="N557" s="186"/>
      <c r="O557" s="186"/>
      <c r="P557" s="187"/>
      <c r="Q557" s="188"/>
      <c r="R557" s="189"/>
      <c r="S557" s="190"/>
      <c r="T557" s="111" t="s">
        <v>68</v>
      </c>
      <c r="U557" s="191"/>
      <c r="V557" s="1064"/>
      <c r="W557" s="220" t="s">
        <v>1177</v>
      </c>
      <c r="X557" s="406"/>
      <c r="Y557" s="35" t="s">
        <v>1431</v>
      </c>
      <c r="Z557" s="9"/>
      <c r="AA557" s="4"/>
      <c r="AB557" s="4"/>
      <c r="AC557" s="34"/>
      <c r="AD557" s="36" t="s">
        <v>68</v>
      </c>
      <c r="AE557" s="119" t="s">
        <v>68</v>
      </c>
      <c r="AF557" s="119" t="s">
        <v>68</v>
      </c>
      <c r="AG557" s="7" t="s">
        <v>68</v>
      </c>
      <c r="AH557" s="116" t="s">
        <v>68</v>
      </c>
      <c r="AI557" s="35" t="s">
        <v>68</v>
      </c>
      <c r="AJ557" s="1" t="s">
        <v>68</v>
      </c>
      <c r="AK557" s="5"/>
      <c r="AL557" s="1" t="s">
        <v>68</v>
      </c>
      <c r="AM557" s="5"/>
      <c r="AN557" s="1" t="s">
        <v>68</v>
      </c>
      <c r="AO557" s="5"/>
      <c r="AP557" s="306">
        <v>0</v>
      </c>
      <c r="AQ557" s="37">
        <v>0</v>
      </c>
      <c r="AR557" s="1040"/>
      <c r="AS557" s="1027"/>
      <c r="AT557" s="32" t="s">
        <v>1177</v>
      </c>
      <c r="AU557" s="12"/>
      <c r="AV557" s="243"/>
      <c r="AW557" s="54"/>
      <c r="AX557" s="78" t="s">
        <v>1177</v>
      </c>
      <c r="AY557" s="255"/>
      <c r="AZ557" s="255"/>
      <c r="BA557" s="245"/>
      <c r="BB557" s="78" t="s">
        <v>1177</v>
      </c>
      <c r="BC557" s="344"/>
      <c r="BD557" s="5"/>
      <c r="BE557" s="5"/>
      <c r="BF557" s="5"/>
      <c r="BG557" s="38">
        <f t="shared" si="18"/>
        <v>0</v>
      </c>
      <c r="BH557" s="64" t="s">
        <v>68</v>
      </c>
      <c r="BI557" s="1284" t="s">
        <v>1177</v>
      </c>
      <c r="BJ557" s="135" t="s">
        <v>1177</v>
      </c>
      <c r="BK557" s="135" t="s">
        <v>1177</v>
      </c>
      <c r="BL557" s="1283" t="s">
        <v>1177</v>
      </c>
      <c r="BM557" s="1283" t="s">
        <v>1177</v>
      </c>
      <c r="BN557" s="1283" t="s">
        <v>1177</v>
      </c>
      <c r="BO557" s="1054" t="s">
        <v>1177</v>
      </c>
      <c r="BP557" s="1283" t="s">
        <v>1177</v>
      </c>
      <c r="BQ557" s="1283"/>
      <c r="BR557" s="796"/>
      <c r="BS557" s="794"/>
      <c r="BT557" s="14"/>
      <c r="BU557" s="166"/>
      <c r="BV557" s="14"/>
      <c r="BW557" s="14"/>
      <c r="BX557" s="14"/>
      <c r="BY557" s="1433" t="s">
        <v>2098</v>
      </c>
      <c r="BZ557" s="40"/>
      <c r="CA557" s="582"/>
      <c r="CB557" s="582"/>
      <c r="CC557" s="582"/>
      <c r="CD557" s="582"/>
      <c r="CE557" s="582"/>
      <c r="CF557" s="582"/>
      <c r="CG557" s="582"/>
      <c r="CH557" s="16"/>
    </row>
    <row r="558" spans="2:86" ht="87.75" hidden="1" customHeight="1">
      <c r="B558" s="23"/>
      <c r="C558" s="1982"/>
      <c r="D558" s="1982"/>
      <c r="E558" s="1051"/>
      <c r="F558" s="1051"/>
      <c r="G558" s="1055"/>
      <c r="H558" s="365"/>
      <c r="I558" s="182">
        <v>2021</v>
      </c>
      <c r="J558" s="1678">
        <v>215.03</v>
      </c>
      <c r="K558" s="183" t="s">
        <v>166</v>
      </c>
      <c r="L558" s="191" t="s">
        <v>3791</v>
      </c>
      <c r="M558" s="185" t="s">
        <v>45</v>
      </c>
      <c r="N558" s="186" t="s">
        <v>3802</v>
      </c>
      <c r="O558" s="186" t="s">
        <v>1979</v>
      </c>
      <c r="P558" s="187">
        <v>23200</v>
      </c>
      <c r="Q558" s="188">
        <v>44212</v>
      </c>
      <c r="R558" s="189" t="s">
        <v>68</v>
      </c>
      <c r="S558" s="190" t="s">
        <v>68</v>
      </c>
      <c r="T558" s="111" t="s">
        <v>68</v>
      </c>
      <c r="U558" s="191" t="s">
        <v>3803</v>
      </c>
      <c r="V558" s="716" t="s">
        <v>472</v>
      </c>
      <c r="W558" s="220" t="s">
        <v>1177</v>
      </c>
      <c r="X558" s="406"/>
      <c r="Y558" s="35" t="s">
        <v>1431</v>
      </c>
      <c r="Z558" s="9"/>
      <c r="AA558" s="4"/>
      <c r="AB558" s="4"/>
      <c r="AC558" s="34"/>
      <c r="AD558" s="36" t="s">
        <v>68</v>
      </c>
      <c r="AE558" s="119" t="s">
        <v>68</v>
      </c>
      <c r="AF558" s="119" t="s">
        <v>68</v>
      </c>
      <c r="AG558" s="7" t="s">
        <v>68</v>
      </c>
      <c r="AH558" s="116" t="s">
        <v>68</v>
      </c>
      <c r="AI558" s="35" t="s">
        <v>68</v>
      </c>
      <c r="AJ558" s="1" t="s">
        <v>68</v>
      </c>
      <c r="AK558" s="5"/>
      <c r="AL558" s="1" t="s">
        <v>68</v>
      </c>
      <c r="AM558" s="5"/>
      <c r="AN558" s="1" t="s">
        <v>68</v>
      </c>
      <c r="AO558" s="5"/>
      <c r="AP558" s="306">
        <v>0</v>
      </c>
      <c r="AQ558" s="37">
        <v>0</v>
      </c>
      <c r="AR558" s="1040"/>
      <c r="AS558" s="1027"/>
      <c r="AT558" s="32" t="s">
        <v>1177</v>
      </c>
      <c r="AU558" s="12"/>
      <c r="AV558" s="243"/>
      <c r="AW558" s="54"/>
      <c r="AX558" s="78" t="s">
        <v>1177</v>
      </c>
      <c r="AY558" s="255"/>
      <c r="AZ558" s="255"/>
      <c r="BA558" s="245"/>
      <c r="BB558" s="78" t="s">
        <v>1177</v>
      </c>
      <c r="BC558" s="344"/>
      <c r="BD558" s="5"/>
      <c r="BE558" s="5"/>
      <c r="BF558" s="5"/>
      <c r="BG558" s="38">
        <f t="shared" si="18"/>
        <v>0</v>
      </c>
      <c r="BH558" s="64" t="s">
        <v>68</v>
      </c>
      <c r="BI558" s="1284" t="s">
        <v>1177</v>
      </c>
      <c r="BJ558" s="135" t="s">
        <v>1177</v>
      </c>
      <c r="BK558" s="135" t="s">
        <v>1177</v>
      </c>
      <c r="BL558" s="1283" t="s">
        <v>1177</v>
      </c>
      <c r="BM558" s="1283" t="s">
        <v>1177</v>
      </c>
      <c r="BN558" s="1283" t="s">
        <v>1177</v>
      </c>
      <c r="BO558" s="1054" t="s">
        <v>1177</v>
      </c>
      <c r="BP558" s="1283" t="s">
        <v>1177</v>
      </c>
      <c r="BQ558" s="1283"/>
      <c r="BR558" s="796"/>
      <c r="BS558" s="794"/>
      <c r="BT558" s="14"/>
      <c r="BU558" s="166"/>
      <c r="BV558" s="14"/>
      <c r="BW558" s="14"/>
      <c r="BX558" s="14"/>
      <c r="BY558" s="1433" t="s">
        <v>2098</v>
      </c>
      <c r="BZ558" s="40"/>
      <c r="CA558" s="582"/>
      <c r="CB558" s="582"/>
      <c r="CC558" s="582"/>
      <c r="CD558" s="582"/>
      <c r="CE558" s="582"/>
      <c r="CF558" s="582"/>
      <c r="CG558" s="582"/>
      <c r="CH558" s="16"/>
    </row>
    <row r="559" spans="2:86" ht="34.5" hidden="1" customHeight="1">
      <c r="B559" s="23"/>
      <c r="C559" s="1982"/>
      <c r="D559" s="1982"/>
      <c r="E559" s="1051"/>
      <c r="F559" s="1051"/>
      <c r="G559" s="1055"/>
      <c r="H559" s="365"/>
      <c r="I559" s="182">
        <v>2021</v>
      </c>
      <c r="J559" s="1678">
        <v>215.04</v>
      </c>
      <c r="K559" s="183" t="s">
        <v>166</v>
      </c>
      <c r="L559" s="191" t="s">
        <v>3792</v>
      </c>
      <c r="M559" s="185" t="s">
        <v>4158</v>
      </c>
      <c r="N559" s="186"/>
      <c r="O559" s="186"/>
      <c r="P559" s="187"/>
      <c r="Q559" s="188"/>
      <c r="R559" s="189"/>
      <c r="S559" s="190"/>
      <c r="T559" s="111" t="s">
        <v>68</v>
      </c>
      <c r="U559" s="191"/>
      <c r="V559" s="1064"/>
      <c r="W559" s="220" t="s">
        <v>1177</v>
      </c>
      <c r="X559" s="406"/>
      <c r="Y559" s="35" t="s">
        <v>1431</v>
      </c>
      <c r="Z559" s="9"/>
      <c r="AA559" s="4"/>
      <c r="AB559" s="4"/>
      <c r="AC559" s="34"/>
      <c r="AD559" s="36" t="s">
        <v>68</v>
      </c>
      <c r="AE559" s="119" t="s">
        <v>68</v>
      </c>
      <c r="AF559" s="119" t="s">
        <v>68</v>
      </c>
      <c r="AG559" s="7" t="s">
        <v>68</v>
      </c>
      <c r="AH559" s="116" t="s">
        <v>68</v>
      </c>
      <c r="AI559" s="35" t="s">
        <v>68</v>
      </c>
      <c r="AJ559" s="1" t="s">
        <v>68</v>
      </c>
      <c r="AK559" s="5"/>
      <c r="AL559" s="1" t="s">
        <v>68</v>
      </c>
      <c r="AM559" s="5"/>
      <c r="AN559" s="1" t="s">
        <v>68</v>
      </c>
      <c r="AO559" s="5"/>
      <c r="AP559" s="306">
        <v>0</v>
      </c>
      <c r="AQ559" s="37">
        <v>0</v>
      </c>
      <c r="AR559" s="1040"/>
      <c r="AS559" s="1027"/>
      <c r="AT559" s="32" t="s">
        <v>1177</v>
      </c>
      <c r="AU559" s="12"/>
      <c r="AV559" s="243"/>
      <c r="AW559" s="54"/>
      <c r="AX559" s="78" t="s">
        <v>1177</v>
      </c>
      <c r="AY559" s="255"/>
      <c r="AZ559" s="255"/>
      <c r="BA559" s="245"/>
      <c r="BB559" s="78" t="s">
        <v>1177</v>
      </c>
      <c r="BC559" s="344"/>
      <c r="BD559" s="5"/>
      <c r="BE559" s="5"/>
      <c r="BF559" s="5"/>
      <c r="BG559" s="38">
        <f t="shared" si="18"/>
        <v>0</v>
      </c>
      <c r="BH559" s="64" t="s">
        <v>68</v>
      </c>
      <c r="BI559" s="1284" t="s">
        <v>1177</v>
      </c>
      <c r="BJ559" s="135" t="s">
        <v>1177</v>
      </c>
      <c r="BK559" s="135" t="s">
        <v>1177</v>
      </c>
      <c r="BL559" s="1283" t="s">
        <v>1177</v>
      </c>
      <c r="BM559" s="1283" t="s">
        <v>1177</v>
      </c>
      <c r="BN559" s="1283" t="s">
        <v>1177</v>
      </c>
      <c r="BO559" s="1054" t="s">
        <v>1177</v>
      </c>
      <c r="BP559" s="1283" t="s">
        <v>1177</v>
      </c>
      <c r="BQ559" s="1283"/>
      <c r="BR559" s="796"/>
      <c r="BS559" s="794"/>
      <c r="BT559" s="14"/>
      <c r="BU559" s="166"/>
      <c r="BV559" s="14"/>
      <c r="BW559" s="14"/>
      <c r="BX559" s="14"/>
      <c r="BY559" s="1433" t="s">
        <v>2098</v>
      </c>
      <c r="BZ559" s="40"/>
      <c r="CA559" s="582"/>
      <c r="CB559" s="582"/>
      <c r="CC559" s="582"/>
      <c r="CD559" s="582"/>
      <c r="CE559" s="582"/>
      <c r="CF559" s="582"/>
      <c r="CG559" s="582"/>
      <c r="CH559" s="16"/>
    </row>
    <row r="560" spans="2:86" ht="184.5" hidden="1" customHeight="1">
      <c r="B560" s="23"/>
      <c r="C560" s="1982"/>
      <c r="D560" s="1982"/>
      <c r="E560" s="1051"/>
      <c r="F560" s="1051"/>
      <c r="G560" s="1055"/>
      <c r="H560" s="365"/>
      <c r="I560" s="182">
        <v>2021</v>
      </c>
      <c r="J560" s="1678">
        <v>215.05</v>
      </c>
      <c r="K560" s="183" t="s">
        <v>166</v>
      </c>
      <c r="L560" s="191" t="s">
        <v>3793</v>
      </c>
      <c r="M560" s="185" t="s">
        <v>45</v>
      </c>
      <c r="N560" s="186" t="s">
        <v>4002</v>
      </c>
      <c r="O560" s="186" t="s">
        <v>2548</v>
      </c>
      <c r="P560" s="187">
        <f>14000*1.16</f>
        <v>16239.999999999998</v>
      </c>
      <c r="Q560" s="188">
        <v>44400</v>
      </c>
      <c r="R560" s="189"/>
      <c r="S560" s="190"/>
      <c r="T560" s="111" t="s">
        <v>68</v>
      </c>
      <c r="U560" s="191" t="s">
        <v>4001</v>
      </c>
      <c r="V560" s="1064"/>
      <c r="W560" s="220" t="s">
        <v>1177</v>
      </c>
      <c r="X560" s="406"/>
      <c r="Y560" s="35" t="s">
        <v>1431</v>
      </c>
      <c r="Z560" s="9"/>
      <c r="AA560" s="4"/>
      <c r="AB560" s="4"/>
      <c r="AC560" s="34"/>
      <c r="AD560" s="36" t="s">
        <v>68</v>
      </c>
      <c r="AE560" s="119" t="s">
        <v>68</v>
      </c>
      <c r="AF560" s="119" t="s">
        <v>68</v>
      </c>
      <c r="AG560" s="7" t="s">
        <v>68</v>
      </c>
      <c r="AH560" s="116" t="s">
        <v>68</v>
      </c>
      <c r="AI560" s="35" t="s">
        <v>68</v>
      </c>
      <c r="AJ560" s="1" t="s">
        <v>68</v>
      </c>
      <c r="AK560" s="5"/>
      <c r="AL560" s="1" t="s">
        <v>68</v>
      </c>
      <c r="AM560" s="5"/>
      <c r="AN560" s="1" t="s">
        <v>68</v>
      </c>
      <c r="AO560" s="5"/>
      <c r="AP560" s="306">
        <v>0</v>
      </c>
      <c r="AQ560" s="37">
        <v>0</v>
      </c>
      <c r="AR560" s="1040"/>
      <c r="AS560" s="1027"/>
      <c r="AT560" s="32" t="s">
        <v>1177</v>
      </c>
      <c r="AU560" s="12"/>
      <c r="AV560" s="243"/>
      <c r="AW560" s="54"/>
      <c r="AX560" s="78" t="s">
        <v>1177</v>
      </c>
      <c r="AY560" s="255"/>
      <c r="AZ560" s="255"/>
      <c r="BA560" s="245"/>
      <c r="BB560" s="78" t="s">
        <v>1177</v>
      </c>
      <c r="BC560" s="344"/>
      <c r="BD560" s="5"/>
      <c r="BE560" s="5"/>
      <c r="BF560" s="5"/>
      <c r="BG560" s="38">
        <f t="shared" si="18"/>
        <v>0</v>
      </c>
      <c r="BH560" s="64" t="s">
        <v>68</v>
      </c>
      <c r="BI560" s="1284" t="s">
        <v>1177</v>
      </c>
      <c r="BJ560" s="135" t="s">
        <v>1177</v>
      </c>
      <c r="BK560" s="135" t="s">
        <v>1177</v>
      </c>
      <c r="BL560" s="1283" t="s">
        <v>1177</v>
      </c>
      <c r="BM560" s="1283" t="s">
        <v>1177</v>
      </c>
      <c r="BN560" s="1283" t="s">
        <v>1177</v>
      </c>
      <c r="BO560" s="1054" t="s">
        <v>1177</v>
      </c>
      <c r="BP560" s="1283" t="s">
        <v>1177</v>
      </c>
      <c r="BQ560" s="1283"/>
      <c r="BR560" s="796"/>
      <c r="BS560" s="794"/>
      <c r="BT560" s="14"/>
      <c r="BU560" s="166"/>
      <c r="BV560" s="14"/>
      <c r="BW560" s="14"/>
      <c r="BX560" s="14"/>
      <c r="BY560" s="1433" t="s">
        <v>2098</v>
      </c>
      <c r="BZ560" s="40"/>
      <c r="CA560" s="582"/>
      <c r="CB560" s="582"/>
      <c r="CC560" s="582"/>
      <c r="CD560" s="582"/>
      <c r="CE560" s="582"/>
      <c r="CF560" s="582"/>
      <c r="CG560" s="582"/>
      <c r="CH560" s="16"/>
    </row>
    <row r="561" spans="2:86" ht="34.5" hidden="1" customHeight="1">
      <c r="B561" s="23"/>
      <c r="C561" s="1982"/>
      <c r="D561" s="1982"/>
      <c r="E561" s="1051"/>
      <c r="F561" s="1051"/>
      <c r="G561" s="1055"/>
      <c r="H561" s="365"/>
      <c r="I561" s="182">
        <v>2021</v>
      </c>
      <c r="J561" s="1678">
        <v>215.06</v>
      </c>
      <c r="K561" s="183" t="s">
        <v>166</v>
      </c>
      <c r="L561" s="191" t="s">
        <v>3980</v>
      </c>
      <c r="M561" s="185" t="s">
        <v>4158</v>
      </c>
      <c r="N561" s="186"/>
      <c r="O561" s="186"/>
      <c r="P561" s="187"/>
      <c r="Q561" s="188"/>
      <c r="R561" s="189"/>
      <c r="S561" s="190"/>
      <c r="T561" s="111" t="s">
        <v>68</v>
      </c>
      <c r="U561" s="191"/>
      <c r="V561" s="1064"/>
      <c r="W561" s="220" t="s">
        <v>1177</v>
      </c>
      <c r="X561" s="406"/>
      <c r="Y561" s="35" t="s">
        <v>1431</v>
      </c>
      <c r="Z561" s="9"/>
      <c r="AA561" s="4"/>
      <c r="AB561" s="4"/>
      <c r="AC561" s="34"/>
      <c r="AD561" s="36" t="s">
        <v>68</v>
      </c>
      <c r="AE561" s="119" t="s">
        <v>68</v>
      </c>
      <c r="AF561" s="119" t="s">
        <v>68</v>
      </c>
      <c r="AG561" s="7" t="s">
        <v>68</v>
      </c>
      <c r="AH561" s="116" t="s">
        <v>68</v>
      </c>
      <c r="AI561" s="35" t="s">
        <v>68</v>
      </c>
      <c r="AJ561" s="1" t="s">
        <v>68</v>
      </c>
      <c r="AK561" s="5"/>
      <c r="AL561" s="1" t="s">
        <v>68</v>
      </c>
      <c r="AM561" s="5"/>
      <c r="AN561" s="1" t="s">
        <v>68</v>
      </c>
      <c r="AO561" s="5"/>
      <c r="AP561" s="306">
        <v>0</v>
      </c>
      <c r="AQ561" s="37">
        <v>0</v>
      </c>
      <c r="AR561" s="1040"/>
      <c r="AS561" s="1027"/>
      <c r="AT561" s="32" t="s">
        <v>1177</v>
      </c>
      <c r="AU561" s="12"/>
      <c r="AV561" s="243"/>
      <c r="AW561" s="54"/>
      <c r="AX561" s="78" t="s">
        <v>1177</v>
      </c>
      <c r="AY561" s="255"/>
      <c r="AZ561" s="255"/>
      <c r="BA561" s="245"/>
      <c r="BB561" s="78" t="s">
        <v>1177</v>
      </c>
      <c r="BC561" s="344"/>
      <c r="BD561" s="5"/>
      <c r="BE561" s="5"/>
      <c r="BF561" s="5"/>
      <c r="BG561" s="38">
        <f t="shared" si="18"/>
        <v>0</v>
      </c>
      <c r="BH561" s="64" t="s">
        <v>68</v>
      </c>
      <c r="BI561" s="1284" t="s">
        <v>1177</v>
      </c>
      <c r="BJ561" s="135" t="s">
        <v>1177</v>
      </c>
      <c r="BK561" s="135" t="s">
        <v>1177</v>
      </c>
      <c r="BL561" s="1283" t="s">
        <v>1177</v>
      </c>
      <c r="BM561" s="1283" t="s">
        <v>1177</v>
      </c>
      <c r="BN561" s="1283" t="s">
        <v>1177</v>
      </c>
      <c r="BO561" s="1054" t="s">
        <v>1177</v>
      </c>
      <c r="BP561" s="1283" t="s">
        <v>1177</v>
      </c>
      <c r="BQ561" s="1283"/>
      <c r="BR561" s="796"/>
      <c r="BS561" s="794"/>
      <c r="BT561" s="14"/>
      <c r="BU561" s="166"/>
      <c r="BV561" s="14"/>
      <c r="BW561" s="14"/>
      <c r="BX561" s="14"/>
      <c r="BY561" s="1433" t="s">
        <v>2098</v>
      </c>
      <c r="BZ561" s="40"/>
      <c r="CA561" s="582"/>
      <c r="CB561" s="582"/>
      <c r="CC561" s="582"/>
      <c r="CD561" s="582"/>
      <c r="CE561" s="582"/>
      <c r="CF561" s="582"/>
      <c r="CG561" s="582"/>
      <c r="CH561" s="16"/>
    </row>
    <row r="562" spans="2:86" ht="150" hidden="1" customHeight="1">
      <c r="B562" s="23"/>
      <c r="C562" s="1982"/>
      <c r="D562" s="1982"/>
      <c r="E562" s="1051"/>
      <c r="F562" s="1051"/>
      <c r="G562" s="1055"/>
      <c r="H562" s="365"/>
      <c r="I562" s="182">
        <v>2021</v>
      </c>
      <c r="J562" s="1678">
        <v>215.07</v>
      </c>
      <c r="K562" s="183" t="s">
        <v>166</v>
      </c>
      <c r="L562" s="191" t="s">
        <v>3981</v>
      </c>
      <c r="M562" s="185" t="s">
        <v>45</v>
      </c>
      <c r="N562" s="186" t="s">
        <v>4004</v>
      </c>
      <c r="O562" s="186" t="s">
        <v>1979</v>
      </c>
      <c r="P562" s="187">
        <v>16240</v>
      </c>
      <c r="Q562" s="188">
        <v>44441</v>
      </c>
      <c r="R562" s="189" t="s">
        <v>68</v>
      </c>
      <c r="S562" s="190" t="s">
        <v>68</v>
      </c>
      <c r="T562" s="111" t="s">
        <v>68</v>
      </c>
      <c r="U562" s="735" t="s">
        <v>4003</v>
      </c>
      <c r="V562" s="1064"/>
      <c r="W562" s="220" t="s">
        <v>1177</v>
      </c>
      <c r="X562" s="406"/>
      <c r="Y562" s="35" t="s">
        <v>1431</v>
      </c>
      <c r="Z562" s="9"/>
      <c r="AA562" s="4"/>
      <c r="AB562" s="4"/>
      <c r="AC562" s="34"/>
      <c r="AD562" s="36" t="s">
        <v>68</v>
      </c>
      <c r="AE562" s="119" t="s">
        <v>68</v>
      </c>
      <c r="AF562" s="119" t="s">
        <v>68</v>
      </c>
      <c r="AG562" s="7" t="s">
        <v>68</v>
      </c>
      <c r="AH562" s="116" t="s">
        <v>68</v>
      </c>
      <c r="AI562" s="35" t="s">
        <v>68</v>
      </c>
      <c r="AJ562" s="1" t="s">
        <v>68</v>
      </c>
      <c r="AK562" s="5"/>
      <c r="AL562" s="1" t="s">
        <v>68</v>
      </c>
      <c r="AM562" s="5"/>
      <c r="AN562" s="1" t="s">
        <v>68</v>
      </c>
      <c r="AO562" s="5"/>
      <c r="AP562" s="306">
        <v>0</v>
      </c>
      <c r="AQ562" s="37">
        <v>0</v>
      </c>
      <c r="AR562" s="1040"/>
      <c r="AS562" s="1027"/>
      <c r="AT562" s="32" t="s">
        <v>1177</v>
      </c>
      <c r="AU562" s="12"/>
      <c r="AV562" s="243"/>
      <c r="AW562" s="54"/>
      <c r="AX562" s="78" t="s">
        <v>1177</v>
      </c>
      <c r="AY562" s="255"/>
      <c r="AZ562" s="255"/>
      <c r="BA562" s="245"/>
      <c r="BB562" s="78" t="s">
        <v>1177</v>
      </c>
      <c r="BC562" s="344"/>
      <c r="BD562" s="5"/>
      <c r="BE562" s="5"/>
      <c r="BF562" s="5"/>
      <c r="BG562" s="38">
        <f t="shared" si="18"/>
        <v>0</v>
      </c>
      <c r="BH562" s="64" t="s">
        <v>68</v>
      </c>
      <c r="BI562" s="1284" t="s">
        <v>1177</v>
      </c>
      <c r="BJ562" s="135" t="s">
        <v>1177</v>
      </c>
      <c r="BK562" s="135" t="s">
        <v>1177</v>
      </c>
      <c r="BL562" s="1283" t="s">
        <v>1177</v>
      </c>
      <c r="BM562" s="1283" t="s">
        <v>1177</v>
      </c>
      <c r="BN562" s="1283" t="s">
        <v>1177</v>
      </c>
      <c r="BO562" s="1054" t="s">
        <v>1177</v>
      </c>
      <c r="BP562" s="1283" t="s">
        <v>1177</v>
      </c>
      <c r="BQ562" s="1283"/>
      <c r="BR562" s="796"/>
      <c r="BS562" s="794"/>
      <c r="BT562" s="14"/>
      <c r="BU562" s="166"/>
      <c r="BV562" s="14"/>
      <c r="BW562" s="14"/>
      <c r="BX562" s="14"/>
      <c r="BY562" s="1433" t="s">
        <v>2098</v>
      </c>
      <c r="BZ562" s="40"/>
      <c r="CA562" s="582"/>
      <c r="CB562" s="582"/>
      <c r="CC562" s="582"/>
      <c r="CD562" s="582"/>
      <c r="CE562" s="582"/>
      <c r="CF562" s="582"/>
      <c r="CG562" s="582"/>
      <c r="CH562" s="16"/>
    </row>
    <row r="563" spans="2:86" ht="269.25" hidden="1" customHeight="1">
      <c r="B563" s="23"/>
      <c r="C563" s="1982"/>
      <c r="D563" s="1982"/>
      <c r="E563" s="1051"/>
      <c r="F563" s="1051"/>
      <c r="G563" s="1055"/>
      <c r="H563" s="365"/>
      <c r="I563" s="182">
        <v>2021</v>
      </c>
      <c r="J563" s="1678">
        <v>215.08</v>
      </c>
      <c r="K563" s="183" t="s">
        <v>166</v>
      </c>
      <c r="L563" s="191" t="s">
        <v>3982</v>
      </c>
      <c r="M563" s="185" t="s">
        <v>45</v>
      </c>
      <c r="N563" s="186" t="s">
        <v>4016</v>
      </c>
      <c r="O563" s="186" t="s">
        <v>1979</v>
      </c>
      <c r="P563" s="187">
        <v>226407.64</v>
      </c>
      <c r="Q563" s="188">
        <v>44435</v>
      </c>
      <c r="R563" s="189" t="s">
        <v>68</v>
      </c>
      <c r="S563" s="190" t="s">
        <v>68</v>
      </c>
      <c r="T563" s="111" t="s">
        <v>68</v>
      </c>
      <c r="U563" s="735" t="s">
        <v>4005</v>
      </c>
      <c r="V563" s="1064"/>
      <c r="W563" s="220" t="s">
        <v>1177</v>
      </c>
      <c r="X563" s="406"/>
      <c r="Y563" s="35" t="s">
        <v>1431</v>
      </c>
      <c r="Z563" s="9"/>
      <c r="AA563" s="4"/>
      <c r="AB563" s="4"/>
      <c r="AC563" s="34"/>
      <c r="AD563" s="36" t="s">
        <v>68</v>
      </c>
      <c r="AE563" s="119" t="s">
        <v>68</v>
      </c>
      <c r="AF563" s="119" t="s">
        <v>68</v>
      </c>
      <c r="AG563" s="7" t="s">
        <v>68</v>
      </c>
      <c r="AH563" s="116" t="s">
        <v>68</v>
      </c>
      <c r="AI563" s="35" t="s">
        <v>68</v>
      </c>
      <c r="AJ563" s="1" t="s">
        <v>68</v>
      </c>
      <c r="AK563" s="5"/>
      <c r="AL563" s="1" t="s">
        <v>68</v>
      </c>
      <c r="AM563" s="5"/>
      <c r="AN563" s="1" t="s">
        <v>68</v>
      </c>
      <c r="AO563" s="5"/>
      <c r="AP563" s="306">
        <v>0</v>
      </c>
      <c r="AQ563" s="37">
        <v>0</v>
      </c>
      <c r="AR563" s="1040"/>
      <c r="AS563" s="1027"/>
      <c r="AT563" s="32" t="s">
        <v>1177</v>
      </c>
      <c r="AU563" s="12"/>
      <c r="AV563" s="243"/>
      <c r="AW563" s="54"/>
      <c r="AX563" s="78" t="s">
        <v>1177</v>
      </c>
      <c r="AY563" s="255"/>
      <c r="AZ563" s="255"/>
      <c r="BA563" s="245"/>
      <c r="BB563" s="78" t="s">
        <v>1177</v>
      </c>
      <c r="BC563" s="344"/>
      <c r="BD563" s="5"/>
      <c r="BE563" s="5"/>
      <c r="BF563" s="5"/>
      <c r="BG563" s="38">
        <f t="shared" si="18"/>
        <v>0</v>
      </c>
      <c r="BH563" s="64" t="s">
        <v>68</v>
      </c>
      <c r="BI563" s="1284" t="s">
        <v>1177</v>
      </c>
      <c r="BJ563" s="135" t="s">
        <v>1177</v>
      </c>
      <c r="BK563" s="135" t="s">
        <v>1177</v>
      </c>
      <c r="BL563" s="1283" t="s">
        <v>1177</v>
      </c>
      <c r="BM563" s="1283" t="s">
        <v>1177</v>
      </c>
      <c r="BN563" s="1283" t="s">
        <v>1177</v>
      </c>
      <c r="BO563" s="1054" t="s">
        <v>1177</v>
      </c>
      <c r="BP563" s="1283" t="s">
        <v>1177</v>
      </c>
      <c r="BQ563" s="1283"/>
      <c r="BR563" s="796"/>
      <c r="BS563" s="794"/>
      <c r="BT563" s="14"/>
      <c r="BU563" s="166"/>
      <c r="BV563" s="14"/>
      <c r="BW563" s="14"/>
      <c r="BX563" s="14"/>
      <c r="BY563" s="1433" t="s">
        <v>2098</v>
      </c>
      <c r="BZ563" s="40"/>
      <c r="CA563" s="582"/>
      <c r="CB563" s="582"/>
      <c r="CC563" s="582"/>
      <c r="CD563" s="582"/>
      <c r="CE563" s="582"/>
      <c r="CF563" s="582"/>
      <c r="CG563" s="582"/>
      <c r="CH563" s="16"/>
    </row>
    <row r="564" spans="2:86" ht="147.75" hidden="1" customHeight="1">
      <c r="B564" s="23"/>
      <c r="C564" s="1982"/>
      <c r="D564" s="1982"/>
      <c r="E564" s="1051"/>
      <c r="F564" s="1051"/>
      <c r="G564" s="1055"/>
      <c r="H564" s="365"/>
      <c r="I564" s="182">
        <v>2021</v>
      </c>
      <c r="J564" s="1678">
        <v>215.09</v>
      </c>
      <c r="K564" s="183" t="s">
        <v>166</v>
      </c>
      <c r="L564" s="191" t="s">
        <v>3983</v>
      </c>
      <c r="M564" s="185" t="s">
        <v>45</v>
      </c>
      <c r="N564" s="186" t="s">
        <v>4007</v>
      </c>
      <c r="O564" s="186" t="s">
        <v>2611</v>
      </c>
      <c r="P564" s="187">
        <v>91300</v>
      </c>
      <c r="Q564" s="188">
        <v>44432</v>
      </c>
      <c r="R564" s="189" t="s">
        <v>68</v>
      </c>
      <c r="S564" s="190" t="s">
        <v>68</v>
      </c>
      <c r="T564" s="111" t="s">
        <v>68</v>
      </c>
      <c r="U564" s="735" t="s">
        <v>4006</v>
      </c>
      <c r="V564" s="1064"/>
      <c r="W564" s="220" t="s">
        <v>1177</v>
      </c>
      <c r="X564" s="406"/>
      <c r="Y564" s="35" t="s">
        <v>1431</v>
      </c>
      <c r="Z564" s="9"/>
      <c r="AA564" s="4"/>
      <c r="AB564" s="4"/>
      <c r="AC564" s="34"/>
      <c r="AD564" s="36" t="s">
        <v>68</v>
      </c>
      <c r="AE564" s="119" t="s">
        <v>68</v>
      </c>
      <c r="AF564" s="119" t="s">
        <v>68</v>
      </c>
      <c r="AG564" s="7" t="s">
        <v>68</v>
      </c>
      <c r="AH564" s="116" t="s">
        <v>68</v>
      </c>
      <c r="AI564" s="35" t="s">
        <v>68</v>
      </c>
      <c r="AJ564" s="1" t="s">
        <v>68</v>
      </c>
      <c r="AK564" s="5"/>
      <c r="AL564" s="1" t="s">
        <v>68</v>
      </c>
      <c r="AM564" s="5"/>
      <c r="AN564" s="1" t="s">
        <v>68</v>
      </c>
      <c r="AO564" s="5"/>
      <c r="AP564" s="306">
        <v>0</v>
      </c>
      <c r="AQ564" s="37">
        <v>0</v>
      </c>
      <c r="AR564" s="1040"/>
      <c r="AS564" s="1027"/>
      <c r="AT564" s="32" t="s">
        <v>1177</v>
      </c>
      <c r="AU564" s="12"/>
      <c r="AV564" s="243"/>
      <c r="AW564" s="54"/>
      <c r="AX564" s="78" t="s">
        <v>1177</v>
      </c>
      <c r="AY564" s="255"/>
      <c r="AZ564" s="255"/>
      <c r="BA564" s="245"/>
      <c r="BB564" s="78" t="s">
        <v>1177</v>
      </c>
      <c r="BC564" s="344"/>
      <c r="BD564" s="5"/>
      <c r="BE564" s="5"/>
      <c r="BF564" s="5"/>
      <c r="BG564" s="38">
        <f t="shared" si="18"/>
        <v>0</v>
      </c>
      <c r="BH564" s="64" t="s">
        <v>68</v>
      </c>
      <c r="BI564" s="1284" t="s">
        <v>1177</v>
      </c>
      <c r="BJ564" s="135" t="s">
        <v>1177</v>
      </c>
      <c r="BK564" s="135" t="s">
        <v>1177</v>
      </c>
      <c r="BL564" s="1283" t="s">
        <v>1177</v>
      </c>
      <c r="BM564" s="1283" t="s">
        <v>1177</v>
      </c>
      <c r="BN564" s="1283" t="s">
        <v>1177</v>
      </c>
      <c r="BO564" s="1054" t="s">
        <v>1177</v>
      </c>
      <c r="BP564" s="1283" t="s">
        <v>1177</v>
      </c>
      <c r="BQ564" s="1283"/>
      <c r="BR564" s="796"/>
      <c r="BS564" s="794"/>
      <c r="BT564" s="14"/>
      <c r="BU564" s="166"/>
      <c r="BV564" s="14"/>
      <c r="BW564" s="14"/>
      <c r="BX564" s="14"/>
      <c r="BY564" s="1433" t="s">
        <v>2098</v>
      </c>
      <c r="BZ564" s="40"/>
      <c r="CA564" s="582"/>
      <c r="CB564" s="582"/>
      <c r="CC564" s="582"/>
      <c r="CD564" s="582"/>
      <c r="CE564" s="582"/>
      <c r="CF564" s="582"/>
      <c r="CG564" s="582"/>
      <c r="CH564" s="16"/>
    </row>
    <row r="565" spans="2:86" ht="72" hidden="1" customHeight="1">
      <c r="B565" s="23"/>
      <c r="C565" s="1982"/>
      <c r="D565" s="1982"/>
      <c r="E565" s="1051">
        <v>44440</v>
      </c>
      <c r="F565" s="1051"/>
      <c r="G565" s="1055">
        <v>44358</v>
      </c>
      <c r="H565" s="365">
        <v>44323</v>
      </c>
      <c r="I565" s="182">
        <v>2021</v>
      </c>
      <c r="J565" s="1678">
        <v>216.01</v>
      </c>
      <c r="K565" s="183" t="s">
        <v>166</v>
      </c>
      <c r="L565" s="191" t="s">
        <v>3487</v>
      </c>
      <c r="M565" s="185" t="s">
        <v>79</v>
      </c>
      <c r="N565" s="186" t="s">
        <v>3501</v>
      </c>
      <c r="O565" s="186" t="s">
        <v>2613</v>
      </c>
      <c r="P565" s="661">
        <v>1300000</v>
      </c>
      <c r="Q565" s="657">
        <v>44208</v>
      </c>
      <c r="R565" s="664">
        <v>44231</v>
      </c>
      <c r="S565" s="665">
        <v>44377</v>
      </c>
      <c r="T565" s="578">
        <v>44207</v>
      </c>
      <c r="U565" s="716" t="s">
        <v>2972</v>
      </c>
      <c r="V565" s="183" t="s">
        <v>3649</v>
      </c>
      <c r="W565" s="220" t="s">
        <v>1177</v>
      </c>
      <c r="X565" s="406"/>
      <c r="Y565" s="180" t="s">
        <v>3873</v>
      </c>
      <c r="Z565" s="9">
        <v>44224</v>
      </c>
      <c r="AA565" s="4">
        <v>1300000</v>
      </c>
      <c r="AB565" s="261" t="s">
        <v>3815</v>
      </c>
      <c r="AC565" s="34">
        <v>1300000</v>
      </c>
      <c r="AD565" s="36" t="s">
        <v>68</v>
      </c>
      <c r="AE565" s="119" t="s">
        <v>68</v>
      </c>
      <c r="AF565" s="119" t="s">
        <v>68</v>
      </c>
      <c r="AG565" s="7" t="s">
        <v>68</v>
      </c>
      <c r="AH565" s="116" t="s">
        <v>68</v>
      </c>
      <c r="AI565" s="180" t="s">
        <v>3596</v>
      </c>
      <c r="AJ565" s="71" t="s">
        <v>3816</v>
      </c>
      <c r="AK565" s="255">
        <v>44231</v>
      </c>
      <c r="AL565" s="71" t="s">
        <v>3817</v>
      </c>
      <c r="AM565" s="5">
        <v>44231</v>
      </c>
      <c r="AN565" s="71" t="s">
        <v>83</v>
      </c>
      <c r="AO565" s="5"/>
      <c r="AP565" s="306">
        <f>325000+130000</f>
        <v>455000</v>
      </c>
      <c r="AQ565" s="37">
        <v>0</v>
      </c>
      <c r="AR565" s="1032">
        <v>1293027.17</v>
      </c>
      <c r="AS565" s="1019">
        <v>1239221.56</v>
      </c>
      <c r="AT565" s="78">
        <v>44231</v>
      </c>
      <c r="AU565" s="12">
        <v>44384</v>
      </c>
      <c r="AV565" s="243" t="s">
        <v>68</v>
      </c>
      <c r="AW565" s="54" t="s">
        <v>68</v>
      </c>
      <c r="AX565" s="78">
        <v>44348</v>
      </c>
      <c r="AY565" s="5">
        <v>44231</v>
      </c>
      <c r="AZ565" s="5">
        <v>44377</v>
      </c>
      <c r="BA565" s="12">
        <v>44323</v>
      </c>
      <c r="BB565" s="78">
        <v>44349</v>
      </c>
      <c r="BC565" s="344"/>
      <c r="BD565" s="5">
        <v>44231</v>
      </c>
      <c r="BE565" s="5">
        <v>44377</v>
      </c>
      <c r="BF565" s="5">
        <v>44323</v>
      </c>
      <c r="BG565" s="38">
        <v>1293027.18</v>
      </c>
      <c r="BH565" s="415">
        <v>44349</v>
      </c>
      <c r="BI565" s="372">
        <v>44348</v>
      </c>
      <c r="BJ565" s="76">
        <v>44235</v>
      </c>
      <c r="BK565" s="76">
        <v>44235</v>
      </c>
      <c r="BL565" s="1054" t="s">
        <v>68</v>
      </c>
      <c r="BM565" s="76">
        <v>44228</v>
      </c>
      <c r="BN565" s="76">
        <v>44228</v>
      </c>
      <c r="BO565" s="1054">
        <v>44228</v>
      </c>
      <c r="BP565" s="76">
        <v>44327</v>
      </c>
      <c r="BQ565" s="76"/>
      <c r="BR565" s="76">
        <v>44286</v>
      </c>
      <c r="BS565" s="794" t="s">
        <v>68</v>
      </c>
      <c r="BT565" s="14"/>
      <c r="BU565" s="1547" t="s">
        <v>3632</v>
      </c>
      <c r="BV565" s="14" t="s">
        <v>1295</v>
      </c>
      <c r="BW565" s="14" t="s">
        <v>1295</v>
      </c>
      <c r="BX565" s="14" t="s">
        <v>3589</v>
      </c>
      <c r="BY565" s="1433" t="s">
        <v>2098</v>
      </c>
      <c r="BZ565" s="649" t="s">
        <v>1143</v>
      </c>
      <c r="CA565" s="582"/>
      <c r="CB565" s="582"/>
      <c r="CC565" s="582"/>
      <c r="CD565" s="582"/>
      <c r="CE565" s="582"/>
      <c r="CF565" s="582"/>
      <c r="CG565" s="582"/>
      <c r="CH565" s="16"/>
    </row>
    <row r="566" spans="2:86" ht="126" hidden="1" customHeight="1">
      <c r="B566" s="23"/>
      <c r="C566" s="1982"/>
      <c r="D566" s="1982"/>
      <c r="E566" s="1051">
        <v>44407</v>
      </c>
      <c r="F566" s="1051"/>
      <c r="G566" s="1055">
        <v>44762</v>
      </c>
      <c r="H566" s="365">
        <v>44358</v>
      </c>
      <c r="I566" s="182">
        <v>2021</v>
      </c>
      <c r="J566" s="1678">
        <v>216.02</v>
      </c>
      <c r="K566" s="716" t="s">
        <v>77</v>
      </c>
      <c r="L566" s="739" t="s">
        <v>3488</v>
      </c>
      <c r="M566" s="663" t="s">
        <v>3252</v>
      </c>
      <c r="N566" s="495" t="s">
        <v>3500</v>
      </c>
      <c r="O566" s="495" t="s">
        <v>2613</v>
      </c>
      <c r="P566" s="187">
        <v>2242164.25</v>
      </c>
      <c r="Q566" s="657">
        <v>44210</v>
      </c>
      <c r="R566" s="189">
        <v>44211</v>
      </c>
      <c r="S566" s="190">
        <v>44270</v>
      </c>
      <c r="T566" s="111" t="s">
        <v>1431</v>
      </c>
      <c r="U566" s="739" t="s">
        <v>4264</v>
      </c>
      <c r="V566" s="716" t="s">
        <v>3692</v>
      </c>
      <c r="W566" s="685">
        <v>44198</v>
      </c>
      <c r="X566" s="1625" t="s">
        <v>4334</v>
      </c>
      <c r="Y566" s="180" t="s">
        <v>3844</v>
      </c>
      <c r="Z566" s="9">
        <v>44197</v>
      </c>
      <c r="AA566" s="4">
        <v>18585634.399999999</v>
      </c>
      <c r="AB566" s="4"/>
      <c r="AC566" s="34"/>
      <c r="AD566" s="645">
        <v>44198</v>
      </c>
      <c r="AE566" s="193">
        <v>44200</v>
      </c>
      <c r="AF566" s="646">
        <v>44198</v>
      </c>
      <c r="AG566" s="647">
        <v>44203</v>
      </c>
      <c r="AH566" s="782">
        <v>44209</v>
      </c>
      <c r="AI566" s="491" t="s">
        <v>855</v>
      </c>
      <c r="AJ566" s="1" t="s">
        <v>68</v>
      </c>
      <c r="AK566" s="5"/>
      <c r="AL566" s="1">
        <v>21590</v>
      </c>
      <c r="AM566" s="5">
        <v>44211</v>
      </c>
      <c r="AN566" s="1">
        <v>21594</v>
      </c>
      <c r="AO566" s="5">
        <v>44270</v>
      </c>
      <c r="AP566" s="306">
        <f>260091.05+137964.17</f>
        <v>398055.22</v>
      </c>
      <c r="AQ566" s="37">
        <v>0</v>
      </c>
      <c r="AR566" s="1031">
        <v>2507056.77</v>
      </c>
      <c r="AS566" s="1027"/>
      <c r="AT566" s="68" t="s">
        <v>74</v>
      </c>
      <c r="AU566" s="12"/>
      <c r="AV566" s="243" t="s">
        <v>68</v>
      </c>
      <c r="AW566" s="54" t="s">
        <v>68</v>
      </c>
      <c r="AX566" s="253">
        <v>44270</v>
      </c>
      <c r="AY566" s="5">
        <v>15</v>
      </c>
      <c r="AZ566" s="5">
        <v>44270</v>
      </c>
      <c r="BA566" s="12">
        <v>44270</v>
      </c>
      <c r="BB566" s="253">
        <v>44270</v>
      </c>
      <c r="BC566" s="558"/>
      <c r="BD566" s="5">
        <v>44211</v>
      </c>
      <c r="BE566" s="5">
        <v>44270</v>
      </c>
      <c r="BF566" s="5">
        <v>44270</v>
      </c>
      <c r="BG566" s="38">
        <f>AR566</f>
        <v>2507056.77</v>
      </c>
      <c r="BH566" s="1652">
        <v>44270</v>
      </c>
      <c r="BI566" s="1686" t="s">
        <v>74</v>
      </c>
      <c r="BJ566" s="793" t="s">
        <v>74</v>
      </c>
      <c r="BK566" s="76">
        <v>44210</v>
      </c>
      <c r="BL566" s="793" t="s">
        <v>74</v>
      </c>
      <c r="BM566" s="793" t="s">
        <v>74</v>
      </c>
      <c r="BN566" s="76">
        <v>44203</v>
      </c>
      <c r="BO566" s="1054" t="s">
        <v>74</v>
      </c>
      <c r="BP566" s="76">
        <v>44267</v>
      </c>
      <c r="BQ566" s="793" t="s">
        <v>74</v>
      </c>
      <c r="BR566" s="76"/>
      <c r="BS566" s="794"/>
      <c r="BT566" s="14"/>
      <c r="BU566" s="1461" t="s">
        <v>3773</v>
      </c>
      <c r="BV566" s="1607" t="s">
        <v>74</v>
      </c>
      <c r="BW566" s="166" t="s">
        <v>3931</v>
      </c>
      <c r="BX566" s="166" t="s">
        <v>3584</v>
      </c>
      <c r="BY566" s="1433" t="s">
        <v>2098</v>
      </c>
      <c r="BZ566" s="40" t="s">
        <v>3932</v>
      </c>
      <c r="CA566" s="582"/>
      <c r="CB566" s="582"/>
      <c r="CC566" s="582"/>
      <c r="CD566" s="582"/>
      <c r="CE566" s="582"/>
      <c r="CF566" s="582"/>
      <c r="CG566" s="582"/>
      <c r="CH566" s="16"/>
    </row>
    <row r="567" spans="2:86" s="110" customFormat="1" ht="90" hidden="1" customHeight="1">
      <c r="B567" s="87"/>
      <c r="C567" s="1984"/>
      <c r="D567" s="1984"/>
      <c r="E567" s="1161"/>
      <c r="F567" s="1161"/>
      <c r="G567" s="130"/>
      <c r="H567" s="700"/>
      <c r="I567" s="1162">
        <v>2021</v>
      </c>
      <c r="J567" s="1681">
        <v>216.03</v>
      </c>
      <c r="K567" s="701" t="s">
        <v>166</v>
      </c>
      <c r="L567" s="706" t="s">
        <v>3489</v>
      </c>
      <c r="M567" s="747" t="s">
        <v>251</v>
      </c>
      <c r="N567" s="748" t="s">
        <v>3497</v>
      </c>
      <c r="O567" s="748"/>
      <c r="P567" s="702">
        <v>195609.22</v>
      </c>
      <c r="Q567" s="703">
        <v>44208</v>
      </c>
      <c r="R567" s="704">
        <v>44242</v>
      </c>
      <c r="S567" s="705">
        <v>44270</v>
      </c>
      <c r="T567" s="408">
        <v>44207</v>
      </c>
      <c r="U567" s="701" t="s">
        <v>4085</v>
      </c>
      <c r="V567" s="701" t="s">
        <v>3692</v>
      </c>
      <c r="W567" s="611" t="s">
        <v>1177</v>
      </c>
      <c r="X567" s="1615"/>
      <c r="Y567" s="96"/>
      <c r="Z567" s="98"/>
      <c r="AA567" s="92"/>
      <c r="AB567" s="92"/>
      <c r="AC567" s="99"/>
      <c r="AD567" s="100" t="s">
        <v>68</v>
      </c>
      <c r="AE567" s="120" t="s">
        <v>68</v>
      </c>
      <c r="AF567" s="120" t="s">
        <v>68</v>
      </c>
      <c r="AG567" s="101" t="s">
        <v>68</v>
      </c>
      <c r="AH567" s="117" t="s">
        <v>68</v>
      </c>
      <c r="AI567" s="96"/>
      <c r="AJ567" s="102"/>
      <c r="AK567" s="94"/>
      <c r="AL567" s="102"/>
      <c r="AM567" s="94"/>
      <c r="AN567" s="102"/>
      <c r="AO567" s="94"/>
      <c r="AP567" s="311">
        <v>0</v>
      </c>
      <c r="AQ567" s="104">
        <v>0</v>
      </c>
      <c r="AR567" s="1036"/>
      <c r="AS567" s="1023"/>
      <c r="AT567" s="728" t="s">
        <v>74</v>
      </c>
      <c r="AU567" s="95"/>
      <c r="AV567" s="374" t="s">
        <v>68</v>
      </c>
      <c r="AW567" s="107" t="s">
        <v>68</v>
      </c>
      <c r="AX567" s="728" t="s">
        <v>74</v>
      </c>
      <c r="AY567" s="94"/>
      <c r="AZ567" s="94"/>
      <c r="BA567" s="95"/>
      <c r="BB567" s="728" t="s">
        <v>74</v>
      </c>
      <c r="BC567" s="1965"/>
      <c r="BD567" s="94"/>
      <c r="BE567" s="94"/>
      <c r="BF567" s="94"/>
      <c r="BG567" s="105"/>
      <c r="BH567" s="1772" t="s">
        <v>74</v>
      </c>
      <c r="BI567" s="983"/>
      <c r="BJ567" s="984"/>
      <c r="BK567" s="984"/>
      <c r="BL567" s="1163"/>
      <c r="BM567" s="1163"/>
      <c r="BN567" s="1163"/>
      <c r="BO567" s="1054"/>
      <c r="BP567" s="1163"/>
      <c r="BQ567" s="1163"/>
      <c r="BR567" s="1163"/>
      <c r="BS567" s="983"/>
      <c r="BT567" s="108"/>
      <c r="BU567" s="1468" t="s">
        <v>3773</v>
      </c>
      <c r="BV567" s="108"/>
      <c r="BW567" s="108"/>
      <c r="BX567" s="108"/>
      <c r="BY567" s="1660" t="s">
        <v>2098</v>
      </c>
      <c r="BZ567" s="985"/>
      <c r="CA567" s="583"/>
      <c r="CB567" s="583"/>
      <c r="CC567" s="583"/>
      <c r="CD567" s="583"/>
      <c r="CE567" s="583"/>
      <c r="CF567" s="583"/>
      <c r="CG567" s="583"/>
      <c r="CH567" s="707"/>
    </row>
    <row r="568" spans="2:86" ht="114.75" hidden="1" customHeight="1">
      <c r="B568" s="23"/>
      <c r="C568" s="1982"/>
      <c r="D568" s="1982"/>
      <c r="E568" s="1051">
        <v>44407</v>
      </c>
      <c r="F568" s="1051"/>
      <c r="G568" s="1055">
        <v>44762</v>
      </c>
      <c r="H568" s="365">
        <v>44358</v>
      </c>
      <c r="I568" s="182">
        <v>2021</v>
      </c>
      <c r="J568" s="1678">
        <v>216.04</v>
      </c>
      <c r="K568" s="183" t="s">
        <v>77</v>
      </c>
      <c r="L568" s="191" t="s">
        <v>3490</v>
      </c>
      <c r="M568" s="185" t="s">
        <v>3252</v>
      </c>
      <c r="N568" s="186" t="s">
        <v>3650</v>
      </c>
      <c r="O568" s="186" t="s">
        <v>2613</v>
      </c>
      <c r="P568" s="187">
        <v>8221905.6500000004</v>
      </c>
      <c r="Q568" s="657">
        <v>44210</v>
      </c>
      <c r="R568" s="189">
        <v>44211</v>
      </c>
      <c r="S568" s="190">
        <v>44266</v>
      </c>
      <c r="T568" s="111" t="s">
        <v>1431</v>
      </c>
      <c r="U568" s="739" t="s">
        <v>3510</v>
      </c>
      <c r="V568" s="716" t="s">
        <v>3692</v>
      </c>
      <c r="W568" s="685">
        <v>44198</v>
      </c>
      <c r="X568" s="1625" t="s">
        <v>4334</v>
      </c>
      <c r="Y568" s="180" t="s">
        <v>3844</v>
      </c>
      <c r="Z568" s="9">
        <v>44197</v>
      </c>
      <c r="AA568" s="4">
        <v>18585634.399999999</v>
      </c>
      <c r="AB568" s="4"/>
      <c r="AC568" s="34"/>
      <c r="AD568" s="645">
        <v>44198</v>
      </c>
      <c r="AE568" s="646">
        <v>44200</v>
      </c>
      <c r="AF568" s="646">
        <v>44200</v>
      </c>
      <c r="AG568" s="1575" t="s">
        <v>74</v>
      </c>
      <c r="AH568" s="1576" t="s">
        <v>74</v>
      </c>
      <c r="AI568" s="491" t="s">
        <v>3614</v>
      </c>
      <c r="AJ568" s="1" t="s">
        <v>68</v>
      </c>
      <c r="AK568" s="5"/>
      <c r="AL568" s="1">
        <v>2532513</v>
      </c>
      <c r="AM568" s="5">
        <v>44208</v>
      </c>
      <c r="AN568" s="1">
        <v>2556203</v>
      </c>
      <c r="AO568" s="5">
        <v>44333</v>
      </c>
      <c r="AP568" s="306">
        <f>822190.56*2</f>
        <v>1644381.12</v>
      </c>
      <c r="AQ568" s="37">
        <v>0</v>
      </c>
      <c r="AR568" s="1031">
        <v>8221897.79</v>
      </c>
      <c r="AS568" s="1027"/>
      <c r="AT568" s="68" t="s">
        <v>74</v>
      </c>
      <c r="AU568" s="12"/>
      <c r="AV568" s="243" t="s">
        <v>68</v>
      </c>
      <c r="AW568" s="54" t="s">
        <v>68</v>
      </c>
      <c r="AX568" s="32">
        <v>44271</v>
      </c>
      <c r="AY568" s="5">
        <v>44211</v>
      </c>
      <c r="AZ568" s="5">
        <v>44270</v>
      </c>
      <c r="BA568" s="12"/>
      <c r="BB568" s="78">
        <v>44331</v>
      </c>
      <c r="BC568" s="344"/>
      <c r="BD568" s="255">
        <v>44211</v>
      </c>
      <c r="BE568" s="255">
        <v>44270</v>
      </c>
      <c r="BF568" s="255">
        <v>44270</v>
      </c>
      <c r="BG568" s="136">
        <f>8221897.8+7.24</f>
        <v>8221905.04</v>
      </c>
      <c r="BH568" s="711">
        <v>44334</v>
      </c>
      <c r="BI568" s="372">
        <v>44209</v>
      </c>
      <c r="BJ568" s="76">
        <v>44203</v>
      </c>
      <c r="BK568" s="793" t="s">
        <v>74</v>
      </c>
      <c r="BL568" s="793" t="s">
        <v>74</v>
      </c>
      <c r="BM568" s="793" t="s">
        <v>74</v>
      </c>
      <c r="BN568" s="793" t="s">
        <v>74</v>
      </c>
      <c r="BO568" s="1054" t="s">
        <v>74</v>
      </c>
      <c r="BP568" s="793" t="s">
        <v>74</v>
      </c>
      <c r="BQ568" s="793" t="s">
        <v>74</v>
      </c>
      <c r="BR568" s="1649"/>
      <c r="BS568" s="1053"/>
      <c r="BT568" s="14"/>
      <c r="BU568" s="1461" t="s">
        <v>3773</v>
      </c>
      <c r="BV568" s="1607" t="s">
        <v>74</v>
      </c>
      <c r="BW568" s="166" t="s">
        <v>3931</v>
      </c>
      <c r="BX568" s="166" t="s">
        <v>3584</v>
      </c>
      <c r="BY568" s="1433" t="s">
        <v>2098</v>
      </c>
      <c r="BZ568" s="40"/>
      <c r="CA568" s="582"/>
      <c r="CB568" s="582"/>
      <c r="CC568" s="582"/>
      <c r="CD568" s="582"/>
      <c r="CE568" s="582"/>
      <c r="CF568" s="582"/>
      <c r="CG568" s="582"/>
      <c r="CH568" s="16"/>
    </row>
    <row r="569" spans="2:86" ht="114.75" hidden="1" customHeight="1">
      <c r="B569" s="23"/>
      <c r="C569" s="1982"/>
      <c r="D569" s="1982"/>
      <c r="E569" s="1051">
        <v>44440</v>
      </c>
      <c r="F569" s="1051"/>
      <c r="G569" s="1055"/>
      <c r="H569" s="365"/>
      <c r="I569" s="182">
        <v>2021</v>
      </c>
      <c r="J569" s="1678">
        <v>216.05</v>
      </c>
      <c r="K569" s="183" t="s">
        <v>166</v>
      </c>
      <c r="L569" s="191" t="s">
        <v>3491</v>
      </c>
      <c r="M569" s="185" t="s">
        <v>79</v>
      </c>
      <c r="N569" s="186" t="s">
        <v>3496</v>
      </c>
      <c r="O569" s="186" t="s">
        <v>2613</v>
      </c>
      <c r="P569" s="187">
        <v>758856.32</v>
      </c>
      <c r="Q569" s="657">
        <v>44208</v>
      </c>
      <c r="R569" s="189">
        <v>44271</v>
      </c>
      <c r="S569" s="190">
        <v>44275</v>
      </c>
      <c r="T569" s="111">
        <v>44207</v>
      </c>
      <c r="U569" s="716" t="s">
        <v>3510</v>
      </c>
      <c r="V569" s="716" t="s">
        <v>3692</v>
      </c>
      <c r="W569" s="685" t="s">
        <v>1177</v>
      </c>
      <c r="X569" s="1623"/>
      <c r="Y569" s="180"/>
      <c r="Z569" s="9"/>
      <c r="AA569" s="4"/>
      <c r="AB569" s="4"/>
      <c r="AC569" s="34"/>
      <c r="AD569" s="645" t="s">
        <v>68</v>
      </c>
      <c r="AE569" s="646" t="s">
        <v>68</v>
      </c>
      <c r="AF569" s="646" t="s">
        <v>68</v>
      </c>
      <c r="AG569" s="1575" t="s">
        <v>68</v>
      </c>
      <c r="AH569" s="1576" t="s">
        <v>68</v>
      </c>
      <c r="AI569" s="491"/>
      <c r="AJ569" s="1"/>
      <c r="AK569" s="5"/>
      <c r="AL569" s="1"/>
      <c r="AM569" s="5"/>
      <c r="AN569" s="1"/>
      <c r="AO569" s="5"/>
      <c r="AP569" s="306">
        <v>0</v>
      </c>
      <c r="AQ569" s="37">
        <v>0</v>
      </c>
      <c r="AR569" s="1031">
        <v>434553.82</v>
      </c>
      <c r="AS569" s="1027"/>
      <c r="AT569" s="68" t="s">
        <v>74</v>
      </c>
      <c r="AU569" s="12"/>
      <c r="AV569" s="243" t="s">
        <v>68</v>
      </c>
      <c r="AW569" s="54" t="s">
        <v>68</v>
      </c>
      <c r="AX569" s="32" t="s">
        <v>74</v>
      </c>
      <c r="AY569" s="5"/>
      <c r="AZ569" s="5"/>
      <c r="BA569" s="12"/>
      <c r="BB569" s="253" t="s">
        <v>74</v>
      </c>
      <c r="BC569" s="558"/>
      <c r="BD569" s="5"/>
      <c r="BE569" s="5"/>
      <c r="BF569" s="5"/>
      <c r="BG569" s="270"/>
      <c r="BH569" s="264" t="s">
        <v>74</v>
      </c>
      <c r="BI569" s="372"/>
      <c r="BJ569" s="76"/>
      <c r="BK569" s="793"/>
      <c r="BL569" s="793"/>
      <c r="BM569" s="793"/>
      <c r="BN569" s="793"/>
      <c r="BO569" s="1054"/>
      <c r="BP569" s="793"/>
      <c r="BQ569" s="1480"/>
      <c r="BR569" s="1649"/>
      <c r="BS569" s="1053"/>
      <c r="BT569" s="14"/>
      <c r="BU569" s="1461" t="s">
        <v>3773</v>
      </c>
      <c r="BV569" s="1607"/>
      <c r="BW569" s="166"/>
      <c r="BX569" s="166"/>
      <c r="BY569" s="1433" t="s">
        <v>2098</v>
      </c>
      <c r="BZ569" s="40"/>
      <c r="CA569" s="582"/>
      <c r="CB569" s="582"/>
      <c r="CC569" s="582"/>
      <c r="CD569" s="582"/>
      <c r="CE569" s="582"/>
      <c r="CF569" s="582"/>
      <c r="CG569" s="582"/>
      <c r="CH569" s="16"/>
    </row>
    <row r="570" spans="2:86" ht="107.25" hidden="1" customHeight="1">
      <c r="B570" s="23"/>
      <c r="C570" s="1982"/>
      <c r="D570" s="1982"/>
      <c r="E570" s="1051">
        <v>44407</v>
      </c>
      <c r="F570" s="1051"/>
      <c r="G570" s="1055">
        <v>44447</v>
      </c>
      <c r="H570" s="365">
        <v>44449</v>
      </c>
      <c r="I570" s="182">
        <v>2021</v>
      </c>
      <c r="J570" s="1678">
        <v>216.06</v>
      </c>
      <c r="K570" s="183" t="s">
        <v>77</v>
      </c>
      <c r="L570" s="191" t="s">
        <v>3492</v>
      </c>
      <c r="M570" s="185" t="s">
        <v>79</v>
      </c>
      <c r="N570" s="495" t="s">
        <v>3509</v>
      </c>
      <c r="O570" s="495" t="s">
        <v>1979</v>
      </c>
      <c r="P570" s="187">
        <f>565911.43+662470.72+151259.58</f>
        <v>1379641.73</v>
      </c>
      <c r="Q570" s="657">
        <v>44208</v>
      </c>
      <c r="R570" s="664">
        <v>44211</v>
      </c>
      <c r="S570" s="665">
        <v>44256</v>
      </c>
      <c r="T570" s="578">
        <v>44207</v>
      </c>
      <c r="U570" s="191" t="s">
        <v>3513</v>
      </c>
      <c r="V570" s="716" t="s">
        <v>3693</v>
      </c>
      <c r="W570" s="685">
        <v>44198</v>
      </c>
      <c r="X570" s="1623" t="s">
        <v>74</v>
      </c>
      <c r="Y570" s="180" t="s">
        <v>3844</v>
      </c>
      <c r="Z570" s="9">
        <v>44197</v>
      </c>
      <c r="AA570" s="4">
        <v>18585634.399999999</v>
      </c>
      <c r="AB570" s="4"/>
      <c r="AC570" s="34"/>
      <c r="AD570" s="36" t="s">
        <v>68</v>
      </c>
      <c r="AE570" s="119" t="s">
        <v>68</v>
      </c>
      <c r="AF570" s="119" t="s">
        <v>68</v>
      </c>
      <c r="AG570" s="7" t="s">
        <v>68</v>
      </c>
      <c r="AH570" s="116" t="s">
        <v>68</v>
      </c>
      <c r="AI570" s="35" t="s">
        <v>855</v>
      </c>
      <c r="AJ570" s="1" t="s">
        <v>68</v>
      </c>
      <c r="AK570" s="5"/>
      <c r="AL570" s="1">
        <v>21582</v>
      </c>
      <c r="AM570" s="5">
        <v>44211</v>
      </c>
      <c r="AN570" s="1">
        <v>21586</v>
      </c>
      <c r="AO570" s="5">
        <v>44256</v>
      </c>
      <c r="AP570" s="306">
        <f>137964.17*2</f>
        <v>275928.34000000003</v>
      </c>
      <c r="AQ570" s="37">
        <v>0</v>
      </c>
      <c r="AR570" s="1032">
        <v>1239899.07</v>
      </c>
      <c r="AS570" s="1027"/>
      <c r="AT570" s="75">
        <v>44214</v>
      </c>
      <c r="AU570" s="12">
        <v>44266</v>
      </c>
      <c r="AV570" s="243" t="s">
        <v>68</v>
      </c>
      <c r="AW570" s="54" t="s">
        <v>68</v>
      </c>
      <c r="AX570" s="78">
        <v>44267</v>
      </c>
      <c r="AY570" s="5">
        <v>44211</v>
      </c>
      <c r="AZ570" s="5">
        <v>44270</v>
      </c>
      <c r="BA570" s="12"/>
      <c r="BB570" s="78">
        <v>44270</v>
      </c>
      <c r="BC570" s="344"/>
      <c r="BD570" s="5">
        <v>44211</v>
      </c>
      <c r="BE570" s="5">
        <v>44270</v>
      </c>
      <c r="BF570" s="5">
        <v>44266</v>
      </c>
      <c r="BG570" s="136">
        <f>AR570+AS570</f>
        <v>1239899.07</v>
      </c>
      <c r="BH570" s="711">
        <v>44271</v>
      </c>
      <c r="BI570" s="1284" t="s">
        <v>3883</v>
      </c>
      <c r="BJ570" s="76">
        <v>44211</v>
      </c>
      <c r="BK570" s="76">
        <v>44211</v>
      </c>
      <c r="BL570" s="793" t="s">
        <v>74</v>
      </c>
      <c r="BM570" s="76">
        <v>44211</v>
      </c>
      <c r="BN570" s="76">
        <v>44211</v>
      </c>
      <c r="BO570" s="1054" t="s">
        <v>74</v>
      </c>
      <c r="BP570" s="76">
        <v>44265</v>
      </c>
      <c r="BQ570" s="1054"/>
      <c r="BR570" s="1558"/>
      <c r="BS570" s="1608"/>
      <c r="BT570" s="14"/>
      <c r="BU570" s="1461" t="s">
        <v>3773</v>
      </c>
      <c r="BV570" s="1607" t="s">
        <v>74</v>
      </c>
      <c r="BW570" s="166" t="s">
        <v>551</v>
      </c>
      <c r="BX570" s="166" t="s">
        <v>3584</v>
      </c>
      <c r="BY570" s="1433" t="s">
        <v>2098</v>
      </c>
      <c r="BZ570" s="40"/>
      <c r="CA570" s="582"/>
      <c r="CB570" s="582"/>
      <c r="CC570" s="582"/>
      <c r="CD570" s="582"/>
      <c r="CE570" s="582"/>
      <c r="CF570" s="582"/>
      <c r="CG570" s="582"/>
      <c r="CH570" s="16"/>
    </row>
    <row r="571" spans="2:86" s="110" customFormat="1" ht="78.75" hidden="1" customHeight="1">
      <c r="B571" s="87"/>
      <c r="C571" s="1984"/>
      <c r="D571" s="1984"/>
      <c r="E571" s="1161"/>
      <c r="F571" s="1161"/>
      <c r="G571" s="130">
        <v>44377</v>
      </c>
      <c r="H571" s="700"/>
      <c r="I571" s="1162">
        <v>2021</v>
      </c>
      <c r="J571" s="1681">
        <v>216.07</v>
      </c>
      <c r="K571" s="701" t="s">
        <v>166</v>
      </c>
      <c r="L571" s="706" t="s">
        <v>3493</v>
      </c>
      <c r="M571" s="747" t="s">
        <v>251</v>
      </c>
      <c r="N571" s="748" t="s">
        <v>3499</v>
      </c>
      <c r="O571" s="748"/>
      <c r="P571" s="702">
        <v>101577.38</v>
      </c>
      <c r="Q571" s="703">
        <v>44208</v>
      </c>
      <c r="R571" s="704">
        <v>44270</v>
      </c>
      <c r="S571" s="705">
        <v>44275</v>
      </c>
      <c r="T571" s="408">
        <v>44207</v>
      </c>
      <c r="U571" s="706" t="s">
        <v>3513</v>
      </c>
      <c r="V571" s="701" t="s">
        <v>3693</v>
      </c>
      <c r="W571" s="611" t="s">
        <v>1177</v>
      </c>
      <c r="X571" s="1615"/>
      <c r="Y571" s="96" t="s">
        <v>3844</v>
      </c>
      <c r="Z571" s="98">
        <v>44197</v>
      </c>
      <c r="AA571" s="92">
        <v>18585634.399999999</v>
      </c>
      <c r="AB571" s="92"/>
      <c r="AC571" s="99"/>
      <c r="AD571" s="100" t="s">
        <v>68</v>
      </c>
      <c r="AE571" s="120" t="s">
        <v>68</v>
      </c>
      <c r="AF571" s="120" t="s">
        <v>68</v>
      </c>
      <c r="AG571" s="101" t="s">
        <v>68</v>
      </c>
      <c r="AH571" s="117" t="s">
        <v>68</v>
      </c>
      <c r="AI571" s="96"/>
      <c r="AJ571" s="102"/>
      <c r="AK571" s="94"/>
      <c r="AL571" s="102"/>
      <c r="AM571" s="94"/>
      <c r="AN571" s="102"/>
      <c r="AO571" s="94"/>
      <c r="AP571" s="311">
        <v>0</v>
      </c>
      <c r="AQ571" s="104">
        <v>0</v>
      </c>
      <c r="AR571" s="1036"/>
      <c r="AS571" s="1023"/>
      <c r="AT571" s="728" t="s">
        <v>74</v>
      </c>
      <c r="AU571" s="95"/>
      <c r="AV571" s="374" t="s">
        <v>68</v>
      </c>
      <c r="AW571" s="107" t="s">
        <v>68</v>
      </c>
      <c r="AX571" s="728" t="s">
        <v>74</v>
      </c>
      <c r="AY571" s="94"/>
      <c r="AZ571" s="94"/>
      <c r="BA571" s="95"/>
      <c r="BB571" s="728" t="s">
        <v>74</v>
      </c>
      <c r="BC571" s="1965"/>
      <c r="BD571" s="94"/>
      <c r="BE571" s="94"/>
      <c r="BF571" s="94"/>
      <c r="BG571" s="105"/>
      <c r="BH571" s="1772" t="s">
        <v>74</v>
      </c>
      <c r="BI571" s="1825" t="s">
        <v>3814</v>
      </c>
      <c r="BJ571" s="984"/>
      <c r="BK571" s="984"/>
      <c r="BL571" s="1163"/>
      <c r="BM571" s="1163"/>
      <c r="BN571" s="1163"/>
      <c r="BO571" s="1054"/>
      <c r="BP571" s="1163"/>
      <c r="BQ571" s="1163"/>
      <c r="BR571" s="1163"/>
      <c r="BS571" s="983"/>
      <c r="BT571" s="108"/>
      <c r="BU571" s="1468" t="s">
        <v>3773</v>
      </c>
      <c r="BV571" s="108" t="s">
        <v>551</v>
      </c>
      <c r="BW571" s="108"/>
      <c r="BX571" s="108"/>
      <c r="BY571" s="1660" t="s">
        <v>2098</v>
      </c>
      <c r="BZ571" s="985"/>
      <c r="CA571" s="583"/>
      <c r="CB571" s="583"/>
      <c r="CC571" s="583"/>
      <c r="CD571" s="583"/>
      <c r="CE571" s="583"/>
      <c r="CF571" s="583"/>
      <c r="CG571" s="583"/>
      <c r="CH571" s="707"/>
    </row>
    <row r="572" spans="2:86" ht="138" hidden="1" customHeight="1">
      <c r="B572" s="23"/>
      <c r="C572" s="1982"/>
      <c r="D572" s="1982"/>
      <c r="E572" s="1051">
        <v>44407</v>
      </c>
      <c r="F572" s="1051"/>
      <c r="G572" s="1055">
        <v>44449</v>
      </c>
      <c r="H572" s="365">
        <v>44449</v>
      </c>
      <c r="I572" s="182">
        <v>2021</v>
      </c>
      <c r="J572" s="1678">
        <v>216.08</v>
      </c>
      <c r="K572" s="716" t="s">
        <v>77</v>
      </c>
      <c r="L572" s="191" t="s">
        <v>3494</v>
      </c>
      <c r="M572" s="185" t="s">
        <v>79</v>
      </c>
      <c r="N572" s="495" t="s">
        <v>3498</v>
      </c>
      <c r="O572" s="495" t="s">
        <v>1979</v>
      </c>
      <c r="P572" s="187">
        <v>1301387.07</v>
      </c>
      <c r="Q572" s="657">
        <v>44200</v>
      </c>
      <c r="R572" s="189">
        <v>44201</v>
      </c>
      <c r="S572" s="190">
        <v>44270</v>
      </c>
      <c r="T572" s="578">
        <v>44197</v>
      </c>
      <c r="U572" s="739" t="s">
        <v>2977</v>
      </c>
      <c r="V572" s="716" t="s">
        <v>3693</v>
      </c>
      <c r="W572" s="740">
        <v>44198</v>
      </c>
      <c r="X572" s="1624" t="s">
        <v>4670</v>
      </c>
      <c r="Y572" s="180" t="s">
        <v>3844</v>
      </c>
      <c r="Z572" s="9">
        <v>44197</v>
      </c>
      <c r="AA572" s="4">
        <v>18585634.399999999</v>
      </c>
      <c r="AB572" s="4"/>
      <c r="AC572" s="34"/>
      <c r="AD572" s="36" t="s">
        <v>68</v>
      </c>
      <c r="AE572" s="119" t="s">
        <v>68</v>
      </c>
      <c r="AF572" s="119" t="s">
        <v>68</v>
      </c>
      <c r="AG572" s="7" t="s">
        <v>68</v>
      </c>
      <c r="AH572" s="116" t="s">
        <v>68</v>
      </c>
      <c r="AI572" s="491" t="s">
        <v>3935</v>
      </c>
      <c r="AJ572" s="1" t="s">
        <v>68</v>
      </c>
      <c r="AK572" s="5"/>
      <c r="AL572" s="1">
        <v>2531210</v>
      </c>
      <c r="AM572" s="5">
        <v>44200</v>
      </c>
      <c r="AN572" s="1653" t="s">
        <v>3934</v>
      </c>
      <c r="AO572" s="5">
        <v>44270</v>
      </c>
      <c r="AP572" s="306">
        <f>130138.71+113472.62</f>
        <v>243611.33000000002</v>
      </c>
      <c r="AQ572" s="37">
        <v>0</v>
      </c>
      <c r="AR572" s="1031">
        <v>1116853.6100000001</v>
      </c>
      <c r="AS572" s="1027"/>
      <c r="AT572" s="68" t="s">
        <v>74</v>
      </c>
      <c r="AU572" s="12"/>
      <c r="AV572" s="243" t="s">
        <v>68</v>
      </c>
      <c r="AW572" s="54" t="s">
        <v>68</v>
      </c>
      <c r="AX572" s="32">
        <v>44270</v>
      </c>
      <c r="AY572" s="5">
        <v>44201</v>
      </c>
      <c r="AZ572" s="5">
        <v>44270</v>
      </c>
      <c r="BA572" s="12">
        <v>44270</v>
      </c>
      <c r="BB572" s="32"/>
      <c r="BC572" s="341"/>
      <c r="BD572" s="5"/>
      <c r="BE572" s="5"/>
      <c r="BF572" s="5"/>
      <c r="BG572" s="38">
        <f>AR572</f>
        <v>1116853.6100000001</v>
      </c>
      <c r="BH572" s="217" t="s">
        <v>74</v>
      </c>
      <c r="BI572" s="1284" t="s">
        <v>3883</v>
      </c>
      <c r="BJ572" s="1187"/>
      <c r="BK572" s="1187"/>
      <c r="BL572" s="1230"/>
      <c r="BM572" s="1230"/>
      <c r="BN572" s="1230"/>
      <c r="BO572" s="1054"/>
      <c r="BP572" s="1230"/>
      <c r="BQ572" s="1230"/>
      <c r="BR572" s="796"/>
      <c r="BS572" s="794"/>
      <c r="BT572" s="14"/>
      <c r="BU572" s="1461" t="s">
        <v>3773</v>
      </c>
      <c r="BV572" s="1607" t="s">
        <v>74</v>
      </c>
      <c r="BW572" s="166"/>
      <c r="BX572" s="166"/>
      <c r="BY572" s="1433" t="s">
        <v>2098</v>
      </c>
      <c r="BZ572" s="40"/>
      <c r="CA572" s="582"/>
      <c r="CB572" s="582"/>
      <c r="CC572" s="582"/>
      <c r="CD572" s="582"/>
      <c r="CE572" s="582"/>
      <c r="CF572" s="582"/>
      <c r="CG572" s="582"/>
      <c r="CH572" s="16"/>
    </row>
    <row r="573" spans="2:86" ht="112.5" hidden="1" customHeight="1">
      <c r="B573" s="23"/>
      <c r="C573" s="1982"/>
      <c r="D573" s="1982"/>
      <c r="E573" s="1051">
        <v>44440</v>
      </c>
      <c r="F573" s="1051"/>
      <c r="G573" s="1055">
        <v>44762</v>
      </c>
      <c r="H573" s="365"/>
      <c r="I573" s="182">
        <v>2021</v>
      </c>
      <c r="J573" s="1678">
        <v>216.09</v>
      </c>
      <c r="K573" s="716" t="s">
        <v>166</v>
      </c>
      <c r="L573" s="739" t="s">
        <v>3495</v>
      </c>
      <c r="M573" s="663" t="s">
        <v>3252</v>
      </c>
      <c r="N573" s="495" t="s">
        <v>3517</v>
      </c>
      <c r="O573" s="495" t="s">
        <v>2613</v>
      </c>
      <c r="P573" s="661">
        <f>690727.9+887014.29+408294.56+631668.91</f>
        <v>2617705.66</v>
      </c>
      <c r="Q573" s="657">
        <v>44208</v>
      </c>
      <c r="R573" s="189">
        <v>44227</v>
      </c>
      <c r="S573" s="190">
        <v>44270</v>
      </c>
      <c r="T573" s="111" t="s">
        <v>1431</v>
      </c>
      <c r="U573" s="739" t="s">
        <v>2977</v>
      </c>
      <c r="V573" s="716" t="s">
        <v>3693</v>
      </c>
      <c r="W573" s="220" t="s">
        <v>1177</v>
      </c>
      <c r="X573" s="1625" t="s">
        <v>4334</v>
      </c>
      <c r="Y573" s="180" t="s">
        <v>3844</v>
      </c>
      <c r="Z573" s="9">
        <v>44197</v>
      </c>
      <c r="AA573" s="4">
        <v>18585634.399999999</v>
      </c>
      <c r="AB573" s="4"/>
      <c r="AC573" s="34"/>
      <c r="AD573" s="812">
        <v>44198</v>
      </c>
      <c r="AE573" s="646">
        <v>44200</v>
      </c>
      <c r="AF573" s="646">
        <v>44200</v>
      </c>
      <c r="AG573" s="647">
        <v>44203</v>
      </c>
      <c r="AH573" s="782">
        <v>44203</v>
      </c>
      <c r="AI573" s="380" t="s">
        <v>876</v>
      </c>
      <c r="AJ573" s="1" t="s">
        <v>68</v>
      </c>
      <c r="AK573" s="5"/>
      <c r="AL573" s="1" t="s">
        <v>3933</v>
      </c>
      <c r="AM573" s="5">
        <v>44208</v>
      </c>
      <c r="AN573" s="1333" t="s">
        <v>4504</v>
      </c>
      <c r="AO573" s="5">
        <v>44277</v>
      </c>
      <c r="AP573" s="306">
        <f>261770.57+148094.37</f>
        <v>409864.94</v>
      </c>
      <c r="AQ573" s="37">
        <v>0</v>
      </c>
      <c r="AR573" s="1032">
        <v>1480943.65</v>
      </c>
      <c r="AS573" s="1027"/>
      <c r="AT573" s="68" t="s">
        <v>74</v>
      </c>
      <c r="AU573" s="61"/>
      <c r="AV573" s="243" t="s">
        <v>68</v>
      </c>
      <c r="AW573" s="54" t="s">
        <v>68</v>
      </c>
      <c r="AX573" s="32">
        <v>44277</v>
      </c>
      <c r="AY573" s="5">
        <v>44227</v>
      </c>
      <c r="AZ573" s="5">
        <v>44270</v>
      </c>
      <c r="BA573" s="12">
        <v>44277</v>
      </c>
      <c r="BB573" s="32">
        <v>44277</v>
      </c>
      <c r="BC573" s="341"/>
      <c r="BD573" s="5">
        <v>44201</v>
      </c>
      <c r="BE573" s="5">
        <v>44270</v>
      </c>
      <c r="BF573" s="5">
        <v>44277</v>
      </c>
      <c r="BG573" s="66">
        <v>1137012.22</v>
      </c>
      <c r="BH573" s="428">
        <v>44277</v>
      </c>
      <c r="BI573" s="75">
        <v>44227</v>
      </c>
      <c r="BJ573" s="76">
        <v>44227</v>
      </c>
      <c r="BK573" s="76">
        <v>44227</v>
      </c>
      <c r="BL573" s="793" t="s">
        <v>74</v>
      </c>
      <c r="BM573" s="1054">
        <v>44211</v>
      </c>
      <c r="BN573" s="1054">
        <v>44201</v>
      </c>
      <c r="BO573" s="1054">
        <v>44218</v>
      </c>
      <c r="BP573" s="1054">
        <v>44277</v>
      </c>
      <c r="BQ573" s="793" t="s">
        <v>74</v>
      </c>
      <c r="BR573" s="796"/>
      <c r="BS573" s="794"/>
      <c r="BT573" s="14"/>
      <c r="BU573" s="1461" t="s">
        <v>3773</v>
      </c>
      <c r="BV573" s="14"/>
      <c r="BW573" s="14"/>
      <c r="BX573" s="14"/>
      <c r="BY573" s="1433" t="s">
        <v>2098</v>
      </c>
      <c r="BZ573" s="40"/>
      <c r="CA573" s="582"/>
      <c r="CB573" s="582"/>
      <c r="CC573" s="582"/>
      <c r="CD573" s="582"/>
      <c r="CE573" s="582"/>
      <c r="CF573" s="582"/>
      <c r="CG573" s="582"/>
      <c r="CH573" s="16"/>
    </row>
    <row r="574" spans="2:86" ht="108.75" hidden="1" customHeight="1">
      <c r="B574" s="23"/>
      <c r="C574" s="1982"/>
      <c r="D574" s="1982"/>
      <c r="E574" s="1051">
        <v>44440</v>
      </c>
      <c r="F574" s="1051"/>
      <c r="G574" s="1055">
        <v>44468</v>
      </c>
      <c r="H574" s="365"/>
      <c r="I574" s="182">
        <v>2021</v>
      </c>
      <c r="J574" s="1678">
        <v>216.1</v>
      </c>
      <c r="K574" s="716" t="s">
        <v>867</v>
      </c>
      <c r="L574" s="191" t="s">
        <v>3654</v>
      </c>
      <c r="M574" s="185" t="s">
        <v>3252</v>
      </c>
      <c r="N574" s="495" t="s">
        <v>3774</v>
      </c>
      <c r="O574" s="495" t="s">
        <v>1979</v>
      </c>
      <c r="P574" s="187">
        <v>4895145.74</v>
      </c>
      <c r="Q574" s="657">
        <v>44239</v>
      </c>
      <c r="R574" s="189">
        <v>44242</v>
      </c>
      <c r="S574" s="190">
        <v>44331</v>
      </c>
      <c r="T574" s="111" t="s">
        <v>1431</v>
      </c>
      <c r="U574" s="739" t="s">
        <v>1319</v>
      </c>
      <c r="V574" s="716" t="s">
        <v>213</v>
      </c>
      <c r="W574" s="505" t="s">
        <v>74</v>
      </c>
      <c r="X574" s="1625" t="s">
        <v>4334</v>
      </c>
      <c r="Y574" s="180" t="s">
        <v>3847</v>
      </c>
      <c r="Z574" s="9">
        <v>44197</v>
      </c>
      <c r="AA574" s="4">
        <v>5000000</v>
      </c>
      <c r="AB574" s="4"/>
      <c r="AC574" s="34"/>
      <c r="AD574" s="812">
        <v>44225</v>
      </c>
      <c r="AE574" s="1580" t="s">
        <v>74</v>
      </c>
      <c r="AF574" s="193">
        <v>44229</v>
      </c>
      <c r="AG574" s="192">
        <v>44235</v>
      </c>
      <c r="AH574" s="782">
        <v>44237</v>
      </c>
      <c r="AI574" s="491" t="s">
        <v>1294</v>
      </c>
      <c r="AJ574" s="2" t="s">
        <v>3962</v>
      </c>
      <c r="AK574" s="263">
        <v>44267</v>
      </c>
      <c r="AL574" s="2" t="s">
        <v>3963</v>
      </c>
      <c r="AM574" s="263">
        <v>44239</v>
      </c>
      <c r="AN574" s="139" t="s">
        <v>74</v>
      </c>
      <c r="AO574" s="263"/>
      <c r="AP574" s="306">
        <f>1223786.43+489514.57</f>
        <v>1713301</v>
      </c>
      <c r="AQ574" s="37">
        <v>0</v>
      </c>
      <c r="AR574" s="1032">
        <v>5000000</v>
      </c>
      <c r="AS574" s="1027"/>
      <c r="AT574" s="68" t="s">
        <v>74</v>
      </c>
      <c r="AU574" s="61"/>
      <c r="AV574" s="243" t="s">
        <v>68</v>
      </c>
      <c r="AW574" s="54" t="s">
        <v>68</v>
      </c>
      <c r="AX574" s="68">
        <v>44426</v>
      </c>
      <c r="AY574" s="255">
        <v>44319</v>
      </c>
      <c r="AZ574" s="255">
        <v>44423</v>
      </c>
      <c r="BA574" s="245">
        <v>44423</v>
      </c>
      <c r="BB574" s="68">
        <v>44426</v>
      </c>
      <c r="BC574" s="1686"/>
      <c r="BD574" s="5">
        <v>44319</v>
      </c>
      <c r="BE574" s="5">
        <v>44423</v>
      </c>
      <c r="BF574" s="5">
        <v>44423</v>
      </c>
      <c r="BG574" s="38">
        <v>5000000</v>
      </c>
      <c r="BH574" s="593">
        <v>44426</v>
      </c>
      <c r="BI574" s="1228" t="s">
        <v>4522</v>
      </c>
      <c r="BJ574" s="1187"/>
      <c r="BK574" s="1187"/>
      <c r="BL574" s="1230"/>
      <c r="BM574" s="1230"/>
      <c r="BN574" s="1230"/>
      <c r="BO574" s="1054"/>
      <c r="BP574" s="1230"/>
      <c r="BQ574" s="1230"/>
      <c r="BR574" s="796"/>
      <c r="BS574" s="794"/>
      <c r="BT574" s="14"/>
      <c r="BU574" s="1461" t="s">
        <v>3773</v>
      </c>
      <c r="BV574" s="14"/>
      <c r="BW574" s="14"/>
      <c r="BX574" s="14"/>
      <c r="BY574" s="1433" t="s">
        <v>2098</v>
      </c>
      <c r="BZ574" s="40"/>
      <c r="CA574" s="582"/>
      <c r="CB574" s="582"/>
      <c r="CC574" s="582"/>
      <c r="CD574" s="582"/>
      <c r="CE574" s="582"/>
      <c r="CF574" s="582"/>
      <c r="CG574" s="582"/>
      <c r="CH574" s="16"/>
    </row>
    <row r="575" spans="2:86" ht="75.75" hidden="1" customHeight="1">
      <c r="B575" s="23"/>
      <c r="C575" s="1982"/>
      <c r="D575" s="1982"/>
      <c r="E575" s="1051">
        <v>44440</v>
      </c>
      <c r="F575" s="1051"/>
      <c r="G575" s="1055">
        <v>44468</v>
      </c>
      <c r="H575" s="365"/>
      <c r="I575" s="182">
        <v>2021</v>
      </c>
      <c r="J575" s="1678">
        <v>216.11</v>
      </c>
      <c r="K575" s="183" t="s">
        <v>867</v>
      </c>
      <c r="L575" s="191" t="s">
        <v>3653</v>
      </c>
      <c r="M575" s="185" t="s">
        <v>3252</v>
      </c>
      <c r="N575" s="662" t="s">
        <v>3775</v>
      </c>
      <c r="O575" s="186" t="s">
        <v>3664</v>
      </c>
      <c r="P575" s="1549">
        <v>3973863.2</v>
      </c>
      <c r="Q575" s="656">
        <v>44278</v>
      </c>
      <c r="R575" s="1550">
        <v>44280</v>
      </c>
      <c r="S575" s="1551">
        <v>44347</v>
      </c>
      <c r="T575" s="1552" t="s">
        <v>1431</v>
      </c>
      <c r="U575" s="734" t="s">
        <v>3776</v>
      </c>
      <c r="V575" s="716" t="s">
        <v>3692</v>
      </c>
      <c r="W575" s="505" t="s">
        <v>74</v>
      </c>
      <c r="X575" s="1625" t="s">
        <v>4334</v>
      </c>
      <c r="Y575" s="180" t="s">
        <v>3848</v>
      </c>
      <c r="Z575" s="9">
        <v>44197</v>
      </c>
      <c r="AA575" s="4">
        <v>7586594.4000000004</v>
      </c>
      <c r="AB575" s="4"/>
      <c r="AC575" s="34"/>
      <c r="AD575" s="812">
        <v>44225</v>
      </c>
      <c r="AE575" s="193">
        <v>44229</v>
      </c>
      <c r="AF575" s="193">
        <v>44229</v>
      </c>
      <c r="AG575" s="1575" t="s">
        <v>74</v>
      </c>
      <c r="AH575" s="782">
        <v>44235</v>
      </c>
      <c r="AI575" s="491" t="s">
        <v>3965</v>
      </c>
      <c r="AJ575" s="426">
        <v>2575020</v>
      </c>
      <c r="AK575" s="263">
        <v>44333</v>
      </c>
      <c r="AL575" s="2">
        <v>2560229</v>
      </c>
      <c r="AM575" s="263">
        <v>44343</v>
      </c>
      <c r="AN575" s="139">
        <v>2614048</v>
      </c>
      <c r="AO575" s="263">
        <v>44511</v>
      </c>
      <c r="AP575" s="306">
        <f>392270.12</f>
        <v>392270.12</v>
      </c>
      <c r="AQ575" s="37">
        <v>0</v>
      </c>
      <c r="AR575" s="1032">
        <v>4000000</v>
      </c>
      <c r="AS575" s="1027"/>
      <c r="AT575" s="75">
        <v>44330</v>
      </c>
      <c r="AU575" s="61">
        <v>44370</v>
      </c>
      <c r="AV575" s="243" t="s">
        <v>68</v>
      </c>
      <c r="AW575" s="54" t="s">
        <v>68</v>
      </c>
      <c r="AX575" s="68">
        <v>44440</v>
      </c>
      <c r="AY575" s="255">
        <v>44333</v>
      </c>
      <c r="AZ575" s="255">
        <v>44439</v>
      </c>
      <c r="BA575" s="245">
        <v>44439</v>
      </c>
      <c r="BB575" s="68" t="s">
        <v>74</v>
      </c>
      <c r="BC575" s="1686"/>
      <c r="BD575" s="5"/>
      <c r="BE575" s="5"/>
      <c r="BF575" s="5"/>
      <c r="BG575" s="38"/>
      <c r="BH575" s="593">
        <v>44440</v>
      </c>
      <c r="BI575" s="1646">
        <v>44242</v>
      </c>
      <c r="BJ575" s="1187"/>
      <c r="BK575" s="1647">
        <v>44333</v>
      </c>
      <c r="BL575" s="1230"/>
      <c r="BM575" s="1230"/>
      <c r="BN575" s="1230"/>
      <c r="BO575" s="1054"/>
      <c r="BP575" s="1648">
        <v>44440</v>
      </c>
      <c r="BQ575" s="1230"/>
      <c r="BR575" s="796"/>
      <c r="BS575" s="794"/>
      <c r="BT575" s="14"/>
      <c r="BU575" s="166"/>
      <c r="BV575" s="14"/>
      <c r="BW575" s="14"/>
      <c r="BX575" s="14"/>
      <c r="BY575" s="1433" t="s">
        <v>2098</v>
      </c>
      <c r="BZ575" s="40" t="s">
        <v>4523</v>
      </c>
      <c r="CA575" s="582"/>
      <c r="CB575" s="582"/>
      <c r="CC575" s="582"/>
      <c r="CD575" s="582"/>
      <c r="CE575" s="582"/>
      <c r="CF575" s="582"/>
      <c r="CG575" s="582"/>
      <c r="CH575" s="16"/>
    </row>
    <row r="576" spans="2:86" s="1241" customFormat="1" ht="85.5" hidden="1" customHeight="1">
      <c r="B576" s="1242"/>
      <c r="C576" s="1985"/>
      <c r="D576" s="1985"/>
      <c r="E576" s="1243"/>
      <c r="F576" s="1243"/>
      <c r="G576" s="610"/>
      <c r="H576" s="700"/>
      <c r="I576" s="1244">
        <v>2021</v>
      </c>
      <c r="J576" s="1683">
        <v>216.12</v>
      </c>
      <c r="K576" s="1245" t="s">
        <v>166</v>
      </c>
      <c r="L576" s="1246" t="s">
        <v>3642</v>
      </c>
      <c r="M576" s="904" t="s">
        <v>251</v>
      </c>
      <c r="N576" s="1247" t="s">
        <v>3655</v>
      </c>
      <c r="O576" s="1247"/>
      <c r="P576" s="1248">
        <v>144561.23000000001</v>
      </c>
      <c r="Q576" s="1249"/>
      <c r="R576" s="1250">
        <v>44228</v>
      </c>
      <c r="S576" s="1251">
        <v>44255</v>
      </c>
      <c r="T576" s="1252">
        <v>44228</v>
      </c>
      <c r="U576" s="1246" t="s">
        <v>2972</v>
      </c>
      <c r="V576" s="1245"/>
      <c r="W576" s="1278"/>
      <c r="X576" s="1631"/>
      <c r="Y576" s="340"/>
      <c r="Z576" s="1254"/>
      <c r="AA576" s="1255"/>
      <c r="AB576" s="1255"/>
      <c r="AC576" s="1256"/>
      <c r="AD576" s="1257" t="s">
        <v>68</v>
      </c>
      <c r="AE576" s="1258" t="s">
        <v>68</v>
      </c>
      <c r="AF576" s="1258" t="s">
        <v>68</v>
      </c>
      <c r="AG576" s="1259" t="s">
        <v>68</v>
      </c>
      <c r="AH576" s="1260" t="s">
        <v>68</v>
      </c>
      <c r="AI576" s="340"/>
      <c r="AJ576" s="1261"/>
      <c r="AK576" s="1262"/>
      <c r="AL576" s="1261"/>
      <c r="AM576" s="1262"/>
      <c r="AN576" s="1261"/>
      <c r="AO576" s="1262"/>
      <c r="AP576" s="1263"/>
      <c r="AQ576" s="1264"/>
      <c r="AR576" s="1265"/>
      <c r="AS576" s="1266"/>
      <c r="AT576" s="1267"/>
      <c r="AU576" s="1268"/>
      <c r="AV576" s="1269" t="s">
        <v>68</v>
      </c>
      <c r="AW576" s="1270" t="s">
        <v>68</v>
      </c>
      <c r="AX576" s="1267"/>
      <c r="AY576" s="1262"/>
      <c r="AZ576" s="1262"/>
      <c r="BA576" s="1268"/>
      <c r="BB576" s="1267"/>
      <c r="BC576" s="1944"/>
      <c r="BD576" s="1262"/>
      <c r="BE576" s="1262"/>
      <c r="BF576" s="1262"/>
      <c r="BG576" s="1272"/>
      <c r="BH576" s="1273"/>
      <c r="BI576" s="1753"/>
      <c r="BJ576" s="1754"/>
      <c r="BK576" s="1754"/>
      <c r="BL576" s="1770"/>
      <c r="BM576" s="1770"/>
      <c r="BN576" s="1770"/>
      <c r="BO576" s="1054"/>
      <c r="BP576" s="1770"/>
      <c r="BQ576" s="1770"/>
      <c r="BR576" s="1770"/>
      <c r="BS576" s="1753"/>
      <c r="BT576" s="1273"/>
      <c r="BU576" s="1468" t="s">
        <v>3773</v>
      </c>
      <c r="BV576" s="1273"/>
      <c r="BW576" s="1273"/>
      <c r="BX576" s="1273"/>
      <c r="BY576" s="1769" t="s">
        <v>2098</v>
      </c>
      <c r="BZ576" s="1276"/>
      <c r="CA576" s="903"/>
      <c r="CB576" s="903"/>
      <c r="CC576" s="903"/>
      <c r="CD576" s="903"/>
      <c r="CE576" s="903"/>
      <c r="CF576" s="903"/>
      <c r="CG576" s="903"/>
      <c r="CH576" s="1277"/>
    </row>
    <row r="577" spans="2:86" ht="144.75" hidden="1" customHeight="1">
      <c r="B577" s="23"/>
      <c r="C577" s="1982"/>
      <c r="D577" s="1982"/>
      <c r="E577" s="1051">
        <v>44440</v>
      </c>
      <c r="F577" s="1051"/>
      <c r="G577" s="1055">
        <v>44441</v>
      </c>
      <c r="H577" s="365">
        <v>44449</v>
      </c>
      <c r="I577" s="182">
        <v>2021</v>
      </c>
      <c r="J577" s="1678">
        <v>216.13</v>
      </c>
      <c r="K577" s="183" t="s">
        <v>166</v>
      </c>
      <c r="L577" s="191" t="s">
        <v>3643</v>
      </c>
      <c r="M577" s="185" t="s">
        <v>79</v>
      </c>
      <c r="N577" s="186" t="s">
        <v>3651</v>
      </c>
      <c r="O577" s="186" t="s">
        <v>3664</v>
      </c>
      <c r="P577" s="187">
        <v>1127177.8999999999</v>
      </c>
      <c r="Q577" s="657">
        <v>44242</v>
      </c>
      <c r="R577" s="189">
        <v>44242</v>
      </c>
      <c r="S577" s="190">
        <v>44332</v>
      </c>
      <c r="T577" s="578">
        <v>44242</v>
      </c>
      <c r="U577" s="191" t="s">
        <v>2888</v>
      </c>
      <c r="V577" s="716" t="s">
        <v>3692</v>
      </c>
      <c r="W577" s="220" t="s">
        <v>1177</v>
      </c>
      <c r="X577" s="406"/>
      <c r="Y577" s="180" t="s">
        <v>3871</v>
      </c>
      <c r="Z577" s="9">
        <v>44197</v>
      </c>
      <c r="AA577" s="4">
        <v>7586594.4000000004</v>
      </c>
      <c r="AB577" s="261" t="s">
        <v>3872</v>
      </c>
      <c r="AC577" s="34">
        <v>8000000</v>
      </c>
      <c r="AD577" s="36" t="s">
        <v>68</v>
      </c>
      <c r="AE577" s="119" t="s">
        <v>68</v>
      </c>
      <c r="AF577" s="119" t="s">
        <v>68</v>
      </c>
      <c r="AG577" s="7" t="s">
        <v>68</v>
      </c>
      <c r="AH577" s="116" t="s">
        <v>68</v>
      </c>
      <c r="AI577" s="35" t="s">
        <v>3596</v>
      </c>
      <c r="AJ577" s="1" t="s">
        <v>3926</v>
      </c>
      <c r="AK577" s="5">
        <v>44292</v>
      </c>
      <c r="AL577" s="1" t="s">
        <v>3927</v>
      </c>
      <c r="AM577" s="5">
        <v>44242</v>
      </c>
      <c r="AN577" s="1" t="s">
        <v>83</v>
      </c>
      <c r="AO577" s="5"/>
      <c r="AP577" s="306">
        <f>381794.47+112717.79</f>
        <v>494512.25999999995</v>
      </c>
      <c r="AQ577" s="37">
        <v>0</v>
      </c>
      <c r="AR577" s="1031">
        <v>725739.42</v>
      </c>
      <c r="AS577" s="1018"/>
      <c r="AT577" s="68" t="s">
        <v>74</v>
      </c>
      <c r="AU577" s="12"/>
      <c r="AV577" s="243" t="s">
        <v>68</v>
      </c>
      <c r="AW577" s="54" t="s">
        <v>68</v>
      </c>
      <c r="AX577" s="253">
        <v>44337</v>
      </c>
      <c r="AY577" s="5">
        <v>44242</v>
      </c>
      <c r="AZ577" s="5">
        <v>44332</v>
      </c>
      <c r="BA577" s="12">
        <v>44331</v>
      </c>
      <c r="BB577" s="253">
        <v>44337</v>
      </c>
      <c r="BC577" s="558"/>
      <c r="BD577" s="5">
        <v>44242</v>
      </c>
      <c r="BE577" s="5">
        <v>44332</v>
      </c>
      <c r="BF577" s="5">
        <v>44331</v>
      </c>
      <c r="BG577" s="38">
        <f>AQ577+AR577</f>
        <v>725739.42</v>
      </c>
      <c r="BH577" s="64">
        <v>44337</v>
      </c>
      <c r="BI577" s="372">
        <v>44243</v>
      </c>
      <c r="BJ577" s="1647"/>
      <c r="BK577" s="1647"/>
      <c r="BL577" s="1648"/>
      <c r="BM577" s="1648"/>
      <c r="BN577" s="1648"/>
      <c r="BO577" s="1054"/>
      <c r="BP577" s="1648"/>
      <c r="BQ577" s="1648"/>
      <c r="BR577" s="796"/>
      <c r="BS577" s="794"/>
      <c r="BT577" s="14"/>
      <c r="BU577" s="1461" t="s">
        <v>3773</v>
      </c>
      <c r="BV577" s="14" t="s">
        <v>1295</v>
      </c>
      <c r="BW577" s="14" t="s">
        <v>1404</v>
      </c>
      <c r="BX577" s="166" t="s">
        <v>3589</v>
      </c>
      <c r="BY577" s="1433" t="s">
        <v>2098</v>
      </c>
      <c r="BZ577" s="40"/>
      <c r="CA577" s="582"/>
      <c r="CB577" s="582"/>
      <c r="CC577" s="582"/>
      <c r="CD577" s="582"/>
      <c r="CE577" s="582"/>
      <c r="CF577" s="582"/>
      <c r="CG577" s="582"/>
      <c r="CH577" s="16"/>
    </row>
    <row r="578" spans="2:86" ht="134.25" hidden="1" customHeight="1">
      <c r="B578" s="23"/>
      <c r="C578" s="1982"/>
      <c r="D578" s="1982"/>
      <c r="E578" s="1051">
        <v>44440</v>
      </c>
      <c r="F578" s="1051"/>
      <c r="G578" s="1055">
        <v>44441</v>
      </c>
      <c r="H578" s="365">
        <v>44449</v>
      </c>
      <c r="I578" s="182">
        <v>2021</v>
      </c>
      <c r="J578" s="1678">
        <v>216.14</v>
      </c>
      <c r="K578" s="183" t="s">
        <v>166</v>
      </c>
      <c r="L578" s="191" t="s">
        <v>3644</v>
      </c>
      <c r="M578" s="185" t="s">
        <v>79</v>
      </c>
      <c r="N578" s="186" t="s">
        <v>3652</v>
      </c>
      <c r="O578" s="186" t="s">
        <v>3664</v>
      </c>
      <c r="P578" s="187">
        <v>1311375.01</v>
      </c>
      <c r="Q578" s="657">
        <v>44242</v>
      </c>
      <c r="R578" s="189">
        <v>44242</v>
      </c>
      <c r="S578" s="190">
        <v>44332</v>
      </c>
      <c r="T578" s="578">
        <v>44242</v>
      </c>
      <c r="U578" s="191" t="s">
        <v>3930</v>
      </c>
      <c r="V578" s="716" t="s">
        <v>3692</v>
      </c>
      <c r="W578" s="220" t="s">
        <v>1177</v>
      </c>
      <c r="X578" s="406"/>
      <c r="Y578" s="180" t="s">
        <v>3871</v>
      </c>
      <c r="Z578" s="9">
        <v>44197</v>
      </c>
      <c r="AA578" s="4">
        <v>7586594.4000000004</v>
      </c>
      <c r="AB578" s="261" t="s">
        <v>3872</v>
      </c>
      <c r="AC578" s="34">
        <v>8000000</v>
      </c>
      <c r="AD578" s="36" t="s">
        <v>68</v>
      </c>
      <c r="AE578" s="119" t="s">
        <v>68</v>
      </c>
      <c r="AF578" s="119" t="s">
        <v>68</v>
      </c>
      <c r="AG578" s="7" t="s">
        <v>68</v>
      </c>
      <c r="AH578" s="116" t="s">
        <v>68</v>
      </c>
      <c r="AI578" s="35" t="s">
        <v>3919</v>
      </c>
      <c r="AJ578" s="2" t="s">
        <v>3920</v>
      </c>
      <c r="AK578" s="5">
        <v>44242</v>
      </c>
      <c r="AL578" s="1" t="s">
        <v>3921</v>
      </c>
      <c r="AM578" s="5">
        <v>44242</v>
      </c>
      <c r="AN578" s="238" t="s">
        <v>74</v>
      </c>
      <c r="AO578" s="5"/>
      <c r="AP578" s="306">
        <f>327843.75</f>
        <v>327843.75</v>
      </c>
      <c r="AQ578" s="37">
        <v>0</v>
      </c>
      <c r="AR578" s="1031">
        <v>940185.83</v>
      </c>
      <c r="AS578" s="1018"/>
      <c r="AT578" s="68" t="s">
        <v>74</v>
      </c>
      <c r="AU578" s="12"/>
      <c r="AV578" s="243" t="s">
        <v>68</v>
      </c>
      <c r="AW578" s="54" t="s">
        <v>68</v>
      </c>
      <c r="AX578" s="253">
        <v>44337</v>
      </c>
      <c r="AY578" s="5">
        <v>44242</v>
      </c>
      <c r="AZ578" s="5">
        <v>44332</v>
      </c>
      <c r="BA578" s="12">
        <v>44331</v>
      </c>
      <c r="BB578" s="253">
        <v>44337</v>
      </c>
      <c r="BC578" s="558"/>
      <c r="BD578" s="5">
        <v>44242</v>
      </c>
      <c r="BE578" s="5">
        <v>44332</v>
      </c>
      <c r="BF578" s="5">
        <v>44331</v>
      </c>
      <c r="BG578" s="38">
        <f>AQ578+AR578</f>
        <v>940185.83</v>
      </c>
      <c r="BH578" s="64">
        <v>44337</v>
      </c>
      <c r="BI578" s="1646"/>
      <c r="BJ578" s="1647"/>
      <c r="BK578" s="1647"/>
      <c r="BL578" s="1648"/>
      <c r="BM578" s="1648"/>
      <c r="BN578" s="1648"/>
      <c r="BO578" s="1054"/>
      <c r="BP578" s="1648"/>
      <c r="BQ578" s="1648"/>
      <c r="BR578" s="796"/>
      <c r="BS578" s="794"/>
      <c r="BT578" s="14"/>
      <c r="BU578" s="1461" t="s">
        <v>3773</v>
      </c>
      <c r="BV578" s="14" t="s">
        <v>1295</v>
      </c>
      <c r="BW578" s="14" t="s">
        <v>1404</v>
      </c>
      <c r="BX578" s="166" t="s">
        <v>3589</v>
      </c>
      <c r="BY578" s="1433" t="s">
        <v>2098</v>
      </c>
      <c r="BZ578" s="40"/>
      <c r="CA578" s="582"/>
      <c r="CB578" s="582"/>
      <c r="CC578" s="582"/>
      <c r="CD578" s="582"/>
      <c r="CE578" s="582"/>
      <c r="CF578" s="582"/>
      <c r="CG578" s="582"/>
      <c r="CH578" s="16"/>
    </row>
    <row r="579" spans="2:86" ht="69" hidden="1" customHeight="1">
      <c r="B579" s="23"/>
      <c r="C579" s="1982"/>
      <c r="D579" s="1982"/>
      <c r="E579" s="1051">
        <v>44423</v>
      </c>
      <c r="F579" s="1051"/>
      <c r="G579" s="1055">
        <v>44439</v>
      </c>
      <c r="H579" s="365">
        <v>44445</v>
      </c>
      <c r="I579" s="182">
        <v>2021</v>
      </c>
      <c r="J579" s="1678">
        <v>216.15</v>
      </c>
      <c r="K579" s="716" t="s">
        <v>166</v>
      </c>
      <c r="L579" s="739" t="s">
        <v>3645</v>
      </c>
      <c r="M579" s="663" t="s">
        <v>79</v>
      </c>
      <c r="N579" s="495" t="s">
        <v>3782</v>
      </c>
      <c r="O579" s="495" t="s">
        <v>2613</v>
      </c>
      <c r="P579" s="187">
        <v>347784.24</v>
      </c>
      <c r="Q579" s="657">
        <v>44305</v>
      </c>
      <c r="R579" s="664">
        <v>44378</v>
      </c>
      <c r="S579" s="665">
        <v>44424</v>
      </c>
      <c r="T579" s="578">
        <v>44302</v>
      </c>
      <c r="U579" s="739" t="s">
        <v>3785</v>
      </c>
      <c r="V579" s="716" t="s">
        <v>1107</v>
      </c>
      <c r="W579" s="740" t="s">
        <v>1177</v>
      </c>
      <c r="X579" s="1629"/>
      <c r="Y579" s="180" t="s">
        <v>3815</v>
      </c>
      <c r="Z579" s="9">
        <v>44197</v>
      </c>
      <c r="AA579" s="4">
        <v>1300000</v>
      </c>
      <c r="AB579" s="4"/>
      <c r="AC579" s="34"/>
      <c r="AD579" s="36" t="s">
        <v>68</v>
      </c>
      <c r="AE579" s="119" t="s">
        <v>68</v>
      </c>
      <c r="AF579" s="119" t="s">
        <v>68</v>
      </c>
      <c r="AG579" s="7" t="s">
        <v>68</v>
      </c>
      <c r="AH579" s="116" t="s">
        <v>68</v>
      </c>
      <c r="AI579" s="35" t="s">
        <v>3596</v>
      </c>
      <c r="AJ579" s="1" t="s">
        <v>3915</v>
      </c>
      <c r="AK579" s="5">
        <v>44391</v>
      </c>
      <c r="AL579" s="1" t="s">
        <v>3916</v>
      </c>
      <c r="AM579" s="5">
        <v>44391</v>
      </c>
      <c r="AN579" s="1" t="s">
        <v>83</v>
      </c>
      <c r="AO579" s="5"/>
      <c r="AP579" s="306">
        <f>86946.06+34778.42</f>
        <v>121724.48</v>
      </c>
      <c r="AQ579" s="37">
        <v>0</v>
      </c>
      <c r="AR579" s="1031">
        <v>347784.24</v>
      </c>
      <c r="AS579" s="1027"/>
      <c r="AT579" s="32">
        <v>44405</v>
      </c>
      <c r="AU579" s="12">
        <v>44414</v>
      </c>
      <c r="AV579" s="243" t="s">
        <v>68</v>
      </c>
      <c r="AW579" s="54" t="s">
        <v>68</v>
      </c>
      <c r="AX579" s="32">
        <v>44417</v>
      </c>
      <c r="AY579" s="5">
        <v>44378</v>
      </c>
      <c r="AZ579" s="5">
        <v>44424</v>
      </c>
      <c r="BA579" s="12">
        <v>44414</v>
      </c>
      <c r="BB579" s="32">
        <v>44417</v>
      </c>
      <c r="BC579" s="341"/>
      <c r="BD579" s="5">
        <v>44378</v>
      </c>
      <c r="BE579" s="5">
        <v>44424</v>
      </c>
      <c r="BF579" s="5">
        <v>44414</v>
      </c>
      <c r="BG579" s="38">
        <f>AQ579+AR579</f>
        <v>347784.24</v>
      </c>
      <c r="BH579" s="216">
        <v>44417</v>
      </c>
      <c r="BI579" s="1608">
        <v>44377</v>
      </c>
      <c r="BJ579" s="1557">
        <v>44406</v>
      </c>
      <c r="BK579" s="1557">
        <v>44406</v>
      </c>
      <c r="BL579" s="1645"/>
      <c r="BM579" s="1558">
        <v>44378</v>
      </c>
      <c r="BN579" s="1558">
        <v>44378</v>
      </c>
      <c r="BO579" s="1054">
        <v>44378</v>
      </c>
      <c r="BP579" s="1558">
        <v>44414</v>
      </c>
      <c r="BQ579" s="1558"/>
      <c r="BR579" s="1644"/>
      <c r="BS579" s="1643"/>
      <c r="BT579" s="14"/>
      <c r="BU579" s="1544" t="s">
        <v>3917</v>
      </c>
      <c r="BV579" s="166" t="s">
        <v>3583</v>
      </c>
      <c r="BW579" s="166" t="s">
        <v>3583</v>
      </c>
      <c r="BX579" s="166" t="s">
        <v>3589</v>
      </c>
      <c r="BY579" s="1433" t="s">
        <v>2098</v>
      </c>
      <c r="BZ579" s="649" t="s">
        <v>1143</v>
      </c>
      <c r="CA579" s="582"/>
      <c r="CB579" s="582"/>
      <c r="CC579" s="582"/>
      <c r="CD579" s="582"/>
      <c r="CE579" s="582"/>
      <c r="CF579" s="582"/>
      <c r="CG579" s="582"/>
      <c r="CH579" s="16"/>
    </row>
    <row r="580" spans="2:86" ht="85.5" hidden="1" customHeight="1">
      <c r="B580" s="23"/>
      <c r="C580" s="1982"/>
      <c r="D580" s="1982"/>
      <c r="E580" s="1051">
        <v>44440</v>
      </c>
      <c r="F580" s="1051"/>
      <c r="G580" s="1055">
        <v>44701</v>
      </c>
      <c r="H580" s="365">
        <v>44727</v>
      </c>
      <c r="I580" s="182">
        <v>2021</v>
      </c>
      <c r="J580" s="1678">
        <v>216.16</v>
      </c>
      <c r="K580" s="183" t="s">
        <v>166</v>
      </c>
      <c r="L580" s="191" t="s">
        <v>3646</v>
      </c>
      <c r="M580" s="185" t="s">
        <v>79</v>
      </c>
      <c r="N580" s="495" t="s">
        <v>3784</v>
      </c>
      <c r="O580" s="495" t="s">
        <v>1979</v>
      </c>
      <c r="P580" s="187">
        <v>1083547.78</v>
      </c>
      <c r="Q580" s="657">
        <v>44308</v>
      </c>
      <c r="R580" s="664">
        <v>44322</v>
      </c>
      <c r="S580" s="665">
        <v>44347</v>
      </c>
      <c r="T580" s="578">
        <v>44302</v>
      </c>
      <c r="U580" s="739" t="s">
        <v>3374</v>
      </c>
      <c r="V580" s="716" t="s">
        <v>3904</v>
      </c>
      <c r="W580" s="220" t="s">
        <v>1177</v>
      </c>
      <c r="X580" s="1625" t="s">
        <v>4334</v>
      </c>
      <c r="Y580" s="180" t="s">
        <v>4330</v>
      </c>
      <c r="Z580" s="9">
        <v>44336</v>
      </c>
      <c r="AA580" s="4">
        <v>1083547.78</v>
      </c>
      <c r="AB580" s="4"/>
      <c r="AC580" s="34"/>
      <c r="AD580" s="36" t="s">
        <v>68</v>
      </c>
      <c r="AE580" s="119" t="s">
        <v>68</v>
      </c>
      <c r="AF580" s="119" t="s">
        <v>68</v>
      </c>
      <c r="AG580" s="7" t="s">
        <v>68</v>
      </c>
      <c r="AH580" s="116" t="s">
        <v>68</v>
      </c>
      <c r="AI580" s="180" t="s">
        <v>1270</v>
      </c>
      <c r="AJ580" s="202" t="s">
        <v>4331</v>
      </c>
      <c r="AK580" s="1512">
        <v>44308</v>
      </c>
      <c r="AL580" s="202" t="s">
        <v>4332</v>
      </c>
      <c r="AM580" s="1512">
        <v>44308</v>
      </c>
      <c r="AN580" s="202" t="s">
        <v>4333</v>
      </c>
      <c r="AO580" s="5">
        <v>44348</v>
      </c>
      <c r="AP580" s="306">
        <f>270886.94+108354.78+108354.78</f>
        <v>487596.5</v>
      </c>
      <c r="AQ580" s="37">
        <v>0</v>
      </c>
      <c r="AR580" s="1031">
        <v>1083547.77</v>
      </c>
      <c r="AS580" s="1027"/>
      <c r="AT580" s="75">
        <v>44322</v>
      </c>
      <c r="AU580" s="12">
        <v>44347</v>
      </c>
      <c r="AV580" s="243" t="s">
        <v>68</v>
      </c>
      <c r="AW580" s="54" t="s">
        <v>68</v>
      </c>
      <c r="AX580" s="75">
        <v>44317</v>
      </c>
      <c r="AY580" s="76">
        <v>44322</v>
      </c>
      <c r="AZ580" s="76">
        <v>44347</v>
      </c>
      <c r="BA580" s="134">
        <v>44347</v>
      </c>
      <c r="BB580" s="75">
        <v>44348</v>
      </c>
      <c r="BC580" s="1950"/>
      <c r="BD580" s="5">
        <v>44322</v>
      </c>
      <c r="BE580" s="5">
        <v>44347</v>
      </c>
      <c r="BF580" s="5">
        <v>44347</v>
      </c>
      <c r="BG580" s="38">
        <f>AQ580+AR580</f>
        <v>1083547.77</v>
      </c>
      <c r="BH580" s="711">
        <v>44348</v>
      </c>
      <c r="BI580" s="372">
        <v>44320</v>
      </c>
      <c r="BJ580" s="76">
        <v>44322</v>
      </c>
      <c r="BK580" s="76">
        <v>44322</v>
      </c>
      <c r="BL580" s="1054" t="s">
        <v>1177</v>
      </c>
      <c r="BM580" s="1054">
        <v>44322</v>
      </c>
      <c r="BN580" s="1054">
        <v>44322</v>
      </c>
      <c r="BO580" s="1054">
        <v>44322</v>
      </c>
      <c r="BP580" s="1054">
        <v>44347</v>
      </c>
      <c r="BQ580" s="1054">
        <v>44347</v>
      </c>
      <c r="BR580" s="1054" t="s">
        <v>68</v>
      </c>
      <c r="BS580" s="372" t="s">
        <v>68</v>
      </c>
      <c r="BT580" s="14"/>
      <c r="BU580" s="166"/>
      <c r="BV580" s="14" t="s">
        <v>1295</v>
      </c>
      <c r="BW580" s="14" t="s">
        <v>1295</v>
      </c>
      <c r="BX580" s="14" t="s">
        <v>3589</v>
      </c>
      <c r="BY580" s="1433" t="s">
        <v>2098</v>
      </c>
      <c r="BZ580" s="1834" t="s">
        <v>1143</v>
      </c>
      <c r="CA580" s="582"/>
      <c r="CB580" s="582"/>
      <c r="CC580" s="582"/>
      <c r="CD580" s="582"/>
      <c r="CE580" s="582"/>
      <c r="CF580" s="582"/>
      <c r="CG580" s="582"/>
      <c r="CH580" s="16"/>
    </row>
    <row r="581" spans="2:86" ht="67.5" hidden="1" customHeight="1">
      <c r="B581" s="23"/>
      <c r="C581" s="1982"/>
      <c r="D581" s="1982"/>
      <c r="E581" s="1051">
        <v>44805</v>
      </c>
      <c r="F581" s="1051"/>
      <c r="G581" s="1055">
        <v>44701</v>
      </c>
      <c r="H581" s="365">
        <v>44727</v>
      </c>
      <c r="I581" s="182">
        <v>2021</v>
      </c>
      <c r="J581" s="1678">
        <v>216.17</v>
      </c>
      <c r="K581" s="183" t="s">
        <v>166</v>
      </c>
      <c r="L581" s="191" t="s">
        <v>3647</v>
      </c>
      <c r="M581" s="185" t="s">
        <v>79</v>
      </c>
      <c r="N581" s="495" t="s">
        <v>3947</v>
      </c>
      <c r="O581" s="495" t="s">
        <v>1979</v>
      </c>
      <c r="P581" s="187">
        <v>652301.56999999995</v>
      </c>
      <c r="Q581" s="657">
        <v>44440</v>
      </c>
      <c r="R581" s="664">
        <v>44445</v>
      </c>
      <c r="S581" s="665">
        <v>44463</v>
      </c>
      <c r="T581" s="578">
        <v>44438</v>
      </c>
      <c r="U581" s="739" t="s">
        <v>2890</v>
      </c>
      <c r="V581" s="716" t="s">
        <v>3087</v>
      </c>
      <c r="W581" s="220" t="s">
        <v>1177</v>
      </c>
      <c r="X581" s="1921" t="s">
        <v>4670</v>
      </c>
      <c r="Y581" s="280"/>
      <c r="Z581" s="9"/>
      <c r="AA581" s="4"/>
      <c r="AB581" s="4"/>
      <c r="AC581" s="34"/>
      <c r="AD581" s="36" t="s">
        <v>68</v>
      </c>
      <c r="AE581" s="119" t="s">
        <v>68</v>
      </c>
      <c r="AF581" s="119" t="s">
        <v>68</v>
      </c>
      <c r="AG581" s="7" t="s">
        <v>68</v>
      </c>
      <c r="AH581" s="116" t="s">
        <v>68</v>
      </c>
      <c r="AI581" s="180" t="s">
        <v>855</v>
      </c>
      <c r="AJ581" s="71">
        <v>217492</v>
      </c>
      <c r="AK581" s="255">
        <v>44445</v>
      </c>
      <c r="AL581" s="71">
        <v>217490</v>
      </c>
      <c r="AM581" s="255">
        <v>44445</v>
      </c>
      <c r="AN581" s="71">
        <v>217499</v>
      </c>
      <c r="AO581" s="5">
        <v>44463</v>
      </c>
      <c r="AP581" s="306">
        <f>163075.39+65230.15+65230.15</f>
        <v>293535.69</v>
      </c>
      <c r="AQ581" s="37">
        <v>0</v>
      </c>
      <c r="AR581" s="1031">
        <v>793793.33</v>
      </c>
      <c r="AS581" s="1018"/>
      <c r="AT581" s="68" t="s">
        <v>74</v>
      </c>
      <c r="AU581" s="12"/>
      <c r="AV581" s="243"/>
      <c r="AW581" s="54"/>
      <c r="AX581" s="75">
        <v>44466</v>
      </c>
      <c r="AY581" s="76">
        <v>44445</v>
      </c>
      <c r="AZ581" s="76">
        <v>44463</v>
      </c>
      <c r="BA581" s="134" t="s">
        <v>68</v>
      </c>
      <c r="BB581" s="75">
        <v>44467</v>
      </c>
      <c r="BC581" s="1950"/>
      <c r="BD581" s="5">
        <v>44445</v>
      </c>
      <c r="BE581" s="5">
        <v>44463</v>
      </c>
      <c r="BF581" s="5">
        <v>44463</v>
      </c>
      <c r="BG581" s="1836">
        <f>AQ581+AR581</f>
        <v>793793.33</v>
      </c>
      <c r="BH581" s="1209">
        <v>44468</v>
      </c>
      <c r="BI581" s="794" t="s">
        <v>74</v>
      </c>
      <c r="BJ581" s="76">
        <v>44442</v>
      </c>
      <c r="BK581" s="76">
        <v>44442</v>
      </c>
      <c r="BL581" s="1283" t="s">
        <v>1177</v>
      </c>
      <c r="BM581" s="1054">
        <v>44442</v>
      </c>
      <c r="BN581" s="1054">
        <v>44442</v>
      </c>
      <c r="BO581" s="1054">
        <v>44442</v>
      </c>
      <c r="BP581" s="1054">
        <v>44461</v>
      </c>
      <c r="BQ581" s="1462" t="s">
        <v>74</v>
      </c>
      <c r="BR581" s="1283"/>
      <c r="BS581" s="1284"/>
      <c r="BT581" s="14"/>
      <c r="BU581" s="166"/>
      <c r="BV581" s="14" t="s">
        <v>1295</v>
      </c>
      <c r="BW581" s="14" t="s">
        <v>1295</v>
      </c>
      <c r="BX581" s="14" t="s">
        <v>3589</v>
      </c>
      <c r="BY581" s="1433" t="s">
        <v>2098</v>
      </c>
      <c r="BZ581" s="40"/>
      <c r="CA581" s="582"/>
      <c r="CB581" s="582"/>
      <c r="CC581" s="582"/>
      <c r="CD581" s="582"/>
      <c r="CE581" s="582"/>
      <c r="CF581" s="582"/>
      <c r="CG581" s="582"/>
      <c r="CH581" s="16"/>
    </row>
    <row r="582" spans="2:86" ht="108.75" hidden="1" customHeight="1">
      <c r="B582" s="23"/>
      <c r="C582" s="1982"/>
      <c r="D582" s="1982"/>
      <c r="E582" s="1051">
        <v>44805</v>
      </c>
      <c r="F582" s="1051"/>
      <c r="G582" s="1055">
        <v>44708</v>
      </c>
      <c r="H582" s="365">
        <v>44783</v>
      </c>
      <c r="I582" s="182">
        <v>2021</v>
      </c>
      <c r="J582" s="1678">
        <v>216.18</v>
      </c>
      <c r="K582" s="183" t="s">
        <v>166</v>
      </c>
      <c r="L582" s="191" t="s">
        <v>3648</v>
      </c>
      <c r="M582" s="185" t="s">
        <v>79</v>
      </c>
      <c r="N582" s="495" t="s">
        <v>4346</v>
      </c>
      <c r="O582" s="495" t="s">
        <v>1979</v>
      </c>
      <c r="P582" s="187">
        <v>1137012.22</v>
      </c>
      <c r="Q582" s="1403">
        <v>44454</v>
      </c>
      <c r="R582" s="189">
        <v>44456</v>
      </c>
      <c r="S582" s="190">
        <v>44499</v>
      </c>
      <c r="T582" s="1885">
        <v>44452</v>
      </c>
      <c r="U582" s="739" t="s">
        <v>3948</v>
      </c>
      <c r="V582" s="716" t="s">
        <v>449</v>
      </c>
      <c r="W582" s="1884">
        <v>44428</v>
      </c>
      <c r="X582" s="1625" t="s">
        <v>4334</v>
      </c>
      <c r="Y582" s="1880" t="s">
        <v>3844</v>
      </c>
      <c r="Z582" s="9"/>
      <c r="AA582" s="4"/>
      <c r="AB582" s="4"/>
      <c r="AC582" s="34"/>
      <c r="AD582" s="36" t="s">
        <v>68</v>
      </c>
      <c r="AE582" s="119" t="s">
        <v>68</v>
      </c>
      <c r="AF582" s="119" t="s">
        <v>68</v>
      </c>
      <c r="AG582" s="7" t="s">
        <v>68</v>
      </c>
      <c r="AH582" s="116" t="s">
        <v>68</v>
      </c>
      <c r="AI582" s="280"/>
      <c r="AJ582" s="239"/>
      <c r="AK582" s="5"/>
      <c r="AL582" s="239">
        <v>2604606</v>
      </c>
      <c r="AM582" s="5"/>
      <c r="AN582" s="239">
        <v>2630004</v>
      </c>
      <c r="AO582" s="5"/>
      <c r="AP582" s="306">
        <v>0</v>
      </c>
      <c r="AQ582" s="37">
        <v>0</v>
      </c>
      <c r="AR582" s="1040"/>
      <c r="AS582" s="1027"/>
      <c r="AT582" s="68">
        <v>44456</v>
      </c>
      <c r="AU582" s="12"/>
      <c r="AV582" s="243" t="s">
        <v>68</v>
      </c>
      <c r="AW582" s="54" t="s">
        <v>68</v>
      </c>
      <c r="AX582" s="68">
        <v>44481</v>
      </c>
      <c r="AY582" s="1888">
        <v>44456</v>
      </c>
      <c r="AZ582" s="1888">
        <v>44499</v>
      </c>
      <c r="BA582" s="1888">
        <v>44478</v>
      </c>
      <c r="BB582" s="1887">
        <v>44481</v>
      </c>
      <c r="BC582" s="1966"/>
      <c r="BD582" s="1888">
        <v>44456</v>
      </c>
      <c r="BE582" s="1888">
        <v>44499</v>
      </c>
      <c r="BF582" s="1888">
        <v>44478</v>
      </c>
      <c r="BG582" s="38"/>
      <c r="BH582" s="1886">
        <v>44481</v>
      </c>
      <c r="BI582" s="1228"/>
      <c r="BJ582" s="1874">
        <v>44455</v>
      </c>
      <c r="BK582" s="1874">
        <v>44455</v>
      </c>
      <c r="BL582" s="1230"/>
      <c r="BM582" s="1230"/>
      <c r="BN582" s="1883">
        <v>44447</v>
      </c>
      <c r="BO582" s="1054">
        <v>44447</v>
      </c>
      <c r="BP582" s="1883">
        <v>44478</v>
      </c>
      <c r="BQ582" s="1883">
        <v>44481</v>
      </c>
      <c r="BR582" s="796"/>
      <c r="BS582" s="794"/>
      <c r="BT582" s="14"/>
      <c r="BU582" s="166"/>
      <c r="BV582" s="14"/>
      <c r="BW582" s="14"/>
      <c r="BX582" s="14"/>
      <c r="BY582" s="1433" t="s">
        <v>2098</v>
      </c>
      <c r="BZ582" s="40"/>
      <c r="CA582" s="582"/>
      <c r="CB582" s="582"/>
      <c r="CC582" s="582"/>
      <c r="CD582" s="582"/>
      <c r="CE582" s="582"/>
      <c r="CF582" s="582"/>
      <c r="CG582" s="582"/>
      <c r="CH582" s="16"/>
    </row>
    <row r="583" spans="2:86" ht="76.5" hidden="1" customHeight="1">
      <c r="B583" s="23"/>
      <c r="C583" s="1982"/>
      <c r="D583" s="1982"/>
      <c r="E583" s="1051">
        <v>44805</v>
      </c>
      <c r="F583" s="1051"/>
      <c r="G583" s="1055">
        <v>44643</v>
      </c>
      <c r="H583" s="365"/>
      <c r="I583" s="182">
        <v>2021</v>
      </c>
      <c r="J583" s="1678">
        <v>217.01</v>
      </c>
      <c r="K583" s="183" t="s">
        <v>4078</v>
      </c>
      <c r="L583" s="191" t="s">
        <v>3479</v>
      </c>
      <c r="M583" s="185" t="s">
        <v>4077</v>
      </c>
      <c r="N583" s="495" t="s">
        <v>4079</v>
      </c>
      <c r="O583" s="495" t="s">
        <v>1979</v>
      </c>
      <c r="P583" s="661">
        <v>100000</v>
      </c>
      <c r="Q583" s="1403">
        <v>44504</v>
      </c>
      <c r="R583" s="189">
        <v>44508</v>
      </c>
      <c r="S583" s="190">
        <v>44561</v>
      </c>
      <c r="T583" s="578" t="s">
        <v>1431</v>
      </c>
      <c r="U583" s="739" t="s">
        <v>1177</v>
      </c>
      <c r="V583" s="716" t="s">
        <v>213</v>
      </c>
      <c r="W583" s="740" t="s">
        <v>1431</v>
      </c>
      <c r="X583" s="1637"/>
      <c r="Y583" s="280" t="s">
        <v>4559</v>
      </c>
      <c r="Z583" s="9">
        <v>44465</v>
      </c>
      <c r="AA583" s="4">
        <v>100000</v>
      </c>
      <c r="AB583" s="4"/>
      <c r="AC583" s="34"/>
      <c r="AD583" s="645" t="s">
        <v>68</v>
      </c>
      <c r="AE583" s="646" t="s">
        <v>68</v>
      </c>
      <c r="AF583" s="646" t="s">
        <v>68</v>
      </c>
      <c r="AG583" s="647" t="s">
        <v>68</v>
      </c>
      <c r="AH583" s="644" t="s">
        <v>68</v>
      </c>
      <c r="AI583" s="280"/>
      <c r="AJ583" s="239"/>
      <c r="AK583" s="5"/>
      <c r="AL583" s="239"/>
      <c r="AM583" s="5"/>
      <c r="AN583" s="239"/>
      <c r="AO583" s="5"/>
      <c r="AP583" s="306">
        <v>0</v>
      </c>
      <c r="AQ583" s="37">
        <v>0</v>
      </c>
      <c r="AR583" s="1040"/>
      <c r="AS583" s="1027"/>
      <c r="AT583" s="68" t="s">
        <v>74</v>
      </c>
      <c r="AU583" s="12"/>
      <c r="AV583" s="243"/>
      <c r="AW583" s="54"/>
      <c r="AX583" s="68" t="s">
        <v>74</v>
      </c>
      <c r="AY583" s="255"/>
      <c r="AZ583" s="255"/>
      <c r="BA583" s="245"/>
      <c r="BB583" s="68" t="s">
        <v>74</v>
      </c>
      <c r="BC583" s="1686"/>
      <c r="BD583" s="5"/>
      <c r="BE583" s="5"/>
      <c r="BF583" s="5"/>
      <c r="BG583" s="38"/>
      <c r="BH583" s="217" t="s">
        <v>74</v>
      </c>
      <c r="BI583" s="1228"/>
      <c r="BJ583" s="1890" t="s">
        <v>68</v>
      </c>
      <c r="BK583" s="1890" t="s">
        <v>68</v>
      </c>
      <c r="BL583" s="1230"/>
      <c r="BM583" s="1891" t="s">
        <v>68</v>
      </c>
      <c r="BN583" s="1891" t="s">
        <v>68</v>
      </c>
      <c r="BO583" s="1054" t="s">
        <v>68</v>
      </c>
      <c r="BP583" s="1891" t="s">
        <v>68</v>
      </c>
      <c r="BQ583" s="1891" t="s">
        <v>68</v>
      </c>
      <c r="BR583" s="796"/>
      <c r="BS583" s="794"/>
      <c r="BT583" s="14"/>
      <c r="BU583" s="166"/>
      <c r="BV583" s="14"/>
      <c r="BW583" s="14"/>
      <c r="BX583" s="14"/>
      <c r="BY583" s="1433" t="s">
        <v>3989</v>
      </c>
      <c r="BZ583" s="40"/>
      <c r="CA583" s="582"/>
      <c r="CB583" s="582"/>
      <c r="CC583" s="582"/>
      <c r="CD583" s="582"/>
      <c r="CE583" s="582"/>
      <c r="CF583" s="582"/>
      <c r="CG583" s="582"/>
      <c r="CH583" s="16"/>
    </row>
    <row r="584" spans="2:86" ht="76.5" hidden="1" customHeight="1">
      <c r="B584" s="23"/>
      <c r="C584" s="1983">
        <v>45068</v>
      </c>
      <c r="D584" s="1987">
        <v>12</v>
      </c>
      <c r="E584" s="1051">
        <v>44805</v>
      </c>
      <c r="F584" s="1051"/>
      <c r="G584" s="1055">
        <v>44687</v>
      </c>
      <c r="H584" s="365"/>
      <c r="I584" s="182">
        <v>2021</v>
      </c>
      <c r="J584" s="1678">
        <v>217.01</v>
      </c>
      <c r="K584" s="183" t="s">
        <v>166</v>
      </c>
      <c r="L584" s="191" t="s">
        <v>3480</v>
      </c>
      <c r="M584" s="185" t="s">
        <v>4077</v>
      </c>
      <c r="N584" s="495" t="s">
        <v>4206</v>
      </c>
      <c r="O584" s="495" t="s">
        <v>1979</v>
      </c>
      <c r="P584" s="661">
        <v>400000</v>
      </c>
      <c r="Q584" s="1403">
        <v>44560</v>
      </c>
      <c r="R584" s="189">
        <v>44561</v>
      </c>
      <c r="S584" s="190">
        <v>44651</v>
      </c>
      <c r="T584" s="578" t="s">
        <v>1431</v>
      </c>
      <c r="U584" s="739" t="s">
        <v>1177</v>
      </c>
      <c r="V584" s="716" t="s">
        <v>449</v>
      </c>
      <c r="W584" s="740" t="s">
        <v>1431</v>
      </c>
      <c r="X584" s="1872" t="s">
        <v>4536</v>
      </c>
      <c r="Y584" s="1880" t="s">
        <v>3844</v>
      </c>
      <c r="Z584" s="9"/>
      <c r="AA584" s="4"/>
      <c r="AB584" s="4"/>
      <c r="AC584" s="34"/>
      <c r="AD584" s="645" t="s">
        <v>68</v>
      </c>
      <c r="AE584" s="646" t="s">
        <v>68</v>
      </c>
      <c r="AF584" s="646" t="s">
        <v>68</v>
      </c>
      <c r="AG584" s="647" t="s">
        <v>68</v>
      </c>
      <c r="AH584" s="644" t="s">
        <v>68</v>
      </c>
      <c r="AI584" s="280"/>
      <c r="AJ584" s="239"/>
      <c r="AK584" s="5"/>
      <c r="AL584" s="239"/>
      <c r="AM584" s="5"/>
      <c r="AN584" s="239"/>
      <c r="AO584" s="5"/>
      <c r="AP584" s="306">
        <v>0</v>
      </c>
      <c r="AQ584" s="37">
        <v>0</v>
      </c>
      <c r="AR584" s="1040"/>
      <c r="AS584" s="1027"/>
      <c r="AT584" s="68" t="s">
        <v>74</v>
      </c>
      <c r="AU584" s="12"/>
      <c r="AV584" s="243"/>
      <c r="AW584" s="54"/>
      <c r="AX584" s="68" t="s">
        <v>74</v>
      </c>
      <c r="AY584" s="255"/>
      <c r="AZ584" s="255"/>
      <c r="BA584" s="245"/>
      <c r="BB584" s="68" t="s">
        <v>74</v>
      </c>
      <c r="BC584" s="1686"/>
      <c r="BD584" s="5"/>
      <c r="BE584" s="5"/>
      <c r="BF584" s="5"/>
      <c r="BG584" s="38"/>
      <c r="BH584" s="217" t="s">
        <v>74</v>
      </c>
      <c r="BI584" s="1878">
        <v>44560</v>
      </c>
      <c r="BJ584" s="1890" t="s">
        <v>68</v>
      </c>
      <c r="BK584" s="1890" t="s">
        <v>68</v>
      </c>
      <c r="BL584" s="1230"/>
      <c r="BM584" s="1891" t="s">
        <v>68</v>
      </c>
      <c r="BN584" s="1891" t="s">
        <v>68</v>
      </c>
      <c r="BO584" s="1054" t="s">
        <v>68</v>
      </c>
      <c r="BP584" s="1891" t="s">
        <v>68</v>
      </c>
      <c r="BQ584" s="1891" t="s">
        <v>68</v>
      </c>
      <c r="BR584" s="796"/>
      <c r="BS584" s="794"/>
      <c r="BT584" s="14"/>
      <c r="BU584" s="166"/>
      <c r="BV584" s="14"/>
      <c r="BW584" s="14"/>
      <c r="BX584" s="14"/>
      <c r="BY584" s="1433" t="s">
        <v>3989</v>
      </c>
      <c r="BZ584" s="40"/>
      <c r="CA584" s="582"/>
      <c r="CB584" s="582"/>
      <c r="CC584" s="582"/>
      <c r="CD584" s="582"/>
      <c r="CE584" s="582"/>
      <c r="CF584" s="582"/>
      <c r="CG584" s="582"/>
      <c r="CH584" s="16"/>
    </row>
    <row r="585" spans="2:86" ht="72" hidden="1" customHeight="1">
      <c r="B585" s="23"/>
      <c r="C585" s="1982"/>
      <c r="D585" s="1982"/>
      <c r="E585" s="1051"/>
      <c r="F585" s="1051"/>
      <c r="G585" s="1055"/>
      <c r="H585" s="365"/>
      <c r="I585" s="182">
        <v>2021</v>
      </c>
      <c r="J585" s="1678">
        <v>217.11</v>
      </c>
      <c r="K585" s="183" t="s">
        <v>166</v>
      </c>
      <c r="L585" s="191" t="s">
        <v>3789</v>
      </c>
      <c r="M585" s="185" t="s">
        <v>45</v>
      </c>
      <c r="N585" s="495" t="s">
        <v>4082</v>
      </c>
      <c r="O585" s="495" t="s">
        <v>1979</v>
      </c>
      <c r="P585" s="661">
        <f>37000*1.16</f>
        <v>42920</v>
      </c>
      <c r="Q585" s="657">
        <v>44512</v>
      </c>
      <c r="R585" s="189" t="s">
        <v>68</v>
      </c>
      <c r="S585" s="190" t="s">
        <v>68</v>
      </c>
      <c r="T585" s="773" t="s">
        <v>1431</v>
      </c>
      <c r="U585" s="739" t="s">
        <v>4003</v>
      </c>
      <c r="V585" s="1064"/>
      <c r="W585" s="1227"/>
      <c r="X585" s="1637"/>
      <c r="Y585" s="280"/>
      <c r="Z585" s="9"/>
      <c r="AA585" s="4"/>
      <c r="AB585" s="4"/>
      <c r="AC585" s="34"/>
      <c r="AD585" s="1650"/>
      <c r="AE585" s="696"/>
      <c r="AF585" s="696"/>
      <c r="AG585" s="1651"/>
      <c r="AH585" s="1613"/>
      <c r="AI585" s="280"/>
      <c r="AJ585" s="239"/>
      <c r="AK585" s="5"/>
      <c r="AL585" s="239"/>
      <c r="AM585" s="5"/>
      <c r="AN585" s="239"/>
      <c r="AO585" s="5"/>
      <c r="AP585" s="306"/>
      <c r="AQ585" s="37"/>
      <c r="AR585" s="1040"/>
      <c r="AS585" s="1027"/>
      <c r="AT585" s="68"/>
      <c r="AU585" s="12"/>
      <c r="AV585" s="243"/>
      <c r="AW585" s="54"/>
      <c r="AX585" s="68"/>
      <c r="AY585" s="255"/>
      <c r="AZ585" s="255"/>
      <c r="BA585" s="245"/>
      <c r="BB585" s="68"/>
      <c r="BC585" s="1686"/>
      <c r="BD585" s="5"/>
      <c r="BE585" s="5"/>
      <c r="BF585" s="5"/>
      <c r="BG585" s="38"/>
      <c r="BH585" s="217"/>
      <c r="BI585" s="1228"/>
      <c r="BJ585" s="1187"/>
      <c r="BK585" s="1187"/>
      <c r="BL585" s="1230"/>
      <c r="BM585" s="1230"/>
      <c r="BN585" s="1230"/>
      <c r="BO585" s="1054"/>
      <c r="BP585" s="1230"/>
      <c r="BQ585" s="1230"/>
      <c r="BR585" s="796"/>
      <c r="BS585" s="794"/>
      <c r="BT585" s="14"/>
      <c r="BU585" s="166"/>
      <c r="BV585" s="14"/>
      <c r="BW585" s="14"/>
      <c r="BX585" s="14"/>
      <c r="BY585" s="1433" t="s">
        <v>3989</v>
      </c>
      <c r="BZ585" s="40"/>
      <c r="CA585" s="582"/>
      <c r="CB585" s="582"/>
      <c r="CC585" s="582"/>
      <c r="CD585" s="582"/>
      <c r="CE585" s="582"/>
      <c r="CF585" s="582"/>
      <c r="CG585" s="582"/>
      <c r="CH585" s="16"/>
    </row>
    <row r="586" spans="2:86" ht="78" hidden="1" customHeight="1">
      <c r="B586" s="23"/>
      <c r="C586" s="1982"/>
      <c r="D586" s="1982"/>
      <c r="E586" s="1051"/>
      <c r="F586" s="1051"/>
      <c r="G586" s="1055"/>
      <c r="H586" s="365"/>
      <c r="I586" s="182">
        <v>2021</v>
      </c>
      <c r="J586" s="1678">
        <v>217.12</v>
      </c>
      <c r="K586" s="183" t="s">
        <v>166</v>
      </c>
      <c r="L586" s="191" t="s">
        <v>3790</v>
      </c>
      <c r="M586" s="185" t="s">
        <v>45</v>
      </c>
      <c r="N586" s="495" t="s">
        <v>4083</v>
      </c>
      <c r="O586" s="495" t="s">
        <v>2613</v>
      </c>
      <c r="P586" s="661">
        <f>5000*1.16</f>
        <v>5800</v>
      </c>
      <c r="Q586" s="657">
        <v>44512</v>
      </c>
      <c r="R586" s="664" t="s">
        <v>68</v>
      </c>
      <c r="S586" s="665" t="s">
        <v>68</v>
      </c>
      <c r="T586" s="773" t="s">
        <v>1431</v>
      </c>
      <c r="U586" s="739" t="s">
        <v>4263</v>
      </c>
      <c r="V586" s="1064"/>
      <c r="W586" s="1227"/>
      <c r="X586" s="1637"/>
      <c r="Y586" s="280"/>
      <c r="Z586" s="9"/>
      <c r="AA586" s="4"/>
      <c r="AB586" s="4"/>
      <c r="AC586" s="34"/>
      <c r="AD586" s="1650"/>
      <c r="AE586" s="696"/>
      <c r="AF586" s="696"/>
      <c r="AG586" s="1651"/>
      <c r="AH586" s="1613"/>
      <c r="AI586" s="280"/>
      <c r="AJ586" s="239"/>
      <c r="AK586" s="5"/>
      <c r="AL586" s="239"/>
      <c r="AM586" s="5"/>
      <c r="AN586" s="239"/>
      <c r="AO586" s="5"/>
      <c r="AP586" s="306"/>
      <c r="AQ586" s="37"/>
      <c r="AR586" s="1040"/>
      <c r="AS586" s="1027"/>
      <c r="AT586" s="68"/>
      <c r="AU586" s="12"/>
      <c r="AV586" s="243"/>
      <c r="AW586" s="54"/>
      <c r="AX586" s="68"/>
      <c r="AY586" s="255"/>
      <c r="AZ586" s="255"/>
      <c r="BA586" s="245"/>
      <c r="BB586" s="68"/>
      <c r="BC586" s="1686"/>
      <c r="BD586" s="5"/>
      <c r="BE586" s="5"/>
      <c r="BF586" s="5"/>
      <c r="BG586" s="38"/>
      <c r="BH586" s="217"/>
      <c r="BI586" s="1228"/>
      <c r="BJ586" s="1187"/>
      <c r="BK586" s="1187"/>
      <c r="BL586" s="1230"/>
      <c r="BM586" s="1230"/>
      <c r="BN586" s="1230"/>
      <c r="BO586" s="1054"/>
      <c r="BP586" s="1230"/>
      <c r="BQ586" s="1230"/>
      <c r="BR586" s="796"/>
      <c r="BS586" s="794"/>
      <c r="BT586" s="14"/>
      <c r="BU586" s="166"/>
      <c r="BV586" s="14"/>
      <c r="BW586" s="14"/>
      <c r="BX586" s="14"/>
      <c r="BY586" s="1433" t="s">
        <v>3989</v>
      </c>
      <c r="BZ586" s="40"/>
      <c r="CA586" s="582"/>
      <c r="CB586" s="582"/>
      <c r="CC586" s="582"/>
      <c r="CD586" s="582"/>
      <c r="CE586" s="582"/>
      <c r="CF586" s="582"/>
      <c r="CG586" s="582"/>
      <c r="CH586" s="16"/>
    </row>
    <row r="587" spans="2:86" ht="222" hidden="1" customHeight="1">
      <c r="B587" s="23"/>
      <c r="C587" s="1982"/>
      <c r="D587" s="1982"/>
      <c r="E587" s="1051"/>
      <c r="F587" s="1051"/>
      <c r="G587" s="1055"/>
      <c r="H587" s="365"/>
      <c r="I587" s="182">
        <v>2021</v>
      </c>
      <c r="J587" s="1678">
        <v>217.13</v>
      </c>
      <c r="K587" s="183" t="s">
        <v>166</v>
      </c>
      <c r="L587" s="191" t="s">
        <v>3791</v>
      </c>
      <c r="M587" s="185" t="s">
        <v>45</v>
      </c>
      <c r="N587" s="495" t="s">
        <v>4084</v>
      </c>
      <c r="O587" s="495" t="s">
        <v>1979</v>
      </c>
      <c r="P587" s="661">
        <f>10000*1.16*3</f>
        <v>34800</v>
      </c>
      <c r="Q587" s="657">
        <v>44515</v>
      </c>
      <c r="R587" s="664" t="s">
        <v>68</v>
      </c>
      <c r="S587" s="665" t="s">
        <v>68</v>
      </c>
      <c r="T587" s="773" t="s">
        <v>1431</v>
      </c>
      <c r="U587" s="739" t="s">
        <v>739</v>
      </c>
      <c r="V587" s="1064"/>
      <c r="W587" s="1227"/>
      <c r="X587" s="1637"/>
      <c r="Y587" s="280"/>
      <c r="Z587" s="9"/>
      <c r="AA587" s="4"/>
      <c r="AB587" s="4"/>
      <c r="AC587" s="34"/>
      <c r="AD587" s="1650"/>
      <c r="AE587" s="696"/>
      <c r="AF587" s="696"/>
      <c r="AG587" s="1651"/>
      <c r="AH587" s="1613"/>
      <c r="AI587" s="280"/>
      <c r="AJ587" s="239"/>
      <c r="AK587" s="5"/>
      <c r="AL587" s="239"/>
      <c r="AM587" s="5"/>
      <c r="AN587" s="239"/>
      <c r="AO587" s="5"/>
      <c r="AP587" s="306"/>
      <c r="AQ587" s="37"/>
      <c r="AR587" s="1040"/>
      <c r="AS587" s="1027"/>
      <c r="AT587" s="68"/>
      <c r="AU587" s="12"/>
      <c r="AV587" s="243"/>
      <c r="AW587" s="54"/>
      <c r="AX587" s="68"/>
      <c r="AY587" s="255"/>
      <c r="AZ587" s="255"/>
      <c r="BA587" s="245"/>
      <c r="BB587" s="68"/>
      <c r="BC587" s="1686"/>
      <c r="BD587" s="5"/>
      <c r="BE587" s="5"/>
      <c r="BF587" s="5"/>
      <c r="BG587" s="38"/>
      <c r="BH587" s="217"/>
      <c r="BI587" s="1228"/>
      <c r="BJ587" s="1187"/>
      <c r="BK587" s="1187"/>
      <c r="BL587" s="1230"/>
      <c r="BM587" s="1230"/>
      <c r="BN587" s="1230"/>
      <c r="BO587" s="1054"/>
      <c r="BP587" s="1230"/>
      <c r="BQ587" s="1230"/>
      <c r="BR587" s="796"/>
      <c r="BS587" s="794"/>
      <c r="BT587" s="14"/>
      <c r="BU587" s="166"/>
      <c r="BV587" s="14"/>
      <c r="BW587" s="14"/>
      <c r="BX587" s="14"/>
      <c r="BY587" s="1433" t="s">
        <v>3989</v>
      </c>
      <c r="BZ587" s="40"/>
      <c r="CA587" s="582"/>
      <c r="CB587" s="582"/>
      <c r="CC587" s="582"/>
      <c r="CD587" s="582"/>
      <c r="CE587" s="582"/>
      <c r="CF587" s="582"/>
      <c r="CG587" s="582"/>
      <c r="CH587" s="16"/>
    </row>
    <row r="588" spans="2:86" ht="122.25" hidden="1" customHeight="1">
      <c r="B588" s="23"/>
      <c r="C588" s="1982"/>
      <c r="D588" s="1982"/>
      <c r="E588" s="1051"/>
      <c r="F588" s="1051"/>
      <c r="G588" s="1055"/>
      <c r="H588" s="365"/>
      <c r="I588" s="182">
        <v>2021</v>
      </c>
      <c r="J588" s="1678">
        <v>217.14</v>
      </c>
      <c r="K588" s="183" t="s">
        <v>166</v>
      </c>
      <c r="L588" s="191" t="s">
        <v>3792</v>
      </c>
      <c r="M588" s="185" t="s">
        <v>45</v>
      </c>
      <c r="N588" s="495" t="s">
        <v>4086</v>
      </c>
      <c r="O588" s="495" t="s">
        <v>1979</v>
      </c>
      <c r="P588" s="661">
        <f>25000*1.16</f>
        <v>28999.999999999996</v>
      </c>
      <c r="Q588" s="657">
        <v>44533</v>
      </c>
      <c r="R588" s="664">
        <v>44543</v>
      </c>
      <c r="S588" s="665">
        <v>44546</v>
      </c>
      <c r="T588" s="773" t="s">
        <v>1431</v>
      </c>
      <c r="U588" s="739" t="s">
        <v>3513</v>
      </c>
      <c r="V588" s="1064"/>
      <c r="W588" s="1227"/>
      <c r="X588" s="1637"/>
      <c r="Y588" s="280"/>
      <c r="Z588" s="9"/>
      <c r="AA588" s="4"/>
      <c r="AB588" s="4"/>
      <c r="AC588" s="34"/>
      <c r="AD588" s="1650"/>
      <c r="AE588" s="696"/>
      <c r="AF588" s="696"/>
      <c r="AG588" s="1651"/>
      <c r="AH588" s="1613"/>
      <c r="AI588" s="280"/>
      <c r="AJ588" s="239"/>
      <c r="AK588" s="5"/>
      <c r="AL588" s="239"/>
      <c r="AM588" s="5"/>
      <c r="AN588" s="239"/>
      <c r="AO588" s="5"/>
      <c r="AP588" s="306"/>
      <c r="AQ588" s="37"/>
      <c r="AR588" s="1040"/>
      <c r="AS588" s="1027"/>
      <c r="AT588" s="68"/>
      <c r="AU588" s="12"/>
      <c r="AV588" s="243"/>
      <c r="AW588" s="54"/>
      <c r="AX588" s="68"/>
      <c r="AY588" s="255"/>
      <c r="AZ588" s="255"/>
      <c r="BA588" s="245"/>
      <c r="BB588" s="68"/>
      <c r="BC588" s="1686"/>
      <c r="BD588" s="5"/>
      <c r="BE588" s="5"/>
      <c r="BF588" s="5"/>
      <c r="BG588" s="38"/>
      <c r="BH588" s="217"/>
      <c r="BI588" s="1228"/>
      <c r="BJ588" s="1187"/>
      <c r="BK588" s="1187"/>
      <c r="BL588" s="1230"/>
      <c r="BM588" s="1230"/>
      <c r="BN588" s="1230"/>
      <c r="BO588" s="1054"/>
      <c r="BP588" s="1230"/>
      <c r="BQ588" s="1230"/>
      <c r="BR588" s="796"/>
      <c r="BS588" s="794"/>
      <c r="BT588" s="14"/>
      <c r="BU588" s="166"/>
      <c r="BV588" s="14"/>
      <c r="BW588" s="14"/>
      <c r="BX588" s="14"/>
      <c r="BY588" s="1433" t="s">
        <v>3989</v>
      </c>
      <c r="BZ588" s="40"/>
      <c r="CA588" s="582"/>
      <c r="CB588" s="582"/>
      <c r="CC588" s="582"/>
      <c r="CD588" s="582"/>
      <c r="CE588" s="582"/>
      <c r="CF588" s="582"/>
      <c r="CG588" s="582"/>
      <c r="CH588" s="16"/>
    </row>
    <row r="589" spans="2:86" s="110" customFormat="1" ht="113.25" hidden="1" customHeight="1">
      <c r="B589" s="87"/>
      <c r="C589" s="1984"/>
      <c r="D589" s="1984"/>
      <c r="E589" s="1161"/>
      <c r="F589" s="1161"/>
      <c r="G589" s="130"/>
      <c r="H589" s="700"/>
      <c r="I589" s="1162">
        <v>2021</v>
      </c>
      <c r="J589" s="1681">
        <v>217.21</v>
      </c>
      <c r="K589" s="701"/>
      <c r="L589" s="706" t="s">
        <v>3487</v>
      </c>
      <c r="M589" s="747" t="s">
        <v>251</v>
      </c>
      <c r="N589" s="748"/>
      <c r="O589" s="748"/>
      <c r="P589" s="702"/>
      <c r="Q589" s="703"/>
      <c r="R589" s="704"/>
      <c r="S589" s="705"/>
      <c r="T589" s="408"/>
      <c r="U589" s="706" t="s">
        <v>3948</v>
      </c>
      <c r="V589" s="701" t="s">
        <v>449</v>
      </c>
      <c r="W589" s="611" t="s">
        <v>4534</v>
      </c>
      <c r="X589" s="1615"/>
      <c r="Y589" s="96"/>
      <c r="Z589" s="98"/>
      <c r="AA589" s="92"/>
      <c r="AB589" s="92"/>
      <c r="AC589" s="99"/>
      <c r="AD589" s="100"/>
      <c r="AE589" s="120"/>
      <c r="AF589" s="120"/>
      <c r="AG589" s="101"/>
      <c r="AH589" s="117"/>
      <c r="AI589" s="96"/>
      <c r="AJ589" s="102"/>
      <c r="AK589" s="94"/>
      <c r="AL589" s="102"/>
      <c r="AM589" s="94"/>
      <c r="AN589" s="102"/>
      <c r="AO589" s="94"/>
      <c r="AP589" s="311">
        <v>0</v>
      </c>
      <c r="AQ589" s="104">
        <v>0</v>
      </c>
      <c r="AR589" s="1036"/>
      <c r="AS589" s="1023"/>
      <c r="AT589" s="728" t="s">
        <v>74</v>
      </c>
      <c r="AU589" s="95"/>
      <c r="AV589" s="374"/>
      <c r="AW589" s="107"/>
      <c r="AX589" s="728" t="s">
        <v>74</v>
      </c>
      <c r="AY589" s="94"/>
      <c r="AZ589" s="94"/>
      <c r="BA589" s="95"/>
      <c r="BB589" s="728" t="s">
        <v>74</v>
      </c>
      <c r="BC589" s="1965"/>
      <c r="BD589" s="94"/>
      <c r="BE589" s="94"/>
      <c r="BF589" s="94"/>
      <c r="BG589" s="105"/>
      <c r="BH589" s="1772" t="s">
        <v>74</v>
      </c>
      <c r="BI589" s="983"/>
      <c r="BJ589" s="984"/>
      <c r="BK589" s="984"/>
      <c r="BL589" s="1163"/>
      <c r="BM589" s="1163"/>
      <c r="BN589" s="1163"/>
      <c r="BO589" s="1054"/>
      <c r="BP589" s="1163"/>
      <c r="BQ589" s="1163"/>
      <c r="BR589" s="1163"/>
      <c r="BS589" s="983"/>
      <c r="BT589" s="108"/>
      <c r="BU589" s="956"/>
      <c r="BV589" s="108"/>
      <c r="BW589" s="108"/>
      <c r="BX589" s="108"/>
      <c r="BY589" s="1660" t="s">
        <v>3989</v>
      </c>
      <c r="BZ589" s="985"/>
      <c r="CA589" s="583"/>
      <c r="CB589" s="583"/>
      <c r="CC589" s="583"/>
      <c r="CD589" s="583"/>
      <c r="CE589" s="583"/>
      <c r="CF589" s="583"/>
      <c r="CG589" s="583"/>
      <c r="CH589" s="707"/>
    </row>
    <row r="590" spans="2:86" ht="78" hidden="1" customHeight="1">
      <c r="B590" s="23"/>
      <c r="C590" s="1982"/>
      <c r="D590" s="1982"/>
      <c r="E590" s="1051">
        <v>44805</v>
      </c>
      <c r="F590" s="1051"/>
      <c r="G590" s="1055">
        <v>44687</v>
      </c>
      <c r="H590" s="365"/>
      <c r="I590" s="182">
        <v>2021</v>
      </c>
      <c r="J590" s="1678">
        <v>217.22</v>
      </c>
      <c r="K590" s="183" t="s">
        <v>166</v>
      </c>
      <c r="L590" s="191" t="s">
        <v>3488</v>
      </c>
      <c r="M590" s="185" t="s">
        <v>79</v>
      </c>
      <c r="N590" s="495" t="s">
        <v>4081</v>
      </c>
      <c r="O590" s="495" t="s">
        <v>2551</v>
      </c>
      <c r="P590" s="661">
        <v>715198.43</v>
      </c>
      <c r="Q590" s="1882">
        <v>44504</v>
      </c>
      <c r="R590" s="664">
        <v>44508</v>
      </c>
      <c r="S590" s="665">
        <v>44548</v>
      </c>
      <c r="T590" s="578">
        <v>44504</v>
      </c>
      <c r="U590" s="739" t="s">
        <v>739</v>
      </c>
      <c r="V590" s="716" t="s">
        <v>449</v>
      </c>
      <c r="W590" s="740" t="s">
        <v>1431</v>
      </c>
      <c r="X590" s="1625" t="s">
        <v>4334</v>
      </c>
      <c r="Y590" s="1880" t="s">
        <v>4535</v>
      </c>
      <c r="Z590" s="9"/>
      <c r="AA590" s="1881">
        <f>450343.61+264854.82</f>
        <v>715198.42999999993</v>
      </c>
      <c r="AB590" s="4"/>
      <c r="AC590" s="34"/>
      <c r="AD590" s="645" t="s">
        <v>68</v>
      </c>
      <c r="AE590" s="646" t="s">
        <v>68</v>
      </c>
      <c r="AF590" s="646" t="s">
        <v>68</v>
      </c>
      <c r="AG590" s="647" t="s">
        <v>68</v>
      </c>
      <c r="AH590" s="644" t="s">
        <v>68</v>
      </c>
      <c r="AI590" s="280"/>
      <c r="AJ590" s="239"/>
      <c r="AK590" s="5"/>
      <c r="AL590" s="1879">
        <v>2621271</v>
      </c>
      <c r="AM590" s="5"/>
      <c r="AN590" s="1879">
        <v>2621278</v>
      </c>
      <c r="AO590" s="5"/>
      <c r="AP590" s="306">
        <v>0</v>
      </c>
      <c r="AQ590" s="37">
        <v>0</v>
      </c>
      <c r="AR590" s="1040"/>
      <c r="AS590" s="1027"/>
      <c r="AT590" s="68" t="s">
        <v>74</v>
      </c>
      <c r="AU590" s="12"/>
      <c r="AV590" s="243"/>
      <c r="AW590" s="54"/>
      <c r="AX590" s="68" t="s">
        <v>74</v>
      </c>
      <c r="AY590" s="255"/>
      <c r="AZ590" s="255"/>
      <c r="BA590" s="245"/>
      <c r="BB590" s="68" t="s">
        <v>74</v>
      </c>
      <c r="BC590" s="1686"/>
      <c r="BD590" s="5"/>
      <c r="BE590" s="5"/>
      <c r="BF590" s="5"/>
      <c r="BG590" s="38"/>
      <c r="BH590" s="217" t="s">
        <v>74</v>
      </c>
      <c r="BI590" s="1878">
        <v>44505</v>
      </c>
      <c r="BJ590" s="1187"/>
      <c r="BK590" s="1187"/>
      <c r="BL590" s="1230"/>
      <c r="BM590" s="1230"/>
      <c r="BN590" s="1230"/>
      <c r="BO590" s="1054"/>
      <c r="BP590" s="1230"/>
      <c r="BQ590" s="1230"/>
      <c r="BR590" s="796"/>
      <c r="BS590" s="794"/>
      <c r="BT590" s="14"/>
      <c r="BU590" s="166"/>
      <c r="BV590" s="14"/>
      <c r="BW590" s="14"/>
      <c r="BX590" s="14"/>
      <c r="BY590" s="1433" t="s">
        <v>3989</v>
      </c>
      <c r="BZ590" s="40"/>
      <c r="CA590" s="582"/>
      <c r="CB590" s="582"/>
      <c r="CC590" s="582"/>
      <c r="CD590" s="582"/>
      <c r="CE590" s="582"/>
      <c r="CF590" s="582"/>
      <c r="CG590" s="582"/>
      <c r="CH590" s="16"/>
    </row>
    <row r="591" spans="2:86" ht="108.75" hidden="1" customHeight="1">
      <c r="B591" s="23"/>
      <c r="C591" s="1982"/>
      <c r="D591" s="1982"/>
      <c r="E591" s="1051">
        <v>44805</v>
      </c>
      <c r="F591" s="1051"/>
      <c r="G591" s="1055">
        <v>44624</v>
      </c>
      <c r="H591" s="365">
        <v>44603</v>
      </c>
      <c r="I591" s="182">
        <v>2021</v>
      </c>
      <c r="J591" s="1678">
        <v>217.23</v>
      </c>
      <c r="K591" s="183" t="s">
        <v>77</v>
      </c>
      <c r="L591" s="191" t="s">
        <v>3489</v>
      </c>
      <c r="M591" s="185" t="s">
        <v>79</v>
      </c>
      <c r="N591" s="495" t="s">
        <v>4073</v>
      </c>
      <c r="O591" s="495" t="s">
        <v>4458</v>
      </c>
      <c r="P591" s="661">
        <v>347130.34</v>
      </c>
      <c r="Q591" s="657">
        <v>44522</v>
      </c>
      <c r="R591" s="664">
        <v>44523</v>
      </c>
      <c r="S591" s="665">
        <v>44560</v>
      </c>
      <c r="T591" s="578">
        <v>44518</v>
      </c>
      <c r="U591" s="739" t="s">
        <v>739</v>
      </c>
      <c r="V591" s="716" t="s">
        <v>449</v>
      </c>
      <c r="W591" s="740">
        <v>44510</v>
      </c>
      <c r="X591" s="1625" t="s">
        <v>4334</v>
      </c>
      <c r="Y591" s="180" t="s">
        <v>4240</v>
      </c>
      <c r="Z591" s="9">
        <v>44504</v>
      </c>
      <c r="AA591" s="4">
        <v>347130.34</v>
      </c>
      <c r="AB591" s="4"/>
      <c r="AC591" s="34"/>
      <c r="AD591" s="645" t="s">
        <v>68</v>
      </c>
      <c r="AE591" s="646" t="s">
        <v>68</v>
      </c>
      <c r="AF591" s="646" t="s">
        <v>68</v>
      </c>
      <c r="AG591" s="647" t="s">
        <v>68</v>
      </c>
      <c r="AH591" s="644" t="s">
        <v>68</v>
      </c>
      <c r="AI591" s="180" t="s">
        <v>4241</v>
      </c>
      <c r="AJ591" s="71" t="s">
        <v>68</v>
      </c>
      <c r="AK591" s="255"/>
      <c r="AL591" s="71">
        <v>2619220</v>
      </c>
      <c r="AM591" s="5">
        <v>44522</v>
      </c>
      <c r="AN591" s="1305">
        <v>2625323</v>
      </c>
      <c r="AO591" s="5"/>
      <c r="AP591" s="306">
        <f>34713.03</f>
        <v>34713.03</v>
      </c>
      <c r="AQ591" s="37">
        <v>0</v>
      </c>
      <c r="AR591" s="1032">
        <v>347130.34</v>
      </c>
      <c r="AS591" s="1027"/>
      <c r="AT591" s="68" t="s">
        <v>74</v>
      </c>
      <c r="AU591" s="12"/>
      <c r="AV591" s="243" t="s">
        <v>68</v>
      </c>
      <c r="AW591" s="54" t="s">
        <v>68</v>
      </c>
      <c r="AX591" s="75">
        <v>44540</v>
      </c>
      <c r="AY591" s="76">
        <v>44524</v>
      </c>
      <c r="AZ591" s="76">
        <v>44560</v>
      </c>
      <c r="BA591" s="134">
        <v>44539</v>
      </c>
      <c r="BB591" s="75">
        <v>44540</v>
      </c>
      <c r="BC591" s="1950"/>
      <c r="BD591" s="5">
        <v>44524</v>
      </c>
      <c r="BE591" s="5">
        <v>44560</v>
      </c>
      <c r="BF591" s="5">
        <v>44539</v>
      </c>
      <c r="BG591" s="38">
        <f>AR591</f>
        <v>347130.34</v>
      </c>
      <c r="BH591" s="711">
        <v>44540</v>
      </c>
      <c r="BI591" s="372">
        <v>44522</v>
      </c>
      <c r="BJ591" s="689">
        <v>44516</v>
      </c>
      <c r="BK591" s="76">
        <v>44523</v>
      </c>
      <c r="BL591" s="238" t="s">
        <v>74</v>
      </c>
      <c r="BM591" s="689">
        <v>44516</v>
      </c>
      <c r="BN591" s="1305" t="s">
        <v>4537</v>
      </c>
      <c r="BO591" s="1054">
        <v>44516</v>
      </c>
      <c r="BP591" s="689">
        <v>44539</v>
      </c>
      <c r="BQ591" s="689">
        <v>44540</v>
      </c>
      <c r="BR591" s="796"/>
      <c r="BS591" s="794"/>
      <c r="BT591" s="14"/>
      <c r="BU591" s="166"/>
      <c r="BV591" s="14"/>
      <c r="BW591" s="14"/>
      <c r="BX591" s="14"/>
      <c r="BY591" s="1433" t="s">
        <v>3989</v>
      </c>
      <c r="BZ591" s="40"/>
      <c r="CA591" s="582"/>
      <c r="CB591" s="582"/>
      <c r="CC591" s="582"/>
      <c r="CD591" s="582"/>
      <c r="CE591" s="582"/>
      <c r="CF591" s="582"/>
      <c r="CG591" s="582"/>
      <c r="CH591" s="16"/>
    </row>
    <row r="592" spans="2:86" ht="122.25" hidden="1" customHeight="1">
      <c r="B592" s="23"/>
      <c r="C592" s="1982"/>
      <c r="D592" s="1982"/>
      <c r="E592" s="1051">
        <v>44805</v>
      </c>
      <c r="F592" s="1051"/>
      <c r="G592" s="1055">
        <v>44624</v>
      </c>
      <c r="H592" s="365">
        <v>44603</v>
      </c>
      <c r="I592" s="182">
        <v>2021</v>
      </c>
      <c r="J592" s="1678">
        <v>217.24</v>
      </c>
      <c r="K592" s="183" t="s">
        <v>77</v>
      </c>
      <c r="L592" s="191" t="s">
        <v>3490</v>
      </c>
      <c r="M592" s="185" t="s">
        <v>79</v>
      </c>
      <c r="N592" s="495" t="s">
        <v>4074</v>
      </c>
      <c r="O592" s="495" t="s">
        <v>4458</v>
      </c>
      <c r="P592" s="661">
        <v>791064.19</v>
      </c>
      <c r="Q592" s="657">
        <v>44522</v>
      </c>
      <c r="R592" s="189">
        <v>44523</v>
      </c>
      <c r="S592" s="190">
        <v>44530</v>
      </c>
      <c r="T592" s="578">
        <v>44518</v>
      </c>
      <c r="U592" s="739" t="s">
        <v>739</v>
      </c>
      <c r="V592" s="716" t="s">
        <v>449</v>
      </c>
      <c r="W592" s="740">
        <v>44510</v>
      </c>
      <c r="X592" s="1625" t="s">
        <v>4334</v>
      </c>
      <c r="Y592" s="180" t="s">
        <v>3872</v>
      </c>
      <c r="Z592" s="9">
        <v>44504</v>
      </c>
      <c r="AA592" s="4">
        <v>791064.19</v>
      </c>
      <c r="AB592" s="4"/>
      <c r="AC592" s="34"/>
      <c r="AD592" s="645" t="s">
        <v>68</v>
      </c>
      <c r="AE592" s="646" t="s">
        <v>68</v>
      </c>
      <c r="AF592" s="646" t="s">
        <v>68</v>
      </c>
      <c r="AG592" s="647" t="s">
        <v>68</v>
      </c>
      <c r="AH592" s="644" t="s">
        <v>68</v>
      </c>
      <c r="AI592" s="180" t="s">
        <v>4241</v>
      </c>
      <c r="AJ592" s="71" t="s">
        <v>68</v>
      </c>
      <c r="AK592" s="5"/>
      <c r="AL592" s="71">
        <v>2619217</v>
      </c>
      <c r="AM592" s="5">
        <v>44522</v>
      </c>
      <c r="AN592" s="1305">
        <v>2625308</v>
      </c>
      <c r="AO592" s="5"/>
      <c r="AP592" s="306">
        <f>79106.41</f>
        <v>79106.41</v>
      </c>
      <c r="AQ592" s="37">
        <v>0</v>
      </c>
      <c r="AR592" s="1032">
        <v>791064.19</v>
      </c>
      <c r="AS592" s="1027"/>
      <c r="AT592" s="68" t="s">
        <v>74</v>
      </c>
      <c r="AU592" s="12"/>
      <c r="AV592" s="243" t="s">
        <v>68</v>
      </c>
      <c r="AW592" s="54" t="s">
        <v>68</v>
      </c>
      <c r="AX592" s="75">
        <v>44540</v>
      </c>
      <c r="AY592" s="255">
        <v>44523</v>
      </c>
      <c r="AZ592" s="255">
        <v>44560</v>
      </c>
      <c r="BA592" s="245">
        <v>44540</v>
      </c>
      <c r="BB592" s="75">
        <v>44540</v>
      </c>
      <c r="BC592" s="1950"/>
      <c r="BD592" s="5">
        <v>44523</v>
      </c>
      <c r="BE592" s="5">
        <v>44560</v>
      </c>
      <c r="BF592" s="5">
        <v>44540</v>
      </c>
      <c r="BG592" s="38">
        <f>AR592</f>
        <v>791064.19</v>
      </c>
      <c r="BH592" s="711">
        <v>44540</v>
      </c>
      <c r="BI592" s="372">
        <v>44522</v>
      </c>
      <c r="BJ592" s="689">
        <v>44516</v>
      </c>
      <c r="BK592" s="76">
        <v>44522</v>
      </c>
      <c r="BL592" s="238" t="s">
        <v>74</v>
      </c>
      <c r="BM592" s="689">
        <v>44516</v>
      </c>
      <c r="BN592" s="689">
        <v>44516</v>
      </c>
      <c r="BO592" s="1054">
        <v>44516</v>
      </c>
      <c r="BP592" s="689">
        <v>44539</v>
      </c>
      <c r="BQ592" s="689">
        <v>44540</v>
      </c>
      <c r="BR592" s="796"/>
      <c r="BS592" s="794"/>
      <c r="BT592" s="14"/>
      <c r="BU592" s="166"/>
      <c r="BV592" s="14"/>
      <c r="BW592" s="14"/>
      <c r="BX592" s="14"/>
      <c r="BY592" s="1433" t="s">
        <v>3989</v>
      </c>
      <c r="BZ592" s="40"/>
      <c r="CA592" s="582"/>
      <c r="CB592" s="582"/>
      <c r="CC592" s="582"/>
      <c r="CD592" s="582"/>
      <c r="CE592" s="582"/>
      <c r="CF592" s="582"/>
      <c r="CG592" s="582"/>
      <c r="CH592" s="16"/>
    </row>
    <row r="593" spans="1:86" ht="76.5" hidden="1" customHeight="1">
      <c r="B593" s="23"/>
      <c r="C593" s="1982"/>
      <c r="D593" s="1982"/>
      <c r="E593" s="1051">
        <v>44805</v>
      </c>
      <c r="F593" s="1051"/>
      <c r="G593" s="1055">
        <v>44701</v>
      </c>
      <c r="H593" s="365">
        <v>37298</v>
      </c>
      <c r="I593" s="182">
        <v>2021</v>
      </c>
      <c r="J593" s="1678">
        <v>217.25</v>
      </c>
      <c r="K593" s="183" t="s">
        <v>77</v>
      </c>
      <c r="L593" s="191" t="s">
        <v>3491</v>
      </c>
      <c r="M593" s="185" t="s">
        <v>79</v>
      </c>
      <c r="N593" s="495" t="s">
        <v>4075</v>
      </c>
      <c r="O593" s="495" t="s">
        <v>1979</v>
      </c>
      <c r="P593" s="661">
        <v>100144.26</v>
      </c>
      <c r="Q593" s="657">
        <v>44522</v>
      </c>
      <c r="R593" s="189">
        <v>44524</v>
      </c>
      <c r="S593" s="190">
        <v>44558</v>
      </c>
      <c r="T593" s="578">
        <v>44522</v>
      </c>
      <c r="U593" s="739" t="s">
        <v>3352</v>
      </c>
      <c r="V593" s="716" t="s">
        <v>449</v>
      </c>
      <c r="W593" s="740">
        <v>44522</v>
      </c>
      <c r="X593" s="1625" t="s">
        <v>4334</v>
      </c>
      <c r="Y593" s="180" t="s">
        <v>4243</v>
      </c>
      <c r="Z593" s="9">
        <v>44520</v>
      </c>
      <c r="AA593" s="4">
        <v>100144.26</v>
      </c>
      <c r="AB593" s="4"/>
      <c r="AC593" s="34"/>
      <c r="AD593" s="645" t="s">
        <v>68</v>
      </c>
      <c r="AE593" s="646" t="s">
        <v>68</v>
      </c>
      <c r="AF593" s="646" t="s">
        <v>68</v>
      </c>
      <c r="AG593" s="647" t="s">
        <v>68</v>
      </c>
      <c r="AH593" s="644" t="s">
        <v>68</v>
      </c>
      <c r="AI593" s="180" t="s">
        <v>1011</v>
      </c>
      <c r="AJ593" s="71" t="s">
        <v>68</v>
      </c>
      <c r="AK593" s="255"/>
      <c r="AL593" s="202" t="s">
        <v>4244</v>
      </c>
      <c r="AM593" s="255">
        <v>44524</v>
      </c>
      <c r="AN593" s="202" t="s">
        <v>4245</v>
      </c>
      <c r="AO593" s="5">
        <v>44536</v>
      </c>
      <c r="AP593" s="306">
        <f>10014.43*2</f>
        <v>20028.86</v>
      </c>
      <c r="AQ593" s="37">
        <v>0</v>
      </c>
      <c r="AR593" s="1032">
        <v>100144.26</v>
      </c>
      <c r="AS593" s="1027"/>
      <c r="AT593" s="68" t="s">
        <v>74</v>
      </c>
      <c r="AU593" s="12"/>
      <c r="AV593" s="243" t="s">
        <v>68</v>
      </c>
      <c r="AW593" s="54" t="s">
        <v>68</v>
      </c>
      <c r="AX593" s="1873">
        <v>44536</v>
      </c>
      <c r="AY593" s="1874">
        <v>44524</v>
      </c>
      <c r="AZ593" s="1874">
        <v>44558</v>
      </c>
      <c r="BA593" s="1875">
        <v>44536</v>
      </c>
      <c r="BB593" s="1873">
        <v>44537</v>
      </c>
      <c r="BC593" s="1967"/>
      <c r="BD593" s="1874">
        <v>44524</v>
      </c>
      <c r="BE593" s="1874">
        <v>44558</v>
      </c>
      <c r="BF593" s="1874">
        <v>44536</v>
      </c>
      <c r="BG593" s="1876">
        <f>AR593</f>
        <v>100144.26</v>
      </c>
      <c r="BH593" s="1877">
        <v>44537</v>
      </c>
      <c r="BI593" s="1878">
        <v>44506</v>
      </c>
      <c r="BJ593" s="238" t="s">
        <v>74</v>
      </c>
      <c r="BK593" s="1874">
        <v>44523</v>
      </c>
      <c r="BL593" s="238" t="s">
        <v>74</v>
      </c>
      <c r="BM593" s="238" t="s">
        <v>74</v>
      </c>
      <c r="BN593" s="238" t="s">
        <v>74</v>
      </c>
      <c r="BO593" s="1054" t="s">
        <v>74</v>
      </c>
      <c r="BP593" s="238" t="s">
        <v>74</v>
      </c>
      <c r="BQ593" s="238" t="s">
        <v>74</v>
      </c>
      <c r="BR593" s="796"/>
      <c r="BS593" s="794"/>
      <c r="BT593" s="14"/>
      <c r="BU593" s="166"/>
      <c r="BV593" s="14"/>
      <c r="BW593" s="14"/>
      <c r="BX593" s="14"/>
      <c r="BY593" s="1433" t="s">
        <v>3989</v>
      </c>
      <c r="BZ593" s="40"/>
      <c r="CA593" s="582"/>
      <c r="CB593" s="582"/>
      <c r="CC593" s="582"/>
      <c r="CD593" s="582"/>
      <c r="CE593" s="582"/>
      <c r="CF593" s="582"/>
      <c r="CG593" s="582"/>
      <c r="CH593" s="16"/>
    </row>
    <row r="594" spans="1:86" ht="81" hidden="1" customHeight="1">
      <c r="B594" s="23"/>
      <c r="C594" s="1982"/>
      <c r="D594" s="1982"/>
      <c r="E594" s="1051">
        <v>44805</v>
      </c>
      <c r="F594" s="1051"/>
      <c r="G594" s="1055">
        <v>44595</v>
      </c>
      <c r="H594" s="365">
        <v>44603</v>
      </c>
      <c r="I594" s="182">
        <v>2021</v>
      </c>
      <c r="J594" s="1678">
        <v>217.26</v>
      </c>
      <c r="K594" s="183" t="s">
        <v>77</v>
      </c>
      <c r="L594" s="191" t="s">
        <v>3492</v>
      </c>
      <c r="M594" s="185" t="s">
        <v>79</v>
      </c>
      <c r="N594" s="495" t="s">
        <v>4076</v>
      </c>
      <c r="O594" s="495" t="s">
        <v>4458</v>
      </c>
      <c r="P594" s="661">
        <v>252763.45</v>
      </c>
      <c r="Q594" s="657">
        <v>44522</v>
      </c>
      <c r="R594" s="189">
        <v>44523</v>
      </c>
      <c r="S594" s="190">
        <v>44559</v>
      </c>
      <c r="T594" s="578">
        <v>44522</v>
      </c>
      <c r="U594" s="739" t="s">
        <v>739</v>
      </c>
      <c r="V594" s="716" t="s">
        <v>449</v>
      </c>
      <c r="W594" s="740">
        <v>44510</v>
      </c>
      <c r="X594" s="1625" t="s">
        <v>4334</v>
      </c>
      <c r="Y594" s="180" t="s">
        <v>4242</v>
      </c>
      <c r="Z594" s="9">
        <v>44520</v>
      </c>
      <c r="AA594" s="4">
        <v>252763.45</v>
      </c>
      <c r="AB594" s="4"/>
      <c r="AC594" s="34"/>
      <c r="AD594" s="645" t="s">
        <v>68</v>
      </c>
      <c r="AE594" s="646" t="s">
        <v>68</v>
      </c>
      <c r="AF594" s="646" t="s">
        <v>68</v>
      </c>
      <c r="AG594" s="647" t="s">
        <v>68</v>
      </c>
      <c r="AH594" s="644" t="s">
        <v>68</v>
      </c>
      <c r="AI594" s="180" t="s">
        <v>4241</v>
      </c>
      <c r="AJ594" s="71" t="s">
        <v>68</v>
      </c>
      <c r="AK594" s="255"/>
      <c r="AL594" s="71">
        <v>2619219</v>
      </c>
      <c r="AM594" s="255">
        <v>44522</v>
      </c>
      <c r="AN594" s="71">
        <v>2630048</v>
      </c>
      <c r="AO594" s="255">
        <v>44552</v>
      </c>
      <c r="AP594" s="601">
        <f>25276.34*2</f>
        <v>50552.68</v>
      </c>
      <c r="AQ594" s="74">
        <v>0</v>
      </c>
      <c r="AR594" s="1032">
        <v>252763.45</v>
      </c>
      <c r="AS594" s="1027"/>
      <c r="AT594" s="68" t="s">
        <v>74</v>
      </c>
      <c r="AU594" s="12"/>
      <c r="AV594" s="243" t="s">
        <v>68</v>
      </c>
      <c r="AW594" s="54" t="s">
        <v>68</v>
      </c>
      <c r="AX594" s="75">
        <v>44552</v>
      </c>
      <c r="AY594" s="76">
        <v>44536</v>
      </c>
      <c r="AZ594" s="76">
        <v>44559</v>
      </c>
      <c r="BA594" s="134">
        <v>44552</v>
      </c>
      <c r="BB594" s="75">
        <v>44552</v>
      </c>
      <c r="BC594" s="1950"/>
      <c r="BD594" s="5">
        <v>44536</v>
      </c>
      <c r="BE594" s="5">
        <v>44559</v>
      </c>
      <c r="BF594" s="5">
        <v>44552</v>
      </c>
      <c r="BG594" s="38">
        <f>AR594</f>
        <v>252763.45</v>
      </c>
      <c r="BH594" s="711">
        <v>44552</v>
      </c>
      <c r="BI594" s="372">
        <v>44522</v>
      </c>
      <c r="BJ594" s="689">
        <v>44533</v>
      </c>
      <c r="BK594" s="76">
        <v>44536</v>
      </c>
      <c r="BL594" s="238" t="s">
        <v>74</v>
      </c>
      <c r="BM594" s="689">
        <v>44516</v>
      </c>
      <c r="BN594" s="689">
        <v>44516</v>
      </c>
      <c r="BO594" s="1054">
        <v>44516</v>
      </c>
      <c r="BP594" s="689">
        <v>44551</v>
      </c>
      <c r="BQ594" s="689">
        <v>44552</v>
      </c>
      <c r="BR594" s="796"/>
      <c r="BS594" s="794"/>
      <c r="BT594" s="14"/>
      <c r="BU594" s="166"/>
      <c r="BV594" s="14"/>
      <c r="BW594" s="14"/>
      <c r="BX594" s="14"/>
      <c r="BY594" s="1433" t="s">
        <v>3989</v>
      </c>
      <c r="BZ594" s="40"/>
      <c r="CA594" s="582"/>
      <c r="CB594" s="582"/>
      <c r="CC594" s="582"/>
      <c r="CD594" s="582"/>
      <c r="CE594" s="582"/>
      <c r="CF594" s="582"/>
      <c r="CG594" s="582"/>
      <c r="CH594" s="16"/>
    </row>
    <row r="595" spans="1:86" ht="87.75" hidden="1" customHeight="1">
      <c r="B595" s="23"/>
      <c r="C595" s="1988"/>
      <c r="D595" s="1988"/>
      <c r="E595" s="1051">
        <v>44805</v>
      </c>
      <c r="F595" s="1051"/>
      <c r="G595" s="1055">
        <v>44701</v>
      </c>
      <c r="H595" s="365">
        <v>44659</v>
      </c>
      <c r="I595" s="182">
        <v>2021</v>
      </c>
      <c r="J595" s="1678">
        <v>217.27</v>
      </c>
      <c r="K595" s="183" t="s">
        <v>166</v>
      </c>
      <c r="L595" s="191" t="s">
        <v>3493</v>
      </c>
      <c r="M595" s="185" t="s">
        <v>79</v>
      </c>
      <c r="N595" s="495" t="s">
        <v>4080</v>
      </c>
      <c r="O595" s="495" t="s">
        <v>2574</v>
      </c>
      <c r="P595" s="187">
        <v>360015.52</v>
      </c>
      <c r="Q595" s="657">
        <v>44560</v>
      </c>
      <c r="R595" s="664">
        <v>44560</v>
      </c>
      <c r="S595" s="665">
        <v>44569</v>
      </c>
      <c r="T595" s="578">
        <v>44560</v>
      </c>
      <c r="U595" s="739" t="s">
        <v>739</v>
      </c>
      <c r="V595" s="716" t="s">
        <v>70</v>
      </c>
      <c r="W595" s="740" t="s">
        <v>1431</v>
      </c>
      <c r="X595" s="1624" t="s">
        <v>4670</v>
      </c>
      <c r="Y595" s="180" t="s">
        <v>4326</v>
      </c>
      <c r="Z595" s="9">
        <v>44560</v>
      </c>
      <c r="AA595" s="4">
        <v>360015.52</v>
      </c>
      <c r="AB595" s="4"/>
      <c r="AC595" s="34"/>
      <c r="AD595" s="645" t="s">
        <v>68</v>
      </c>
      <c r="AE595" s="646" t="s">
        <v>68</v>
      </c>
      <c r="AF595" s="646" t="s">
        <v>68</v>
      </c>
      <c r="AG595" s="647" t="s">
        <v>68</v>
      </c>
      <c r="AH595" s="644" t="s">
        <v>68</v>
      </c>
      <c r="AI595" s="180" t="s">
        <v>4241</v>
      </c>
      <c r="AJ595" s="71" t="s">
        <v>68</v>
      </c>
      <c r="AK595" s="255"/>
      <c r="AL595" s="71">
        <v>2640178</v>
      </c>
      <c r="AM595" s="255">
        <v>44560</v>
      </c>
      <c r="AN595" s="71">
        <v>2640179</v>
      </c>
      <c r="AO595" s="5">
        <v>44588</v>
      </c>
      <c r="AP595" s="306">
        <f>36001.55*2</f>
        <v>72003.100000000006</v>
      </c>
      <c r="AQ595" s="37">
        <v>0</v>
      </c>
      <c r="AR595" s="1032">
        <v>347130.35</v>
      </c>
      <c r="AS595" s="1027"/>
      <c r="AT595" s="68" t="s">
        <v>74</v>
      </c>
      <c r="AU595" s="12"/>
      <c r="AV595" s="243"/>
      <c r="AW595" s="54"/>
      <c r="AX595" s="75">
        <v>44571</v>
      </c>
      <c r="AY595" s="76">
        <v>44560</v>
      </c>
      <c r="AZ595" s="76">
        <v>44571</v>
      </c>
      <c r="BA595" s="134">
        <v>44571</v>
      </c>
      <c r="BB595" s="75">
        <v>44571</v>
      </c>
      <c r="BC595" s="1950"/>
      <c r="BD595" s="76">
        <v>44560</v>
      </c>
      <c r="BE595" s="76">
        <v>44571</v>
      </c>
      <c r="BF595" s="76">
        <v>44571</v>
      </c>
      <c r="BG595" s="136">
        <f>AR595</f>
        <v>347130.35</v>
      </c>
      <c r="BH595" s="1833">
        <v>44571</v>
      </c>
      <c r="BI595" s="372">
        <v>44560</v>
      </c>
      <c r="BJ595" s="1187"/>
      <c r="BK595" s="76">
        <v>44559</v>
      </c>
      <c r="BL595" s="1230"/>
      <c r="BM595" s="1230"/>
      <c r="BN595" s="1230"/>
      <c r="BO595" s="1054"/>
      <c r="BP595" s="1230"/>
      <c r="BQ595" s="1230"/>
      <c r="BR595" s="796"/>
      <c r="BS595" s="794"/>
      <c r="BT595" s="14"/>
      <c r="BU595" s="166"/>
      <c r="BV595" s="14"/>
      <c r="BW595" s="14"/>
      <c r="BX595" s="14"/>
      <c r="BY595" s="1433" t="s">
        <v>3989</v>
      </c>
      <c r="BZ595" s="40"/>
      <c r="CA595" s="582"/>
      <c r="CB595" s="582"/>
      <c r="CC595" s="582"/>
      <c r="CD595" s="582"/>
      <c r="CE595" s="582"/>
      <c r="CF595" s="582"/>
      <c r="CG595" s="582"/>
      <c r="CH595" s="16"/>
    </row>
    <row r="596" spans="1:86" ht="87.75" hidden="1" customHeight="1">
      <c r="A596" s="1711">
        <v>0</v>
      </c>
      <c r="B596" s="23"/>
      <c r="C596" s="1982"/>
      <c r="D596" s="1982"/>
      <c r="E596" s="1051">
        <v>44805</v>
      </c>
      <c r="F596" s="1871">
        <v>44774</v>
      </c>
      <c r="G596" s="1055">
        <v>45072</v>
      </c>
      <c r="H596" s="365">
        <v>45084</v>
      </c>
      <c r="I596" s="182">
        <v>2022</v>
      </c>
      <c r="J596" s="1678">
        <v>220.01</v>
      </c>
      <c r="K596" s="183" t="s">
        <v>166</v>
      </c>
      <c r="L596" s="191" t="s">
        <v>4352</v>
      </c>
      <c r="M596" s="185" t="s">
        <v>4077</v>
      </c>
      <c r="N596" s="495" t="s">
        <v>4558</v>
      </c>
      <c r="O596" s="494" t="s">
        <v>68</v>
      </c>
      <c r="P596" s="187">
        <v>70000</v>
      </c>
      <c r="Q596" s="657">
        <v>44693</v>
      </c>
      <c r="R596" s="189">
        <v>44697</v>
      </c>
      <c r="S596" s="190">
        <v>44728</v>
      </c>
      <c r="T596" s="578" t="s">
        <v>1431</v>
      </c>
      <c r="U596" s="739" t="s">
        <v>1177</v>
      </c>
      <c r="V596" s="716" t="s">
        <v>213</v>
      </c>
      <c r="W596" s="1285" t="s">
        <v>1431</v>
      </c>
      <c r="X596" s="1629" t="s">
        <v>5061</v>
      </c>
      <c r="Y596" s="180" t="s">
        <v>4428</v>
      </c>
      <c r="Z596" s="9">
        <v>44692</v>
      </c>
      <c r="AA596" s="4">
        <v>70000</v>
      </c>
      <c r="AB596" s="4"/>
      <c r="AC596" s="34"/>
      <c r="AD596" s="645" t="s">
        <v>68</v>
      </c>
      <c r="AE596" s="646" t="s">
        <v>68</v>
      </c>
      <c r="AF596" s="646" t="s">
        <v>68</v>
      </c>
      <c r="AG596" s="647" t="s">
        <v>68</v>
      </c>
      <c r="AH596" s="644" t="s">
        <v>68</v>
      </c>
      <c r="AI596" s="180" t="s">
        <v>68</v>
      </c>
      <c r="AJ596" s="71" t="s">
        <v>68</v>
      </c>
      <c r="AK596" s="255"/>
      <c r="AL596" s="71" t="s">
        <v>68</v>
      </c>
      <c r="AM596" s="255"/>
      <c r="AN596" s="71" t="s">
        <v>68</v>
      </c>
      <c r="AO596" s="5"/>
      <c r="AP596" s="306">
        <v>0</v>
      </c>
      <c r="AQ596" s="771"/>
      <c r="AR596" s="1040">
        <v>15106.08</v>
      </c>
      <c r="AS596" s="1027"/>
      <c r="AT596" s="68" t="s">
        <v>74</v>
      </c>
      <c r="AU596" s="12"/>
      <c r="AV596" s="243"/>
      <c r="AW596" s="54"/>
      <c r="AX596" s="68" t="s">
        <v>74</v>
      </c>
      <c r="AY596" s="255"/>
      <c r="AZ596" s="255"/>
      <c r="BA596" s="245"/>
      <c r="BB596" s="68" t="s">
        <v>74</v>
      </c>
      <c r="BC596" s="1952" t="str">
        <f>L596</f>
        <v>DOP/AD/001/2022</v>
      </c>
      <c r="BD596" s="5"/>
      <c r="BE596" s="5"/>
      <c r="BF596" s="5"/>
      <c r="BG596" s="66">
        <f>AQ596+AR596</f>
        <v>15106.08</v>
      </c>
      <c r="BH596" s="1842" t="s">
        <v>68</v>
      </c>
      <c r="BI596" s="1228"/>
      <c r="BJ596" s="795" t="s">
        <v>68</v>
      </c>
      <c r="BK596" s="795" t="s">
        <v>68</v>
      </c>
      <c r="BL596" s="1230"/>
      <c r="BM596" s="796" t="s">
        <v>68</v>
      </c>
      <c r="BN596" s="796" t="s">
        <v>68</v>
      </c>
      <c r="BO596" s="1054" t="s">
        <v>68</v>
      </c>
      <c r="BP596" s="796" t="s">
        <v>68</v>
      </c>
      <c r="BQ596" s="796" t="s">
        <v>68</v>
      </c>
      <c r="BR596" s="1283">
        <v>0</v>
      </c>
      <c r="BS596" s="1284">
        <v>0</v>
      </c>
      <c r="BT596" s="14"/>
      <c r="BU596" s="166"/>
      <c r="BV596" s="14"/>
      <c r="BW596" s="14"/>
      <c r="BX596" s="14"/>
      <c r="BY596" s="1433" t="s">
        <v>3989</v>
      </c>
      <c r="BZ596" s="40"/>
      <c r="CA596" s="582"/>
      <c r="CB596" s="582"/>
      <c r="CC596" s="582"/>
      <c r="CD596" s="582"/>
      <c r="CE596" s="582"/>
      <c r="CF596" s="582"/>
      <c r="CG596" s="582"/>
      <c r="CH596" s="16"/>
    </row>
    <row r="597" spans="1:86" ht="87.75" hidden="1" customHeight="1">
      <c r="B597" s="23"/>
      <c r="C597" s="1982"/>
      <c r="D597" s="1982"/>
      <c r="E597" s="1051">
        <v>44805</v>
      </c>
      <c r="F597" s="1871">
        <v>44774</v>
      </c>
      <c r="G597" s="1055">
        <v>44889</v>
      </c>
      <c r="H597" s="365">
        <v>45084</v>
      </c>
      <c r="I597" s="182">
        <v>2022</v>
      </c>
      <c r="J597" s="1678">
        <v>220.01</v>
      </c>
      <c r="K597" s="183" t="s">
        <v>77</v>
      </c>
      <c r="L597" s="191" t="s">
        <v>4353</v>
      </c>
      <c r="M597" s="185" t="s">
        <v>4077</v>
      </c>
      <c r="N597" s="495" t="s">
        <v>4403</v>
      </c>
      <c r="O597" s="186" t="s">
        <v>3664</v>
      </c>
      <c r="P597" s="187">
        <v>60152.28</v>
      </c>
      <c r="Q597" s="657">
        <v>44707</v>
      </c>
      <c r="R597" s="189">
        <v>44718</v>
      </c>
      <c r="S597" s="190">
        <v>44726</v>
      </c>
      <c r="T597" s="578" t="s">
        <v>1431</v>
      </c>
      <c r="U597" s="739" t="s">
        <v>1177</v>
      </c>
      <c r="V597" s="716" t="s">
        <v>1107</v>
      </c>
      <c r="W597" s="740">
        <v>44711</v>
      </c>
      <c r="X597" s="1629" t="s">
        <v>5061</v>
      </c>
      <c r="Y597" s="180" t="s">
        <v>4430</v>
      </c>
      <c r="Z597" s="9">
        <v>44704</v>
      </c>
      <c r="AA597" s="4">
        <v>61641.91</v>
      </c>
      <c r="AB597" s="4"/>
      <c r="AC597" s="34"/>
      <c r="AD597" s="645" t="s">
        <v>68</v>
      </c>
      <c r="AE597" s="646" t="s">
        <v>68</v>
      </c>
      <c r="AF597" s="646" t="s">
        <v>68</v>
      </c>
      <c r="AG597" s="647" t="s">
        <v>68</v>
      </c>
      <c r="AH597" s="644" t="s">
        <v>68</v>
      </c>
      <c r="AI597" s="180" t="s">
        <v>68</v>
      </c>
      <c r="AJ597" s="71" t="s">
        <v>68</v>
      </c>
      <c r="AK597" s="255"/>
      <c r="AL597" s="71" t="s">
        <v>68</v>
      </c>
      <c r="AM597" s="255"/>
      <c r="AN597" s="71" t="s">
        <v>68</v>
      </c>
      <c r="AO597" s="5"/>
      <c r="AP597" s="306">
        <v>0</v>
      </c>
      <c r="AQ597" s="74">
        <v>29316.07</v>
      </c>
      <c r="AR597" s="1032">
        <v>33640.46</v>
      </c>
      <c r="AS597" s="1027"/>
      <c r="AT597" s="68" t="s">
        <v>74</v>
      </c>
      <c r="AU597" s="12"/>
      <c r="AV597" s="243"/>
      <c r="AW597" s="54"/>
      <c r="AX597" s="75">
        <v>44727</v>
      </c>
      <c r="AY597" s="255">
        <v>44718</v>
      </c>
      <c r="AZ597" s="255">
        <v>44726</v>
      </c>
      <c r="BA597" s="245"/>
      <c r="BB597" s="75">
        <v>44728</v>
      </c>
      <c r="BC597" s="1952" t="str">
        <f>L597</f>
        <v>DOP/AD/002/2022</v>
      </c>
      <c r="BD597" s="5">
        <v>44718</v>
      </c>
      <c r="BE597" s="5">
        <v>44726</v>
      </c>
      <c r="BF597" s="5">
        <v>44726</v>
      </c>
      <c r="BG597" s="270">
        <f>AQ597+AR597+295.69</f>
        <v>63252.22</v>
      </c>
      <c r="BH597" s="1842" t="s">
        <v>68</v>
      </c>
      <c r="BI597" s="372">
        <v>44711</v>
      </c>
      <c r="BJ597" s="795" t="s">
        <v>68</v>
      </c>
      <c r="BK597" s="795" t="s">
        <v>68</v>
      </c>
      <c r="BL597" s="1230"/>
      <c r="BM597" s="796" t="s">
        <v>68</v>
      </c>
      <c r="BN597" s="796" t="s">
        <v>68</v>
      </c>
      <c r="BO597" s="1054" t="s">
        <v>68</v>
      </c>
      <c r="BP597" s="796" t="s">
        <v>68</v>
      </c>
      <c r="BQ597" s="796" t="s">
        <v>68</v>
      </c>
      <c r="BR597" s="1283">
        <v>0</v>
      </c>
      <c r="BS597" s="1284">
        <v>0</v>
      </c>
      <c r="BT597" s="14"/>
      <c r="BU597" s="166"/>
      <c r="BV597" s="14"/>
      <c r="BW597" s="14"/>
      <c r="BX597" s="14"/>
      <c r="BY597" s="1433" t="s">
        <v>3989</v>
      </c>
      <c r="BZ597" s="40"/>
      <c r="CA597" s="582"/>
      <c r="CB597" s="582"/>
      <c r="CC597" s="582"/>
      <c r="CD597" s="582"/>
      <c r="CE597" s="582"/>
      <c r="CF597" s="582"/>
      <c r="CG597" s="582"/>
      <c r="CH597" s="16"/>
    </row>
    <row r="598" spans="1:86" ht="99.75" hidden="1" customHeight="1">
      <c r="B598" s="23"/>
      <c r="C598" s="1982"/>
      <c r="D598" s="1982"/>
      <c r="E598" s="1051">
        <v>44805</v>
      </c>
      <c r="F598" s="1051"/>
      <c r="G598" s="1055">
        <v>45072</v>
      </c>
      <c r="H598" s="365">
        <v>45084</v>
      </c>
      <c r="I598" s="182">
        <v>2022</v>
      </c>
      <c r="J598" s="1678">
        <v>220.01</v>
      </c>
      <c r="K598" s="183" t="s">
        <v>166</v>
      </c>
      <c r="L598" s="191" t="s">
        <v>4354</v>
      </c>
      <c r="M598" s="185" t="s">
        <v>4077</v>
      </c>
      <c r="N598" s="495" t="s">
        <v>4538</v>
      </c>
      <c r="O598" s="495" t="s">
        <v>4458</v>
      </c>
      <c r="P598" s="187">
        <v>81200</v>
      </c>
      <c r="Q598" s="657">
        <v>44777</v>
      </c>
      <c r="R598" s="189">
        <v>44781</v>
      </c>
      <c r="S598" s="190">
        <v>44799</v>
      </c>
      <c r="T598" s="578" t="s">
        <v>1431</v>
      </c>
      <c r="U598" s="739" t="s">
        <v>1177</v>
      </c>
      <c r="V598" s="716" t="s">
        <v>1107</v>
      </c>
      <c r="W598" s="1285" t="s">
        <v>1431</v>
      </c>
      <c r="X598" s="1629" t="s">
        <v>68</v>
      </c>
      <c r="Y598" s="280"/>
      <c r="Z598" s="9"/>
      <c r="AA598" s="4"/>
      <c r="AB598" s="4"/>
      <c r="AC598" s="34"/>
      <c r="AD598" s="645" t="s">
        <v>68</v>
      </c>
      <c r="AE598" s="646" t="s">
        <v>68</v>
      </c>
      <c r="AF598" s="646" t="s">
        <v>68</v>
      </c>
      <c r="AG598" s="647" t="s">
        <v>68</v>
      </c>
      <c r="AH598" s="644" t="s">
        <v>68</v>
      </c>
      <c r="AI598" s="180" t="s">
        <v>68</v>
      </c>
      <c r="AJ598" s="71" t="s">
        <v>68</v>
      </c>
      <c r="AK598" s="255"/>
      <c r="AL598" s="71" t="s">
        <v>68</v>
      </c>
      <c r="AM598" s="255"/>
      <c r="AN598" s="71" t="s">
        <v>68</v>
      </c>
      <c r="AO598" s="5"/>
      <c r="AP598" s="306">
        <v>0</v>
      </c>
      <c r="AQ598" s="74">
        <v>28140</v>
      </c>
      <c r="AR598" s="1032">
        <v>56972.38</v>
      </c>
      <c r="AS598" s="1027"/>
      <c r="AT598" s="68" t="s">
        <v>74</v>
      </c>
      <c r="AU598" s="12"/>
      <c r="AV598" s="243"/>
      <c r="AW598" s="54"/>
      <c r="AX598" s="75">
        <v>44802</v>
      </c>
      <c r="AY598" s="76">
        <v>44781</v>
      </c>
      <c r="AZ598" s="76">
        <v>44799</v>
      </c>
      <c r="BA598" s="134">
        <v>44799</v>
      </c>
      <c r="BB598" s="75">
        <v>44649</v>
      </c>
      <c r="BC598" s="1952" t="str">
        <f>L598</f>
        <v>DOP/AD/003/2022</v>
      </c>
      <c r="BD598" s="5">
        <v>44781</v>
      </c>
      <c r="BE598" s="5">
        <v>44799</v>
      </c>
      <c r="BF598" s="5">
        <v>44799</v>
      </c>
      <c r="BG598" s="38">
        <f>AQ598+AR598</f>
        <v>85112.38</v>
      </c>
      <c r="BH598" s="1842" t="s">
        <v>68</v>
      </c>
      <c r="BI598" s="372">
        <v>44784</v>
      </c>
      <c r="BJ598" s="795" t="s">
        <v>68</v>
      </c>
      <c r="BK598" s="795" t="s">
        <v>68</v>
      </c>
      <c r="BL598" s="1230"/>
      <c r="BM598" s="796" t="s">
        <v>68</v>
      </c>
      <c r="BN598" s="796" t="s">
        <v>68</v>
      </c>
      <c r="BO598" s="1054" t="s">
        <v>68</v>
      </c>
      <c r="BP598" s="796" t="s">
        <v>68</v>
      </c>
      <c r="BQ598" s="796" t="s">
        <v>68</v>
      </c>
      <c r="BR598" s="1283">
        <v>0</v>
      </c>
      <c r="BS598" s="1284">
        <v>0</v>
      </c>
      <c r="BT598" s="14"/>
      <c r="BU598" s="166"/>
      <c r="BV598" s="14"/>
      <c r="BW598" s="14"/>
      <c r="BX598" s="14"/>
      <c r="BY598" s="1433" t="s">
        <v>3989</v>
      </c>
      <c r="BZ598" s="40"/>
      <c r="CA598" s="582"/>
      <c r="CB598" s="582"/>
      <c r="CC598" s="582"/>
      <c r="CD598" s="582"/>
      <c r="CE598" s="582"/>
      <c r="CF598" s="582"/>
      <c r="CG598" s="582"/>
      <c r="CH598" s="16"/>
    </row>
    <row r="599" spans="1:86" ht="87.75" hidden="1" customHeight="1">
      <c r="B599" s="23"/>
      <c r="C599" s="1982"/>
      <c r="D599" s="1982"/>
      <c r="E599" s="1051">
        <v>44805</v>
      </c>
      <c r="F599" s="1051"/>
      <c r="G599" s="1055">
        <v>45076</v>
      </c>
      <c r="H599" s="365">
        <v>45084</v>
      </c>
      <c r="I599" s="182">
        <v>2022</v>
      </c>
      <c r="J599" s="1678">
        <v>220.01</v>
      </c>
      <c r="K599" s="183" t="s">
        <v>166</v>
      </c>
      <c r="L599" s="191" t="s">
        <v>5055</v>
      </c>
      <c r="M599" s="185" t="s">
        <v>4077</v>
      </c>
      <c r="N599" s="494" t="s">
        <v>5060</v>
      </c>
      <c r="O599" s="494" t="s">
        <v>2613</v>
      </c>
      <c r="P599" s="187">
        <v>330190.86</v>
      </c>
      <c r="Q599" s="657">
        <v>44595</v>
      </c>
      <c r="R599" s="189">
        <v>44599</v>
      </c>
      <c r="S599" s="190">
        <v>44617</v>
      </c>
      <c r="T599" s="578" t="s">
        <v>1431</v>
      </c>
      <c r="U599" s="739" t="s">
        <v>1177</v>
      </c>
      <c r="V599" s="716" t="s">
        <v>70</v>
      </c>
      <c r="W599" s="1285" t="s">
        <v>1431</v>
      </c>
      <c r="X599" s="1637"/>
      <c r="Y599" s="280"/>
      <c r="Z599" s="9"/>
      <c r="AA599" s="4"/>
      <c r="AB599" s="4"/>
      <c r="AC599" s="34"/>
      <c r="AD599" s="645" t="s">
        <v>68</v>
      </c>
      <c r="AE599" s="646" t="s">
        <v>68</v>
      </c>
      <c r="AF599" s="646" t="s">
        <v>68</v>
      </c>
      <c r="AG599" s="647" t="s">
        <v>68</v>
      </c>
      <c r="AH599" s="644" t="s">
        <v>68</v>
      </c>
      <c r="AI599" s="180" t="s">
        <v>68</v>
      </c>
      <c r="AJ599" s="71" t="s">
        <v>68</v>
      </c>
      <c r="AK599" s="255"/>
      <c r="AL599" s="71" t="s">
        <v>68</v>
      </c>
      <c r="AM599" s="255"/>
      <c r="AN599" s="71" t="s">
        <v>68</v>
      </c>
      <c r="AO599" s="5"/>
      <c r="AP599" s="306">
        <v>0</v>
      </c>
      <c r="AQ599" s="1211">
        <v>30441</v>
      </c>
      <c r="AR599" s="1038">
        <v>299750.75</v>
      </c>
      <c r="AS599" s="1027"/>
      <c r="AT599" s="68" t="s">
        <v>74</v>
      </c>
      <c r="AU599" s="12"/>
      <c r="AV599" s="243"/>
      <c r="AW599" s="54"/>
      <c r="AX599" s="68" t="s">
        <v>74</v>
      </c>
      <c r="AY599" s="255"/>
      <c r="AZ599" s="255"/>
      <c r="BA599" s="245"/>
      <c r="BB599" s="68" t="s">
        <v>74</v>
      </c>
      <c r="BC599" s="1964" t="str">
        <f>L599</f>
        <v>DOP/AD/001-A/2022</v>
      </c>
      <c r="BD599" s="5"/>
      <c r="BE599" s="5"/>
      <c r="BF599" s="5"/>
      <c r="BG599" s="66">
        <f>AQ599+AR599</f>
        <v>330191.75</v>
      </c>
      <c r="BH599" s="1842" t="s">
        <v>68</v>
      </c>
      <c r="BI599" s="1228"/>
      <c r="BJ599" s="795" t="s">
        <v>68</v>
      </c>
      <c r="BK599" s="795" t="s">
        <v>68</v>
      </c>
      <c r="BL599" s="1230"/>
      <c r="BM599" s="796" t="s">
        <v>68</v>
      </c>
      <c r="BN599" s="796" t="s">
        <v>68</v>
      </c>
      <c r="BO599" s="1054" t="s">
        <v>68</v>
      </c>
      <c r="BP599" s="796" t="s">
        <v>68</v>
      </c>
      <c r="BQ599" s="796" t="s">
        <v>68</v>
      </c>
      <c r="BR599" s="1283">
        <v>0</v>
      </c>
      <c r="BS599" s="1284">
        <v>0</v>
      </c>
      <c r="BT599" s="14"/>
      <c r="BU599" s="166"/>
      <c r="BV599" s="14"/>
      <c r="BW599" s="14"/>
      <c r="BX599" s="14"/>
      <c r="BY599" s="1433" t="s">
        <v>3989</v>
      </c>
      <c r="BZ599" s="40"/>
      <c r="CA599" s="582"/>
      <c r="CB599" s="582"/>
      <c r="CC599" s="582"/>
      <c r="CD599" s="582"/>
      <c r="CE599" s="582"/>
      <c r="CF599" s="582"/>
      <c r="CG599" s="582"/>
      <c r="CH599" s="16"/>
    </row>
    <row r="600" spans="1:86" ht="87.75" hidden="1" customHeight="1">
      <c r="B600" s="23"/>
      <c r="C600" s="1982"/>
      <c r="D600" s="1982"/>
      <c r="E600" s="1051">
        <v>45170</v>
      </c>
      <c r="F600" s="1051"/>
      <c r="G600" s="1055">
        <v>45072</v>
      </c>
      <c r="H600" s="365">
        <v>45084</v>
      </c>
      <c r="I600" s="182">
        <v>2022</v>
      </c>
      <c r="J600" s="1678">
        <v>220.01</v>
      </c>
      <c r="K600" s="183" t="s">
        <v>166</v>
      </c>
      <c r="L600" s="191" t="s">
        <v>4355</v>
      </c>
      <c r="M600" s="185" t="s">
        <v>4077</v>
      </c>
      <c r="N600" s="494" t="s">
        <v>4636</v>
      </c>
      <c r="O600" s="186" t="s">
        <v>4878</v>
      </c>
      <c r="P600" s="187">
        <v>86073.66</v>
      </c>
      <c r="Q600" s="657">
        <v>44875</v>
      </c>
      <c r="R600" s="189">
        <v>44886</v>
      </c>
      <c r="S600" s="190">
        <v>44893</v>
      </c>
      <c r="T600" s="578" t="s">
        <v>1431</v>
      </c>
      <c r="U600" s="739" t="s">
        <v>1177</v>
      </c>
      <c r="V600" s="1232" t="s">
        <v>70</v>
      </c>
      <c r="W600" s="1285" t="s">
        <v>1431</v>
      </c>
      <c r="X600" s="1629" t="s">
        <v>68</v>
      </c>
      <c r="Y600" s="180" t="s">
        <v>5062</v>
      </c>
      <c r="Z600" s="9">
        <v>44596</v>
      </c>
      <c r="AA600" s="4">
        <v>1500000</v>
      </c>
      <c r="AB600" s="4"/>
      <c r="AC600" s="34"/>
      <c r="AD600" s="645" t="s">
        <v>68</v>
      </c>
      <c r="AE600" s="646" t="s">
        <v>68</v>
      </c>
      <c r="AF600" s="646" t="s">
        <v>68</v>
      </c>
      <c r="AG600" s="647" t="s">
        <v>68</v>
      </c>
      <c r="AH600" s="644" t="s">
        <v>68</v>
      </c>
      <c r="AI600" s="180" t="s">
        <v>68</v>
      </c>
      <c r="AJ600" s="71" t="s">
        <v>68</v>
      </c>
      <c r="AK600" s="255"/>
      <c r="AL600" s="71" t="s">
        <v>68</v>
      </c>
      <c r="AM600" s="255"/>
      <c r="AN600" s="71" t="s">
        <v>68</v>
      </c>
      <c r="AO600" s="5"/>
      <c r="AP600" s="306">
        <v>0</v>
      </c>
      <c r="AQ600" s="74">
        <v>8265.2999999999993</v>
      </c>
      <c r="AR600" s="1032">
        <v>26874.38</v>
      </c>
      <c r="AS600" s="1027"/>
      <c r="AT600" s="68" t="s">
        <v>74</v>
      </c>
      <c r="AU600" s="12"/>
      <c r="AV600" s="243"/>
      <c r="AW600" s="54"/>
      <c r="AX600" s="68" t="s">
        <v>74</v>
      </c>
      <c r="AY600" s="255"/>
      <c r="AZ600" s="255"/>
      <c r="BA600" s="245"/>
      <c r="BB600" s="68" t="s">
        <v>74</v>
      </c>
      <c r="BC600" s="1964" t="str">
        <f t="shared" ref="BC600:BC605" si="19">L600</f>
        <v>DOP/AD/005/2022</v>
      </c>
      <c r="BD600" s="5"/>
      <c r="BE600" s="5"/>
      <c r="BF600" s="5"/>
      <c r="BG600" s="66">
        <f t="shared" ref="BG600:BG605" si="20">AQ600+AR600</f>
        <v>35139.68</v>
      </c>
      <c r="BH600" s="1842" t="s">
        <v>68</v>
      </c>
      <c r="BI600" s="372">
        <v>44875</v>
      </c>
      <c r="BJ600" s="795" t="s">
        <v>68</v>
      </c>
      <c r="BK600" s="795" t="s">
        <v>68</v>
      </c>
      <c r="BL600" s="1230"/>
      <c r="BM600" s="796" t="s">
        <v>68</v>
      </c>
      <c r="BN600" s="796" t="s">
        <v>68</v>
      </c>
      <c r="BO600" s="1054" t="s">
        <v>68</v>
      </c>
      <c r="BP600" s="796" t="s">
        <v>68</v>
      </c>
      <c r="BQ600" s="796" t="s">
        <v>68</v>
      </c>
      <c r="BR600" s="1283">
        <v>0</v>
      </c>
      <c r="BS600" s="1284">
        <v>0</v>
      </c>
      <c r="BT600" s="14"/>
      <c r="BU600" s="166"/>
      <c r="BV600" s="14"/>
      <c r="BW600" s="14"/>
      <c r="BX600" s="14"/>
      <c r="BY600" s="1433" t="s">
        <v>3989</v>
      </c>
      <c r="BZ600" s="40"/>
      <c r="CA600" s="582"/>
      <c r="CB600" s="582"/>
      <c r="CC600" s="582"/>
      <c r="CD600" s="582"/>
      <c r="CE600" s="582"/>
      <c r="CF600" s="582"/>
      <c r="CG600" s="582"/>
      <c r="CH600" s="16"/>
    </row>
    <row r="601" spans="1:86" ht="87.75" hidden="1" customHeight="1">
      <c r="B601" s="23"/>
      <c r="C601" s="1982"/>
      <c r="D601" s="1982"/>
      <c r="E601" s="1051">
        <v>45170</v>
      </c>
      <c r="F601" s="1051"/>
      <c r="G601" s="1055">
        <v>45072</v>
      </c>
      <c r="H601" s="365">
        <v>45084</v>
      </c>
      <c r="I601" s="182">
        <v>2022</v>
      </c>
      <c r="J601" s="1678">
        <v>220.01</v>
      </c>
      <c r="K601" s="183" t="s">
        <v>166</v>
      </c>
      <c r="L601" s="191" t="s">
        <v>4356</v>
      </c>
      <c r="M601" s="185" t="s">
        <v>4077</v>
      </c>
      <c r="N601" s="494" t="s">
        <v>4637</v>
      </c>
      <c r="O601" s="186" t="s">
        <v>4878</v>
      </c>
      <c r="P601" s="187">
        <v>109829.72</v>
      </c>
      <c r="Q601" s="657">
        <v>44875</v>
      </c>
      <c r="R601" s="189">
        <v>44879</v>
      </c>
      <c r="S601" s="190">
        <v>44886</v>
      </c>
      <c r="T601" s="578" t="s">
        <v>1431</v>
      </c>
      <c r="U601" s="739" t="s">
        <v>1177</v>
      </c>
      <c r="V601" s="1232" t="s">
        <v>70</v>
      </c>
      <c r="W601" s="1285" t="s">
        <v>1431</v>
      </c>
      <c r="X601" s="1629" t="s">
        <v>68</v>
      </c>
      <c r="Y601" s="180" t="s">
        <v>5062</v>
      </c>
      <c r="Z601" s="9">
        <v>44596</v>
      </c>
      <c r="AA601" s="4">
        <v>1500000</v>
      </c>
      <c r="AB601" s="4"/>
      <c r="AC601" s="34"/>
      <c r="AD601" s="645" t="s">
        <v>68</v>
      </c>
      <c r="AE601" s="646" t="s">
        <v>68</v>
      </c>
      <c r="AF601" s="646" t="s">
        <v>68</v>
      </c>
      <c r="AG601" s="647" t="s">
        <v>68</v>
      </c>
      <c r="AH601" s="644" t="s">
        <v>68</v>
      </c>
      <c r="AI601" s="180" t="s">
        <v>68</v>
      </c>
      <c r="AJ601" s="71" t="s">
        <v>68</v>
      </c>
      <c r="AK601" s="255"/>
      <c r="AL601" s="71" t="s">
        <v>68</v>
      </c>
      <c r="AM601" s="255"/>
      <c r="AN601" s="71" t="s">
        <v>68</v>
      </c>
      <c r="AO601" s="5"/>
      <c r="AP601" s="306">
        <v>0</v>
      </c>
      <c r="AQ601" s="1211">
        <v>24128.15</v>
      </c>
      <c r="AR601" s="1038">
        <v>47080.97</v>
      </c>
      <c r="AS601" s="1027"/>
      <c r="AT601" s="68" t="s">
        <v>74</v>
      </c>
      <c r="AU601" s="12"/>
      <c r="AV601" s="243"/>
      <c r="AW601" s="54"/>
      <c r="AX601" s="68" t="s">
        <v>74</v>
      </c>
      <c r="AY601" s="255"/>
      <c r="AZ601" s="255"/>
      <c r="BA601" s="245"/>
      <c r="BB601" s="68" t="s">
        <v>74</v>
      </c>
      <c r="BC601" s="1964" t="str">
        <f t="shared" si="19"/>
        <v>DOP/AD/006/2022</v>
      </c>
      <c r="BD601" s="5"/>
      <c r="BE601" s="5"/>
      <c r="BF601" s="5"/>
      <c r="BG601" s="66">
        <f t="shared" si="20"/>
        <v>71209.119999999995</v>
      </c>
      <c r="BH601" s="1842" t="s">
        <v>68</v>
      </c>
      <c r="BI601" s="372">
        <v>44875</v>
      </c>
      <c r="BJ601" s="795" t="s">
        <v>68</v>
      </c>
      <c r="BK601" s="795" t="s">
        <v>68</v>
      </c>
      <c r="BL601" s="1230"/>
      <c r="BM601" s="796" t="s">
        <v>68</v>
      </c>
      <c r="BN601" s="796" t="s">
        <v>68</v>
      </c>
      <c r="BO601" s="1054" t="s">
        <v>68</v>
      </c>
      <c r="BP601" s="796" t="s">
        <v>68</v>
      </c>
      <c r="BQ601" s="796" t="s">
        <v>68</v>
      </c>
      <c r="BR601" s="1283">
        <v>0</v>
      </c>
      <c r="BS601" s="1284">
        <v>0</v>
      </c>
      <c r="BT601" s="14"/>
      <c r="BU601" s="166"/>
      <c r="BV601" s="14"/>
      <c r="BW601" s="14"/>
      <c r="BX601" s="14"/>
      <c r="BY601" s="1433" t="s">
        <v>3989</v>
      </c>
      <c r="BZ601" s="40"/>
      <c r="CA601" s="582"/>
      <c r="CB601" s="582"/>
      <c r="CC601" s="582"/>
      <c r="CD601" s="582"/>
      <c r="CE601" s="582"/>
      <c r="CF601" s="582"/>
      <c r="CG601" s="582"/>
      <c r="CH601" s="16"/>
    </row>
    <row r="602" spans="1:86" ht="87.75" hidden="1" customHeight="1">
      <c r="B602" s="23"/>
      <c r="C602" s="1983">
        <v>45068</v>
      </c>
      <c r="D602" s="1987">
        <v>9</v>
      </c>
      <c r="E602" s="1051"/>
      <c r="F602" s="1051"/>
      <c r="G602" s="1055"/>
      <c r="H602" s="365"/>
      <c r="I602" s="182">
        <v>2022</v>
      </c>
      <c r="J602" s="1678">
        <v>220.01</v>
      </c>
      <c r="K602" s="716" t="s">
        <v>166</v>
      </c>
      <c r="L602" s="739" t="s">
        <v>4790</v>
      </c>
      <c r="M602" s="663" t="s">
        <v>4790</v>
      </c>
      <c r="N602" s="495" t="s">
        <v>5056</v>
      </c>
      <c r="O602" s="495" t="s">
        <v>1979</v>
      </c>
      <c r="P602" s="2000"/>
      <c r="Q602" s="657" t="s">
        <v>1177</v>
      </c>
      <c r="R602" s="664">
        <v>44562</v>
      </c>
      <c r="S602" s="665">
        <v>44926</v>
      </c>
      <c r="T602" s="578" t="s">
        <v>1431</v>
      </c>
      <c r="U602" s="739" t="s">
        <v>1177</v>
      </c>
      <c r="V602" s="716" t="s">
        <v>449</v>
      </c>
      <c r="W602" s="740" t="s">
        <v>1431</v>
      </c>
      <c r="X602" s="1629" t="s">
        <v>5061</v>
      </c>
      <c r="Y602" s="280"/>
      <c r="Z602" s="137"/>
      <c r="AA602" s="85"/>
      <c r="AB602" s="85"/>
      <c r="AC602" s="741"/>
      <c r="AD602" s="645" t="s">
        <v>68</v>
      </c>
      <c r="AE602" s="646" t="s">
        <v>68</v>
      </c>
      <c r="AF602" s="646" t="s">
        <v>68</v>
      </c>
      <c r="AG602" s="647" t="s">
        <v>68</v>
      </c>
      <c r="AH602" s="644" t="s">
        <v>68</v>
      </c>
      <c r="AI602" s="180" t="s">
        <v>68</v>
      </c>
      <c r="AJ602" s="71" t="s">
        <v>68</v>
      </c>
      <c r="AK602" s="255"/>
      <c r="AL602" s="71" t="s">
        <v>68</v>
      </c>
      <c r="AM602" s="255"/>
      <c r="AN602" s="71" t="s">
        <v>68</v>
      </c>
      <c r="AO602" s="255"/>
      <c r="AP602" s="601">
        <v>0</v>
      </c>
      <c r="AQ602" s="771"/>
      <c r="AR602" s="1040"/>
      <c r="AS602" s="1027"/>
      <c r="AT602" s="2001"/>
      <c r="AU602" s="2002"/>
      <c r="AV602" s="2003"/>
      <c r="AW602" s="2004"/>
      <c r="AX602" s="2001"/>
      <c r="AY602" s="2005"/>
      <c r="AZ602" s="2005"/>
      <c r="BA602" s="2002"/>
      <c r="BB602" s="2001"/>
      <c r="BC602" s="2006" t="str">
        <f t="shared" si="19"/>
        <v>MANTENIMIENTOS</v>
      </c>
      <c r="BD602" s="2005"/>
      <c r="BE602" s="2005"/>
      <c r="BF602" s="2005"/>
      <c r="BG602" s="2007">
        <f t="shared" si="20"/>
        <v>0</v>
      </c>
      <c r="BH602" s="2008" t="s">
        <v>68</v>
      </c>
      <c r="BI602" s="2009"/>
      <c r="BJ602" s="2010" t="s">
        <v>68</v>
      </c>
      <c r="BK602" s="2010" t="s">
        <v>68</v>
      </c>
      <c r="BL602" s="2011"/>
      <c r="BM602" s="2011" t="s">
        <v>68</v>
      </c>
      <c r="BN602" s="2011" t="s">
        <v>68</v>
      </c>
      <c r="BO602" s="2012" t="s">
        <v>68</v>
      </c>
      <c r="BP602" s="2011" t="s">
        <v>68</v>
      </c>
      <c r="BQ602" s="2011" t="s">
        <v>68</v>
      </c>
      <c r="BR602" s="2013">
        <v>0</v>
      </c>
      <c r="BS602" s="2014">
        <v>0</v>
      </c>
      <c r="BT602" s="282"/>
      <c r="BU602" s="1868"/>
      <c r="BV602" s="282"/>
      <c r="BW602" s="282"/>
      <c r="BX602" s="282"/>
      <c r="BY602" s="1642" t="s">
        <v>3989</v>
      </c>
      <c r="BZ602" s="281"/>
      <c r="CA602" s="582"/>
      <c r="CB602" s="582"/>
      <c r="CC602" s="582"/>
      <c r="CD602" s="582"/>
      <c r="CE602" s="582"/>
      <c r="CF602" s="582"/>
      <c r="CG602" s="582"/>
      <c r="CH602" s="16"/>
    </row>
    <row r="603" spans="1:86" ht="87.75" hidden="1" customHeight="1">
      <c r="B603" s="23"/>
      <c r="C603" s="1982"/>
      <c r="D603" s="1982"/>
      <c r="E603" s="1051">
        <v>45170</v>
      </c>
      <c r="F603" s="1051"/>
      <c r="G603" s="1055">
        <v>45073</v>
      </c>
      <c r="H603" s="365">
        <v>45084</v>
      </c>
      <c r="I603" s="182">
        <v>2022</v>
      </c>
      <c r="J603" s="1678">
        <v>220.01</v>
      </c>
      <c r="K603" s="183" t="s">
        <v>166</v>
      </c>
      <c r="L603" s="191" t="s">
        <v>5057</v>
      </c>
      <c r="M603" s="185" t="s">
        <v>4077</v>
      </c>
      <c r="N603" s="495" t="s">
        <v>5058</v>
      </c>
      <c r="O603" s="495" t="s">
        <v>2699</v>
      </c>
      <c r="P603" s="661">
        <v>297707.86</v>
      </c>
      <c r="Q603" s="657">
        <v>44875</v>
      </c>
      <c r="R603" s="664">
        <v>44880</v>
      </c>
      <c r="S603" s="665">
        <v>44926</v>
      </c>
      <c r="T603" s="578" t="s">
        <v>1431</v>
      </c>
      <c r="U603" s="739" t="s">
        <v>1177</v>
      </c>
      <c r="V603" s="716" t="s">
        <v>213</v>
      </c>
      <c r="W603" s="1285" t="s">
        <v>1431</v>
      </c>
      <c r="X603" s="1629" t="s">
        <v>68</v>
      </c>
      <c r="Y603" s="266" t="s">
        <v>5059</v>
      </c>
      <c r="Z603" s="9">
        <v>44704</v>
      </c>
      <c r="AA603" s="4">
        <v>240885.59</v>
      </c>
      <c r="AB603" s="4"/>
      <c r="AC603" s="34"/>
      <c r="AD603" s="645" t="s">
        <v>68</v>
      </c>
      <c r="AE603" s="646" t="s">
        <v>68</v>
      </c>
      <c r="AF603" s="646" t="s">
        <v>68</v>
      </c>
      <c r="AG603" s="647" t="s">
        <v>68</v>
      </c>
      <c r="AH603" s="644" t="s">
        <v>68</v>
      </c>
      <c r="AI603" s="180" t="s">
        <v>68</v>
      </c>
      <c r="AJ603" s="71" t="s">
        <v>68</v>
      </c>
      <c r="AK603" s="255"/>
      <c r="AL603" s="71" t="s">
        <v>68</v>
      </c>
      <c r="AM603" s="255"/>
      <c r="AN603" s="71" t="s">
        <v>68</v>
      </c>
      <c r="AO603" s="5"/>
      <c r="AP603" s="306">
        <v>0</v>
      </c>
      <c r="AQ603" s="1211">
        <v>21787.55</v>
      </c>
      <c r="AR603" s="1032">
        <v>33503.32</v>
      </c>
      <c r="AS603" s="1027"/>
      <c r="AT603" s="68" t="s">
        <v>74</v>
      </c>
      <c r="AU603" s="12"/>
      <c r="AV603" s="243"/>
      <c r="AW603" s="54"/>
      <c r="AX603" s="68" t="s">
        <v>74</v>
      </c>
      <c r="AY603" s="255"/>
      <c r="AZ603" s="255"/>
      <c r="BA603" s="245"/>
      <c r="BB603" s="359">
        <v>44602</v>
      </c>
      <c r="BC603" s="1952" t="str">
        <f t="shared" si="19"/>
        <v>DOP/AD/007/2022</v>
      </c>
      <c r="BD603" s="521"/>
      <c r="BE603" s="521"/>
      <c r="BF603" s="521"/>
      <c r="BG603" s="66">
        <f t="shared" si="20"/>
        <v>55290.869999999995</v>
      </c>
      <c r="BH603" s="1842" t="s">
        <v>68</v>
      </c>
      <c r="BI603" s="372">
        <v>44879</v>
      </c>
      <c r="BJ603" s="795" t="s">
        <v>68</v>
      </c>
      <c r="BK603" s="795" t="s">
        <v>68</v>
      </c>
      <c r="BL603" s="1230"/>
      <c r="BM603" s="796" t="s">
        <v>68</v>
      </c>
      <c r="BN603" s="796" t="s">
        <v>68</v>
      </c>
      <c r="BO603" s="1054" t="s">
        <v>68</v>
      </c>
      <c r="BP603" s="796" t="s">
        <v>68</v>
      </c>
      <c r="BQ603" s="796" t="s">
        <v>68</v>
      </c>
      <c r="BR603" s="1283">
        <v>0</v>
      </c>
      <c r="BS603" s="1284">
        <v>0</v>
      </c>
      <c r="BT603" s="14"/>
      <c r="BU603" s="166"/>
      <c r="BV603" s="14"/>
      <c r="BW603" s="14"/>
      <c r="BX603" s="14"/>
      <c r="BY603" s="1433" t="s">
        <v>3989</v>
      </c>
      <c r="BZ603" s="40" t="s">
        <v>5063</v>
      </c>
      <c r="CA603" s="582"/>
      <c r="CB603" s="582"/>
      <c r="CC603" s="582"/>
      <c r="CD603" s="582"/>
      <c r="CE603" s="582"/>
      <c r="CF603" s="582"/>
      <c r="CG603" s="582"/>
      <c r="CH603" s="16"/>
    </row>
    <row r="604" spans="1:86" ht="87.75" hidden="1" customHeight="1">
      <c r="B604" s="23"/>
      <c r="C604" s="1982"/>
      <c r="D604" s="1982"/>
      <c r="E604" s="1051">
        <v>44805</v>
      </c>
      <c r="F604" s="1051"/>
      <c r="G604" s="1055"/>
      <c r="H604" s="365"/>
      <c r="I604" s="182">
        <v>2022</v>
      </c>
      <c r="J604" s="1678">
        <v>220.01</v>
      </c>
      <c r="K604" s="183" t="s">
        <v>166</v>
      </c>
      <c r="L604" s="191" t="s">
        <v>5556</v>
      </c>
      <c r="M604" s="185" t="s">
        <v>4077</v>
      </c>
      <c r="N604" s="495" t="s">
        <v>5557</v>
      </c>
      <c r="O604" s="495" t="s">
        <v>1979</v>
      </c>
      <c r="P604" s="187">
        <v>800000</v>
      </c>
      <c r="Q604" s="1403">
        <v>44620</v>
      </c>
      <c r="R604" s="189">
        <v>44624</v>
      </c>
      <c r="S604" s="190">
        <v>44773</v>
      </c>
      <c r="T604" s="578" t="s">
        <v>1431</v>
      </c>
      <c r="U604" s="739" t="s">
        <v>1177</v>
      </c>
      <c r="V604" s="1064" t="s">
        <v>449</v>
      </c>
      <c r="W604" s="1227" t="s">
        <v>1431</v>
      </c>
      <c r="X604" s="1637"/>
      <c r="Y604" s="280"/>
      <c r="Z604" s="9"/>
      <c r="AA604" s="4"/>
      <c r="AB604" s="4"/>
      <c r="AC604" s="34"/>
      <c r="AD604" s="645" t="s">
        <v>68</v>
      </c>
      <c r="AE604" s="646" t="s">
        <v>68</v>
      </c>
      <c r="AF604" s="646" t="s">
        <v>68</v>
      </c>
      <c r="AG604" s="647" t="s">
        <v>68</v>
      </c>
      <c r="AH604" s="644" t="s">
        <v>68</v>
      </c>
      <c r="AI604" s="180" t="s">
        <v>68</v>
      </c>
      <c r="AJ604" s="71" t="s">
        <v>68</v>
      </c>
      <c r="AK604" s="255"/>
      <c r="AL604" s="71" t="s">
        <v>68</v>
      </c>
      <c r="AM604" s="255"/>
      <c r="AN604" s="71" t="s">
        <v>68</v>
      </c>
      <c r="AO604" s="5"/>
      <c r="AP604" s="306">
        <v>0</v>
      </c>
      <c r="AQ604" s="771"/>
      <c r="AR604" s="1040"/>
      <c r="AS604" s="1027"/>
      <c r="AT604" s="68" t="s">
        <v>74</v>
      </c>
      <c r="AU604" s="12"/>
      <c r="AV604" s="243"/>
      <c r="AW604" s="54"/>
      <c r="AX604" s="68" t="s">
        <v>74</v>
      </c>
      <c r="AY604" s="255"/>
      <c r="AZ604" s="255"/>
      <c r="BA604" s="245"/>
      <c r="BB604" s="68" t="s">
        <v>74</v>
      </c>
      <c r="BC604" s="1952" t="str">
        <f t="shared" si="19"/>
        <v>DOP/AD/001-B/2022</v>
      </c>
      <c r="BD604" s="5"/>
      <c r="BE604" s="5"/>
      <c r="BF604" s="5"/>
      <c r="BG604" s="66">
        <f t="shared" si="20"/>
        <v>0</v>
      </c>
      <c r="BH604" s="1842" t="s">
        <v>68</v>
      </c>
      <c r="BI604" s="1228"/>
      <c r="BJ604" s="795" t="s">
        <v>68</v>
      </c>
      <c r="BK604" s="795" t="s">
        <v>68</v>
      </c>
      <c r="BL604" s="1230"/>
      <c r="BM604" s="796" t="s">
        <v>68</v>
      </c>
      <c r="BN604" s="796" t="s">
        <v>68</v>
      </c>
      <c r="BO604" s="1054" t="s">
        <v>68</v>
      </c>
      <c r="BP604" s="796" t="s">
        <v>68</v>
      </c>
      <c r="BQ604" s="796" t="s">
        <v>68</v>
      </c>
      <c r="BR604" s="1283">
        <v>0</v>
      </c>
      <c r="BS604" s="1284">
        <v>0</v>
      </c>
      <c r="BT604" s="14"/>
      <c r="BU604" s="166"/>
      <c r="BV604" s="14"/>
      <c r="BW604" s="14"/>
      <c r="BX604" s="14"/>
      <c r="BY604" s="1433" t="s">
        <v>3989</v>
      </c>
      <c r="BZ604" s="40"/>
      <c r="CA604" s="582"/>
      <c r="CB604" s="582"/>
      <c r="CC604" s="582"/>
      <c r="CD604" s="582"/>
      <c r="CE604" s="582"/>
      <c r="CF604" s="582"/>
      <c r="CG604" s="582"/>
      <c r="CH604" s="16"/>
    </row>
    <row r="605" spans="1:86" ht="87.75" hidden="1" customHeight="1">
      <c r="B605" s="23"/>
      <c r="C605" s="1982"/>
      <c r="D605" s="1982"/>
      <c r="E605" s="1051"/>
      <c r="F605" s="1051"/>
      <c r="G605" s="1055"/>
      <c r="H605" s="365"/>
      <c r="I605" s="182">
        <v>2022</v>
      </c>
      <c r="J605" s="1678">
        <v>220.01</v>
      </c>
      <c r="K605" s="183"/>
      <c r="L605" s="191" t="s">
        <v>4357</v>
      </c>
      <c r="M605" s="185" t="s">
        <v>251</v>
      </c>
      <c r="N605" s="1401" t="s">
        <v>68</v>
      </c>
      <c r="O605" s="1401"/>
      <c r="P605" s="187"/>
      <c r="Q605" s="1403"/>
      <c r="R605" s="189"/>
      <c r="S605" s="190"/>
      <c r="T605" s="578" t="s">
        <v>1431</v>
      </c>
      <c r="U605" s="739" t="s">
        <v>1177</v>
      </c>
      <c r="V605" s="1064"/>
      <c r="W605" s="1227"/>
      <c r="X605" s="1637"/>
      <c r="Y605" s="280"/>
      <c r="Z605" s="9"/>
      <c r="AA605" s="4"/>
      <c r="AB605" s="4"/>
      <c r="AC605" s="34"/>
      <c r="AD605" s="645" t="s">
        <v>68</v>
      </c>
      <c r="AE605" s="646" t="s">
        <v>68</v>
      </c>
      <c r="AF605" s="646" t="s">
        <v>68</v>
      </c>
      <c r="AG605" s="647" t="s">
        <v>68</v>
      </c>
      <c r="AH605" s="644" t="s">
        <v>68</v>
      </c>
      <c r="AI605" s="180" t="s">
        <v>68</v>
      </c>
      <c r="AJ605" s="71" t="s">
        <v>68</v>
      </c>
      <c r="AK605" s="255"/>
      <c r="AL605" s="71" t="s">
        <v>68</v>
      </c>
      <c r="AM605" s="255"/>
      <c r="AN605" s="71" t="s">
        <v>68</v>
      </c>
      <c r="AO605" s="5"/>
      <c r="AP605" s="306">
        <v>0</v>
      </c>
      <c r="AQ605" s="771"/>
      <c r="AR605" s="1040"/>
      <c r="AS605" s="1027"/>
      <c r="AT605" s="68" t="s">
        <v>74</v>
      </c>
      <c r="AU605" s="12"/>
      <c r="AV605" s="243"/>
      <c r="AW605" s="54"/>
      <c r="AX605" s="68" t="s">
        <v>74</v>
      </c>
      <c r="AY605" s="255"/>
      <c r="AZ605" s="255"/>
      <c r="BA605" s="245"/>
      <c r="BB605" s="68" t="s">
        <v>74</v>
      </c>
      <c r="BC605" s="1952" t="str">
        <f t="shared" si="19"/>
        <v>DOP/AD/010/2022</v>
      </c>
      <c r="BD605" s="5"/>
      <c r="BE605" s="5"/>
      <c r="BF605" s="5"/>
      <c r="BG605" s="66">
        <f t="shared" si="20"/>
        <v>0</v>
      </c>
      <c r="BH605" s="1842" t="s">
        <v>68</v>
      </c>
      <c r="BI605" s="1228"/>
      <c r="BJ605" s="795" t="s">
        <v>68</v>
      </c>
      <c r="BK605" s="795" t="s">
        <v>68</v>
      </c>
      <c r="BL605" s="1230"/>
      <c r="BM605" s="796" t="s">
        <v>68</v>
      </c>
      <c r="BN605" s="796" t="s">
        <v>68</v>
      </c>
      <c r="BO605" s="1054" t="s">
        <v>68</v>
      </c>
      <c r="BP605" s="796" t="s">
        <v>68</v>
      </c>
      <c r="BQ605" s="796" t="s">
        <v>68</v>
      </c>
      <c r="BR605" s="1283">
        <v>0</v>
      </c>
      <c r="BS605" s="1284">
        <v>0</v>
      </c>
      <c r="BT605" s="14"/>
      <c r="BU605" s="166"/>
      <c r="BV605" s="14"/>
      <c r="BW605" s="14"/>
      <c r="BX605" s="14"/>
      <c r="BY605" s="1433" t="s">
        <v>3989</v>
      </c>
      <c r="BZ605" s="40"/>
      <c r="CA605" s="582"/>
      <c r="CB605" s="582"/>
      <c r="CC605" s="582"/>
      <c r="CD605" s="582"/>
      <c r="CE605" s="582"/>
      <c r="CF605" s="582"/>
      <c r="CG605" s="582"/>
      <c r="CH605" s="16"/>
    </row>
    <row r="606" spans="1:86" ht="90.75" hidden="1" customHeight="1">
      <c r="B606" s="23"/>
      <c r="C606" s="1982"/>
      <c r="D606" s="1982"/>
      <c r="E606" s="1051"/>
      <c r="F606" s="1051"/>
      <c r="G606" s="1055"/>
      <c r="H606" s="365"/>
      <c r="I606" s="182">
        <v>2022</v>
      </c>
      <c r="J606" s="1678">
        <v>220.01</v>
      </c>
      <c r="K606" s="183" t="s">
        <v>166</v>
      </c>
      <c r="L606" s="191" t="s">
        <v>4358</v>
      </c>
      <c r="M606" s="185" t="s">
        <v>4351</v>
      </c>
      <c r="N606" s="495" t="s">
        <v>4404</v>
      </c>
      <c r="O606" s="495" t="s">
        <v>4427</v>
      </c>
      <c r="P606" s="661">
        <f>17400*4</f>
        <v>69600</v>
      </c>
      <c r="Q606" s="657">
        <v>44572</v>
      </c>
      <c r="R606" s="189">
        <v>44578</v>
      </c>
      <c r="S606" s="190">
        <v>44581</v>
      </c>
      <c r="T606" s="578" t="s">
        <v>68</v>
      </c>
      <c r="U606" s="739" t="s">
        <v>4405</v>
      </c>
      <c r="V606" s="716" t="s">
        <v>3087</v>
      </c>
      <c r="W606" s="740" t="s">
        <v>68</v>
      </c>
      <c r="X606" s="1629" t="s">
        <v>68</v>
      </c>
      <c r="Y606" s="280"/>
      <c r="Z606" s="9"/>
      <c r="AA606" s="4"/>
      <c r="AB606" s="4"/>
      <c r="AC606" s="34"/>
      <c r="AD606" s="645" t="s">
        <v>68</v>
      </c>
      <c r="AE606" s="646" t="s">
        <v>68</v>
      </c>
      <c r="AF606" s="646" t="s">
        <v>68</v>
      </c>
      <c r="AG606" s="647" t="s">
        <v>68</v>
      </c>
      <c r="AH606" s="644" t="s">
        <v>68</v>
      </c>
      <c r="AI606" s="180" t="s">
        <v>68</v>
      </c>
      <c r="AJ606" s="71" t="s">
        <v>68</v>
      </c>
      <c r="AK606" s="255"/>
      <c r="AL606" s="71" t="s">
        <v>68</v>
      </c>
      <c r="AM606" s="255"/>
      <c r="AN606" s="71" t="s">
        <v>68</v>
      </c>
      <c r="AO606" s="5"/>
      <c r="AP606" s="306">
        <v>0</v>
      </c>
      <c r="AQ606" s="74">
        <v>0</v>
      </c>
      <c r="AR606" s="1040"/>
      <c r="AS606" s="1027"/>
      <c r="AT606" s="386" t="s">
        <v>68</v>
      </c>
      <c r="AU606" s="12"/>
      <c r="AV606" s="243" t="s">
        <v>68</v>
      </c>
      <c r="AW606" s="54" t="s">
        <v>68</v>
      </c>
      <c r="AX606" s="386" t="s">
        <v>68</v>
      </c>
      <c r="AY606" s="255"/>
      <c r="AZ606" s="255"/>
      <c r="BA606" s="245"/>
      <c r="BB606" s="68" t="s">
        <v>74</v>
      </c>
      <c r="BC606" s="1686"/>
      <c r="BD606" s="5"/>
      <c r="BE606" s="5"/>
      <c r="BF606" s="5"/>
      <c r="BG606" s="38"/>
      <c r="BH606" s="1842" t="s">
        <v>68</v>
      </c>
      <c r="BI606" s="794" t="s">
        <v>68</v>
      </c>
      <c r="BJ606" s="795" t="s">
        <v>68</v>
      </c>
      <c r="BK606" s="795" t="s">
        <v>68</v>
      </c>
      <c r="BL606" s="796" t="s">
        <v>68</v>
      </c>
      <c r="BM606" s="796" t="s">
        <v>68</v>
      </c>
      <c r="BN606" s="796" t="s">
        <v>68</v>
      </c>
      <c r="BO606" s="1054" t="s">
        <v>68</v>
      </c>
      <c r="BP606" s="796" t="s">
        <v>68</v>
      </c>
      <c r="BQ606" s="796" t="s">
        <v>68</v>
      </c>
      <c r="BR606" s="796"/>
      <c r="BS606" s="794"/>
      <c r="BT606" s="14"/>
      <c r="BU606" s="166"/>
      <c r="BV606" s="14"/>
      <c r="BW606" s="14"/>
      <c r="BX606" s="14"/>
      <c r="BY606" s="1433" t="s">
        <v>3989</v>
      </c>
      <c r="BZ606" s="40"/>
      <c r="CA606" s="582"/>
      <c r="CB606" s="582"/>
      <c r="CC606" s="582"/>
      <c r="CD606" s="582"/>
      <c r="CE606" s="582"/>
      <c r="CF606" s="582"/>
      <c r="CG606" s="582"/>
      <c r="CH606" s="16"/>
    </row>
    <row r="607" spans="1:86" s="110" customFormat="1" ht="87.75" hidden="1" customHeight="1">
      <c r="B607" s="87"/>
      <c r="C607" s="1984"/>
      <c r="D607" s="1984"/>
      <c r="E607" s="1161"/>
      <c r="F607" s="1161"/>
      <c r="G607" s="130"/>
      <c r="H607" s="700"/>
      <c r="I607" s="1162">
        <v>2022</v>
      </c>
      <c r="J607" s="1681">
        <v>220.01</v>
      </c>
      <c r="K607" s="701" t="s">
        <v>166</v>
      </c>
      <c r="L607" s="706" t="s">
        <v>4359</v>
      </c>
      <c r="M607" s="747" t="s">
        <v>4158</v>
      </c>
      <c r="N607" s="748" t="s">
        <v>4406</v>
      </c>
      <c r="O607" s="748" t="s">
        <v>4427</v>
      </c>
      <c r="P607" s="702">
        <v>12000</v>
      </c>
      <c r="Q607" s="703">
        <v>44575</v>
      </c>
      <c r="R607" s="704">
        <v>44578</v>
      </c>
      <c r="S607" s="705">
        <v>44582</v>
      </c>
      <c r="T607" s="408" t="s">
        <v>68</v>
      </c>
      <c r="U607" s="706" t="s">
        <v>5854</v>
      </c>
      <c r="V607" s="701" t="s">
        <v>3087</v>
      </c>
      <c r="W607" s="611" t="s">
        <v>68</v>
      </c>
      <c r="X607" s="1615" t="s">
        <v>68</v>
      </c>
      <c r="Y607" s="96"/>
      <c r="Z607" s="98"/>
      <c r="AA607" s="92"/>
      <c r="AB607" s="92"/>
      <c r="AC607" s="99"/>
      <c r="AD607" s="100" t="s">
        <v>68</v>
      </c>
      <c r="AE607" s="120" t="s">
        <v>68</v>
      </c>
      <c r="AF607" s="120" t="s">
        <v>68</v>
      </c>
      <c r="AG607" s="101" t="s">
        <v>68</v>
      </c>
      <c r="AH607" s="117" t="s">
        <v>68</v>
      </c>
      <c r="AI607" s="96" t="s">
        <v>68</v>
      </c>
      <c r="AJ607" s="102" t="s">
        <v>68</v>
      </c>
      <c r="AK607" s="94"/>
      <c r="AL607" s="102" t="s">
        <v>68</v>
      </c>
      <c r="AM607" s="94"/>
      <c r="AN607" s="102" t="s">
        <v>68</v>
      </c>
      <c r="AO607" s="94"/>
      <c r="AP607" s="311">
        <v>0</v>
      </c>
      <c r="AQ607" s="104">
        <v>0</v>
      </c>
      <c r="AR607" s="1036"/>
      <c r="AS607" s="1023"/>
      <c r="AT607" s="728" t="s">
        <v>68</v>
      </c>
      <c r="AU607" s="95"/>
      <c r="AV607" s="374" t="s">
        <v>68</v>
      </c>
      <c r="AW607" s="107" t="s">
        <v>68</v>
      </c>
      <c r="AX607" s="728" t="s">
        <v>68</v>
      </c>
      <c r="AY607" s="94"/>
      <c r="AZ607" s="94"/>
      <c r="BA607" s="95"/>
      <c r="BB607" s="728" t="s">
        <v>74</v>
      </c>
      <c r="BC607" s="1965"/>
      <c r="BD607" s="94"/>
      <c r="BE607" s="94"/>
      <c r="BF607" s="94"/>
      <c r="BG607" s="105"/>
      <c r="BH607" s="1851" t="s">
        <v>68</v>
      </c>
      <c r="BI607" s="983" t="s">
        <v>68</v>
      </c>
      <c r="BJ607" s="984" t="s">
        <v>68</v>
      </c>
      <c r="BK607" s="984" t="s">
        <v>68</v>
      </c>
      <c r="BL607" s="1163" t="s">
        <v>68</v>
      </c>
      <c r="BM607" s="1163" t="s">
        <v>68</v>
      </c>
      <c r="BN607" s="1163" t="s">
        <v>68</v>
      </c>
      <c r="BO607" s="1054" t="s">
        <v>68</v>
      </c>
      <c r="BP607" s="1163" t="s">
        <v>68</v>
      </c>
      <c r="BQ607" s="1163" t="s">
        <v>68</v>
      </c>
      <c r="BR607" s="1163"/>
      <c r="BS607" s="983"/>
      <c r="BT607" s="108"/>
      <c r="BU607" s="956"/>
      <c r="BV607" s="108"/>
      <c r="BW607" s="108"/>
      <c r="BX607" s="108"/>
      <c r="BY607" s="1660" t="s">
        <v>3989</v>
      </c>
      <c r="BZ607" s="985"/>
      <c r="CA607" s="583"/>
      <c r="CB607" s="583"/>
      <c r="CC607" s="583"/>
      <c r="CD607" s="583"/>
      <c r="CE607" s="583"/>
      <c r="CF607" s="583"/>
      <c r="CG607" s="583"/>
      <c r="CH607" s="707"/>
    </row>
    <row r="608" spans="1:86" ht="182.25" hidden="1" customHeight="1">
      <c r="B608" s="23"/>
      <c r="C608" s="1982"/>
      <c r="D608" s="1982"/>
      <c r="E608" s="1051"/>
      <c r="F608" s="1051"/>
      <c r="G608" s="1055"/>
      <c r="H608" s="365"/>
      <c r="I608" s="182">
        <v>2022</v>
      </c>
      <c r="J608" s="1678">
        <v>220.01</v>
      </c>
      <c r="K608" s="183" t="s">
        <v>166</v>
      </c>
      <c r="L608" s="191" t="s">
        <v>4360</v>
      </c>
      <c r="M608" s="185" t="s">
        <v>4351</v>
      </c>
      <c r="N608" s="495" t="s">
        <v>4412</v>
      </c>
      <c r="O608" s="494" t="s">
        <v>1979</v>
      </c>
      <c r="P608" s="661" t="s">
        <v>4486</v>
      </c>
      <c r="Q608" s="657">
        <v>44592</v>
      </c>
      <c r="R608" s="664">
        <v>44593</v>
      </c>
      <c r="S608" s="665">
        <v>44607</v>
      </c>
      <c r="T608" s="578" t="s">
        <v>68</v>
      </c>
      <c r="U608" s="739" t="s">
        <v>4413</v>
      </c>
      <c r="V608" s="1064"/>
      <c r="W608" s="740" t="s">
        <v>68</v>
      </c>
      <c r="X608" s="1629" t="s">
        <v>68</v>
      </c>
      <c r="Y608" s="280"/>
      <c r="Z608" s="9"/>
      <c r="AA608" s="4"/>
      <c r="AB608" s="4"/>
      <c r="AC608" s="34"/>
      <c r="AD608" s="645" t="s">
        <v>68</v>
      </c>
      <c r="AE608" s="646" t="s">
        <v>68</v>
      </c>
      <c r="AF608" s="646" t="s">
        <v>68</v>
      </c>
      <c r="AG608" s="647" t="s">
        <v>68</v>
      </c>
      <c r="AH608" s="644" t="s">
        <v>68</v>
      </c>
      <c r="AI608" s="180" t="s">
        <v>68</v>
      </c>
      <c r="AJ608" s="71" t="s">
        <v>68</v>
      </c>
      <c r="AK608" s="255"/>
      <c r="AL608" s="71" t="s">
        <v>68</v>
      </c>
      <c r="AM608" s="255"/>
      <c r="AN608" s="71" t="s">
        <v>68</v>
      </c>
      <c r="AO608" s="5"/>
      <c r="AP608" s="306">
        <v>0</v>
      </c>
      <c r="AQ608" s="74">
        <v>0</v>
      </c>
      <c r="AR608" s="1040"/>
      <c r="AS608" s="1027"/>
      <c r="AT608" s="386" t="s">
        <v>68</v>
      </c>
      <c r="AU608" s="12"/>
      <c r="AV608" s="243" t="s">
        <v>68</v>
      </c>
      <c r="AW608" s="54" t="s">
        <v>68</v>
      </c>
      <c r="AX608" s="386" t="s">
        <v>68</v>
      </c>
      <c r="AY608" s="255"/>
      <c r="AZ608" s="255"/>
      <c r="BA608" s="245"/>
      <c r="BB608" s="68" t="s">
        <v>74</v>
      </c>
      <c r="BC608" s="1686"/>
      <c r="BD608" s="5"/>
      <c r="BE608" s="5"/>
      <c r="BF608" s="5"/>
      <c r="BG608" s="38"/>
      <c r="BH608" s="1842" t="s">
        <v>68</v>
      </c>
      <c r="BI608" s="794" t="s">
        <v>68</v>
      </c>
      <c r="BJ608" s="795" t="s">
        <v>68</v>
      </c>
      <c r="BK608" s="795" t="s">
        <v>68</v>
      </c>
      <c r="BL608" s="796" t="s">
        <v>68</v>
      </c>
      <c r="BM608" s="796" t="s">
        <v>68</v>
      </c>
      <c r="BN608" s="796" t="s">
        <v>68</v>
      </c>
      <c r="BO608" s="1054" t="s">
        <v>68</v>
      </c>
      <c r="BP608" s="796" t="s">
        <v>68</v>
      </c>
      <c r="BQ608" s="796" t="s">
        <v>68</v>
      </c>
      <c r="BR608" s="796"/>
      <c r="BS608" s="794"/>
      <c r="BT608" s="14"/>
      <c r="BU608" s="166"/>
      <c r="BV608" s="14"/>
      <c r="BW608" s="14"/>
      <c r="BX608" s="14"/>
      <c r="BY608" s="1433" t="s">
        <v>3989</v>
      </c>
      <c r="BZ608" s="40"/>
      <c r="CA608" s="582"/>
      <c r="CB608" s="582"/>
      <c r="CC608" s="582"/>
      <c r="CD608" s="582"/>
      <c r="CE608" s="582"/>
      <c r="CF608" s="582"/>
      <c r="CG608" s="582"/>
      <c r="CH608" s="16"/>
    </row>
    <row r="609" spans="2:86" ht="97.5" hidden="1" customHeight="1">
      <c r="B609" s="23"/>
      <c r="C609" s="1982"/>
      <c r="D609" s="1982"/>
      <c r="E609" s="1051"/>
      <c r="F609" s="1051"/>
      <c r="G609" s="1055"/>
      <c r="H609" s="365"/>
      <c r="I609" s="182">
        <v>2022</v>
      </c>
      <c r="J609" s="1678">
        <v>220.01</v>
      </c>
      <c r="K609" s="183" t="s">
        <v>166</v>
      </c>
      <c r="L609" s="191" t="s">
        <v>4361</v>
      </c>
      <c r="M609" s="185" t="s">
        <v>4351</v>
      </c>
      <c r="N609" s="495" t="s">
        <v>4414</v>
      </c>
      <c r="O609" s="494" t="s">
        <v>1979</v>
      </c>
      <c r="P609" s="661">
        <f>8620.69*1.16</f>
        <v>10000.000400000001</v>
      </c>
      <c r="Q609" s="657">
        <v>44634</v>
      </c>
      <c r="R609" s="664" t="s">
        <v>68</v>
      </c>
      <c r="S609" s="665" t="s">
        <v>68</v>
      </c>
      <c r="T609" s="578" t="s">
        <v>68</v>
      </c>
      <c r="U609" s="739" t="s">
        <v>739</v>
      </c>
      <c r="V609" s="1064"/>
      <c r="W609" s="740" t="s">
        <v>68</v>
      </c>
      <c r="X609" s="1629" t="s">
        <v>68</v>
      </c>
      <c r="Y609" s="280"/>
      <c r="Z609" s="9"/>
      <c r="AA609" s="4"/>
      <c r="AB609" s="4"/>
      <c r="AC609" s="34"/>
      <c r="AD609" s="645" t="s">
        <v>68</v>
      </c>
      <c r="AE609" s="646" t="s">
        <v>68</v>
      </c>
      <c r="AF609" s="646" t="s">
        <v>68</v>
      </c>
      <c r="AG609" s="647" t="s">
        <v>68</v>
      </c>
      <c r="AH609" s="644" t="s">
        <v>68</v>
      </c>
      <c r="AI609" s="180" t="s">
        <v>68</v>
      </c>
      <c r="AJ609" s="71" t="s">
        <v>68</v>
      </c>
      <c r="AK609" s="255"/>
      <c r="AL609" s="71" t="s">
        <v>68</v>
      </c>
      <c r="AM609" s="255"/>
      <c r="AN609" s="71" t="s">
        <v>68</v>
      </c>
      <c r="AO609" s="5"/>
      <c r="AP609" s="306">
        <v>0</v>
      </c>
      <c r="AQ609" s="74">
        <v>0</v>
      </c>
      <c r="AR609" s="1040"/>
      <c r="AS609" s="1027"/>
      <c r="AT609" s="386" t="s">
        <v>68</v>
      </c>
      <c r="AU609" s="12"/>
      <c r="AV609" s="243" t="s">
        <v>68</v>
      </c>
      <c r="AW609" s="54" t="s">
        <v>68</v>
      </c>
      <c r="AX609" s="386" t="s">
        <v>68</v>
      </c>
      <c r="AY609" s="255"/>
      <c r="AZ609" s="255"/>
      <c r="BA609" s="245"/>
      <c r="BB609" s="68" t="s">
        <v>74</v>
      </c>
      <c r="BC609" s="1686"/>
      <c r="BD609" s="5"/>
      <c r="BE609" s="5"/>
      <c r="BF609" s="5"/>
      <c r="BG609" s="38"/>
      <c r="BH609" s="1842" t="s">
        <v>68</v>
      </c>
      <c r="BI609" s="794" t="s">
        <v>68</v>
      </c>
      <c r="BJ609" s="795" t="s">
        <v>68</v>
      </c>
      <c r="BK609" s="795" t="s">
        <v>68</v>
      </c>
      <c r="BL609" s="796" t="s">
        <v>68</v>
      </c>
      <c r="BM609" s="796" t="s">
        <v>68</v>
      </c>
      <c r="BN609" s="796" t="s">
        <v>68</v>
      </c>
      <c r="BO609" s="1054" t="s">
        <v>68</v>
      </c>
      <c r="BP609" s="796" t="s">
        <v>68</v>
      </c>
      <c r="BQ609" s="796" t="s">
        <v>68</v>
      </c>
      <c r="BR609" s="796"/>
      <c r="BS609" s="794"/>
      <c r="BT609" s="14"/>
      <c r="BU609" s="166"/>
      <c r="BV609" s="14"/>
      <c r="BW609" s="14"/>
      <c r="BX609" s="14"/>
      <c r="BY609" s="1433" t="s">
        <v>3989</v>
      </c>
      <c r="BZ609" s="40"/>
      <c r="CA609" s="582"/>
      <c r="CB609" s="582"/>
      <c r="CC609" s="582"/>
      <c r="CD609" s="582"/>
      <c r="CE609" s="582"/>
      <c r="CF609" s="582"/>
      <c r="CG609" s="582"/>
      <c r="CH609" s="16"/>
    </row>
    <row r="610" spans="2:86" ht="87.75" hidden="1" customHeight="1">
      <c r="B610" s="23"/>
      <c r="C610" s="1982"/>
      <c r="D610" s="1982"/>
      <c r="E610" s="1051"/>
      <c r="F610" s="1051"/>
      <c r="G610" s="1055"/>
      <c r="H610" s="365"/>
      <c r="I610" s="182">
        <v>2022</v>
      </c>
      <c r="J610" s="1678">
        <v>220.01</v>
      </c>
      <c r="K610" s="183" t="s">
        <v>166</v>
      </c>
      <c r="L610" s="191" t="s">
        <v>4362</v>
      </c>
      <c r="M610" s="185" t="s">
        <v>4158</v>
      </c>
      <c r="N610" s="1401" t="s">
        <v>68</v>
      </c>
      <c r="O610" s="1401"/>
      <c r="P610" s="661"/>
      <c r="Q610" s="657"/>
      <c r="R610" s="664"/>
      <c r="S610" s="665"/>
      <c r="T610" s="578" t="s">
        <v>68</v>
      </c>
      <c r="U610" s="1229" t="s">
        <v>68</v>
      </c>
      <c r="V610" s="1064"/>
      <c r="W610" s="740" t="s">
        <v>68</v>
      </c>
      <c r="X610" s="1629" t="s">
        <v>68</v>
      </c>
      <c r="Y610" s="280"/>
      <c r="Z610" s="9"/>
      <c r="AA610" s="4"/>
      <c r="AB610" s="4"/>
      <c r="AC610" s="34"/>
      <c r="AD610" s="645" t="s">
        <v>68</v>
      </c>
      <c r="AE610" s="646" t="s">
        <v>68</v>
      </c>
      <c r="AF610" s="646" t="s">
        <v>68</v>
      </c>
      <c r="AG610" s="647" t="s">
        <v>68</v>
      </c>
      <c r="AH610" s="644" t="s">
        <v>68</v>
      </c>
      <c r="AI610" s="180" t="s">
        <v>68</v>
      </c>
      <c r="AJ610" s="71" t="s">
        <v>68</v>
      </c>
      <c r="AK610" s="255"/>
      <c r="AL610" s="71" t="s">
        <v>68</v>
      </c>
      <c r="AM610" s="255"/>
      <c r="AN610" s="71" t="s">
        <v>68</v>
      </c>
      <c r="AO610" s="5"/>
      <c r="AP610" s="306">
        <v>0</v>
      </c>
      <c r="AQ610" s="74">
        <v>0</v>
      </c>
      <c r="AR610" s="1040"/>
      <c r="AS610" s="1027"/>
      <c r="AT610" s="386" t="s">
        <v>68</v>
      </c>
      <c r="AU610" s="12"/>
      <c r="AV610" s="243" t="s">
        <v>68</v>
      </c>
      <c r="AW610" s="54" t="s">
        <v>68</v>
      </c>
      <c r="AX610" s="386" t="s">
        <v>68</v>
      </c>
      <c r="AY610" s="255"/>
      <c r="AZ610" s="255"/>
      <c r="BA610" s="245"/>
      <c r="BB610" s="68" t="s">
        <v>74</v>
      </c>
      <c r="BC610" s="1686"/>
      <c r="BD610" s="5"/>
      <c r="BE610" s="5"/>
      <c r="BF610" s="5"/>
      <c r="BG610" s="38"/>
      <c r="BH610" s="1842" t="s">
        <v>68</v>
      </c>
      <c r="BI610" s="794" t="s">
        <v>68</v>
      </c>
      <c r="BJ610" s="795" t="s">
        <v>68</v>
      </c>
      <c r="BK610" s="795" t="s">
        <v>68</v>
      </c>
      <c r="BL610" s="796" t="s">
        <v>68</v>
      </c>
      <c r="BM610" s="796" t="s">
        <v>68</v>
      </c>
      <c r="BN610" s="796" t="s">
        <v>68</v>
      </c>
      <c r="BO610" s="1054" t="s">
        <v>68</v>
      </c>
      <c r="BP610" s="796" t="s">
        <v>68</v>
      </c>
      <c r="BQ610" s="796" t="s">
        <v>68</v>
      </c>
      <c r="BR610" s="796"/>
      <c r="BS610" s="794"/>
      <c r="BT610" s="14"/>
      <c r="BU610" s="166"/>
      <c r="BV610" s="14"/>
      <c r="BW610" s="14"/>
      <c r="BX610" s="14"/>
      <c r="BY610" s="1433" t="s">
        <v>3989</v>
      </c>
      <c r="BZ610" s="40"/>
      <c r="CA610" s="582"/>
      <c r="CB610" s="582"/>
      <c r="CC610" s="582"/>
      <c r="CD610" s="582"/>
      <c r="CE610" s="582"/>
      <c r="CF610" s="582"/>
      <c r="CG610" s="582"/>
      <c r="CH610" s="16"/>
    </row>
    <row r="611" spans="2:86" ht="87.75" hidden="1" customHeight="1">
      <c r="B611" s="23"/>
      <c r="C611" s="1982"/>
      <c r="D611" s="1982"/>
      <c r="E611" s="1051"/>
      <c r="F611" s="1051"/>
      <c r="G611" s="1055"/>
      <c r="H611" s="365"/>
      <c r="I611" s="182">
        <v>2022</v>
      </c>
      <c r="J611" s="1678">
        <v>220.01</v>
      </c>
      <c r="K611" s="183" t="s">
        <v>166</v>
      </c>
      <c r="L611" s="191" t="s">
        <v>4363</v>
      </c>
      <c r="M611" s="185" t="s">
        <v>4351</v>
      </c>
      <c r="N611" s="495" t="s">
        <v>4415</v>
      </c>
      <c r="O611" s="494" t="s">
        <v>1979</v>
      </c>
      <c r="P611" s="661">
        <f>8620.69*1.16</f>
        <v>10000.000400000001</v>
      </c>
      <c r="Q611" s="657">
        <v>44634</v>
      </c>
      <c r="R611" s="664" t="s">
        <v>68</v>
      </c>
      <c r="S611" s="665" t="s">
        <v>68</v>
      </c>
      <c r="T611" s="578" t="s">
        <v>68</v>
      </c>
      <c r="U611" s="739" t="s">
        <v>739</v>
      </c>
      <c r="V611" s="1064"/>
      <c r="W611" s="740" t="s">
        <v>68</v>
      </c>
      <c r="X611" s="1629" t="s">
        <v>68</v>
      </c>
      <c r="Y611" s="280"/>
      <c r="Z611" s="9"/>
      <c r="AA611" s="4"/>
      <c r="AB611" s="4"/>
      <c r="AC611" s="34"/>
      <c r="AD611" s="645" t="s">
        <v>68</v>
      </c>
      <c r="AE611" s="646" t="s">
        <v>68</v>
      </c>
      <c r="AF611" s="646" t="s">
        <v>68</v>
      </c>
      <c r="AG611" s="647" t="s">
        <v>68</v>
      </c>
      <c r="AH611" s="644" t="s">
        <v>68</v>
      </c>
      <c r="AI611" s="180" t="s">
        <v>68</v>
      </c>
      <c r="AJ611" s="71" t="s">
        <v>68</v>
      </c>
      <c r="AK611" s="255"/>
      <c r="AL611" s="71" t="s">
        <v>68</v>
      </c>
      <c r="AM611" s="255"/>
      <c r="AN611" s="71" t="s">
        <v>68</v>
      </c>
      <c r="AO611" s="5"/>
      <c r="AP611" s="306">
        <v>0</v>
      </c>
      <c r="AQ611" s="74">
        <v>0</v>
      </c>
      <c r="AR611" s="1040"/>
      <c r="AS611" s="1027"/>
      <c r="AT611" s="386" t="s">
        <v>68</v>
      </c>
      <c r="AU611" s="12"/>
      <c r="AV611" s="243" t="s">
        <v>68</v>
      </c>
      <c r="AW611" s="54" t="s">
        <v>68</v>
      </c>
      <c r="AX611" s="386" t="s">
        <v>68</v>
      </c>
      <c r="AY611" s="255"/>
      <c r="AZ611" s="255"/>
      <c r="BA611" s="245"/>
      <c r="BB611" s="68" t="s">
        <v>74</v>
      </c>
      <c r="BC611" s="1686"/>
      <c r="BD611" s="5"/>
      <c r="BE611" s="5"/>
      <c r="BF611" s="5"/>
      <c r="BG611" s="38"/>
      <c r="BH611" s="1842" t="s">
        <v>68</v>
      </c>
      <c r="BI611" s="794" t="s">
        <v>68</v>
      </c>
      <c r="BJ611" s="795" t="s">
        <v>68</v>
      </c>
      <c r="BK611" s="795" t="s">
        <v>68</v>
      </c>
      <c r="BL611" s="796" t="s">
        <v>68</v>
      </c>
      <c r="BM611" s="796" t="s">
        <v>68</v>
      </c>
      <c r="BN611" s="796" t="s">
        <v>68</v>
      </c>
      <c r="BO611" s="1054" t="s">
        <v>68</v>
      </c>
      <c r="BP611" s="796" t="s">
        <v>68</v>
      </c>
      <c r="BQ611" s="796" t="s">
        <v>68</v>
      </c>
      <c r="BR611" s="796"/>
      <c r="BS611" s="794"/>
      <c r="BT611" s="14"/>
      <c r="BU611" s="166"/>
      <c r="BV611" s="14"/>
      <c r="BW611" s="14"/>
      <c r="BX611" s="14"/>
      <c r="BY611" s="1433" t="s">
        <v>3989</v>
      </c>
      <c r="BZ611" s="40"/>
      <c r="CA611" s="582"/>
      <c r="CB611" s="582"/>
      <c r="CC611" s="582"/>
      <c r="CD611" s="582"/>
      <c r="CE611" s="582"/>
      <c r="CF611" s="582"/>
      <c r="CG611" s="582"/>
      <c r="CH611" s="16"/>
    </row>
    <row r="612" spans="2:86" ht="87.75" hidden="1" customHeight="1">
      <c r="B612" s="23"/>
      <c r="C612" s="1982"/>
      <c r="D612" s="1982"/>
      <c r="E612" s="1051"/>
      <c r="F612" s="1051"/>
      <c r="G612" s="1055"/>
      <c r="H612" s="365"/>
      <c r="I612" s="182">
        <v>2022</v>
      </c>
      <c r="J612" s="1678">
        <v>220.01</v>
      </c>
      <c r="K612" s="183" t="s">
        <v>166</v>
      </c>
      <c r="L612" s="191" t="s">
        <v>4364</v>
      </c>
      <c r="M612" s="185" t="s">
        <v>4158</v>
      </c>
      <c r="N612" s="1401" t="s">
        <v>68</v>
      </c>
      <c r="O612" s="1401"/>
      <c r="P612" s="661"/>
      <c r="Q612" s="657"/>
      <c r="R612" s="664"/>
      <c r="S612" s="665"/>
      <c r="T612" s="578" t="s">
        <v>68</v>
      </c>
      <c r="U612" s="1229" t="s">
        <v>68</v>
      </c>
      <c r="V612" s="1064"/>
      <c r="W612" s="740" t="s">
        <v>68</v>
      </c>
      <c r="X612" s="1629" t="s">
        <v>68</v>
      </c>
      <c r="Y612" s="280"/>
      <c r="Z612" s="9"/>
      <c r="AA612" s="4"/>
      <c r="AB612" s="4"/>
      <c r="AC612" s="34"/>
      <c r="AD612" s="645" t="s">
        <v>68</v>
      </c>
      <c r="AE612" s="646" t="s">
        <v>68</v>
      </c>
      <c r="AF612" s="646" t="s">
        <v>68</v>
      </c>
      <c r="AG612" s="647" t="s">
        <v>68</v>
      </c>
      <c r="AH612" s="644" t="s">
        <v>68</v>
      </c>
      <c r="AI612" s="180" t="s">
        <v>68</v>
      </c>
      <c r="AJ612" s="71" t="s">
        <v>68</v>
      </c>
      <c r="AK612" s="255"/>
      <c r="AL612" s="71" t="s">
        <v>68</v>
      </c>
      <c r="AM612" s="255"/>
      <c r="AN612" s="71" t="s">
        <v>68</v>
      </c>
      <c r="AO612" s="5"/>
      <c r="AP612" s="306">
        <v>0</v>
      </c>
      <c r="AQ612" s="74">
        <v>0</v>
      </c>
      <c r="AR612" s="1040"/>
      <c r="AS612" s="1027"/>
      <c r="AT612" s="386" t="s">
        <v>68</v>
      </c>
      <c r="AU612" s="12"/>
      <c r="AV612" s="243" t="s">
        <v>68</v>
      </c>
      <c r="AW612" s="54" t="s">
        <v>68</v>
      </c>
      <c r="AX612" s="386" t="s">
        <v>68</v>
      </c>
      <c r="AY612" s="255"/>
      <c r="AZ612" s="255"/>
      <c r="BA612" s="245"/>
      <c r="BB612" s="68" t="s">
        <v>74</v>
      </c>
      <c r="BC612" s="1686"/>
      <c r="BD612" s="5"/>
      <c r="BE612" s="5"/>
      <c r="BF612" s="5"/>
      <c r="BG612" s="38"/>
      <c r="BH612" s="1842" t="s">
        <v>68</v>
      </c>
      <c r="BI612" s="794" t="s">
        <v>68</v>
      </c>
      <c r="BJ612" s="795" t="s">
        <v>68</v>
      </c>
      <c r="BK612" s="795" t="s">
        <v>68</v>
      </c>
      <c r="BL612" s="796" t="s">
        <v>68</v>
      </c>
      <c r="BM612" s="796" t="s">
        <v>68</v>
      </c>
      <c r="BN612" s="796" t="s">
        <v>68</v>
      </c>
      <c r="BO612" s="1054" t="s">
        <v>68</v>
      </c>
      <c r="BP612" s="796" t="s">
        <v>68</v>
      </c>
      <c r="BQ612" s="796" t="s">
        <v>68</v>
      </c>
      <c r="BR612" s="796"/>
      <c r="BS612" s="794"/>
      <c r="BT612" s="14"/>
      <c r="BU612" s="166"/>
      <c r="BV612" s="14"/>
      <c r="BW612" s="14"/>
      <c r="BX612" s="14"/>
      <c r="BY612" s="1433" t="s">
        <v>3989</v>
      </c>
      <c r="BZ612" s="40"/>
      <c r="CA612" s="582"/>
      <c r="CB612" s="582"/>
      <c r="CC612" s="582"/>
      <c r="CD612" s="582"/>
      <c r="CE612" s="582"/>
      <c r="CF612" s="582"/>
      <c r="CG612" s="582"/>
      <c r="CH612" s="16"/>
    </row>
    <row r="613" spans="2:86" ht="87.75" hidden="1" customHeight="1">
      <c r="B613" s="23"/>
      <c r="C613" s="1982"/>
      <c r="D613" s="1982"/>
      <c r="E613" s="1051"/>
      <c r="F613" s="1051"/>
      <c r="G613" s="1055"/>
      <c r="H613" s="365"/>
      <c r="I613" s="182">
        <v>2022</v>
      </c>
      <c r="J613" s="1678">
        <v>220.01</v>
      </c>
      <c r="K613" s="183" t="s">
        <v>166</v>
      </c>
      <c r="L613" s="191" t="s">
        <v>4365</v>
      </c>
      <c r="M613" s="185" t="s">
        <v>4351</v>
      </c>
      <c r="N613" s="495" t="s">
        <v>4416</v>
      </c>
      <c r="O613" s="494" t="s">
        <v>4458</v>
      </c>
      <c r="P613" s="661">
        <f>6034.5*1.16</f>
        <v>7000.0199999999995</v>
      </c>
      <c r="Q613" s="657">
        <v>44634</v>
      </c>
      <c r="R613" s="664" t="s">
        <v>68</v>
      </c>
      <c r="S613" s="665" t="s">
        <v>68</v>
      </c>
      <c r="T613" s="578" t="s">
        <v>68</v>
      </c>
      <c r="U613" s="739" t="s">
        <v>739</v>
      </c>
      <c r="V613" s="1064"/>
      <c r="W613" s="740" t="s">
        <v>68</v>
      </c>
      <c r="X613" s="1629" t="s">
        <v>68</v>
      </c>
      <c r="Y613" s="280"/>
      <c r="Z613" s="9"/>
      <c r="AA613" s="4"/>
      <c r="AB613" s="4"/>
      <c r="AC613" s="34"/>
      <c r="AD613" s="645" t="s">
        <v>68</v>
      </c>
      <c r="AE613" s="646" t="s">
        <v>68</v>
      </c>
      <c r="AF613" s="646" t="s">
        <v>68</v>
      </c>
      <c r="AG613" s="647" t="s">
        <v>68</v>
      </c>
      <c r="AH613" s="644" t="s">
        <v>68</v>
      </c>
      <c r="AI613" s="180" t="s">
        <v>68</v>
      </c>
      <c r="AJ613" s="71" t="s">
        <v>68</v>
      </c>
      <c r="AK613" s="255"/>
      <c r="AL613" s="71" t="s">
        <v>68</v>
      </c>
      <c r="AM613" s="255"/>
      <c r="AN613" s="71" t="s">
        <v>68</v>
      </c>
      <c r="AO613" s="5"/>
      <c r="AP613" s="306">
        <v>0</v>
      </c>
      <c r="AQ613" s="74">
        <v>0</v>
      </c>
      <c r="AR613" s="1040"/>
      <c r="AS613" s="1027"/>
      <c r="AT613" s="386" t="s">
        <v>68</v>
      </c>
      <c r="AU613" s="12"/>
      <c r="AV613" s="243" t="s">
        <v>68</v>
      </c>
      <c r="AW613" s="54" t="s">
        <v>68</v>
      </c>
      <c r="AX613" s="386" t="s">
        <v>68</v>
      </c>
      <c r="AY613" s="255"/>
      <c r="AZ613" s="255"/>
      <c r="BA613" s="245"/>
      <c r="BB613" s="68" t="s">
        <v>74</v>
      </c>
      <c r="BC613" s="1686"/>
      <c r="BD613" s="5"/>
      <c r="BE613" s="5"/>
      <c r="BF613" s="5"/>
      <c r="BG613" s="38"/>
      <c r="BH613" s="1842" t="s">
        <v>68</v>
      </c>
      <c r="BI613" s="794" t="s">
        <v>68</v>
      </c>
      <c r="BJ613" s="795" t="s">
        <v>68</v>
      </c>
      <c r="BK613" s="795" t="s">
        <v>68</v>
      </c>
      <c r="BL613" s="796" t="s">
        <v>68</v>
      </c>
      <c r="BM613" s="796" t="s">
        <v>68</v>
      </c>
      <c r="BN613" s="796" t="s">
        <v>68</v>
      </c>
      <c r="BO613" s="1054" t="s">
        <v>68</v>
      </c>
      <c r="BP613" s="796" t="s">
        <v>68</v>
      </c>
      <c r="BQ613" s="796" t="s">
        <v>68</v>
      </c>
      <c r="BR613" s="796"/>
      <c r="BS613" s="794"/>
      <c r="BT613" s="14"/>
      <c r="BU613" s="166"/>
      <c r="BV613" s="14"/>
      <c r="BW613" s="14"/>
      <c r="BX613" s="14"/>
      <c r="BY613" s="1433" t="s">
        <v>3989</v>
      </c>
      <c r="BZ613" s="40"/>
      <c r="CA613" s="582"/>
      <c r="CB613" s="582"/>
      <c r="CC613" s="582"/>
      <c r="CD613" s="582"/>
      <c r="CE613" s="582"/>
      <c r="CF613" s="582"/>
      <c r="CG613" s="582"/>
      <c r="CH613" s="16"/>
    </row>
    <row r="614" spans="2:86" ht="87.75" hidden="1" customHeight="1">
      <c r="B614" s="23"/>
      <c r="C614" s="1982"/>
      <c r="D614" s="1982"/>
      <c r="E614" s="1051"/>
      <c r="F614" s="1051"/>
      <c r="G614" s="1055"/>
      <c r="H614" s="365"/>
      <c r="I614" s="182">
        <v>2022</v>
      </c>
      <c r="J614" s="1678">
        <v>220.01</v>
      </c>
      <c r="K614" s="183" t="s">
        <v>166</v>
      </c>
      <c r="L614" s="191" t="s">
        <v>4366</v>
      </c>
      <c r="M614" s="185" t="s">
        <v>4351</v>
      </c>
      <c r="N614" s="495" t="s">
        <v>4417</v>
      </c>
      <c r="O614" s="494" t="s">
        <v>3664</v>
      </c>
      <c r="P614" s="661">
        <f>13500*1.16</f>
        <v>15659.999999999998</v>
      </c>
      <c r="Q614" s="657">
        <v>44635</v>
      </c>
      <c r="R614" s="664" t="s">
        <v>68</v>
      </c>
      <c r="S614" s="665" t="s">
        <v>68</v>
      </c>
      <c r="T614" s="578" t="s">
        <v>68</v>
      </c>
      <c r="U614" s="739" t="s">
        <v>4003</v>
      </c>
      <c r="V614" s="1064"/>
      <c r="W614" s="740" t="s">
        <v>68</v>
      </c>
      <c r="X614" s="1629" t="s">
        <v>68</v>
      </c>
      <c r="Y614" s="280"/>
      <c r="Z614" s="9"/>
      <c r="AA614" s="4"/>
      <c r="AB614" s="4"/>
      <c r="AC614" s="34"/>
      <c r="AD614" s="645" t="s">
        <v>68</v>
      </c>
      <c r="AE614" s="646" t="s">
        <v>68</v>
      </c>
      <c r="AF614" s="646" t="s">
        <v>68</v>
      </c>
      <c r="AG614" s="647" t="s">
        <v>68</v>
      </c>
      <c r="AH614" s="644" t="s">
        <v>68</v>
      </c>
      <c r="AI614" s="180" t="s">
        <v>68</v>
      </c>
      <c r="AJ614" s="71" t="s">
        <v>68</v>
      </c>
      <c r="AK614" s="255"/>
      <c r="AL614" s="71" t="s">
        <v>68</v>
      </c>
      <c r="AM614" s="255"/>
      <c r="AN614" s="71" t="s">
        <v>68</v>
      </c>
      <c r="AO614" s="5"/>
      <c r="AP614" s="306">
        <v>0</v>
      </c>
      <c r="AQ614" s="74">
        <v>0</v>
      </c>
      <c r="AR614" s="1040"/>
      <c r="AS614" s="1027"/>
      <c r="AT614" s="386" t="s">
        <v>68</v>
      </c>
      <c r="AU614" s="12"/>
      <c r="AV614" s="243" t="s">
        <v>68</v>
      </c>
      <c r="AW614" s="54" t="s">
        <v>68</v>
      </c>
      <c r="AX614" s="386" t="s">
        <v>68</v>
      </c>
      <c r="AY614" s="255"/>
      <c r="AZ614" s="255"/>
      <c r="BA614" s="245"/>
      <c r="BB614" s="68" t="s">
        <v>74</v>
      </c>
      <c r="BC614" s="1686"/>
      <c r="BD614" s="5"/>
      <c r="BE614" s="5"/>
      <c r="BF614" s="5"/>
      <c r="BG614" s="38"/>
      <c r="BH614" s="1842" t="s">
        <v>68</v>
      </c>
      <c r="BI614" s="794" t="s">
        <v>68</v>
      </c>
      <c r="BJ614" s="795" t="s">
        <v>68</v>
      </c>
      <c r="BK614" s="795" t="s">
        <v>68</v>
      </c>
      <c r="BL614" s="796" t="s">
        <v>68</v>
      </c>
      <c r="BM614" s="796" t="s">
        <v>68</v>
      </c>
      <c r="BN614" s="796" t="s">
        <v>68</v>
      </c>
      <c r="BO614" s="1054" t="s">
        <v>68</v>
      </c>
      <c r="BP614" s="796" t="s">
        <v>68</v>
      </c>
      <c r="BQ614" s="796" t="s">
        <v>68</v>
      </c>
      <c r="BR614" s="796"/>
      <c r="BS614" s="794"/>
      <c r="BT614" s="14"/>
      <c r="BU614" s="166"/>
      <c r="BV614" s="14"/>
      <c r="BW614" s="14"/>
      <c r="BX614" s="14"/>
      <c r="BY614" s="1433" t="s">
        <v>3989</v>
      </c>
      <c r="BZ614" s="40"/>
      <c r="CA614" s="582"/>
      <c r="CB614" s="582"/>
      <c r="CC614" s="582"/>
      <c r="CD614" s="582"/>
      <c r="CE614" s="582"/>
      <c r="CF614" s="582"/>
      <c r="CG614" s="582"/>
      <c r="CH614" s="16"/>
    </row>
    <row r="615" spans="2:86" ht="87.75" hidden="1" customHeight="1">
      <c r="B615" s="23"/>
      <c r="C615" s="1982"/>
      <c r="D615" s="1982"/>
      <c r="E615" s="1051"/>
      <c r="F615" s="1051"/>
      <c r="G615" s="1055"/>
      <c r="H615" s="365"/>
      <c r="I615" s="182">
        <v>2022</v>
      </c>
      <c r="J615" s="1678">
        <v>220.01</v>
      </c>
      <c r="K615" s="183" t="s">
        <v>166</v>
      </c>
      <c r="L615" s="191" t="s">
        <v>4367</v>
      </c>
      <c r="M615" s="185" t="s">
        <v>4351</v>
      </c>
      <c r="N615" s="495" t="s">
        <v>4418</v>
      </c>
      <c r="O615" s="494" t="s">
        <v>2574</v>
      </c>
      <c r="P615" s="661">
        <v>4000</v>
      </c>
      <c r="Q615" s="657">
        <v>44658</v>
      </c>
      <c r="R615" s="664">
        <v>44660</v>
      </c>
      <c r="S615" s="665">
        <v>44660</v>
      </c>
      <c r="T615" s="578" t="s">
        <v>68</v>
      </c>
      <c r="U615" s="739" t="s">
        <v>5854</v>
      </c>
      <c r="V615" s="1064"/>
      <c r="W615" s="740" t="s">
        <v>68</v>
      </c>
      <c r="X615" s="1629" t="s">
        <v>68</v>
      </c>
      <c r="Y615" s="280"/>
      <c r="Z615" s="9"/>
      <c r="AA615" s="4"/>
      <c r="AB615" s="4"/>
      <c r="AC615" s="34"/>
      <c r="AD615" s="645" t="s">
        <v>68</v>
      </c>
      <c r="AE615" s="646" t="s">
        <v>68</v>
      </c>
      <c r="AF615" s="646" t="s">
        <v>68</v>
      </c>
      <c r="AG615" s="647" t="s">
        <v>68</v>
      </c>
      <c r="AH615" s="644" t="s">
        <v>68</v>
      </c>
      <c r="AI615" s="180" t="s">
        <v>68</v>
      </c>
      <c r="AJ615" s="71" t="s">
        <v>68</v>
      </c>
      <c r="AK615" s="255"/>
      <c r="AL615" s="71" t="s">
        <v>68</v>
      </c>
      <c r="AM615" s="255"/>
      <c r="AN615" s="71" t="s">
        <v>68</v>
      </c>
      <c r="AO615" s="5"/>
      <c r="AP615" s="306">
        <v>0</v>
      </c>
      <c r="AQ615" s="74">
        <v>0</v>
      </c>
      <c r="AR615" s="1040"/>
      <c r="AS615" s="1027"/>
      <c r="AT615" s="386" t="s">
        <v>68</v>
      </c>
      <c r="AU615" s="12"/>
      <c r="AV615" s="243" t="s">
        <v>68</v>
      </c>
      <c r="AW615" s="54" t="s">
        <v>68</v>
      </c>
      <c r="AX615" s="386" t="s">
        <v>68</v>
      </c>
      <c r="AY615" s="255"/>
      <c r="AZ615" s="255"/>
      <c r="BA615" s="245"/>
      <c r="BB615" s="68" t="s">
        <v>74</v>
      </c>
      <c r="BC615" s="1686"/>
      <c r="BD615" s="5"/>
      <c r="BE615" s="5"/>
      <c r="BF615" s="5"/>
      <c r="BG615" s="38"/>
      <c r="BH615" s="1842" t="s">
        <v>68</v>
      </c>
      <c r="BI615" s="794" t="s">
        <v>68</v>
      </c>
      <c r="BJ615" s="795" t="s">
        <v>68</v>
      </c>
      <c r="BK615" s="795" t="s">
        <v>68</v>
      </c>
      <c r="BL615" s="796" t="s">
        <v>68</v>
      </c>
      <c r="BM615" s="796" t="s">
        <v>68</v>
      </c>
      <c r="BN615" s="796" t="s">
        <v>68</v>
      </c>
      <c r="BO615" s="1054" t="s">
        <v>68</v>
      </c>
      <c r="BP615" s="796" t="s">
        <v>68</v>
      </c>
      <c r="BQ615" s="796" t="s">
        <v>68</v>
      </c>
      <c r="BR615" s="796"/>
      <c r="BS615" s="794"/>
      <c r="BT615" s="14"/>
      <c r="BU615" s="166"/>
      <c r="BV615" s="14"/>
      <c r="BW615" s="14"/>
      <c r="BX615" s="14"/>
      <c r="BY615" s="1433" t="s">
        <v>3989</v>
      </c>
      <c r="BZ615" s="40"/>
      <c r="CA615" s="582"/>
      <c r="CB615" s="582"/>
      <c r="CC615" s="582"/>
      <c r="CD615" s="582"/>
      <c r="CE615" s="582"/>
      <c r="CF615" s="582"/>
      <c r="CG615" s="582"/>
      <c r="CH615" s="16"/>
    </row>
    <row r="616" spans="2:86" ht="87.75" hidden="1" customHeight="1">
      <c r="B616" s="23"/>
      <c r="C616" s="1982"/>
      <c r="D616" s="1982"/>
      <c r="E616" s="1051"/>
      <c r="F616" s="1051"/>
      <c r="G616" s="1055"/>
      <c r="H616" s="365"/>
      <c r="I616" s="182">
        <v>2022</v>
      </c>
      <c r="J616" s="1678">
        <v>220.01</v>
      </c>
      <c r="K616" s="183" t="s">
        <v>166</v>
      </c>
      <c r="L616" s="191" t="s">
        <v>4368</v>
      </c>
      <c r="M616" s="185" t="s">
        <v>4351</v>
      </c>
      <c r="N616" s="495" t="s">
        <v>4419</v>
      </c>
      <c r="O616" s="494" t="s">
        <v>2574</v>
      </c>
      <c r="P616" s="661">
        <f>15000*1.16</f>
        <v>17400</v>
      </c>
      <c r="Q616" s="657">
        <v>44690</v>
      </c>
      <c r="R616" s="664">
        <v>44693</v>
      </c>
      <c r="S616" s="665">
        <v>44695</v>
      </c>
      <c r="T616" s="578" t="s">
        <v>68</v>
      </c>
      <c r="U616" s="739" t="s">
        <v>3800</v>
      </c>
      <c r="V616" s="1064"/>
      <c r="W616" s="740" t="s">
        <v>68</v>
      </c>
      <c r="X616" s="1629" t="s">
        <v>68</v>
      </c>
      <c r="Y616" s="280"/>
      <c r="Z616" s="9"/>
      <c r="AA616" s="4"/>
      <c r="AB616" s="4"/>
      <c r="AC616" s="34"/>
      <c r="AD616" s="645" t="s">
        <v>68</v>
      </c>
      <c r="AE616" s="646" t="s">
        <v>68</v>
      </c>
      <c r="AF616" s="646" t="s">
        <v>68</v>
      </c>
      <c r="AG616" s="647" t="s">
        <v>68</v>
      </c>
      <c r="AH616" s="644" t="s">
        <v>68</v>
      </c>
      <c r="AI616" s="180" t="s">
        <v>68</v>
      </c>
      <c r="AJ616" s="71" t="s">
        <v>68</v>
      </c>
      <c r="AK616" s="255"/>
      <c r="AL616" s="71" t="s">
        <v>68</v>
      </c>
      <c r="AM616" s="255"/>
      <c r="AN616" s="71" t="s">
        <v>68</v>
      </c>
      <c r="AO616" s="5"/>
      <c r="AP616" s="306">
        <v>0</v>
      </c>
      <c r="AQ616" s="74">
        <v>0</v>
      </c>
      <c r="AR616" s="1040"/>
      <c r="AS616" s="1027"/>
      <c r="AT616" s="386" t="s">
        <v>68</v>
      </c>
      <c r="AU616" s="12"/>
      <c r="AV616" s="243" t="s">
        <v>68</v>
      </c>
      <c r="AW616" s="54" t="s">
        <v>68</v>
      </c>
      <c r="AX616" s="386" t="s">
        <v>68</v>
      </c>
      <c r="AY616" s="255"/>
      <c r="AZ616" s="255"/>
      <c r="BA616" s="245"/>
      <c r="BB616" s="68" t="s">
        <v>74</v>
      </c>
      <c r="BC616" s="1686"/>
      <c r="BD616" s="5"/>
      <c r="BE616" s="5"/>
      <c r="BF616" s="5"/>
      <c r="BG616" s="38"/>
      <c r="BH616" s="1842" t="s">
        <v>68</v>
      </c>
      <c r="BI616" s="794" t="s">
        <v>68</v>
      </c>
      <c r="BJ616" s="795" t="s">
        <v>68</v>
      </c>
      <c r="BK616" s="795" t="s">
        <v>68</v>
      </c>
      <c r="BL616" s="796" t="s">
        <v>68</v>
      </c>
      <c r="BM616" s="796" t="s">
        <v>68</v>
      </c>
      <c r="BN616" s="796" t="s">
        <v>68</v>
      </c>
      <c r="BO616" s="1054" t="s">
        <v>68</v>
      </c>
      <c r="BP616" s="796" t="s">
        <v>68</v>
      </c>
      <c r="BQ616" s="796" t="s">
        <v>68</v>
      </c>
      <c r="BR616" s="796"/>
      <c r="BS616" s="794"/>
      <c r="BT616" s="14"/>
      <c r="BU616" s="166"/>
      <c r="BV616" s="14"/>
      <c r="BW616" s="14"/>
      <c r="BX616" s="14"/>
      <c r="BY616" s="1433" t="s">
        <v>3989</v>
      </c>
      <c r="BZ616" s="40"/>
      <c r="CA616" s="582"/>
      <c r="CB616" s="582"/>
      <c r="CC616" s="582"/>
      <c r="CD616" s="582"/>
      <c r="CE616" s="582"/>
      <c r="CF616" s="582"/>
      <c r="CG616" s="582"/>
      <c r="CH616" s="16"/>
    </row>
    <row r="617" spans="2:86" ht="117.75" hidden="1" customHeight="1">
      <c r="B617" s="23"/>
      <c r="C617" s="1982"/>
      <c r="D617" s="1982"/>
      <c r="E617" s="1051"/>
      <c r="F617" s="1051"/>
      <c r="G617" s="1055"/>
      <c r="H617" s="365"/>
      <c r="I617" s="182">
        <v>2022</v>
      </c>
      <c r="J617" s="1678">
        <v>220.01</v>
      </c>
      <c r="K617" s="183" t="s">
        <v>166</v>
      </c>
      <c r="L617" s="191" t="s">
        <v>4369</v>
      </c>
      <c r="M617" s="185" t="s">
        <v>4351</v>
      </c>
      <c r="N617" s="495" t="s">
        <v>4420</v>
      </c>
      <c r="O617" s="494" t="s">
        <v>1979</v>
      </c>
      <c r="P617" s="661">
        <f>(9450*1.16)*3</f>
        <v>32886</v>
      </c>
      <c r="Q617" s="657">
        <v>44662</v>
      </c>
      <c r="R617" s="664" t="s">
        <v>68</v>
      </c>
      <c r="S617" s="665" t="s">
        <v>68</v>
      </c>
      <c r="T617" s="578" t="s">
        <v>68</v>
      </c>
      <c r="U617" s="739" t="s">
        <v>4003</v>
      </c>
      <c r="V617" s="1064"/>
      <c r="W617" s="740" t="s">
        <v>68</v>
      </c>
      <c r="X617" s="1629" t="s">
        <v>68</v>
      </c>
      <c r="Y617" s="280"/>
      <c r="Z617" s="9"/>
      <c r="AA617" s="4"/>
      <c r="AB617" s="4"/>
      <c r="AC617" s="34"/>
      <c r="AD617" s="645" t="s">
        <v>68</v>
      </c>
      <c r="AE617" s="646" t="s">
        <v>68</v>
      </c>
      <c r="AF617" s="646" t="s">
        <v>68</v>
      </c>
      <c r="AG617" s="647" t="s">
        <v>68</v>
      </c>
      <c r="AH617" s="644" t="s">
        <v>68</v>
      </c>
      <c r="AI617" s="180" t="s">
        <v>68</v>
      </c>
      <c r="AJ617" s="71" t="s">
        <v>68</v>
      </c>
      <c r="AK617" s="255"/>
      <c r="AL617" s="71" t="s">
        <v>68</v>
      </c>
      <c r="AM617" s="255"/>
      <c r="AN617" s="71" t="s">
        <v>68</v>
      </c>
      <c r="AO617" s="5"/>
      <c r="AP617" s="306">
        <v>0</v>
      </c>
      <c r="AQ617" s="74">
        <v>0</v>
      </c>
      <c r="AR617" s="1040"/>
      <c r="AS617" s="1027"/>
      <c r="AT617" s="386" t="s">
        <v>68</v>
      </c>
      <c r="AU617" s="12"/>
      <c r="AV617" s="243" t="s">
        <v>68</v>
      </c>
      <c r="AW617" s="54" t="s">
        <v>68</v>
      </c>
      <c r="AX617" s="386" t="s">
        <v>68</v>
      </c>
      <c r="AY617" s="255"/>
      <c r="AZ617" s="255"/>
      <c r="BA617" s="245"/>
      <c r="BB617" s="68" t="s">
        <v>74</v>
      </c>
      <c r="BC617" s="1686"/>
      <c r="BD617" s="5"/>
      <c r="BE617" s="5"/>
      <c r="BF617" s="5"/>
      <c r="BG617" s="38"/>
      <c r="BH617" s="1842" t="s">
        <v>68</v>
      </c>
      <c r="BI617" s="794" t="s">
        <v>68</v>
      </c>
      <c r="BJ617" s="795" t="s">
        <v>68</v>
      </c>
      <c r="BK617" s="795" t="s">
        <v>68</v>
      </c>
      <c r="BL617" s="796" t="s">
        <v>68</v>
      </c>
      <c r="BM617" s="796" t="s">
        <v>68</v>
      </c>
      <c r="BN617" s="796" t="s">
        <v>68</v>
      </c>
      <c r="BO617" s="1054" t="s">
        <v>68</v>
      </c>
      <c r="BP617" s="796" t="s">
        <v>68</v>
      </c>
      <c r="BQ617" s="796" t="s">
        <v>68</v>
      </c>
      <c r="BR617" s="796"/>
      <c r="BS617" s="794"/>
      <c r="BT617" s="14"/>
      <c r="BU617" s="166"/>
      <c r="BV617" s="14"/>
      <c r="BW617" s="14"/>
      <c r="BX617" s="14"/>
      <c r="BY617" s="1433" t="s">
        <v>3989</v>
      </c>
      <c r="BZ617" s="40"/>
      <c r="CA617" s="582"/>
      <c r="CB617" s="582"/>
      <c r="CC617" s="582"/>
      <c r="CD617" s="582"/>
      <c r="CE617" s="582"/>
      <c r="CF617" s="582"/>
      <c r="CG617" s="582"/>
      <c r="CH617" s="16"/>
    </row>
    <row r="618" spans="2:86" ht="162" hidden="1" customHeight="1">
      <c r="B618" s="23"/>
      <c r="C618" s="1982"/>
      <c r="D618" s="1982"/>
      <c r="E618" s="1051"/>
      <c r="F618" s="1051"/>
      <c r="G618" s="1055"/>
      <c r="H618" s="365"/>
      <c r="I618" s="182">
        <v>2022</v>
      </c>
      <c r="J618" s="1678">
        <v>220.01</v>
      </c>
      <c r="K618" s="183" t="s">
        <v>166</v>
      </c>
      <c r="L618" s="191" t="s">
        <v>4370</v>
      </c>
      <c r="M618" s="185" t="s">
        <v>4351</v>
      </c>
      <c r="N618" s="495" t="s">
        <v>4421</v>
      </c>
      <c r="O618" s="494" t="s">
        <v>4459</v>
      </c>
      <c r="P618" s="661">
        <f>15750*1.16</f>
        <v>18270</v>
      </c>
      <c r="Q618" s="657">
        <v>44690</v>
      </c>
      <c r="R618" s="664" t="s">
        <v>68</v>
      </c>
      <c r="S618" s="665" t="s">
        <v>68</v>
      </c>
      <c r="T618" s="578" t="s">
        <v>68</v>
      </c>
      <c r="U618" s="739" t="s">
        <v>4003</v>
      </c>
      <c r="V618" s="1064"/>
      <c r="W618" s="740" t="s">
        <v>68</v>
      </c>
      <c r="X618" s="1629" t="s">
        <v>68</v>
      </c>
      <c r="Y618" s="280"/>
      <c r="Z618" s="9"/>
      <c r="AA618" s="4"/>
      <c r="AB618" s="4"/>
      <c r="AC618" s="34"/>
      <c r="AD618" s="645" t="s">
        <v>68</v>
      </c>
      <c r="AE618" s="646" t="s">
        <v>68</v>
      </c>
      <c r="AF618" s="646" t="s">
        <v>68</v>
      </c>
      <c r="AG618" s="647" t="s">
        <v>68</v>
      </c>
      <c r="AH618" s="644" t="s">
        <v>68</v>
      </c>
      <c r="AI618" s="180" t="s">
        <v>68</v>
      </c>
      <c r="AJ618" s="71" t="s">
        <v>68</v>
      </c>
      <c r="AK618" s="255"/>
      <c r="AL618" s="71" t="s">
        <v>68</v>
      </c>
      <c r="AM618" s="255"/>
      <c r="AN618" s="71" t="s">
        <v>68</v>
      </c>
      <c r="AO618" s="5"/>
      <c r="AP618" s="306">
        <v>0</v>
      </c>
      <c r="AQ618" s="74">
        <v>0</v>
      </c>
      <c r="AR618" s="1040"/>
      <c r="AS618" s="1027"/>
      <c r="AT618" s="386" t="s">
        <v>68</v>
      </c>
      <c r="AU618" s="12"/>
      <c r="AV618" s="243" t="s">
        <v>68</v>
      </c>
      <c r="AW618" s="54" t="s">
        <v>68</v>
      </c>
      <c r="AX618" s="386" t="s">
        <v>68</v>
      </c>
      <c r="AY618" s="255"/>
      <c r="AZ618" s="255"/>
      <c r="BA618" s="245"/>
      <c r="BB618" s="68" t="s">
        <v>74</v>
      </c>
      <c r="BC618" s="1686"/>
      <c r="BD618" s="5"/>
      <c r="BE618" s="5"/>
      <c r="BF618" s="5"/>
      <c r="BG618" s="38"/>
      <c r="BH618" s="1842" t="s">
        <v>68</v>
      </c>
      <c r="BI618" s="794" t="s">
        <v>68</v>
      </c>
      <c r="BJ618" s="795" t="s">
        <v>68</v>
      </c>
      <c r="BK618" s="795" t="s">
        <v>68</v>
      </c>
      <c r="BL618" s="796" t="s">
        <v>68</v>
      </c>
      <c r="BM618" s="796" t="s">
        <v>68</v>
      </c>
      <c r="BN618" s="796" t="s">
        <v>68</v>
      </c>
      <c r="BO618" s="1054" t="s">
        <v>68</v>
      </c>
      <c r="BP618" s="796" t="s">
        <v>68</v>
      </c>
      <c r="BQ618" s="796" t="s">
        <v>68</v>
      </c>
      <c r="BR618" s="796"/>
      <c r="BS618" s="794"/>
      <c r="BT618" s="14"/>
      <c r="BU618" s="166"/>
      <c r="BV618" s="14"/>
      <c r="BW618" s="14"/>
      <c r="BX618" s="14"/>
      <c r="BY618" s="1433" t="s">
        <v>3989</v>
      </c>
      <c r="BZ618" s="40"/>
      <c r="CA618" s="582"/>
      <c r="CB618" s="582"/>
      <c r="CC618" s="582"/>
      <c r="CD618" s="582"/>
      <c r="CE618" s="582"/>
      <c r="CF618" s="582"/>
      <c r="CG618" s="582"/>
      <c r="CH618" s="16"/>
    </row>
    <row r="619" spans="2:86" ht="134.25" hidden="1" customHeight="1">
      <c r="B619" s="23"/>
      <c r="C619" s="1982"/>
      <c r="D619" s="1982"/>
      <c r="E619" s="1051"/>
      <c r="F619" s="1051"/>
      <c r="G619" s="1055"/>
      <c r="H619" s="365"/>
      <c r="I619" s="182">
        <v>2022</v>
      </c>
      <c r="J619" s="1678">
        <v>220.01</v>
      </c>
      <c r="K619" s="183" t="s">
        <v>166</v>
      </c>
      <c r="L619" s="191" t="s">
        <v>4371</v>
      </c>
      <c r="M619" s="185" t="s">
        <v>4351</v>
      </c>
      <c r="N619" s="495" t="s">
        <v>4460</v>
      </c>
      <c r="O619" s="494" t="s">
        <v>2574</v>
      </c>
      <c r="P619" s="661">
        <v>3500</v>
      </c>
      <c r="Q619" s="657">
        <v>44714</v>
      </c>
      <c r="R619" s="664">
        <v>44716</v>
      </c>
      <c r="S619" s="665">
        <v>44716</v>
      </c>
      <c r="T619" s="578" t="s">
        <v>68</v>
      </c>
      <c r="U619" s="739" t="s">
        <v>5854</v>
      </c>
      <c r="V619" s="1064"/>
      <c r="W619" s="740" t="s">
        <v>68</v>
      </c>
      <c r="X619" s="1629" t="s">
        <v>68</v>
      </c>
      <c r="Y619" s="280"/>
      <c r="Z619" s="9"/>
      <c r="AA619" s="4"/>
      <c r="AB619" s="4"/>
      <c r="AC619" s="34"/>
      <c r="AD619" s="645" t="s">
        <v>68</v>
      </c>
      <c r="AE619" s="646" t="s">
        <v>68</v>
      </c>
      <c r="AF619" s="646" t="s">
        <v>68</v>
      </c>
      <c r="AG619" s="647" t="s">
        <v>68</v>
      </c>
      <c r="AH619" s="644" t="s">
        <v>68</v>
      </c>
      <c r="AI619" s="180" t="s">
        <v>68</v>
      </c>
      <c r="AJ619" s="71" t="s">
        <v>68</v>
      </c>
      <c r="AK619" s="255"/>
      <c r="AL619" s="71" t="s">
        <v>68</v>
      </c>
      <c r="AM619" s="255"/>
      <c r="AN619" s="71" t="s">
        <v>68</v>
      </c>
      <c r="AO619" s="5"/>
      <c r="AP619" s="306">
        <v>0</v>
      </c>
      <c r="AQ619" s="74">
        <v>0</v>
      </c>
      <c r="AR619" s="1040"/>
      <c r="AS619" s="1027"/>
      <c r="AT619" s="386" t="s">
        <v>68</v>
      </c>
      <c r="AU619" s="12"/>
      <c r="AV619" s="243" t="s">
        <v>68</v>
      </c>
      <c r="AW619" s="54" t="s">
        <v>68</v>
      </c>
      <c r="AX619" s="386" t="s">
        <v>68</v>
      </c>
      <c r="AY619" s="255"/>
      <c r="AZ619" s="255"/>
      <c r="BA619" s="245"/>
      <c r="BB619" s="68" t="s">
        <v>74</v>
      </c>
      <c r="BC619" s="1686"/>
      <c r="BD619" s="5"/>
      <c r="BE619" s="5"/>
      <c r="BF619" s="5"/>
      <c r="BG619" s="38"/>
      <c r="BH619" s="1842" t="s">
        <v>68</v>
      </c>
      <c r="BI619" s="794" t="s">
        <v>68</v>
      </c>
      <c r="BJ619" s="795" t="s">
        <v>68</v>
      </c>
      <c r="BK619" s="795" t="s">
        <v>68</v>
      </c>
      <c r="BL619" s="796" t="s">
        <v>68</v>
      </c>
      <c r="BM619" s="796" t="s">
        <v>68</v>
      </c>
      <c r="BN619" s="796" t="s">
        <v>68</v>
      </c>
      <c r="BO619" s="1054" t="s">
        <v>68</v>
      </c>
      <c r="BP619" s="796" t="s">
        <v>68</v>
      </c>
      <c r="BQ619" s="796" t="s">
        <v>68</v>
      </c>
      <c r="BR619" s="796"/>
      <c r="BS619" s="794"/>
      <c r="BT619" s="14"/>
      <c r="BU619" s="166"/>
      <c r="BV619" s="14"/>
      <c r="BW619" s="14"/>
      <c r="BX619" s="14"/>
      <c r="BY619" s="1433" t="s">
        <v>3989</v>
      </c>
      <c r="BZ619" s="40"/>
      <c r="CA619" s="582"/>
      <c r="CB619" s="582"/>
      <c r="CC619" s="582"/>
      <c r="CD619" s="582"/>
      <c r="CE619" s="582"/>
      <c r="CF619" s="582"/>
      <c r="CG619" s="582"/>
      <c r="CH619" s="16"/>
    </row>
    <row r="620" spans="2:86" ht="87.75" hidden="1" customHeight="1">
      <c r="B620" s="23"/>
      <c r="C620" s="1982"/>
      <c r="D620" s="1982"/>
      <c r="E620" s="1051"/>
      <c r="F620" s="1051"/>
      <c r="G620" s="1055"/>
      <c r="H620" s="365"/>
      <c r="I620" s="182">
        <v>2022</v>
      </c>
      <c r="J620" s="1678">
        <v>220.01</v>
      </c>
      <c r="K620" s="183" t="s">
        <v>166</v>
      </c>
      <c r="L620" s="191" t="s">
        <v>4372</v>
      </c>
      <c r="M620" s="185" t="s">
        <v>4158</v>
      </c>
      <c r="N620" s="1401" t="s">
        <v>68</v>
      </c>
      <c r="O620" s="1401"/>
      <c r="P620" s="661"/>
      <c r="Q620" s="657"/>
      <c r="R620" s="664"/>
      <c r="S620" s="665"/>
      <c r="T620" s="578" t="s">
        <v>68</v>
      </c>
      <c r="U620" s="1229" t="s">
        <v>68</v>
      </c>
      <c r="V620" s="1064"/>
      <c r="W620" s="740" t="s">
        <v>68</v>
      </c>
      <c r="X620" s="1629" t="s">
        <v>68</v>
      </c>
      <c r="Y620" s="280"/>
      <c r="Z620" s="9"/>
      <c r="AA620" s="4"/>
      <c r="AB620" s="4"/>
      <c r="AC620" s="34"/>
      <c r="AD620" s="645" t="s">
        <v>68</v>
      </c>
      <c r="AE620" s="646" t="s">
        <v>68</v>
      </c>
      <c r="AF620" s="646" t="s">
        <v>68</v>
      </c>
      <c r="AG620" s="647" t="s">
        <v>68</v>
      </c>
      <c r="AH620" s="644" t="s">
        <v>68</v>
      </c>
      <c r="AI620" s="180" t="s">
        <v>68</v>
      </c>
      <c r="AJ620" s="71" t="s">
        <v>68</v>
      </c>
      <c r="AK620" s="255"/>
      <c r="AL620" s="71" t="s">
        <v>68</v>
      </c>
      <c r="AM620" s="255"/>
      <c r="AN620" s="71" t="s">
        <v>68</v>
      </c>
      <c r="AO620" s="5"/>
      <c r="AP620" s="306">
        <v>0</v>
      </c>
      <c r="AQ620" s="74">
        <v>0</v>
      </c>
      <c r="AR620" s="1040"/>
      <c r="AS620" s="1027"/>
      <c r="AT620" s="386" t="s">
        <v>68</v>
      </c>
      <c r="AU620" s="12"/>
      <c r="AV620" s="243" t="s">
        <v>68</v>
      </c>
      <c r="AW620" s="54" t="s">
        <v>68</v>
      </c>
      <c r="AX620" s="386" t="s">
        <v>68</v>
      </c>
      <c r="AY620" s="255"/>
      <c r="AZ620" s="255"/>
      <c r="BA620" s="245"/>
      <c r="BB620" s="68" t="s">
        <v>74</v>
      </c>
      <c r="BC620" s="1686"/>
      <c r="BD620" s="5"/>
      <c r="BE620" s="5"/>
      <c r="BF620" s="5"/>
      <c r="BG620" s="38"/>
      <c r="BH620" s="1842" t="s">
        <v>68</v>
      </c>
      <c r="BI620" s="794" t="s">
        <v>68</v>
      </c>
      <c r="BJ620" s="795" t="s">
        <v>68</v>
      </c>
      <c r="BK620" s="795" t="s">
        <v>68</v>
      </c>
      <c r="BL620" s="796" t="s">
        <v>68</v>
      </c>
      <c r="BM620" s="796" t="s">
        <v>68</v>
      </c>
      <c r="BN620" s="796" t="s">
        <v>68</v>
      </c>
      <c r="BO620" s="1054" t="s">
        <v>68</v>
      </c>
      <c r="BP620" s="796" t="s">
        <v>68</v>
      </c>
      <c r="BQ620" s="796" t="s">
        <v>68</v>
      </c>
      <c r="BR620" s="796"/>
      <c r="BS620" s="794"/>
      <c r="BT620" s="14"/>
      <c r="BU620" s="166"/>
      <c r="BV620" s="14"/>
      <c r="BW620" s="14"/>
      <c r="BX620" s="14"/>
      <c r="BY620" s="1433" t="s">
        <v>3989</v>
      </c>
      <c r="BZ620" s="40"/>
      <c r="CA620" s="582"/>
      <c r="CB620" s="582"/>
      <c r="CC620" s="582"/>
      <c r="CD620" s="582"/>
      <c r="CE620" s="582"/>
      <c r="CF620" s="582"/>
      <c r="CG620" s="582"/>
      <c r="CH620" s="16"/>
    </row>
    <row r="621" spans="2:86" ht="87.75" hidden="1" customHeight="1">
      <c r="B621" s="23"/>
      <c r="C621" s="1982"/>
      <c r="D621" s="1982"/>
      <c r="E621" s="1051"/>
      <c r="F621" s="1051"/>
      <c r="G621" s="1055"/>
      <c r="H621" s="365"/>
      <c r="I621" s="182">
        <v>2022</v>
      </c>
      <c r="J621" s="1678">
        <v>220.01</v>
      </c>
      <c r="K621" s="183" t="s">
        <v>166</v>
      </c>
      <c r="L621" s="191" t="s">
        <v>4373</v>
      </c>
      <c r="M621" s="185" t="s">
        <v>4158</v>
      </c>
      <c r="N621" s="1401" t="s">
        <v>68</v>
      </c>
      <c r="O621" s="1401"/>
      <c r="P621" s="661"/>
      <c r="Q621" s="657"/>
      <c r="R621" s="664"/>
      <c r="S621" s="665"/>
      <c r="T621" s="578" t="s">
        <v>68</v>
      </c>
      <c r="U621" s="1229" t="s">
        <v>68</v>
      </c>
      <c r="V621" s="1064"/>
      <c r="W621" s="740" t="s">
        <v>68</v>
      </c>
      <c r="X621" s="1629" t="s">
        <v>68</v>
      </c>
      <c r="Y621" s="280"/>
      <c r="Z621" s="9"/>
      <c r="AA621" s="4"/>
      <c r="AB621" s="4"/>
      <c r="AC621" s="34"/>
      <c r="AD621" s="645" t="s">
        <v>68</v>
      </c>
      <c r="AE621" s="646" t="s">
        <v>68</v>
      </c>
      <c r="AF621" s="646" t="s">
        <v>68</v>
      </c>
      <c r="AG621" s="647" t="s">
        <v>68</v>
      </c>
      <c r="AH621" s="644" t="s">
        <v>68</v>
      </c>
      <c r="AI621" s="180" t="s">
        <v>68</v>
      </c>
      <c r="AJ621" s="71" t="s">
        <v>68</v>
      </c>
      <c r="AK621" s="255"/>
      <c r="AL621" s="71" t="s">
        <v>68</v>
      </c>
      <c r="AM621" s="255"/>
      <c r="AN621" s="71" t="s">
        <v>68</v>
      </c>
      <c r="AO621" s="5"/>
      <c r="AP621" s="306">
        <v>0</v>
      </c>
      <c r="AQ621" s="74">
        <v>0</v>
      </c>
      <c r="AR621" s="1040"/>
      <c r="AS621" s="1027"/>
      <c r="AT621" s="386" t="s">
        <v>68</v>
      </c>
      <c r="AU621" s="12"/>
      <c r="AV621" s="243" t="s">
        <v>68</v>
      </c>
      <c r="AW621" s="54" t="s">
        <v>68</v>
      </c>
      <c r="AX621" s="386" t="s">
        <v>68</v>
      </c>
      <c r="AY621" s="255"/>
      <c r="AZ621" s="255"/>
      <c r="BA621" s="245"/>
      <c r="BB621" s="68" t="s">
        <v>74</v>
      </c>
      <c r="BC621" s="1686"/>
      <c r="BD621" s="5"/>
      <c r="BE621" s="5"/>
      <c r="BF621" s="5"/>
      <c r="BG621" s="38"/>
      <c r="BH621" s="1842" t="s">
        <v>68</v>
      </c>
      <c r="BI621" s="794" t="s">
        <v>68</v>
      </c>
      <c r="BJ621" s="795" t="s">
        <v>68</v>
      </c>
      <c r="BK621" s="795" t="s">
        <v>68</v>
      </c>
      <c r="BL621" s="796" t="s">
        <v>68</v>
      </c>
      <c r="BM621" s="796" t="s">
        <v>68</v>
      </c>
      <c r="BN621" s="796" t="s">
        <v>68</v>
      </c>
      <c r="BO621" s="1054" t="s">
        <v>68</v>
      </c>
      <c r="BP621" s="796" t="s">
        <v>68</v>
      </c>
      <c r="BQ621" s="796" t="s">
        <v>68</v>
      </c>
      <c r="BR621" s="796"/>
      <c r="BS621" s="794"/>
      <c r="BT621" s="14"/>
      <c r="BU621" s="166"/>
      <c r="BV621" s="14"/>
      <c r="BW621" s="14"/>
      <c r="BX621" s="14"/>
      <c r="BY621" s="1433" t="s">
        <v>3989</v>
      </c>
      <c r="BZ621" s="40"/>
      <c r="CA621" s="582"/>
      <c r="CB621" s="582"/>
      <c r="CC621" s="582"/>
      <c r="CD621" s="582"/>
      <c r="CE621" s="582"/>
      <c r="CF621" s="582"/>
      <c r="CG621" s="582"/>
      <c r="CH621" s="16"/>
    </row>
    <row r="622" spans="2:86" ht="87.75" hidden="1" customHeight="1">
      <c r="B622" s="23"/>
      <c r="C622" s="1982"/>
      <c r="D622" s="1982"/>
      <c r="E622" s="1051"/>
      <c r="F622" s="1051"/>
      <c r="G622" s="1055"/>
      <c r="H622" s="365"/>
      <c r="I622" s="182">
        <v>2022</v>
      </c>
      <c r="J622" s="1678">
        <v>220.01</v>
      </c>
      <c r="K622" s="183" t="s">
        <v>166</v>
      </c>
      <c r="L622" s="191" t="s">
        <v>4374</v>
      </c>
      <c r="M622" s="185" t="s">
        <v>4158</v>
      </c>
      <c r="N622" s="1401" t="s">
        <v>68</v>
      </c>
      <c r="O622" s="1401"/>
      <c r="P622" s="661"/>
      <c r="Q622" s="657"/>
      <c r="R622" s="664"/>
      <c r="S622" s="665"/>
      <c r="T622" s="578" t="s">
        <v>68</v>
      </c>
      <c r="U622" s="1229" t="s">
        <v>68</v>
      </c>
      <c r="V622" s="1064"/>
      <c r="W622" s="740" t="s">
        <v>68</v>
      </c>
      <c r="X622" s="1629" t="s">
        <v>68</v>
      </c>
      <c r="Y622" s="280"/>
      <c r="Z622" s="9"/>
      <c r="AA622" s="4"/>
      <c r="AB622" s="4"/>
      <c r="AC622" s="34"/>
      <c r="AD622" s="645" t="s">
        <v>68</v>
      </c>
      <c r="AE622" s="646" t="s">
        <v>68</v>
      </c>
      <c r="AF622" s="646" t="s">
        <v>68</v>
      </c>
      <c r="AG622" s="647" t="s">
        <v>68</v>
      </c>
      <c r="AH622" s="644" t="s">
        <v>68</v>
      </c>
      <c r="AI622" s="180" t="s">
        <v>68</v>
      </c>
      <c r="AJ622" s="71" t="s">
        <v>68</v>
      </c>
      <c r="AK622" s="255"/>
      <c r="AL622" s="71" t="s">
        <v>68</v>
      </c>
      <c r="AM622" s="255"/>
      <c r="AN622" s="71" t="s">
        <v>68</v>
      </c>
      <c r="AO622" s="5"/>
      <c r="AP622" s="306">
        <v>0</v>
      </c>
      <c r="AQ622" s="74">
        <v>0</v>
      </c>
      <c r="AR622" s="1040"/>
      <c r="AS622" s="1027"/>
      <c r="AT622" s="386" t="s">
        <v>68</v>
      </c>
      <c r="AU622" s="12"/>
      <c r="AV622" s="243" t="s">
        <v>68</v>
      </c>
      <c r="AW622" s="54" t="s">
        <v>68</v>
      </c>
      <c r="AX622" s="386" t="s">
        <v>68</v>
      </c>
      <c r="AY622" s="255"/>
      <c r="AZ622" s="255"/>
      <c r="BA622" s="245"/>
      <c r="BB622" s="68" t="s">
        <v>74</v>
      </c>
      <c r="BC622" s="1686"/>
      <c r="BD622" s="5"/>
      <c r="BE622" s="5"/>
      <c r="BF622" s="5"/>
      <c r="BG622" s="38"/>
      <c r="BH622" s="1842" t="s">
        <v>68</v>
      </c>
      <c r="BI622" s="794" t="s">
        <v>68</v>
      </c>
      <c r="BJ622" s="795" t="s">
        <v>68</v>
      </c>
      <c r="BK622" s="795" t="s">
        <v>68</v>
      </c>
      <c r="BL622" s="796" t="s">
        <v>68</v>
      </c>
      <c r="BM622" s="796" t="s">
        <v>68</v>
      </c>
      <c r="BN622" s="796" t="s">
        <v>68</v>
      </c>
      <c r="BO622" s="1054" t="s">
        <v>68</v>
      </c>
      <c r="BP622" s="796" t="s">
        <v>68</v>
      </c>
      <c r="BQ622" s="796" t="s">
        <v>68</v>
      </c>
      <c r="BR622" s="796"/>
      <c r="BS622" s="794"/>
      <c r="BT622" s="14"/>
      <c r="BU622" s="166"/>
      <c r="BV622" s="14"/>
      <c r="BW622" s="14"/>
      <c r="BX622" s="14"/>
      <c r="BY622" s="1433" t="s">
        <v>3989</v>
      </c>
      <c r="BZ622" s="40"/>
      <c r="CA622" s="582"/>
      <c r="CB622" s="582"/>
      <c r="CC622" s="582"/>
      <c r="CD622" s="582"/>
      <c r="CE622" s="582"/>
      <c r="CF622" s="582"/>
      <c r="CG622" s="582"/>
      <c r="CH622" s="16"/>
    </row>
    <row r="623" spans="2:86" ht="87.75" hidden="1" customHeight="1">
      <c r="B623" s="23"/>
      <c r="C623" s="1982"/>
      <c r="D623" s="1982"/>
      <c r="E623" s="1051"/>
      <c r="F623" s="1051"/>
      <c r="G623" s="1055"/>
      <c r="H623" s="365"/>
      <c r="I623" s="182">
        <v>2022</v>
      </c>
      <c r="J623" s="1678">
        <v>220.01</v>
      </c>
      <c r="K623" s="183" t="s">
        <v>166</v>
      </c>
      <c r="L623" s="191" t="s">
        <v>4375</v>
      </c>
      <c r="M623" s="185" t="s">
        <v>4158</v>
      </c>
      <c r="N623" s="1401" t="s">
        <v>68</v>
      </c>
      <c r="O623" s="1401"/>
      <c r="P623" s="661"/>
      <c r="Q623" s="657"/>
      <c r="R623" s="664"/>
      <c r="S623" s="665"/>
      <c r="T623" s="578" t="s">
        <v>68</v>
      </c>
      <c r="U623" s="1229" t="s">
        <v>68</v>
      </c>
      <c r="V623" s="1064"/>
      <c r="W623" s="740" t="s">
        <v>68</v>
      </c>
      <c r="X623" s="1629" t="s">
        <v>68</v>
      </c>
      <c r="Y623" s="280"/>
      <c r="Z623" s="9"/>
      <c r="AA623" s="4"/>
      <c r="AB623" s="4"/>
      <c r="AC623" s="34"/>
      <c r="AD623" s="645" t="s">
        <v>68</v>
      </c>
      <c r="AE623" s="646" t="s">
        <v>68</v>
      </c>
      <c r="AF623" s="646" t="s">
        <v>68</v>
      </c>
      <c r="AG623" s="647" t="s">
        <v>68</v>
      </c>
      <c r="AH623" s="644" t="s">
        <v>68</v>
      </c>
      <c r="AI623" s="180" t="s">
        <v>68</v>
      </c>
      <c r="AJ623" s="71" t="s">
        <v>68</v>
      </c>
      <c r="AK623" s="255"/>
      <c r="AL623" s="71" t="s">
        <v>68</v>
      </c>
      <c r="AM623" s="255"/>
      <c r="AN623" s="71" t="s">
        <v>68</v>
      </c>
      <c r="AO623" s="5"/>
      <c r="AP623" s="306">
        <v>0</v>
      </c>
      <c r="AQ623" s="74">
        <v>0</v>
      </c>
      <c r="AR623" s="1040"/>
      <c r="AS623" s="1027"/>
      <c r="AT623" s="386" t="s">
        <v>68</v>
      </c>
      <c r="AU623" s="12"/>
      <c r="AV623" s="243" t="s">
        <v>68</v>
      </c>
      <c r="AW623" s="54" t="s">
        <v>68</v>
      </c>
      <c r="AX623" s="386" t="s">
        <v>68</v>
      </c>
      <c r="AY623" s="255"/>
      <c r="AZ623" s="255"/>
      <c r="BA623" s="245"/>
      <c r="BB623" s="68" t="s">
        <v>74</v>
      </c>
      <c r="BC623" s="1686"/>
      <c r="BD623" s="5"/>
      <c r="BE623" s="5"/>
      <c r="BF623" s="5"/>
      <c r="BG623" s="38"/>
      <c r="BH623" s="1842" t="s">
        <v>68</v>
      </c>
      <c r="BI623" s="794" t="s">
        <v>68</v>
      </c>
      <c r="BJ623" s="795" t="s">
        <v>68</v>
      </c>
      <c r="BK623" s="795" t="s">
        <v>68</v>
      </c>
      <c r="BL623" s="796" t="s">
        <v>68</v>
      </c>
      <c r="BM623" s="796" t="s">
        <v>68</v>
      </c>
      <c r="BN623" s="796" t="s">
        <v>68</v>
      </c>
      <c r="BO623" s="1054" t="s">
        <v>68</v>
      </c>
      <c r="BP623" s="796" t="s">
        <v>68</v>
      </c>
      <c r="BQ623" s="796" t="s">
        <v>68</v>
      </c>
      <c r="BR623" s="796"/>
      <c r="BS623" s="794"/>
      <c r="BT623" s="14"/>
      <c r="BU623" s="166"/>
      <c r="BV623" s="14"/>
      <c r="BW623" s="14"/>
      <c r="BX623" s="14"/>
      <c r="BY623" s="1433" t="s">
        <v>3989</v>
      </c>
      <c r="BZ623" s="40"/>
      <c r="CA623" s="582"/>
      <c r="CB623" s="582"/>
      <c r="CC623" s="582"/>
      <c r="CD623" s="582"/>
      <c r="CE623" s="582"/>
      <c r="CF623" s="582"/>
      <c r="CG623" s="582"/>
      <c r="CH623" s="16"/>
    </row>
    <row r="624" spans="2:86" ht="87.75" hidden="1" customHeight="1">
      <c r="B624" s="23"/>
      <c r="C624" s="1982"/>
      <c r="D624" s="1982"/>
      <c r="E624" s="1051"/>
      <c r="F624" s="1051"/>
      <c r="G624" s="1055"/>
      <c r="H624" s="365"/>
      <c r="I624" s="182">
        <v>2022</v>
      </c>
      <c r="J624" s="1678">
        <v>220.01</v>
      </c>
      <c r="K624" s="183" t="s">
        <v>166</v>
      </c>
      <c r="L624" s="191" t="s">
        <v>4376</v>
      </c>
      <c r="M624" s="185" t="s">
        <v>4158</v>
      </c>
      <c r="N624" s="1401" t="s">
        <v>68</v>
      </c>
      <c r="O624" s="1401"/>
      <c r="P624" s="661"/>
      <c r="Q624" s="657"/>
      <c r="R624" s="664"/>
      <c r="S624" s="665"/>
      <c r="T624" s="578" t="s">
        <v>68</v>
      </c>
      <c r="U624" s="1229" t="s">
        <v>68</v>
      </c>
      <c r="V624" s="1064"/>
      <c r="W624" s="740" t="s">
        <v>68</v>
      </c>
      <c r="X624" s="1629" t="s">
        <v>68</v>
      </c>
      <c r="Y624" s="280"/>
      <c r="Z624" s="9"/>
      <c r="AA624" s="4"/>
      <c r="AB624" s="4"/>
      <c r="AC624" s="34"/>
      <c r="AD624" s="645" t="s">
        <v>68</v>
      </c>
      <c r="AE624" s="646" t="s">
        <v>68</v>
      </c>
      <c r="AF624" s="646" t="s">
        <v>68</v>
      </c>
      <c r="AG624" s="647" t="s">
        <v>68</v>
      </c>
      <c r="AH624" s="644" t="s">
        <v>68</v>
      </c>
      <c r="AI624" s="180" t="s">
        <v>68</v>
      </c>
      <c r="AJ624" s="71" t="s">
        <v>68</v>
      </c>
      <c r="AK624" s="255"/>
      <c r="AL624" s="71" t="s">
        <v>68</v>
      </c>
      <c r="AM624" s="255"/>
      <c r="AN624" s="71" t="s">
        <v>68</v>
      </c>
      <c r="AO624" s="5"/>
      <c r="AP624" s="306">
        <v>0</v>
      </c>
      <c r="AQ624" s="74">
        <v>0</v>
      </c>
      <c r="AR624" s="1040"/>
      <c r="AS624" s="1027"/>
      <c r="AT624" s="386" t="s">
        <v>68</v>
      </c>
      <c r="AU624" s="12"/>
      <c r="AV624" s="243" t="s">
        <v>68</v>
      </c>
      <c r="AW624" s="54" t="s">
        <v>68</v>
      </c>
      <c r="AX624" s="386" t="s">
        <v>68</v>
      </c>
      <c r="AY624" s="255"/>
      <c r="AZ624" s="255"/>
      <c r="BA624" s="245"/>
      <c r="BB624" s="68" t="s">
        <v>74</v>
      </c>
      <c r="BC624" s="1686"/>
      <c r="BD624" s="5"/>
      <c r="BE624" s="5"/>
      <c r="BF624" s="5"/>
      <c r="BG624" s="38"/>
      <c r="BH624" s="1842" t="s">
        <v>68</v>
      </c>
      <c r="BI624" s="794" t="s">
        <v>68</v>
      </c>
      <c r="BJ624" s="795" t="s">
        <v>68</v>
      </c>
      <c r="BK624" s="795" t="s">
        <v>68</v>
      </c>
      <c r="BL624" s="796" t="s">
        <v>68</v>
      </c>
      <c r="BM624" s="796" t="s">
        <v>68</v>
      </c>
      <c r="BN624" s="796" t="s">
        <v>68</v>
      </c>
      <c r="BO624" s="1054" t="s">
        <v>68</v>
      </c>
      <c r="BP624" s="796" t="s">
        <v>68</v>
      </c>
      <c r="BQ624" s="796" t="s">
        <v>68</v>
      </c>
      <c r="BR624" s="796"/>
      <c r="BS624" s="794"/>
      <c r="BT624" s="14"/>
      <c r="BU624" s="166"/>
      <c r="BV624" s="14"/>
      <c r="BW624" s="14"/>
      <c r="BX624" s="14"/>
      <c r="BY624" s="1433" t="s">
        <v>3989</v>
      </c>
      <c r="BZ624" s="40"/>
      <c r="CA624" s="582"/>
      <c r="CB624" s="582"/>
      <c r="CC624" s="582"/>
      <c r="CD624" s="582"/>
      <c r="CE624" s="582"/>
      <c r="CF624" s="582"/>
      <c r="CG624" s="582"/>
      <c r="CH624" s="16"/>
    </row>
    <row r="625" spans="2:86" ht="87.75" hidden="1" customHeight="1">
      <c r="B625" s="23"/>
      <c r="C625" s="1982"/>
      <c r="D625" s="1982"/>
      <c r="E625" s="1051"/>
      <c r="F625" s="1051"/>
      <c r="G625" s="1055"/>
      <c r="H625" s="365"/>
      <c r="I625" s="182">
        <v>2022</v>
      </c>
      <c r="J625" s="1678">
        <v>220.01</v>
      </c>
      <c r="K625" s="183" t="s">
        <v>166</v>
      </c>
      <c r="L625" s="191" t="s">
        <v>4377</v>
      </c>
      <c r="M625" s="185" t="s">
        <v>4158</v>
      </c>
      <c r="N625" s="1401" t="s">
        <v>68</v>
      </c>
      <c r="O625" s="1401"/>
      <c r="P625" s="661"/>
      <c r="Q625" s="657"/>
      <c r="R625" s="664"/>
      <c r="S625" s="665"/>
      <c r="T625" s="578" t="s">
        <v>68</v>
      </c>
      <c r="U625" s="1229" t="s">
        <v>68</v>
      </c>
      <c r="V625" s="1064"/>
      <c r="W625" s="740" t="s">
        <v>68</v>
      </c>
      <c r="X625" s="1629" t="s">
        <v>68</v>
      </c>
      <c r="Y625" s="280"/>
      <c r="Z625" s="9"/>
      <c r="AA625" s="4"/>
      <c r="AB625" s="4"/>
      <c r="AC625" s="34"/>
      <c r="AD625" s="645" t="s">
        <v>68</v>
      </c>
      <c r="AE625" s="646" t="s">
        <v>68</v>
      </c>
      <c r="AF625" s="646" t="s">
        <v>68</v>
      </c>
      <c r="AG625" s="647" t="s">
        <v>68</v>
      </c>
      <c r="AH625" s="644" t="s">
        <v>68</v>
      </c>
      <c r="AI625" s="180" t="s">
        <v>68</v>
      </c>
      <c r="AJ625" s="71" t="s">
        <v>68</v>
      </c>
      <c r="AK625" s="255"/>
      <c r="AL625" s="71" t="s">
        <v>68</v>
      </c>
      <c r="AM625" s="255"/>
      <c r="AN625" s="71" t="s">
        <v>68</v>
      </c>
      <c r="AO625" s="5"/>
      <c r="AP625" s="306">
        <v>0</v>
      </c>
      <c r="AQ625" s="74">
        <v>0</v>
      </c>
      <c r="AR625" s="1040"/>
      <c r="AS625" s="1027"/>
      <c r="AT625" s="386" t="s">
        <v>68</v>
      </c>
      <c r="AU625" s="12"/>
      <c r="AV625" s="243" t="s">
        <v>68</v>
      </c>
      <c r="AW625" s="54" t="s">
        <v>68</v>
      </c>
      <c r="AX625" s="386" t="s">
        <v>68</v>
      </c>
      <c r="AY625" s="255"/>
      <c r="AZ625" s="255"/>
      <c r="BA625" s="245"/>
      <c r="BB625" s="68" t="s">
        <v>74</v>
      </c>
      <c r="BC625" s="1686"/>
      <c r="BD625" s="5"/>
      <c r="BE625" s="5"/>
      <c r="BF625" s="5"/>
      <c r="BG625" s="38"/>
      <c r="BH625" s="1842" t="s">
        <v>68</v>
      </c>
      <c r="BI625" s="1685"/>
      <c r="BJ625" s="1187"/>
      <c r="BK625" s="1187"/>
      <c r="BL625" s="1230"/>
      <c r="BM625" s="1230"/>
      <c r="BN625" s="1230"/>
      <c r="BO625" s="1054"/>
      <c r="BP625" s="1230"/>
      <c r="BQ625" s="1230"/>
      <c r="BR625" s="796"/>
      <c r="BS625" s="794"/>
      <c r="BT625" s="14"/>
      <c r="BU625" s="166"/>
      <c r="BV625" s="14"/>
      <c r="BW625" s="14"/>
      <c r="BX625" s="14"/>
      <c r="BY625" s="1433" t="s">
        <v>3989</v>
      </c>
      <c r="BZ625" s="40"/>
      <c r="CA625" s="582"/>
      <c r="CB625" s="582"/>
      <c r="CC625" s="582"/>
      <c r="CD625" s="582"/>
      <c r="CE625" s="582"/>
      <c r="CF625" s="582"/>
      <c r="CG625" s="582"/>
      <c r="CH625" s="16"/>
    </row>
    <row r="626" spans="2:86" ht="119.25" hidden="1" customHeight="1">
      <c r="B626" s="23"/>
      <c r="C626" s="1982"/>
      <c r="D626" s="1982"/>
      <c r="E626" s="1051"/>
      <c r="F626" s="1051"/>
      <c r="G626" s="1055"/>
      <c r="H626" s="365"/>
      <c r="I626" s="182">
        <v>2022</v>
      </c>
      <c r="J626" s="1678">
        <v>220.01</v>
      </c>
      <c r="K626" s="183" t="s">
        <v>166</v>
      </c>
      <c r="L626" s="191" t="s">
        <v>4378</v>
      </c>
      <c r="M626" s="185" t="s">
        <v>46</v>
      </c>
      <c r="N626" s="495" t="s">
        <v>4422</v>
      </c>
      <c r="O626" s="495" t="s">
        <v>2548</v>
      </c>
      <c r="P626" s="661">
        <f>1500*1.16</f>
        <v>1739.9999999999998</v>
      </c>
      <c r="Q626" s="657">
        <v>44655</v>
      </c>
      <c r="R626" s="664">
        <v>44658</v>
      </c>
      <c r="S626" s="665">
        <v>44662</v>
      </c>
      <c r="T626" s="578" t="s">
        <v>68</v>
      </c>
      <c r="U626" s="739" t="s">
        <v>1319</v>
      </c>
      <c r="V626" s="716" t="s">
        <v>70</v>
      </c>
      <c r="W626" s="740" t="s">
        <v>68</v>
      </c>
      <c r="X626" s="1629" t="s">
        <v>68</v>
      </c>
      <c r="Y626" s="180" t="s">
        <v>68</v>
      </c>
      <c r="Z626" s="9"/>
      <c r="AA626" s="4"/>
      <c r="AB626" s="4"/>
      <c r="AC626" s="34"/>
      <c r="AD626" s="645" t="s">
        <v>68</v>
      </c>
      <c r="AE626" s="646" t="s">
        <v>68</v>
      </c>
      <c r="AF626" s="646" t="s">
        <v>68</v>
      </c>
      <c r="AG626" s="647" t="s">
        <v>68</v>
      </c>
      <c r="AH626" s="644" t="s">
        <v>68</v>
      </c>
      <c r="AI626" s="180" t="s">
        <v>68</v>
      </c>
      <c r="AJ626" s="71" t="s">
        <v>68</v>
      </c>
      <c r="AK626" s="255"/>
      <c r="AL626" s="71" t="s">
        <v>68</v>
      </c>
      <c r="AM626" s="255"/>
      <c r="AN626" s="71" t="s">
        <v>68</v>
      </c>
      <c r="AO626" s="5"/>
      <c r="AP626" s="306">
        <v>0</v>
      </c>
      <c r="AQ626" s="74">
        <v>0</v>
      </c>
      <c r="AR626" s="1040"/>
      <c r="AS626" s="1027"/>
      <c r="AT626" s="386" t="s">
        <v>68</v>
      </c>
      <c r="AU626" s="12"/>
      <c r="AV626" s="243" t="s">
        <v>68</v>
      </c>
      <c r="AW626" s="54" t="s">
        <v>68</v>
      </c>
      <c r="AX626" s="386" t="s">
        <v>68</v>
      </c>
      <c r="AY626" s="255"/>
      <c r="AZ626" s="255"/>
      <c r="BA626" s="245"/>
      <c r="BB626" s="68" t="s">
        <v>74</v>
      </c>
      <c r="BC626" s="1686"/>
      <c r="BD626" s="5"/>
      <c r="BE626" s="5"/>
      <c r="BF626" s="5"/>
      <c r="BG626" s="38"/>
      <c r="BH626" s="1842" t="s">
        <v>68</v>
      </c>
      <c r="BI626" s="1843" t="s">
        <v>68</v>
      </c>
      <c r="BJ626" s="795" t="s">
        <v>68</v>
      </c>
      <c r="BK626" s="795" t="s">
        <v>68</v>
      </c>
      <c r="BL626" s="796" t="s">
        <v>68</v>
      </c>
      <c r="BM626" s="796" t="s">
        <v>68</v>
      </c>
      <c r="BN626" s="796" t="s">
        <v>68</v>
      </c>
      <c r="BO626" s="1054" t="s">
        <v>68</v>
      </c>
      <c r="BP626" s="796" t="s">
        <v>68</v>
      </c>
      <c r="BQ626" s="796" t="s">
        <v>68</v>
      </c>
      <c r="BR626" s="796"/>
      <c r="BS626" s="794"/>
      <c r="BT626" s="14"/>
      <c r="BU626" s="166"/>
      <c r="BV626" s="14"/>
      <c r="BW626" s="14"/>
      <c r="BX626" s="14"/>
      <c r="BY626" s="1433" t="s">
        <v>3989</v>
      </c>
      <c r="BZ626" s="40" t="s">
        <v>4424</v>
      </c>
      <c r="CA626" s="582"/>
      <c r="CB626" s="582"/>
      <c r="CC626" s="582"/>
      <c r="CD626" s="582"/>
      <c r="CE626" s="582"/>
      <c r="CF626" s="582"/>
      <c r="CG626" s="582"/>
      <c r="CH626" s="16"/>
    </row>
    <row r="627" spans="2:86" ht="106.5" hidden="1" customHeight="1">
      <c r="B627" s="23"/>
      <c r="C627" s="1982"/>
      <c r="D627" s="1982"/>
      <c r="E627" s="1051"/>
      <c r="F627" s="1051"/>
      <c r="G627" s="1055"/>
      <c r="H627" s="365"/>
      <c r="I627" s="182">
        <v>2022</v>
      </c>
      <c r="J627" s="1678">
        <v>220.01</v>
      </c>
      <c r="K627" s="183" t="s">
        <v>166</v>
      </c>
      <c r="L627" s="191" t="s">
        <v>4379</v>
      </c>
      <c r="M627" s="185" t="s">
        <v>46</v>
      </c>
      <c r="N627" s="495" t="s">
        <v>4423</v>
      </c>
      <c r="O627" s="495" t="s">
        <v>2684</v>
      </c>
      <c r="P627" s="661">
        <f>550*1.16</f>
        <v>638</v>
      </c>
      <c r="Q627" s="657">
        <v>44594</v>
      </c>
      <c r="R627" s="664" t="s">
        <v>68</v>
      </c>
      <c r="S627" s="665" t="s">
        <v>68</v>
      </c>
      <c r="T627" s="578" t="s">
        <v>68</v>
      </c>
      <c r="U627" s="739" t="s">
        <v>4407</v>
      </c>
      <c r="V627" s="716" t="s">
        <v>70</v>
      </c>
      <c r="W627" s="740" t="s">
        <v>68</v>
      </c>
      <c r="X627" s="1629" t="s">
        <v>68</v>
      </c>
      <c r="Y627" s="180" t="s">
        <v>68</v>
      </c>
      <c r="Z627" s="9"/>
      <c r="AA627" s="4"/>
      <c r="AB627" s="4"/>
      <c r="AC627" s="34"/>
      <c r="AD627" s="645" t="s">
        <v>68</v>
      </c>
      <c r="AE627" s="646" t="s">
        <v>68</v>
      </c>
      <c r="AF627" s="646" t="s">
        <v>68</v>
      </c>
      <c r="AG627" s="647" t="s">
        <v>68</v>
      </c>
      <c r="AH627" s="644" t="s">
        <v>68</v>
      </c>
      <c r="AI627" s="180" t="s">
        <v>68</v>
      </c>
      <c r="AJ627" s="71" t="s">
        <v>68</v>
      </c>
      <c r="AK627" s="255"/>
      <c r="AL627" s="71" t="s">
        <v>68</v>
      </c>
      <c r="AM627" s="255"/>
      <c r="AN627" s="71" t="s">
        <v>68</v>
      </c>
      <c r="AO627" s="5"/>
      <c r="AP627" s="306">
        <v>0</v>
      </c>
      <c r="AQ627" s="74">
        <v>0</v>
      </c>
      <c r="AR627" s="1040"/>
      <c r="AS627" s="1027"/>
      <c r="AT627" s="386" t="s">
        <v>68</v>
      </c>
      <c r="AU627" s="12"/>
      <c r="AV627" s="243" t="s">
        <v>68</v>
      </c>
      <c r="AW627" s="54" t="s">
        <v>68</v>
      </c>
      <c r="AX627" s="386" t="s">
        <v>68</v>
      </c>
      <c r="AY627" s="255"/>
      <c r="AZ627" s="255"/>
      <c r="BA627" s="245"/>
      <c r="BB627" s="68" t="s">
        <v>74</v>
      </c>
      <c r="BC627" s="1686"/>
      <c r="BD627" s="5"/>
      <c r="BE627" s="5"/>
      <c r="BF627" s="5"/>
      <c r="BG627" s="38"/>
      <c r="BH627" s="1842" t="s">
        <v>68</v>
      </c>
      <c r="BI627" s="1843" t="s">
        <v>68</v>
      </c>
      <c r="BJ627" s="795" t="s">
        <v>68</v>
      </c>
      <c r="BK627" s="795" t="s">
        <v>68</v>
      </c>
      <c r="BL627" s="796" t="s">
        <v>68</v>
      </c>
      <c r="BM627" s="796" t="s">
        <v>68</v>
      </c>
      <c r="BN627" s="796" t="s">
        <v>68</v>
      </c>
      <c r="BO627" s="1054" t="s">
        <v>68</v>
      </c>
      <c r="BP627" s="796" t="s">
        <v>68</v>
      </c>
      <c r="BQ627" s="796" t="s">
        <v>68</v>
      </c>
      <c r="BR627" s="796"/>
      <c r="BS627" s="794"/>
      <c r="BT627" s="14"/>
      <c r="BU627" s="166"/>
      <c r="BV627" s="14"/>
      <c r="BW627" s="14"/>
      <c r="BX627" s="14"/>
      <c r="BY627" s="1433" t="s">
        <v>3989</v>
      </c>
      <c r="BZ627" s="40" t="s">
        <v>4425</v>
      </c>
      <c r="CA627" s="582"/>
      <c r="CB627" s="582"/>
      <c r="CC627" s="582"/>
      <c r="CD627" s="582"/>
      <c r="CE627" s="582"/>
      <c r="CF627" s="582"/>
      <c r="CG627" s="582"/>
      <c r="CH627" s="16"/>
    </row>
    <row r="628" spans="2:86" ht="114.75" hidden="1" customHeight="1">
      <c r="B628" s="23"/>
      <c r="C628" s="1982"/>
      <c r="D628" s="1982"/>
      <c r="E628" s="1051"/>
      <c r="F628" s="1051"/>
      <c r="G628" s="1055"/>
      <c r="H628" s="365"/>
      <c r="I628" s="182">
        <v>2022</v>
      </c>
      <c r="J628" s="1678">
        <v>220.01</v>
      </c>
      <c r="K628" s="183" t="s">
        <v>166</v>
      </c>
      <c r="L628" s="191" t="s">
        <v>4380</v>
      </c>
      <c r="M628" s="185" t="s">
        <v>46</v>
      </c>
      <c r="N628" s="495" t="s">
        <v>4422</v>
      </c>
      <c r="O628" s="495" t="s">
        <v>2548</v>
      </c>
      <c r="P628" s="661">
        <f>1500*1.16</f>
        <v>1739.9999999999998</v>
      </c>
      <c r="Q628" s="657">
        <v>44673</v>
      </c>
      <c r="R628" s="664">
        <v>44677</v>
      </c>
      <c r="S628" s="665">
        <v>44707</v>
      </c>
      <c r="T628" s="578" t="s">
        <v>68</v>
      </c>
      <c r="U628" s="739" t="s">
        <v>1319</v>
      </c>
      <c r="V628" s="716" t="s">
        <v>70</v>
      </c>
      <c r="W628" s="740" t="s">
        <v>68</v>
      </c>
      <c r="X628" s="1629" t="s">
        <v>68</v>
      </c>
      <c r="Y628" s="180" t="s">
        <v>68</v>
      </c>
      <c r="Z628" s="9"/>
      <c r="AA628" s="4"/>
      <c r="AB628" s="4"/>
      <c r="AC628" s="34"/>
      <c r="AD628" s="645" t="s">
        <v>68</v>
      </c>
      <c r="AE628" s="646" t="s">
        <v>68</v>
      </c>
      <c r="AF628" s="646" t="s">
        <v>68</v>
      </c>
      <c r="AG628" s="647" t="s">
        <v>68</v>
      </c>
      <c r="AH628" s="644" t="s">
        <v>68</v>
      </c>
      <c r="AI628" s="180" t="s">
        <v>68</v>
      </c>
      <c r="AJ628" s="71" t="s">
        <v>68</v>
      </c>
      <c r="AK628" s="255"/>
      <c r="AL628" s="71" t="s">
        <v>68</v>
      </c>
      <c r="AM628" s="255"/>
      <c r="AN628" s="71" t="s">
        <v>68</v>
      </c>
      <c r="AO628" s="5"/>
      <c r="AP628" s="306">
        <v>0</v>
      </c>
      <c r="AQ628" s="74">
        <v>0</v>
      </c>
      <c r="AR628" s="1040"/>
      <c r="AS628" s="1027"/>
      <c r="AT628" s="386" t="s">
        <v>68</v>
      </c>
      <c r="AU628" s="12"/>
      <c r="AV628" s="243" t="s">
        <v>68</v>
      </c>
      <c r="AW628" s="54" t="s">
        <v>68</v>
      </c>
      <c r="AX628" s="386" t="s">
        <v>68</v>
      </c>
      <c r="AY628" s="255"/>
      <c r="AZ628" s="255"/>
      <c r="BA628" s="245"/>
      <c r="BB628" s="68" t="s">
        <v>74</v>
      </c>
      <c r="BC628" s="1686"/>
      <c r="BD628" s="5"/>
      <c r="BE628" s="5"/>
      <c r="BF628" s="5"/>
      <c r="BG628" s="38"/>
      <c r="BH628" s="1842" t="s">
        <v>68</v>
      </c>
      <c r="BI628" s="1843" t="s">
        <v>68</v>
      </c>
      <c r="BJ628" s="795" t="s">
        <v>68</v>
      </c>
      <c r="BK628" s="795" t="s">
        <v>68</v>
      </c>
      <c r="BL628" s="796" t="s">
        <v>68</v>
      </c>
      <c r="BM628" s="796" t="s">
        <v>68</v>
      </c>
      <c r="BN628" s="796" t="s">
        <v>68</v>
      </c>
      <c r="BO628" s="1054" t="s">
        <v>68</v>
      </c>
      <c r="BP628" s="796" t="s">
        <v>68</v>
      </c>
      <c r="BQ628" s="796" t="s">
        <v>68</v>
      </c>
      <c r="BR628" s="796"/>
      <c r="BS628" s="794"/>
      <c r="BT628" s="14"/>
      <c r="BU628" s="166"/>
      <c r="BV628" s="14"/>
      <c r="BW628" s="14"/>
      <c r="BX628" s="14"/>
      <c r="BY628" s="1433" t="s">
        <v>3989</v>
      </c>
      <c r="BZ628" s="40"/>
      <c r="CA628" s="582"/>
      <c r="CB628" s="582"/>
      <c r="CC628" s="582"/>
      <c r="CD628" s="582"/>
      <c r="CE628" s="582"/>
      <c r="CF628" s="582"/>
      <c r="CG628" s="582"/>
      <c r="CH628" s="16"/>
    </row>
    <row r="629" spans="2:86" ht="111" hidden="1" customHeight="1">
      <c r="B629" s="23"/>
      <c r="C629" s="1982"/>
      <c r="D629" s="1982"/>
      <c r="E629" s="1051"/>
      <c r="F629" s="1051"/>
      <c r="G629" s="1055"/>
      <c r="H629" s="365"/>
      <c r="I629" s="182">
        <v>2022</v>
      </c>
      <c r="J629" s="1678">
        <v>220.01</v>
      </c>
      <c r="K629" s="183" t="s">
        <v>166</v>
      </c>
      <c r="L629" s="191" t="s">
        <v>4381</v>
      </c>
      <c r="M629" s="185" t="s">
        <v>46</v>
      </c>
      <c r="N629" s="495" t="s">
        <v>4886</v>
      </c>
      <c r="O629" s="495" t="s">
        <v>2548</v>
      </c>
      <c r="P629" s="661">
        <f>986.97*1.16</f>
        <v>1144.8851999999999</v>
      </c>
      <c r="Q629" s="657">
        <v>44594</v>
      </c>
      <c r="R629" s="664" t="s">
        <v>68</v>
      </c>
      <c r="S629" s="665" t="s">
        <v>68</v>
      </c>
      <c r="T629" s="578" t="s">
        <v>68</v>
      </c>
      <c r="U629" s="739" t="s">
        <v>739</v>
      </c>
      <c r="V629" s="716" t="s">
        <v>70</v>
      </c>
      <c r="W629" s="740" t="s">
        <v>68</v>
      </c>
      <c r="X629" s="1629" t="s">
        <v>68</v>
      </c>
      <c r="Y629" s="180" t="s">
        <v>68</v>
      </c>
      <c r="Z629" s="9"/>
      <c r="AA629" s="4"/>
      <c r="AB629" s="4"/>
      <c r="AC629" s="34"/>
      <c r="AD629" s="645" t="s">
        <v>68</v>
      </c>
      <c r="AE629" s="646" t="s">
        <v>68</v>
      </c>
      <c r="AF629" s="646" t="s">
        <v>68</v>
      </c>
      <c r="AG629" s="647" t="s">
        <v>68</v>
      </c>
      <c r="AH629" s="644" t="s">
        <v>68</v>
      </c>
      <c r="AI629" s="180" t="s">
        <v>68</v>
      </c>
      <c r="AJ629" s="71" t="s">
        <v>68</v>
      </c>
      <c r="AK629" s="255"/>
      <c r="AL629" s="71" t="s">
        <v>68</v>
      </c>
      <c r="AM629" s="255"/>
      <c r="AN629" s="71" t="s">
        <v>68</v>
      </c>
      <c r="AO629" s="5"/>
      <c r="AP629" s="306">
        <v>0</v>
      </c>
      <c r="AQ629" s="74">
        <v>0</v>
      </c>
      <c r="AR629" s="1040"/>
      <c r="AS629" s="1027"/>
      <c r="AT629" s="386" t="s">
        <v>68</v>
      </c>
      <c r="AU629" s="12"/>
      <c r="AV629" s="243" t="s">
        <v>68</v>
      </c>
      <c r="AW629" s="54" t="s">
        <v>68</v>
      </c>
      <c r="AX629" s="386" t="s">
        <v>68</v>
      </c>
      <c r="AY629" s="255"/>
      <c r="AZ629" s="255"/>
      <c r="BA629" s="245"/>
      <c r="BB629" s="68" t="s">
        <v>74</v>
      </c>
      <c r="BC629" s="1686"/>
      <c r="BD629" s="5"/>
      <c r="BE629" s="5"/>
      <c r="BF629" s="5"/>
      <c r="BG629" s="38"/>
      <c r="BH629" s="1842" t="s">
        <v>68</v>
      </c>
      <c r="BI629" s="1843" t="s">
        <v>68</v>
      </c>
      <c r="BJ629" s="795" t="s">
        <v>68</v>
      </c>
      <c r="BK629" s="795" t="s">
        <v>68</v>
      </c>
      <c r="BL629" s="796" t="s">
        <v>68</v>
      </c>
      <c r="BM629" s="796" t="s">
        <v>68</v>
      </c>
      <c r="BN629" s="796" t="s">
        <v>68</v>
      </c>
      <c r="BO629" s="1054" t="s">
        <v>68</v>
      </c>
      <c r="BP629" s="796" t="s">
        <v>68</v>
      </c>
      <c r="BQ629" s="796" t="s">
        <v>68</v>
      </c>
      <c r="BR629" s="796"/>
      <c r="BS629" s="794"/>
      <c r="BT629" s="14"/>
      <c r="BU629" s="166"/>
      <c r="BV629" s="14"/>
      <c r="BW629" s="14"/>
      <c r="BX629" s="14"/>
      <c r="BY629" s="1433" t="s">
        <v>3989</v>
      </c>
      <c r="BZ629" s="40"/>
      <c r="CA629" s="582"/>
      <c r="CB629" s="582"/>
      <c r="CC629" s="582"/>
      <c r="CD629" s="582"/>
      <c r="CE629" s="582"/>
      <c r="CF629" s="582"/>
      <c r="CG629" s="582"/>
      <c r="CH629" s="16"/>
    </row>
    <row r="630" spans="2:86" ht="105.75" hidden="1" customHeight="1">
      <c r="B630" s="23"/>
      <c r="C630" s="1982"/>
      <c r="D630" s="1982"/>
      <c r="E630" s="1051"/>
      <c r="F630" s="1051"/>
      <c r="G630" s="1055"/>
      <c r="H630" s="365"/>
      <c r="I630" s="182">
        <v>2022</v>
      </c>
      <c r="J630" s="1678">
        <v>220.01</v>
      </c>
      <c r="K630" s="183" t="s">
        <v>166</v>
      </c>
      <c r="L630" s="191" t="s">
        <v>4382</v>
      </c>
      <c r="M630" s="185" t="s">
        <v>46</v>
      </c>
      <c r="N630" s="495" t="s">
        <v>4887</v>
      </c>
      <c r="O630" s="495" t="s">
        <v>2548</v>
      </c>
      <c r="P630" s="661">
        <f>1595.59*1.16</f>
        <v>1850.8843999999997</v>
      </c>
      <c r="Q630" s="657">
        <v>44641</v>
      </c>
      <c r="R630" s="664" t="s">
        <v>68</v>
      </c>
      <c r="S630" s="665" t="s">
        <v>68</v>
      </c>
      <c r="T630" s="578" t="s">
        <v>68</v>
      </c>
      <c r="U630" s="739" t="s">
        <v>739</v>
      </c>
      <c r="V630" s="716" t="s">
        <v>70</v>
      </c>
      <c r="W630" s="740" t="s">
        <v>68</v>
      </c>
      <c r="X630" s="1629" t="s">
        <v>68</v>
      </c>
      <c r="Y630" s="180" t="s">
        <v>68</v>
      </c>
      <c r="Z630" s="9"/>
      <c r="AA630" s="4"/>
      <c r="AB630" s="4"/>
      <c r="AC630" s="34"/>
      <c r="AD630" s="645" t="s">
        <v>68</v>
      </c>
      <c r="AE630" s="646" t="s">
        <v>68</v>
      </c>
      <c r="AF630" s="646" t="s">
        <v>68</v>
      </c>
      <c r="AG630" s="647" t="s">
        <v>68</v>
      </c>
      <c r="AH630" s="644" t="s">
        <v>68</v>
      </c>
      <c r="AI630" s="180" t="s">
        <v>68</v>
      </c>
      <c r="AJ630" s="71" t="s">
        <v>68</v>
      </c>
      <c r="AK630" s="255"/>
      <c r="AL630" s="71" t="s">
        <v>68</v>
      </c>
      <c r="AM630" s="255"/>
      <c r="AN630" s="71" t="s">
        <v>68</v>
      </c>
      <c r="AO630" s="5"/>
      <c r="AP630" s="306">
        <v>0</v>
      </c>
      <c r="AQ630" s="74">
        <v>0</v>
      </c>
      <c r="AR630" s="1040"/>
      <c r="AS630" s="1027"/>
      <c r="AT630" s="386" t="s">
        <v>68</v>
      </c>
      <c r="AU630" s="12"/>
      <c r="AV630" s="243" t="s">
        <v>68</v>
      </c>
      <c r="AW630" s="54" t="s">
        <v>68</v>
      </c>
      <c r="AX630" s="386" t="s">
        <v>68</v>
      </c>
      <c r="AY630" s="255"/>
      <c r="AZ630" s="255"/>
      <c r="BA630" s="245"/>
      <c r="BB630" s="68" t="s">
        <v>74</v>
      </c>
      <c r="BC630" s="1686"/>
      <c r="BD630" s="5"/>
      <c r="BE630" s="5"/>
      <c r="BF630" s="5"/>
      <c r="BG630" s="38"/>
      <c r="BH630" s="1842" t="s">
        <v>68</v>
      </c>
      <c r="BI630" s="1843" t="s">
        <v>68</v>
      </c>
      <c r="BJ630" s="795" t="s">
        <v>68</v>
      </c>
      <c r="BK630" s="795" t="s">
        <v>68</v>
      </c>
      <c r="BL630" s="796" t="s">
        <v>68</v>
      </c>
      <c r="BM630" s="796" t="s">
        <v>68</v>
      </c>
      <c r="BN630" s="796" t="s">
        <v>68</v>
      </c>
      <c r="BO630" s="1054" t="s">
        <v>68</v>
      </c>
      <c r="BP630" s="796" t="s">
        <v>68</v>
      </c>
      <c r="BQ630" s="796" t="s">
        <v>68</v>
      </c>
      <c r="BR630" s="796"/>
      <c r="BS630" s="794"/>
      <c r="BT630" s="14"/>
      <c r="BU630" s="166"/>
      <c r="BV630" s="14"/>
      <c r="BW630" s="14"/>
      <c r="BX630" s="14"/>
      <c r="BY630" s="1433" t="s">
        <v>3989</v>
      </c>
      <c r="BZ630" s="40"/>
      <c r="CA630" s="582"/>
      <c r="CB630" s="582"/>
      <c r="CC630" s="582"/>
      <c r="CD630" s="582"/>
      <c r="CE630" s="582"/>
      <c r="CF630" s="582"/>
      <c r="CG630" s="582"/>
      <c r="CH630" s="16"/>
    </row>
    <row r="631" spans="2:86" ht="131.25" hidden="1" customHeight="1">
      <c r="B631" s="23"/>
      <c r="C631" s="1982"/>
      <c r="D631" s="1982"/>
      <c r="E631" s="1051"/>
      <c r="F631" s="1051"/>
      <c r="G631" s="1055"/>
      <c r="H631" s="365"/>
      <c r="I631" s="182">
        <v>2022</v>
      </c>
      <c r="J631" s="1678">
        <v>220.01</v>
      </c>
      <c r="K631" s="183" t="s">
        <v>166</v>
      </c>
      <c r="L631" s="191" t="s">
        <v>4383</v>
      </c>
      <c r="M631" s="185" t="s">
        <v>46</v>
      </c>
      <c r="N631" s="495" t="s">
        <v>4888</v>
      </c>
      <c r="O631" s="495"/>
      <c r="P631" s="661">
        <f>736.85*1.16</f>
        <v>854.74599999999998</v>
      </c>
      <c r="Q631" s="657">
        <v>44642</v>
      </c>
      <c r="R631" s="664"/>
      <c r="S631" s="665"/>
      <c r="T631" s="578" t="s">
        <v>68</v>
      </c>
      <c r="U631" s="739" t="s">
        <v>739</v>
      </c>
      <c r="V631" s="716" t="s">
        <v>70</v>
      </c>
      <c r="W631" s="740" t="s">
        <v>68</v>
      </c>
      <c r="X631" s="1629" t="s">
        <v>68</v>
      </c>
      <c r="Y631" s="180" t="s">
        <v>68</v>
      </c>
      <c r="Z631" s="9"/>
      <c r="AA631" s="4"/>
      <c r="AB631" s="4"/>
      <c r="AC631" s="34"/>
      <c r="AD631" s="645" t="s">
        <v>68</v>
      </c>
      <c r="AE631" s="646" t="s">
        <v>68</v>
      </c>
      <c r="AF631" s="646" t="s">
        <v>68</v>
      </c>
      <c r="AG631" s="647" t="s">
        <v>68</v>
      </c>
      <c r="AH631" s="644" t="s">
        <v>68</v>
      </c>
      <c r="AI631" s="180" t="s">
        <v>68</v>
      </c>
      <c r="AJ631" s="71" t="s">
        <v>68</v>
      </c>
      <c r="AK631" s="255"/>
      <c r="AL631" s="71" t="s">
        <v>68</v>
      </c>
      <c r="AM631" s="255"/>
      <c r="AN631" s="71" t="s">
        <v>68</v>
      </c>
      <c r="AO631" s="5"/>
      <c r="AP631" s="306">
        <v>0</v>
      </c>
      <c r="AQ631" s="74">
        <v>0</v>
      </c>
      <c r="AR631" s="1040"/>
      <c r="AS631" s="1027"/>
      <c r="AT631" s="386" t="s">
        <v>68</v>
      </c>
      <c r="AU631" s="12"/>
      <c r="AV631" s="243" t="s">
        <v>68</v>
      </c>
      <c r="AW631" s="54" t="s">
        <v>68</v>
      </c>
      <c r="AX631" s="386" t="s">
        <v>68</v>
      </c>
      <c r="AY631" s="255"/>
      <c r="AZ631" s="255"/>
      <c r="BA631" s="245"/>
      <c r="BB631" s="68" t="s">
        <v>74</v>
      </c>
      <c r="BC631" s="1686"/>
      <c r="BD631" s="5"/>
      <c r="BE631" s="5"/>
      <c r="BF631" s="5"/>
      <c r="BG631" s="38"/>
      <c r="BH631" s="1842" t="s">
        <v>68</v>
      </c>
      <c r="BI631" s="1843" t="s">
        <v>68</v>
      </c>
      <c r="BJ631" s="795" t="s">
        <v>68</v>
      </c>
      <c r="BK631" s="795" t="s">
        <v>68</v>
      </c>
      <c r="BL631" s="796" t="s">
        <v>68</v>
      </c>
      <c r="BM631" s="796" t="s">
        <v>68</v>
      </c>
      <c r="BN631" s="796" t="s">
        <v>68</v>
      </c>
      <c r="BO631" s="1054" t="s">
        <v>68</v>
      </c>
      <c r="BP631" s="796" t="s">
        <v>68</v>
      </c>
      <c r="BQ631" s="796" t="s">
        <v>68</v>
      </c>
      <c r="BR631" s="796"/>
      <c r="BS631" s="794"/>
      <c r="BT631" s="14"/>
      <c r="BU631" s="166"/>
      <c r="BV631" s="14"/>
      <c r="BW631" s="14"/>
      <c r="BX631" s="14"/>
      <c r="BY631" s="1433" t="s">
        <v>3989</v>
      </c>
      <c r="BZ631" s="40"/>
      <c r="CA631" s="582"/>
      <c r="CB631" s="582"/>
      <c r="CC631" s="582"/>
      <c r="CD631" s="582"/>
      <c r="CE631" s="582"/>
      <c r="CF631" s="582"/>
      <c r="CG631" s="582"/>
      <c r="CH631" s="16"/>
    </row>
    <row r="632" spans="2:86" ht="138" hidden="1" customHeight="1">
      <c r="B632" s="23"/>
      <c r="C632" s="1982"/>
      <c r="D632" s="1982"/>
      <c r="E632" s="1051"/>
      <c r="F632" s="1051"/>
      <c r="G632" s="1055"/>
      <c r="H632" s="365"/>
      <c r="I632" s="182">
        <v>2022</v>
      </c>
      <c r="J632" s="1678">
        <v>220.01</v>
      </c>
      <c r="K632" s="183" t="s">
        <v>166</v>
      </c>
      <c r="L632" s="191" t="s">
        <v>4384</v>
      </c>
      <c r="M632" s="185" t="s">
        <v>46</v>
      </c>
      <c r="N632" s="495" t="s">
        <v>4889</v>
      </c>
      <c r="O632" s="495"/>
      <c r="P632" s="661">
        <f>705.4*1.16</f>
        <v>818.2639999999999</v>
      </c>
      <c r="Q632" s="657">
        <v>44648</v>
      </c>
      <c r="R632" s="664"/>
      <c r="S632" s="665"/>
      <c r="T632" s="578" t="s">
        <v>68</v>
      </c>
      <c r="U632" s="739" t="s">
        <v>739</v>
      </c>
      <c r="V632" s="716" t="s">
        <v>70</v>
      </c>
      <c r="W632" s="740" t="s">
        <v>68</v>
      </c>
      <c r="X632" s="1629" t="s">
        <v>68</v>
      </c>
      <c r="Y632" s="180" t="s">
        <v>68</v>
      </c>
      <c r="Z632" s="9"/>
      <c r="AA632" s="4"/>
      <c r="AB632" s="4"/>
      <c r="AC632" s="34"/>
      <c r="AD632" s="645" t="s">
        <v>68</v>
      </c>
      <c r="AE632" s="646" t="s">
        <v>68</v>
      </c>
      <c r="AF632" s="646" t="s">
        <v>68</v>
      </c>
      <c r="AG632" s="647" t="s">
        <v>68</v>
      </c>
      <c r="AH632" s="644" t="s">
        <v>68</v>
      </c>
      <c r="AI632" s="180" t="s">
        <v>68</v>
      </c>
      <c r="AJ632" s="71" t="s">
        <v>68</v>
      </c>
      <c r="AK632" s="255"/>
      <c r="AL632" s="71" t="s">
        <v>68</v>
      </c>
      <c r="AM632" s="255"/>
      <c r="AN632" s="71" t="s">
        <v>68</v>
      </c>
      <c r="AO632" s="5"/>
      <c r="AP632" s="306">
        <v>0</v>
      </c>
      <c r="AQ632" s="74">
        <v>0</v>
      </c>
      <c r="AR632" s="1040"/>
      <c r="AS632" s="1027"/>
      <c r="AT632" s="386" t="s">
        <v>68</v>
      </c>
      <c r="AU632" s="12"/>
      <c r="AV632" s="243" t="s">
        <v>68</v>
      </c>
      <c r="AW632" s="54" t="s">
        <v>68</v>
      </c>
      <c r="AX632" s="386" t="s">
        <v>68</v>
      </c>
      <c r="AY632" s="255"/>
      <c r="AZ632" s="255"/>
      <c r="BA632" s="245"/>
      <c r="BB632" s="68" t="s">
        <v>74</v>
      </c>
      <c r="BC632" s="1686"/>
      <c r="BD632" s="5"/>
      <c r="BE632" s="5"/>
      <c r="BF632" s="5"/>
      <c r="BG632" s="38"/>
      <c r="BH632" s="1842" t="s">
        <v>68</v>
      </c>
      <c r="BI632" s="1843" t="s">
        <v>68</v>
      </c>
      <c r="BJ632" s="795" t="s">
        <v>68</v>
      </c>
      <c r="BK632" s="795" t="s">
        <v>68</v>
      </c>
      <c r="BL632" s="796" t="s">
        <v>68</v>
      </c>
      <c r="BM632" s="796" t="s">
        <v>68</v>
      </c>
      <c r="BN632" s="796" t="s">
        <v>68</v>
      </c>
      <c r="BO632" s="1054" t="s">
        <v>68</v>
      </c>
      <c r="BP632" s="796" t="s">
        <v>68</v>
      </c>
      <c r="BQ632" s="796" t="s">
        <v>68</v>
      </c>
      <c r="BR632" s="796"/>
      <c r="BS632" s="794"/>
      <c r="BT632" s="14"/>
      <c r="BU632" s="166"/>
      <c r="BV632" s="14"/>
      <c r="BW632" s="14"/>
      <c r="BX632" s="14"/>
      <c r="BY632" s="1433" t="s">
        <v>3989</v>
      </c>
      <c r="BZ632" s="40"/>
      <c r="CA632" s="582"/>
      <c r="CB632" s="582"/>
      <c r="CC632" s="582"/>
      <c r="CD632" s="582"/>
      <c r="CE632" s="582"/>
      <c r="CF632" s="582"/>
      <c r="CG632" s="582"/>
      <c r="CH632" s="16"/>
    </row>
    <row r="633" spans="2:86" ht="135.75" hidden="1" customHeight="1">
      <c r="B633" s="23"/>
      <c r="C633" s="1982"/>
      <c r="D633" s="1982"/>
      <c r="E633" s="1051"/>
      <c r="F633" s="1051"/>
      <c r="G633" s="1055"/>
      <c r="H633" s="365"/>
      <c r="I633" s="182">
        <v>2022</v>
      </c>
      <c r="J633" s="1678">
        <v>220.01</v>
      </c>
      <c r="K633" s="183" t="s">
        <v>166</v>
      </c>
      <c r="L633" s="191" t="s">
        <v>4385</v>
      </c>
      <c r="M633" s="185" t="s">
        <v>46</v>
      </c>
      <c r="N633" s="495" t="s">
        <v>4890</v>
      </c>
      <c r="O633" s="495"/>
      <c r="P633" s="661">
        <f>324.58*1.16</f>
        <v>376.51279999999997</v>
      </c>
      <c r="Q633" s="657">
        <v>44642</v>
      </c>
      <c r="R633" s="664"/>
      <c r="S633" s="665"/>
      <c r="T633" s="578" t="s">
        <v>68</v>
      </c>
      <c r="U633" s="739" t="s">
        <v>739</v>
      </c>
      <c r="V633" s="716" t="s">
        <v>70</v>
      </c>
      <c r="W633" s="740" t="s">
        <v>68</v>
      </c>
      <c r="X633" s="1629" t="s">
        <v>68</v>
      </c>
      <c r="Y633" s="180" t="s">
        <v>68</v>
      </c>
      <c r="Z633" s="9"/>
      <c r="AA633" s="4"/>
      <c r="AB633" s="4"/>
      <c r="AC633" s="34"/>
      <c r="AD633" s="645" t="s">
        <v>68</v>
      </c>
      <c r="AE633" s="646" t="s">
        <v>68</v>
      </c>
      <c r="AF633" s="646" t="s">
        <v>68</v>
      </c>
      <c r="AG633" s="647" t="s">
        <v>68</v>
      </c>
      <c r="AH633" s="644" t="s">
        <v>68</v>
      </c>
      <c r="AI633" s="180" t="s">
        <v>68</v>
      </c>
      <c r="AJ633" s="71" t="s">
        <v>68</v>
      </c>
      <c r="AK633" s="255"/>
      <c r="AL633" s="71" t="s">
        <v>68</v>
      </c>
      <c r="AM633" s="255"/>
      <c r="AN633" s="71" t="s">
        <v>68</v>
      </c>
      <c r="AO633" s="5"/>
      <c r="AP633" s="306">
        <v>0</v>
      </c>
      <c r="AQ633" s="74">
        <v>0</v>
      </c>
      <c r="AR633" s="1040"/>
      <c r="AS633" s="1027"/>
      <c r="AT633" s="386" t="s">
        <v>68</v>
      </c>
      <c r="AU633" s="12"/>
      <c r="AV633" s="243" t="s">
        <v>68</v>
      </c>
      <c r="AW633" s="54" t="s">
        <v>68</v>
      </c>
      <c r="AX633" s="386" t="s">
        <v>68</v>
      </c>
      <c r="AY633" s="255"/>
      <c r="AZ633" s="255"/>
      <c r="BA633" s="245"/>
      <c r="BB633" s="68" t="s">
        <v>74</v>
      </c>
      <c r="BC633" s="1686"/>
      <c r="BD633" s="5"/>
      <c r="BE633" s="5"/>
      <c r="BF633" s="5"/>
      <c r="BG633" s="38"/>
      <c r="BH633" s="1842" t="s">
        <v>68</v>
      </c>
      <c r="BI633" s="1843" t="s">
        <v>68</v>
      </c>
      <c r="BJ633" s="795" t="s">
        <v>68</v>
      </c>
      <c r="BK633" s="795" t="s">
        <v>68</v>
      </c>
      <c r="BL633" s="796" t="s">
        <v>68</v>
      </c>
      <c r="BM633" s="796" t="s">
        <v>68</v>
      </c>
      <c r="BN633" s="796" t="s">
        <v>68</v>
      </c>
      <c r="BO633" s="1054" t="s">
        <v>68</v>
      </c>
      <c r="BP633" s="796" t="s">
        <v>68</v>
      </c>
      <c r="BQ633" s="796" t="s">
        <v>68</v>
      </c>
      <c r="BR633" s="796"/>
      <c r="BS633" s="794"/>
      <c r="BT633" s="14"/>
      <c r="BU633" s="166"/>
      <c r="BV633" s="14"/>
      <c r="BW633" s="14"/>
      <c r="BX633" s="14"/>
      <c r="BY633" s="1433" t="s">
        <v>3989</v>
      </c>
      <c r="BZ633" s="40"/>
      <c r="CA633" s="582"/>
      <c r="CB633" s="582"/>
      <c r="CC633" s="582"/>
      <c r="CD633" s="582"/>
      <c r="CE633" s="582"/>
      <c r="CF633" s="582"/>
      <c r="CG633" s="582"/>
      <c r="CH633" s="16"/>
    </row>
    <row r="634" spans="2:86" ht="87.75" hidden="1" customHeight="1">
      <c r="B634" s="23"/>
      <c r="C634" s="1982"/>
      <c r="D634" s="1982"/>
      <c r="E634" s="1051"/>
      <c r="F634" s="1051"/>
      <c r="G634" s="1055"/>
      <c r="H634" s="365"/>
      <c r="I634" s="182">
        <v>2022</v>
      </c>
      <c r="J634" s="1678">
        <v>220.01</v>
      </c>
      <c r="K634" s="183"/>
      <c r="L634" s="191" t="s">
        <v>4386</v>
      </c>
      <c r="M634" s="185" t="s">
        <v>4941</v>
      </c>
      <c r="N634" s="1401" t="s">
        <v>68</v>
      </c>
      <c r="O634" s="1401"/>
      <c r="P634" s="187"/>
      <c r="Q634" s="1403"/>
      <c r="R634" s="189"/>
      <c r="S634" s="190"/>
      <c r="T634" s="578" t="s">
        <v>68</v>
      </c>
      <c r="U634" s="1229" t="s">
        <v>68</v>
      </c>
      <c r="V634" s="1064"/>
      <c r="W634" s="740" t="s">
        <v>68</v>
      </c>
      <c r="X634" s="1629" t="s">
        <v>68</v>
      </c>
      <c r="Y634" s="180" t="s">
        <v>68</v>
      </c>
      <c r="Z634" s="9"/>
      <c r="AA634" s="4"/>
      <c r="AB634" s="4"/>
      <c r="AC634" s="34"/>
      <c r="AD634" s="645" t="s">
        <v>68</v>
      </c>
      <c r="AE634" s="646" t="s">
        <v>68</v>
      </c>
      <c r="AF634" s="646" t="s">
        <v>68</v>
      </c>
      <c r="AG634" s="647" t="s">
        <v>68</v>
      </c>
      <c r="AH634" s="644" t="s">
        <v>68</v>
      </c>
      <c r="AI634" s="180" t="s">
        <v>68</v>
      </c>
      <c r="AJ634" s="71" t="s">
        <v>68</v>
      </c>
      <c r="AK634" s="255"/>
      <c r="AL634" s="71" t="s">
        <v>68</v>
      </c>
      <c r="AM634" s="255"/>
      <c r="AN634" s="71" t="s">
        <v>68</v>
      </c>
      <c r="AO634" s="5"/>
      <c r="AP634" s="306">
        <v>0</v>
      </c>
      <c r="AQ634" s="74">
        <v>0</v>
      </c>
      <c r="AR634" s="1040"/>
      <c r="AS634" s="1027"/>
      <c r="AT634" s="386" t="s">
        <v>68</v>
      </c>
      <c r="AU634" s="12"/>
      <c r="AV634" s="243" t="s">
        <v>68</v>
      </c>
      <c r="AW634" s="54" t="s">
        <v>68</v>
      </c>
      <c r="AX634" s="386" t="s">
        <v>68</v>
      </c>
      <c r="AY634" s="255"/>
      <c r="AZ634" s="255"/>
      <c r="BA634" s="245"/>
      <c r="BB634" s="68" t="s">
        <v>74</v>
      </c>
      <c r="BC634" s="1686"/>
      <c r="BD634" s="5"/>
      <c r="BE634" s="5"/>
      <c r="BF634" s="5"/>
      <c r="BG634" s="38"/>
      <c r="BH634" s="1842" t="s">
        <v>68</v>
      </c>
      <c r="BI634" s="1843" t="s">
        <v>68</v>
      </c>
      <c r="BJ634" s="795" t="s">
        <v>68</v>
      </c>
      <c r="BK634" s="795" t="s">
        <v>68</v>
      </c>
      <c r="BL634" s="796" t="s">
        <v>68</v>
      </c>
      <c r="BM634" s="796" t="s">
        <v>68</v>
      </c>
      <c r="BN634" s="796" t="s">
        <v>68</v>
      </c>
      <c r="BO634" s="1054" t="s">
        <v>68</v>
      </c>
      <c r="BP634" s="796" t="s">
        <v>68</v>
      </c>
      <c r="BQ634" s="796" t="s">
        <v>68</v>
      </c>
      <c r="BR634" s="796"/>
      <c r="BS634" s="794"/>
      <c r="BT634" s="14"/>
      <c r="BU634" s="166"/>
      <c r="BV634" s="14"/>
      <c r="BW634" s="14"/>
      <c r="BX634" s="14"/>
      <c r="BY634" s="1433" t="s">
        <v>3989</v>
      </c>
      <c r="BZ634" s="40"/>
      <c r="CA634" s="582"/>
      <c r="CB634" s="582"/>
      <c r="CC634" s="582"/>
      <c r="CD634" s="582"/>
      <c r="CE634" s="582"/>
      <c r="CF634" s="582"/>
      <c r="CG634" s="582"/>
      <c r="CH634" s="16"/>
    </row>
    <row r="635" spans="2:86" ht="87.75" hidden="1" customHeight="1">
      <c r="B635" s="23"/>
      <c r="C635" s="1982"/>
      <c r="D635" s="1982"/>
      <c r="E635" s="1051"/>
      <c r="F635" s="1051"/>
      <c r="G635" s="1055"/>
      <c r="H635" s="365"/>
      <c r="I635" s="182">
        <v>2022</v>
      </c>
      <c r="J635" s="1678">
        <v>220.01</v>
      </c>
      <c r="K635" s="183"/>
      <c r="L635" s="191" t="s">
        <v>4387</v>
      </c>
      <c r="M635" s="185" t="s">
        <v>4941</v>
      </c>
      <c r="N635" s="1401" t="s">
        <v>68</v>
      </c>
      <c r="O635" s="1401"/>
      <c r="P635" s="187"/>
      <c r="Q635" s="1403"/>
      <c r="R635" s="189"/>
      <c r="S635" s="190"/>
      <c r="T635" s="578" t="s">
        <v>68</v>
      </c>
      <c r="U635" s="1229" t="s">
        <v>68</v>
      </c>
      <c r="V635" s="1064"/>
      <c r="W635" s="740" t="s">
        <v>68</v>
      </c>
      <c r="X635" s="1629" t="s">
        <v>68</v>
      </c>
      <c r="Y635" s="180" t="s">
        <v>68</v>
      </c>
      <c r="Z635" s="9"/>
      <c r="AA635" s="4"/>
      <c r="AB635" s="4"/>
      <c r="AC635" s="34"/>
      <c r="AD635" s="645" t="s">
        <v>68</v>
      </c>
      <c r="AE635" s="646" t="s">
        <v>68</v>
      </c>
      <c r="AF635" s="646" t="s">
        <v>68</v>
      </c>
      <c r="AG635" s="647" t="s">
        <v>68</v>
      </c>
      <c r="AH635" s="644" t="s">
        <v>68</v>
      </c>
      <c r="AI635" s="180" t="s">
        <v>68</v>
      </c>
      <c r="AJ635" s="71" t="s">
        <v>68</v>
      </c>
      <c r="AK635" s="255"/>
      <c r="AL635" s="71" t="s">
        <v>68</v>
      </c>
      <c r="AM635" s="255"/>
      <c r="AN635" s="71" t="s">
        <v>68</v>
      </c>
      <c r="AO635" s="5"/>
      <c r="AP635" s="306">
        <v>0</v>
      </c>
      <c r="AQ635" s="74">
        <v>0</v>
      </c>
      <c r="AR635" s="1040"/>
      <c r="AS635" s="1027"/>
      <c r="AT635" s="386" t="s">
        <v>68</v>
      </c>
      <c r="AU635" s="12"/>
      <c r="AV635" s="243" t="s">
        <v>68</v>
      </c>
      <c r="AW635" s="54" t="s">
        <v>68</v>
      </c>
      <c r="AX635" s="386" t="s">
        <v>68</v>
      </c>
      <c r="AY635" s="255"/>
      <c r="AZ635" s="255"/>
      <c r="BA635" s="245"/>
      <c r="BB635" s="68" t="s">
        <v>74</v>
      </c>
      <c r="BC635" s="1686"/>
      <c r="BD635" s="5"/>
      <c r="BE635" s="5"/>
      <c r="BF635" s="5"/>
      <c r="BG635" s="38"/>
      <c r="BH635" s="1842" t="s">
        <v>68</v>
      </c>
      <c r="BI635" s="1843" t="s">
        <v>68</v>
      </c>
      <c r="BJ635" s="795" t="s">
        <v>68</v>
      </c>
      <c r="BK635" s="795" t="s">
        <v>68</v>
      </c>
      <c r="BL635" s="796" t="s">
        <v>68</v>
      </c>
      <c r="BM635" s="796" t="s">
        <v>68</v>
      </c>
      <c r="BN635" s="796" t="s">
        <v>68</v>
      </c>
      <c r="BO635" s="1054" t="s">
        <v>68</v>
      </c>
      <c r="BP635" s="796" t="s">
        <v>68</v>
      </c>
      <c r="BQ635" s="796" t="s">
        <v>68</v>
      </c>
      <c r="BR635" s="796"/>
      <c r="BS635" s="794"/>
      <c r="BT635" s="14"/>
      <c r="BU635" s="166"/>
      <c r="BV635" s="14"/>
      <c r="BW635" s="14"/>
      <c r="BX635" s="14"/>
      <c r="BY635" s="1433" t="s">
        <v>3989</v>
      </c>
      <c r="BZ635" s="40"/>
      <c r="CA635" s="582"/>
      <c r="CB635" s="582"/>
      <c r="CC635" s="582"/>
      <c r="CD635" s="582"/>
      <c r="CE635" s="582"/>
      <c r="CF635" s="582"/>
      <c r="CG635" s="582"/>
      <c r="CH635" s="16"/>
    </row>
    <row r="636" spans="2:86" ht="87.75" hidden="1" customHeight="1">
      <c r="B636" s="1852" t="s">
        <v>4492</v>
      </c>
      <c r="C636" s="1982"/>
      <c r="D636" s="1982"/>
      <c r="E636" s="1051">
        <v>44805</v>
      </c>
      <c r="F636" s="1871">
        <v>44613</v>
      </c>
      <c r="G636" s="1055">
        <v>44929</v>
      </c>
      <c r="H636" s="365">
        <v>44750</v>
      </c>
      <c r="I636" s="182">
        <v>2022</v>
      </c>
      <c r="J636" s="1678">
        <v>220.01</v>
      </c>
      <c r="K636" s="183" t="s">
        <v>77</v>
      </c>
      <c r="L636" s="191" t="s">
        <v>4388</v>
      </c>
      <c r="M636" s="185" t="s">
        <v>79</v>
      </c>
      <c r="N636" s="495" t="s">
        <v>5965</v>
      </c>
      <c r="O636" s="494" t="s">
        <v>2548</v>
      </c>
      <c r="P636" s="187">
        <v>98067.87</v>
      </c>
      <c r="Q636" s="598">
        <v>44628</v>
      </c>
      <c r="R636" s="189">
        <v>44634</v>
      </c>
      <c r="S636" s="190">
        <v>44639</v>
      </c>
      <c r="T636" s="1148">
        <v>44627</v>
      </c>
      <c r="U636" s="739" t="s">
        <v>3513</v>
      </c>
      <c r="V636" s="716" t="s">
        <v>70</v>
      </c>
      <c r="W636" s="1285">
        <v>44627</v>
      </c>
      <c r="X636" s="1629" t="s">
        <v>5061</v>
      </c>
      <c r="Y636" s="266" t="s">
        <v>4432</v>
      </c>
      <c r="Z636" s="9">
        <v>44606</v>
      </c>
      <c r="AA636" s="4">
        <v>98067.87</v>
      </c>
      <c r="AB636" s="4"/>
      <c r="AC636" s="34"/>
      <c r="AD636" s="1844" t="s">
        <v>68</v>
      </c>
      <c r="AE636" s="1845" t="s">
        <v>68</v>
      </c>
      <c r="AF636" s="1845" t="s">
        <v>68</v>
      </c>
      <c r="AG636" s="1846" t="s">
        <v>68</v>
      </c>
      <c r="AH636" s="444" t="s">
        <v>68</v>
      </c>
      <c r="AI636" s="266" t="s">
        <v>1289</v>
      </c>
      <c r="AJ636" s="267" t="s">
        <v>68</v>
      </c>
      <c r="AK636" s="60"/>
      <c r="AL636" s="267">
        <v>22120</v>
      </c>
      <c r="AM636" s="60">
        <v>44634</v>
      </c>
      <c r="AN636" s="267">
        <v>22122</v>
      </c>
      <c r="AO636" s="5">
        <v>44639</v>
      </c>
      <c r="AP636" s="306">
        <f>9806.78*2</f>
        <v>19613.560000000001</v>
      </c>
      <c r="AQ636" s="1211">
        <v>0</v>
      </c>
      <c r="AR636" s="1032">
        <v>97999</v>
      </c>
      <c r="AS636" s="1027"/>
      <c r="AT636" s="68" t="s">
        <v>74</v>
      </c>
      <c r="AU636" s="12"/>
      <c r="AV636" s="243" t="s">
        <v>68</v>
      </c>
      <c r="AW636" s="54" t="s">
        <v>68</v>
      </c>
      <c r="AX636" s="359">
        <v>44642</v>
      </c>
      <c r="AY636" s="360">
        <v>44634</v>
      </c>
      <c r="AZ636" s="360">
        <v>44639</v>
      </c>
      <c r="BA636" s="1217"/>
      <c r="BB636" s="359">
        <v>44642</v>
      </c>
      <c r="BC636" s="1952" t="str">
        <f t="shared" ref="BC636:BC651" si="21">L636</f>
        <v>GMJ 001 C-OP/2022</v>
      </c>
      <c r="BD636" s="360">
        <v>44634</v>
      </c>
      <c r="BE636" s="360">
        <v>44639</v>
      </c>
      <c r="BF636" s="360">
        <v>44639</v>
      </c>
      <c r="BG636" s="38">
        <f>AQ636+AR636</f>
        <v>97999</v>
      </c>
      <c r="BH636" s="382">
        <v>44643</v>
      </c>
      <c r="BI636" s="1894">
        <v>44628</v>
      </c>
      <c r="BJ636" s="360">
        <v>44631</v>
      </c>
      <c r="BK636" s="360">
        <v>44631</v>
      </c>
      <c r="BL636" s="1230"/>
      <c r="BM636" s="1282">
        <v>44631</v>
      </c>
      <c r="BN636" s="1282">
        <v>44631</v>
      </c>
      <c r="BO636" s="1054">
        <v>44631</v>
      </c>
      <c r="BP636" s="1282">
        <v>44638</v>
      </c>
      <c r="BQ636" s="1054">
        <v>44722</v>
      </c>
      <c r="BR636" s="1283">
        <v>0</v>
      </c>
      <c r="BS636" s="1284">
        <v>0</v>
      </c>
      <c r="BT636" s="14"/>
      <c r="BU636" s="166"/>
      <c r="BV636" s="14"/>
      <c r="BW636" s="14"/>
      <c r="BX636" s="14"/>
      <c r="BY636" s="1433" t="s">
        <v>3989</v>
      </c>
      <c r="BZ636" s="40"/>
      <c r="CA636" s="582"/>
      <c r="CB636" s="582"/>
      <c r="CC636" s="582"/>
      <c r="CD636" s="582"/>
      <c r="CE636" s="582"/>
      <c r="CF636" s="582"/>
      <c r="CG636" s="582"/>
      <c r="CH636" s="16"/>
    </row>
    <row r="637" spans="2:86" ht="87.75" hidden="1" customHeight="1">
      <c r="B637" s="1852" t="s">
        <v>4492</v>
      </c>
      <c r="C637" s="1982"/>
      <c r="D637" s="1982"/>
      <c r="E637" s="1051">
        <v>44805</v>
      </c>
      <c r="F637" s="1871">
        <v>44613</v>
      </c>
      <c r="G637" s="1055">
        <v>44896</v>
      </c>
      <c r="H637" s="365">
        <v>44750</v>
      </c>
      <c r="I637" s="182">
        <v>2022</v>
      </c>
      <c r="J637" s="1678">
        <v>220.01</v>
      </c>
      <c r="K637" s="183" t="s">
        <v>77</v>
      </c>
      <c r="L637" s="191" t="s">
        <v>4389</v>
      </c>
      <c r="M637" s="185" t="s">
        <v>79</v>
      </c>
      <c r="N637" s="495" t="s">
        <v>4868</v>
      </c>
      <c r="O637" s="494" t="s">
        <v>2548</v>
      </c>
      <c r="P637" s="187">
        <v>160513.82999999999</v>
      </c>
      <c r="Q637" s="598">
        <v>44628</v>
      </c>
      <c r="R637" s="189">
        <v>44634</v>
      </c>
      <c r="S637" s="190">
        <v>44653</v>
      </c>
      <c r="T637" s="1148">
        <v>44627</v>
      </c>
      <c r="U637" s="739" t="s">
        <v>4407</v>
      </c>
      <c r="V637" s="716" t="s">
        <v>70</v>
      </c>
      <c r="W637" s="1285">
        <v>44627</v>
      </c>
      <c r="X637" s="1629" t="s">
        <v>5061</v>
      </c>
      <c r="Y637" s="266" t="s">
        <v>4433</v>
      </c>
      <c r="Z637" s="9">
        <v>44617</v>
      </c>
      <c r="AA637" s="4">
        <v>160513.82999999999</v>
      </c>
      <c r="AB637" s="4"/>
      <c r="AC637" s="34"/>
      <c r="AD637" s="1844" t="s">
        <v>68</v>
      </c>
      <c r="AE637" s="1845" t="s">
        <v>68</v>
      </c>
      <c r="AF637" s="1845" t="s">
        <v>68</v>
      </c>
      <c r="AG637" s="1846" t="s">
        <v>68</v>
      </c>
      <c r="AH637" s="444" t="s">
        <v>68</v>
      </c>
      <c r="AI637" s="266" t="s">
        <v>1342</v>
      </c>
      <c r="AJ637" s="267" t="s">
        <v>68</v>
      </c>
      <c r="AK637" s="60"/>
      <c r="AL637" s="426" t="s">
        <v>4589</v>
      </c>
      <c r="AM637" s="60">
        <v>44673</v>
      </c>
      <c r="AN637" s="426" t="s">
        <v>4590</v>
      </c>
      <c r="AO637" s="5">
        <v>44673</v>
      </c>
      <c r="AP637" s="306">
        <f>16051.38*2</f>
        <v>32102.76</v>
      </c>
      <c r="AQ637" s="1211">
        <v>0</v>
      </c>
      <c r="AR637" s="1032">
        <v>160825.43</v>
      </c>
      <c r="AS637" s="1027"/>
      <c r="AT637" s="68" t="s">
        <v>74</v>
      </c>
      <c r="AU637" s="12"/>
      <c r="AV637" s="243" t="s">
        <v>68</v>
      </c>
      <c r="AW637" s="54" t="s">
        <v>68</v>
      </c>
      <c r="AX637" s="359">
        <v>44655</v>
      </c>
      <c r="AY637" s="255">
        <v>44634</v>
      </c>
      <c r="AZ637" s="255">
        <v>44653</v>
      </c>
      <c r="BA637" s="245"/>
      <c r="BB637" s="359">
        <v>44673</v>
      </c>
      <c r="BC637" s="1952" t="str">
        <f t="shared" si="21"/>
        <v>GMJ 002 C-OP/2022</v>
      </c>
      <c r="BD637" s="5">
        <v>44634</v>
      </c>
      <c r="BE637" s="5">
        <v>44653</v>
      </c>
      <c r="BF637" s="5">
        <v>44653</v>
      </c>
      <c r="BG637" s="38">
        <f>AQ637+AR637</f>
        <v>160825.43</v>
      </c>
      <c r="BH637" s="382">
        <v>44673</v>
      </c>
      <c r="BI637" s="360">
        <v>44628</v>
      </c>
      <c r="BJ637" s="360">
        <v>44629</v>
      </c>
      <c r="BK637" s="360">
        <v>44634</v>
      </c>
      <c r="BL637" s="1230"/>
      <c r="BM637" s="1054">
        <v>44624</v>
      </c>
      <c r="BN637" s="1054">
        <v>44624</v>
      </c>
      <c r="BO637" s="1054">
        <v>44624</v>
      </c>
      <c r="BP637" s="1282">
        <v>44666</v>
      </c>
      <c r="BQ637" s="1054">
        <v>44666</v>
      </c>
      <c r="BR637" s="1283">
        <v>1</v>
      </c>
      <c r="BS637" s="1284">
        <v>0</v>
      </c>
      <c r="BT637" s="14"/>
      <c r="BU637" s="166"/>
      <c r="BV637" s="14"/>
      <c r="BW637" s="14"/>
      <c r="BX637" s="14"/>
      <c r="BY637" s="1433" t="s">
        <v>3989</v>
      </c>
      <c r="BZ637" s="40"/>
      <c r="CA637" s="582"/>
      <c r="CB637" s="582"/>
      <c r="CC637" s="582"/>
      <c r="CD637" s="582"/>
      <c r="CE637" s="582"/>
      <c r="CF637" s="582"/>
      <c r="CG637" s="582"/>
      <c r="CH637" s="16"/>
    </row>
    <row r="638" spans="2:86" ht="87.75" hidden="1" customHeight="1">
      <c r="B638" s="1852" t="s">
        <v>4492</v>
      </c>
      <c r="C638" s="1982"/>
      <c r="D638" s="1982"/>
      <c r="E638" s="1051">
        <v>44805</v>
      </c>
      <c r="F638" s="1871">
        <v>44613</v>
      </c>
      <c r="G638" s="1055">
        <v>45063</v>
      </c>
      <c r="H638" s="365">
        <v>44783</v>
      </c>
      <c r="I638" s="182">
        <v>2022</v>
      </c>
      <c r="J638" s="1678">
        <v>220.01</v>
      </c>
      <c r="K638" s="183" t="s">
        <v>77</v>
      </c>
      <c r="L638" s="191" t="s">
        <v>4390</v>
      </c>
      <c r="M638" s="185" t="s">
        <v>79</v>
      </c>
      <c r="N638" s="495" t="s">
        <v>4408</v>
      </c>
      <c r="O638" s="494" t="s">
        <v>2548</v>
      </c>
      <c r="P638" s="187">
        <v>236056.39</v>
      </c>
      <c r="Q638" s="598">
        <v>44628</v>
      </c>
      <c r="R638" s="189">
        <v>44634</v>
      </c>
      <c r="S638" s="190">
        <v>44653</v>
      </c>
      <c r="T638" s="1148">
        <v>44627</v>
      </c>
      <c r="U638" s="739" t="s">
        <v>4407</v>
      </c>
      <c r="V638" s="716" t="s">
        <v>70</v>
      </c>
      <c r="W638" s="1285">
        <v>44627</v>
      </c>
      <c r="X638" s="1629" t="s">
        <v>5061</v>
      </c>
      <c r="Y638" s="266" t="s">
        <v>4434</v>
      </c>
      <c r="Z638" s="9">
        <v>44606</v>
      </c>
      <c r="AA638" s="4">
        <v>236056.39</v>
      </c>
      <c r="AB638" s="4"/>
      <c r="AC638" s="34"/>
      <c r="AD638" s="1844" t="s">
        <v>68</v>
      </c>
      <c r="AE638" s="1845" t="s">
        <v>68</v>
      </c>
      <c r="AF638" s="1845" t="s">
        <v>68</v>
      </c>
      <c r="AG638" s="1846" t="s">
        <v>68</v>
      </c>
      <c r="AH638" s="444" t="s">
        <v>68</v>
      </c>
      <c r="AI638" s="266" t="s">
        <v>1342</v>
      </c>
      <c r="AJ638" s="267" t="s">
        <v>68</v>
      </c>
      <c r="AK638" s="60"/>
      <c r="AL638" s="426" t="s">
        <v>4591</v>
      </c>
      <c r="AM638" s="255">
        <v>44673</v>
      </c>
      <c r="AN638" s="139" t="s">
        <v>74</v>
      </c>
      <c r="AO638" s="5"/>
      <c r="AP638" s="306">
        <f>23605.64</f>
        <v>23605.64</v>
      </c>
      <c r="AQ638" s="1211">
        <v>0</v>
      </c>
      <c r="AR638" s="1032">
        <v>295070.46000000002</v>
      </c>
      <c r="AS638" s="1027"/>
      <c r="AT638" s="68" t="s">
        <v>74</v>
      </c>
      <c r="AU638" s="12"/>
      <c r="AV638" s="243" t="s">
        <v>68</v>
      </c>
      <c r="AW638" s="54" t="s">
        <v>68</v>
      </c>
      <c r="AX638" s="75">
        <v>44666</v>
      </c>
      <c r="AY638" s="76">
        <v>44634</v>
      </c>
      <c r="AZ638" s="76">
        <v>44666</v>
      </c>
      <c r="BA638" s="134"/>
      <c r="BB638" s="75">
        <v>44670</v>
      </c>
      <c r="BC638" s="1952" t="str">
        <f t="shared" si="21"/>
        <v>GMJ 003 C-OP/2022</v>
      </c>
      <c r="BD638" s="5">
        <v>44634</v>
      </c>
      <c r="BE638" s="5">
        <v>44653</v>
      </c>
      <c r="BF638" s="5">
        <v>44666</v>
      </c>
      <c r="BG638" s="38">
        <f>AQ638+AR638</f>
        <v>295070.46000000002</v>
      </c>
      <c r="BH638" s="70">
        <v>44674</v>
      </c>
      <c r="BI638" s="360">
        <v>44628</v>
      </c>
      <c r="BJ638" s="360">
        <v>44629</v>
      </c>
      <c r="BK638" s="360">
        <v>44634</v>
      </c>
      <c r="BL638" s="1230"/>
      <c r="BM638" s="1282">
        <v>44629</v>
      </c>
      <c r="BN638" s="1282">
        <v>44629</v>
      </c>
      <c r="BO638" s="1054">
        <v>44629</v>
      </c>
      <c r="BP638" s="1282">
        <v>44666</v>
      </c>
      <c r="BQ638" s="1054">
        <v>44666</v>
      </c>
      <c r="BR638" s="1283">
        <v>1</v>
      </c>
      <c r="BS638" s="1284">
        <v>0</v>
      </c>
      <c r="BT638" s="14"/>
      <c r="BU638" s="166"/>
      <c r="BV638" s="14"/>
      <c r="BW638" s="14"/>
      <c r="BX638" s="14"/>
      <c r="BY638" s="1433" t="s">
        <v>3989</v>
      </c>
      <c r="BZ638" s="40"/>
      <c r="CA638" s="582"/>
      <c r="CB638" s="582"/>
      <c r="CC638" s="582"/>
      <c r="CD638" s="582"/>
      <c r="CE638" s="582"/>
      <c r="CF638" s="582"/>
      <c r="CG638" s="582"/>
      <c r="CH638" s="16"/>
    </row>
    <row r="639" spans="2:86" ht="187.5" hidden="1" customHeight="1">
      <c r="B639" s="23"/>
      <c r="C639" s="1982"/>
      <c r="D639" s="1982"/>
      <c r="E639" s="1051">
        <v>44805</v>
      </c>
      <c r="F639" s="1871">
        <v>44774</v>
      </c>
      <c r="G639" s="1055">
        <v>45076</v>
      </c>
      <c r="H639" s="365">
        <v>44902</v>
      </c>
      <c r="I639" s="182">
        <v>2022</v>
      </c>
      <c r="J639" s="1678">
        <v>220.01</v>
      </c>
      <c r="K639" s="183" t="s">
        <v>77</v>
      </c>
      <c r="L639" s="191" t="s">
        <v>4391</v>
      </c>
      <c r="M639" s="185" t="s">
        <v>79</v>
      </c>
      <c r="N639" s="495" t="s">
        <v>4409</v>
      </c>
      <c r="O639" s="186" t="s">
        <v>4877</v>
      </c>
      <c r="P639" s="187">
        <v>2031883.8</v>
      </c>
      <c r="Q639" s="598">
        <v>44690</v>
      </c>
      <c r="R639" s="189">
        <v>44692</v>
      </c>
      <c r="S639" s="190">
        <v>44765</v>
      </c>
      <c r="T639" s="1148">
        <v>44687</v>
      </c>
      <c r="U639" s="739" t="s">
        <v>4410</v>
      </c>
      <c r="V639" s="716" t="s">
        <v>449</v>
      </c>
      <c r="W639" s="1285">
        <v>44685</v>
      </c>
      <c r="X639" s="1629" t="s">
        <v>5061</v>
      </c>
      <c r="Y639" s="266" t="s">
        <v>4435</v>
      </c>
      <c r="Z639" s="9">
        <v>44617</v>
      </c>
      <c r="AA639" s="4">
        <v>2500000</v>
      </c>
      <c r="AB639" s="261" t="s">
        <v>4436</v>
      </c>
      <c r="AC639" s="34">
        <v>2500000</v>
      </c>
      <c r="AD639" s="1844" t="s">
        <v>68</v>
      </c>
      <c r="AE639" s="1845" t="s">
        <v>68</v>
      </c>
      <c r="AF639" s="1845" t="s">
        <v>68</v>
      </c>
      <c r="AG639" s="1846" t="s">
        <v>68</v>
      </c>
      <c r="AH639" s="444" t="s">
        <v>68</v>
      </c>
      <c r="AI639" s="266" t="s">
        <v>1270</v>
      </c>
      <c r="AJ639" s="426" t="s">
        <v>4592</v>
      </c>
      <c r="AK639" s="1895">
        <v>44694</v>
      </c>
      <c r="AL639" s="426" t="s">
        <v>4593</v>
      </c>
      <c r="AM639" s="1895">
        <v>44694</v>
      </c>
      <c r="AN639" s="426" t="s">
        <v>4594</v>
      </c>
      <c r="AO639" s="5">
        <v>44742</v>
      </c>
      <c r="AP639" s="306">
        <f>507970.95+203188.38+203188.38</f>
        <v>914347.71000000008</v>
      </c>
      <c r="AQ639" s="1211">
        <v>0</v>
      </c>
      <c r="AR639" s="1032">
        <v>2069216.72</v>
      </c>
      <c r="AS639" s="1027"/>
      <c r="AT639" s="75">
        <v>44698</v>
      </c>
      <c r="AU639" s="12">
        <v>44741</v>
      </c>
      <c r="AV639" s="243" t="s">
        <v>68</v>
      </c>
      <c r="AW639" s="54" t="s">
        <v>68</v>
      </c>
      <c r="AX639" s="75">
        <v>44742</v>
      </c>
      <c r="AY639" s="255">
        <v>44697</v>
      </c>
      <c r="AZ639" s="255">
        <v>44765</v>
      </c>
      <c r="BA639" s="245">
        <v>44741</v>
      </c>
      <c r="BB639" s="359">
        <v>44742</v>
      </c>
      <c r="BC639" s="1952" t="str">
        <f t="shared" si="21"/>
        <v>GMJ 004 C-OP/2022</v>
      </c>
      <c r="BD639" s="5">
        <v>44697</v>
      </c>
      <c r="BE639" s="5">
        <v>44765</v>
      </c>
      <c r="BF639" s="5">
        <v>44741</v>
      </c>
      <c r="BG639" s="38">
        <f>AQ639+AR639-0.01</f>
        <v>2069216.71</v>
      </c>
      <c r="BH639" s="70">
        <v>44742</v>
      </c>
      <c r="BI639" s="359">
        <v>44694</v>
      </c>
      <c r="BJ639" s="76">
        <v>44692</v>
      </c>
      <c r="BK639" s="76">
        <v>44692</v>
      </c>
      <c r="BL639" s="1480"/>
      <c r="BM639" s="1054">
        <v>44692</v>
      </c>
      <c r="BN639" s="1054">
        <v>44692</v>
      </c>
      <c r="BO639" s="1054">
        <v>44692</v>
      </c>
      <c r="BP639" s="1054">
        <v>44741</v>
      </c>
      <c r="BQ639" s="1054">
        <v>44742</v>
      </c>
      <c r="BR639" s="1993">
        <v>2</v>
      </c>
      <c r="BS639" s="1995">
        <v>0</v>
      </c>
      <c r="BT639" s="14"/>
      <c r="BU639" s="166"/>
      <c r="BV639" s="14"/>
      <c r="BW639" s="14"/>
      <c r="BX639" s="14"/>
      <c r="BY639" s="1433" t="s">
        <v>3989</v>
      </c>
      <c r="BZ639" s="1994" t="s">
        <v>1143</v>
      </c>
      <c r="CA639" s="582"/>
      <c r="CB639" s="582"/>
      <c r="CC639" s="582"/>
      <c r="CD639" s="582"/>
      <c r="CE639" s="582"/>
      <c r="CF639" s="582"/>
      <c r="CG639" s="582"/>
      <c r="CH639" s="16"/>
    </row>
    <row r="640" spans="2:86" ht="87.75" hidden="1" customHeight="1">
      <c r="B640" s="23"/>
      <c r="C640" s="1983">
        <v>45068</v>
      </c>
      <c r="D640" s="1987">
        <v>5</v>
      </c>
      <c r="E640" s="1051">
        <v>44805</v>
      </c>
      <c r="F640" s="1871">
        <v>44774</v>
      </c>
      <c r="G640" s="1055">
        <v>45076</v>
      </c>
      <c r="H640" s="365">
        <v>44902</v>
      </c>
      <c r="I640" s="182">
        <v>2022</v>
      </c>
      <c r="J640" s="1678">
        <v>220.01</v>
      </c>
      <c r="K640" s="183" t="s">
        <v>166</v>
      </c>
      <c r="L640" s="191" t="s">
        <v>4392</v>
      </c>
      <c r="M640" s="185" t="s">
        <v>79</v>
      </c>
      <c r="N640" s="495" t="s">
        <v>4411</v>
      </c>
      <c r="O640" s="494" t="s">
        <v>2613</v>
      </c>
      <c r="P640" s="187">
        <v>793754.52</v>
      </c>
      <c r="Q640" s="598">
        <v>44704</v>
      </c>
      <c r="R640" s="189">
        <v>44705</v>
      </c>
      <c r="S640" s="190">
        <v>44712</v>
      </c>
      <c r="T640" s="1148">
        <v>44704</v>
      </c>
      <c r="U640" s="739" t="s">
        <v>3510</v>
      </c>
      <c r="V640" s="716" t="s">
        <v>70</v>
      </c>
      <c r="W640" s="1285" t="s">
        <v>1431</v>
      </c>
      <c r="X640" s="1629" t="s">
        <v>1177</v>
      </c>
      <c r="Y640" s="266" t="s">
        <v>4437</v>
      </c>
      <c r="Z640" s="9">
        <v>44704</v>
      </c>
      <c r="AA640" s="4">
        <v>793754.52</v>
      </c>
      <c r="AB640" s="4"/>
      <c r="AC640" s="34"/>
      <c r="AD640" s="1844" t="s">
        <v>68</v>
      </c>
      <c r="AE640" s="1845" t="s">
        <v>68</v>
      </c>
      <c r="AF640" s="1845" t="s">
        <v>68</v>
      </c>
      <c r="AG640" s="1846" t="s">
        <v>68</v>
      </c>
      <c r="AH640" s="444" t="s">
        <v>68</v>
      </c>
      <c r="AI640" s="266" t="s">
        <v>1270</v>
      </c>
      <c r="AJ640" s="267" t="s">
        <v>68</v>
      </c>
      <c r="AK640" s="60"/>
      <c r="AL640" s="426" t="s">
        <v>4595</v>
      </c>
      <c r="AM640" s="255">
        <v>44704</v>
      </c>
      <c r="AN640" s="267" t="s">
        <v>83</v>
      </c>
      <c r="AO640" s="5"/>
      <c r="AP640" s="306">
        <f>79375.45</f>
        <v>79375.45</v>
      </c>
      <c r="AQ640" s="1211">
        <v>0</v>
      </c>
      <c r="AR640" s="1032">
        <v>793754.52</v>
      </c>
      <c r="AS640" s="1027"/>
      <c r="AT640" s="359">
        <v>44705</v>
      </c>
      <c r="AU640" s="12">
        <v>44711</v>
      </c>
      <c r="AV640" s="243" t="s">
        <v>68</v>
      </c>
      <c r="AW640" s="54" t="s">
        <v>68</v>
      </c>
      <c r="AX640" s="359">
        <v>44713</v>
      </c>
      <c r="AY640" s="255">
        <v>44705</v>
      </c>
      <c r="AZ640" s="255">
        <v>44712</v>
      </c>
      <c r="BA640" s="245">
        <v>44712</v>
      </c>
      <c r="BB640" s="359">
        <v>44714</v>
      </c>
      <c r="BC640" s="1952" t="str">
        <f t="shared" si="21"/>
        <v>GMJ 005 C-OP/2022</v>
      </c>
      <c r="BD640" s="5"/>
      <c r="BE640" s="5">
        <v>44712</v>
      </c>
      <c r="BF640" s="5">
        <v>44712</v>
      </c>
      <c r="BG640" s="270">
        <f>AQ640+AR640-109483.38</f>
        <v>684271.14</v>
      </c>
      <c r="BH640" s="382">
        <v>44714</v>
      </c>
      <c r="BI640" s="359">
        <v>44705</v>
      </c>
      <c r="BJ640" s="360">
        <v>44705</v>
      </c>
      <c r="BK640" s="360">
        <v>44705</v>
      </c>
      <c r="BL640" s="1648"/>
      <c r="BM640" s="1282">
        <v>44704</v>
      </c>
      <c r="BN640" s="1282">
        <v>44704</v>
      </c>
      <c r="BO640" s="1054">
        <v>44704</v>
      </c>
      <c r="BP640" s="1282">
        <v>44712</v>
      </c>
      <c r="BQ640" s="1054">
        <v>44717</v>
      </c>
      <c r="BR640" s="1993">
        <v>0</v>
      </c>
      <c r="BS640" s="1995">
        <v>0</v>
      </c>
      <c r="BT640" s="14"/>
      <c r="BU640" s="166"/>
      <c r="BV640" s="14"/>
      <c r="BW640" s="14"/>
      <c r="BX640" s="14"/>
      <c r="BY640" s="1433" t="s">
        <v>3989</v>
      </c>
      <c r="BZ640" s="1994" t="s">
        <v>1143</v>
      </c>
      <c r="CA640" s="582"/>
      <c r="CB640" s="582"/>
      <c r="CC640" s="582"/>
      <c r="CD640" s="582"/>
      <c r="CE640" s="582"/>
      <c r="CF640" s="582"/>
      <c r="CG640" s="582"/>
      <c r="CH640" s="16"/>
    </row>
    <row r="641" spans="2:86" ht="87.75" hidden="1" customHeight="1">
      <c r="B641" s="23"/>
      <c r="C641" s="1982"/>
      <c r="D641" s="1982"/>
      <c r="E641" s="1051">
        <v>44805</v>
      </c>
      <c r="F641" s="1871">
        <v>44774</v>
      </c>
      <c r="G641" s="1055">
        <v>45076</v>
      </c>
      <c r="H641" s="365">
        <v>44902</v>
      </c>
      <c r="I641" s="182">
        <v>2022</v>
      </c>
      <c r="J641" s="1678">
        <v>220.01</v>
      </c>
      <c r="K641" s="183" t="s">
        <v>77</v>
      </c>
      <c r="L641" s="191" t="s">
        <v>4393</v>
      </c>
      <c r="M641" s="185" t="s">
        <v>79</v>
      </c>
      <c r="N641" s="495" t="s">
        <v>4493</v>
      </c>
      <c r="O641" s="494" t="s">
        <v>2613</v>
      </c>
      <c r="P641" s="187">
        <v>579637.71</v>
      </c>
      <c r="Q641" s="598">
        <v>44704</v>
      </c>
      <c r="R641" s="189">
        <v>44712</v>
      </c>
      <c r="S641" s="190">
        <v>44722</v>
      </c>
      <c r="T641" s="1148">
        <v>44704</v>
      </c>
      <c r="U641" s="739" t="s">
        <v>3510</v>
      </c>
      <c r="V641" s="716" t="s">
        <v>70</v>
      </c>
      <c r="W641" s="1285">
        <v>44704</v>
      </c>
      <c r="X641" s="1629" t="s">
        <v>5080</v>
      </c>
      <c r="Y641" s="266" t="s">
        <v>4438</v>
      </c>
      <c r="Z641" s="9">
        <v>44704</v>
      </c>
      <c r="AA641" s="4">
        <v>579637.71</v>
      </c>
      <c r="AB641" s="4"/>
      <c r="AC641" s="34"/>
      <c r="AD641" s="1844" t="s">
        <v>68</v>
      </c>
      <c r="AE641" s="1845" t="s">
        <v>68</v>
      </c>
      <c r="AF641" s="1845" t="s">
        <v>68</v>
      </c>
      <c r="AG641" s="1846" t="s">
        <v>68</v>
      </c>
      <c r="AH641" s="444" t="s">
        <v>68</v>
      </c>
      <c r="AI641" s="266" t="s">
        <v>1270</v>
      </c>
      <c r="AJ641" s="267" t="s">
        <v>68</v>
      </c>
      <c r="AK641" s="60"/>
      <c r="AL641" s="267" t="s">
        <v>4596</v>
      </c>
      <c r="AM641" s="255">
        <v>44704</v>
      </c>
      <c r="AN641" s="267" t="s">
        <v>83</v>
      </c>
      <c r="AO641" s="5"/>
      <c r="AP641" s="306">
        <v>57963.77</v>
      </c>
      <c r="AQ641" s="1211">
        <v>0</v>
      </c>
      <c r="AR641" s="1032">
        <v>579645.42000000004</v>
      </c>
      <c r="AS641" s="1027"/>
      <c r="AT641" s="359">
        <v>44712</v>
      </c>
      <c r="AU641" s="12">
        <v>44721</v>
      </c>
      <c r="AV641" s="243" t="s">
        <v>68</v>
      </c>
      <c r="AW641" s="54" t="s">
        <v>68</v>
      </c>
      <c r="AX641" s="359">
        <v>44725</v>
      </c>
      <c r="AY641" s="255">
        <v>44712</v>
      </c>
      <c r="AZ641" s="255">
        <v>44722</v>
      </c>
      <c r="BA641" s="245">
        <v>44722</v>
      </c>
      <c r="BB641" s="359">
        <v>44726</v>
      </c>
      <c r="BC641" s="1952" t="str">
        <f t="shared" si="21"/>
        <v>GMJ 006 C-OP/2022</v>
      </c>
      <c r="BD641" s="5">
        <v>44712</v>
      </c>
      <c r="BE641" s="5">
        <v>44722</v>
      </c>
      <c r="BF641" s="5">
        <v>44722</v>
      </c>
      <c r="BG641" s="38">
        <f>AQ641+AR641</f>
        <v>579645.42000000004</v>
      </c>
      <c r="BH641" s="382">
        <v>44726</v>
      </c>
      <c r="BI641" s="359">
        <v>44705</v>
      </c>
      <c r="BJ641" s="360">
        <v>44712</v>
      </c>
      <c r="BK641" s="360">
        <v>44712</v>
      </c>
      <c r="BL641" s="1648"/>
      <c r="BM641" s="1282">
        <v>44704</v>
      </c>
      <c r="BN641" s="1282">
        <v>44704</v>
      </c>
      <c r="BO641" s="1054">
        <v>44704</v>
      </c>
      <c r="BP641" s="1282">
        <v>44722</v>
      </c>
      <c r="BQ641" s="1996">
        <v>44725</v>
      </c>
      <c r="BR641" s="1993">
        <v>0</v>
      </c>
      <c r="BS641" s="1995">
        <v>0</v>
      </c>
      <c r="BT641" s="14"/>
      <c r="BU641" s="166"/>
      <c r="BV641" s="14"/>
      <c r="BW641" s="14"/>
      <c r="BX641" s="14"/>
      <c r="BY641" s="1433" t="s">
        <v>3989</v>
      </c>
      <c r="BZ641" s="1994" t="s">
        <v>1143</v>
      </c>
      <c r="CA641" s="582"/>
      <c r="CB641" s="582"/>
      <c r="CC641" s="582"/>
      <c r="CD641" s="582"/>
      <c r="CE641" s="582"/>
      <c r="CF641" s="582"/>
      <c r="CG641" s="582"/>
      <c r="CH641" s="16"/>
    </row>
    <row r="642" spans="2:86" ht="87.75" hidden="1" customHeight="1">
      <c r="B642" s="23"/>
      <c r="C642" s="1982"/>
      <c r="D642" s="1982"/>
      <c r="E642" s="1051">
        <v>44805</v>
      </c>
      <c r="F642" s="1871">
        <v>44719</v>
      </c>
      <c r="G642" s="1055">
        <v>44897</v>
      </c>
      <c r="H642" s="365">
        <v>44783</v>
      </c>
      <c r="I642" s="182">
        <v>2022</v>
      </c>
      <c r="J642" s="1678">
        <v>220.01</v>
      </c>
      <c r="K642" s="183" t="s">
        <v>77</v>
      </c>
      <c r="L642" s="191" t="s">
        <v>4394</v>
      </c>
      <c r="M642" s="185" t="s">
        <v>79</v>
      </c>
      <c r="N642" s="495" t="s">
        <v>4500</v>
      </c>
      <c r="O642" s="495" t="s">
        <v>4458</v>
      </c>
      <c r="P642" s="187">
        <v>627108.43000000005</v>
      </c>
      <c r="Q642" s="598">
        <v>44704</v>
      </c>
      <c r="R642" s="189">
        <v>44705</v>
      </c>
      <c r="S642" s="190">
        <v>44742</v>
      </c>
      <c r="T642" s="1148">
        <v>44704</v>
      </c>
      <c r="U642" s="739" t="s">
        <v>4499</v>
      </c>
      <c r="V642" s="716" t="s">
        <v>70</v>
      </c>
      <c r="W642" s="1285">
        <v>44698</v>
      </c>
      <c r="X642" s="1629" t="s">
        <v>5061</v>
      </c>
      <c r="Y642" s="266" t="s">
        <v>4575</v>
      </c>
      <c r="Z642" s="9">
        <v>44704</v>
      </c>
      <c r="AA642" s="4">
        <f>323656.01+174955.33+128498.09</f>
        <v>627109.42999999993</v>
      </c>
      <c r="AB642" s="4"/>
      <c r="AC642" s="34"/>
      <c r="AD642" s="1844" t="s">
        <v>68</v>
      </c>
      <c r="AE642" s="1845" t="s">
        <v>68</v>
      </c>
      <c r="AF642" s="1845" t="s">
        <v>68</v>
      </c>
      <c r="AG642" s="1846" t="s">
        <v>68</v>
      </c>
      <c r="AH642" s="444" t="s">
        <v>68</v>
      </c>
      <c r="AI642" s="266" t="s">
        <v>1011</v>
      </c>
      <c r="AJ642" s="267" t="s">
        <v>68</v>
      </c>
      <c r="AK642" s="60"/>
      <c r="AL642" s="426" t="s">
        <v>4576</v>
      </c>
      <c r="AM642" s="60">
        <v>44705</v>
      </c>
      <c r="AN642" s="426" t="s">
        <v>4577</v>
      </c>
      <c r="AO642" s="5">
        <v>44741</v>
      </c>
      <c r="AP642" s="306">
        <f>62710.84*2</f>
        <v>125421.68</v>
      </c>
      <c r="AQ642" s="1211">
        <v>0</v>
      </c>
      <c r="AR642" s="1032">
        <v>694906.61</v>
      </c>
      <c r="AS642" s="1027"/>
      <c r="AT642" s="68" t="s">
        <v>74</v>
      </c>
      <c r="AU642" s="12"/>
      <c r="AV642" s="243" t="s">
        <v>68</v>
      </c>
      <c r="AW642" s="54" t="s">
        <v>68</v>
      </c>
      <c r="AX642" s="359">
        <v>44741</v>
      </c>
      <c r="AY642" s="255">
        <v>44705</v>
      </c>
      <c r="AZ642" s="255">
        <v>44742</v>
      </c>
      <c r="BA642" s="245">
        <v>44740</v>
      </c>
      <c r="BB642" s="359">
        <v>44741</v>
      </c>
      <c r="BC642" s="1952" t="str">
        <f t="shared" si="21"/>
        <v>GMJ 007 C-OP/2022</v>
      </c>
      <c r="BD642" s="5">
        <v>44705</v>
      </c>
      <c r="BE642" s="5">
        <v>44742</v>
      </c>
      <c r="BF642" s="5">
        <v>44740</v>
      </c>
      <c r="BG642" s="38">
        <f>AQ642+AR642</f>
        <v>694906.61</v>
      </c>
      <c r="BH642" s="70">
        <v>44741</v>
      </c>
      <c r="BI642" s="359">
        <v>44705</v>
      </c>
      <c r="BJ642" s="793" t="s">
        <v>74</v>
      </c>
      <c r="BK642" s="76">
        <v>44704</v>
      </c>
      <c r="BL642" s="1480"/>
      <c r="BM642" s="1054">
        <v>44700</v>
      </c>
      <c r="BN642" s="1054">
        <v>44700</v>
      </c>
      <c r="BO642" s="1054">
        <v>44700</v>
      </c>
      <c r="BP642" s="1054">
        <v>44740</v>
      </c>
      <c r="BQ642" s="1054">
        <v>44741</v>
      </c>
      <c r="BR642" s="1993">
        <v>2</v>
      </c>
      <c r="BS642" s="1995">
        <v>0</v>
      </c>
      <c r="BT642" s="14"/>
      <c r="BU642" s="166"/>
      <c r="BV642" s="14"/>
      <c r="BW642" s="14"/>
      <c r="BX642" s="14"/>
      <c r="BY642" s="1433" t="s">
        <v>3989</v>
      </c>
      <c r="BZ642" s="40"/>
      <c r="CA642" s="582"/>
      <c r="CB642" s="582"/>
      <c r="CC642" s="582"/>
      <c r="CD642" s="582"/>
      <c r="CE642" s="582"/>
      <c r="CF642" s="582"/>
      <c r="CG642" s="582"/>
      <c r="CH642" s="16"/>
    </row>
    <row r="643" spans="2:86" ht="99.75" hidden="1" customHeight="1">
      <c r="B643" s="23"/>
      <c r="C643" s="1982"/>
      <c r="D643" s="1982"/>
      <c r="E643" s="1051">
        <v>44805</v>
      </c>
      <c r="F643" s="1871">
        <v>44802</v>
      </c>
      <c r="G643" s="1055">
        <v>45076</v>
      </c>
      <c r="H643" s="365">
        <v>44783</v>
      </c>
      <c r="I643" s="182">
        <v>2022</v>
      </c>
      <c r="J643" s="1678">
        <v>220.01</v>
      </c>
      <c r="K643" s="183" t="s">
        <v>77</v>
      </c>
      <c r="L643" s="191" t="s">
        <v>4395</v>
      </c>
      <c r="M643" s="185" t="s">
        <v>79</v>
      </c>
      <c r="N643" s="495" t="s">
        <v>4501</v>
      </c>
      <c r="O643" s="495" t="s">
        <v>4458</v>
      </c>
      <c r="P643" s="187">
        <v>168470.35</v>
      </c>
      <c r="Q643" s="598">
        <v>44707</v>
      </c>
      <c r="R643" s="189">
        <v>44711</v>
      </c>
      <c r="S643" s="190">
        <v>44722</v>
      </c>
      <c r="T643" s="1148">
        <v>44706</v>
      </c>
      <c r="U643" s="739" t="s">
        <v>3513</v>
      </c>
      <c r="V643" s="716" t="s">
        <v>70</v>
      </c>
      <c r="W643" s="1285">
        <v>44690</v>
      </c>
      <c r="X643" s="1629" t="s">
        <v>5061</v>
      </c>
      <c r="Y643" s="266" t="s">
        <v>4578</v>
      </c>
      <c r="Z643" s="9">
        <v>44704</v>
      </c>
      <c r="AA643" s="4">
        <f>94882.19+92961.59</f>
        <v>187843.78</v>
      </c>
      <c r="AB643" s="4"/>
      <c r="AC643" s="34"/>
      <c r="AD643" s="1844" t="s">
        <v>68</v>
      </c>
      <c r="AE643" s="1845" t="s">
        <v>68</v>
      </c>
      <c r="AF643" s="1845" t="s">
        <v>68</v>
      </c>
      <c r="AG643" s="1846" t="s">
        <v>68</v>
      </c>
      <c r="AH643" s="444" t="s">
        <v>68</v>
      </c>
      <c r="AI643" s="266" t="s">
        <v>855</v>
      </c>
      <c r="AJ643" s="267" t="s">
        <v>68</v>
      </c>
      <c r="AK643" s="60"/>
      <c r="AL643" s="267">
        <v>22043</v>
      </c>
      <c r="AM643" s="60">
        <v>44711</v>
      </c>
      <c r="AN643" s="267">
        <v>20044</v>
      </c>
      <c r="AO643" s="5">
        <v>44722</v>
      </c>
      <c r="AP643" s="306">
        <f>16847.03*2</f>
        <v>33694.06</v>
      </c>
      <c r="AQ643" s="1211">
        <v>0</v>
      </c>
      <c r="AR643" s="1032">
        <v>183498.77</v>
      </c>
      <c r="AS643" s="1027"/>
      <c r="AT643" s="359">
        <v>44711</v>
      </c>
      <c r="AU643" s="12">
        <v>44722</v>
      </c>
      <c r="AV643" s="243" t="s">
        <v>68</v>
      </c>
      <c r="AW643" s="54" t="s">
        <v>68</v>
      </c>
      <c r="AX643" s="359">
        <v>44722</v>
      </c>
      <c r="AY643" s="255">
        <v>44711</v>
      </c>
      <c r="AZ643" s="255">
        <v>44722</v>
      </c>
      <c r="BA643" s="245"/>
      <c r="BB643" s="359">
        <v>44725</v>
      </c>
      <c r="BC643" s="1952" t="str">
        <f t="shared" si="21"/>
        <v>GMJ 008 C-OP/2022</v>
      </c>
      <c r="BD643" s="5">
        <v>44711</v>
      </c>
      <c r="BE643" s="5">
        <v>44722</v>
      </c>
      <c r="BF643" s="5">
        <v>44722</v>
      </c>
      <c r="BG643" s="38">
        <f>73401.12+110097.64</f>
        <v>183498.76</v>
      </c>
      <c r="BH643" s="382">
        <v>44726</v>
      </c>
      <c r="BI643" s="359">
        <v>44708</v>
      </c>
      <c r="BJ643" s="360">
        <v>44711</v>
      </c>
      <c r="BK643" s="360">
        <v>44711</v>
      </c>
      <c r="BL643" s="1648"/>
      <c r="BM643" s="1282">
        <v>44711</v>
      </c>
      <c r="BN643" s="1282">
        <v>44711</v>
      </c>
      <c r="BO643" s="1054">
        <v>44720</v>
      </c>
      <c r="BP643" s="1282">
        <v>44720</v>
      </c>
      <c r="BQ643" s="1054">
        <v>44723</v>
      </c>
      <c r="BR643" s="1993">
        <v>2</v>
      </c>
      <c r="BS643" s="1995">
        <v>0</v>
      </c>
      <c r="BT643" s="14"/>
      <c r="BU643" s="166"/>
      <c r="BV643" s="14"/>
      <c r="BW643" s="14"/>
      <c r="BX643" s="14"/>
      <c r="BY643" s="1433" t="s">
        <v>3989</v>
      </c>
      <c r="BZ643" s="1994" t="s">
        <v>1143</v>
      </c>
      <c r="CA643" s="582"/>
      <c r="CB643" s="582"/>
      <c r="CC643" s="582"/>
      <c r="CD643" s="582"/>
      <c r="CE643" s="582"/>
      <c r="CF643" s="582"/>
      <c r="CG643" s="582"/>
      <c r="CH643" s="16"/>
    </row>
    <row r="644" spans="2:86" ht="87.75" hidden="1" customHeight="1">
      <c r="B644" s="23"/>
      <c r="C644" s="1982"/>
      <c r="D644" s="1982"/>
      <c r="E644" s="1051">
        <v>44805</v>
      </c>
      <c r="F644" s="1871">
        <v>44802</v>
      </c>
      <c r="G644" s="1055">
        <v>45075</v>
      </c>
      <c r="H644" s="365">
        <v>44816</v>
      </c>
      <c r="I644" s="182">
        <v>2022</v>
      </c>
      <c r="J644" s="1678">
        <v>220.01</v>
      </c>
      <c r="K644" s="183" t="s">
        <v>77</v>
      </c>
      <c r="L644" s="191" t="s">
        <v>4396</v>
      </c>
      <c r="M644" s="185" t="s">
        <v>79</v>
      </c>
      <c r="N644" s="495" t="s">
        <v>4503</v>
      </c>
      <c r="O644" s="495" t="s">
        <v>2574</v>
      </c>
      <c r="P644" s="187">
        <v>809084.8</v>
      </c>
      <c r="Q644" s="598">
        <v>44736</v>
      </c>
      <c r="R644" s="189">
        <v>44760</v>
      </c>
      <c r="S644" s="190">
        <v>44804</v>
      </c>
      <c r="T644" s="1148">
        <v>44789</v>
      </c>
      <c r="U644" s="739" t="s">
        <v>4502</v>
      </c>
      <c r="V644" s="716" t="s">
        <v>70</v>
      </c>
      <c r="W644" s="1285">
        <v>44788</v>
      </c>
      <c r="X644" s="1629" t="s">
        <v>4670</v>
      </c>
      <c r="Y644" s="266" t="s">
        <v>4579</v>
      </c>
      <c r="Z644" s="9">
        <v>44664</v>
      </c>
      <c r="AA644" s="4">
        <v>729486</v>
      </c>
      <c r="AB644" s="4"/>
      <c r="AC644" s="34"/>
      <c r="AD644" s="1844" t="s">
        <v>68</v>
      </c>
      <c r="AE644" s="1845" t="s">
        <v>68</v>
      </c>
      <c r="AF644" s="1845" t="s">
        <v>68</v>
      </c>
      <c r="AG644" s="1846" t="s">
        <v>68</v>
      </c>
      <c r="AH644" s="444" t="s">
        <v>68</v>
      </c>
      <c r="AI644" s="266" t="s">
        <v>3614</v>
      </c>
      <c r="AJ644" s="267" t="s">
        <v>68</v>
      </c>
      <c r="AK644" s="60"/>
      <c r="AL644" s="267">
        <v>2702065</v>
      </c>
      <c r="AM644" s="255">
        <v>44796</v>
      </c>
      <c r="AN644" s="139" t="s">
        <v>74</v>
      </c>
      <c r="AO644" s="5"/>
      <c r="AP644" s="306">
        <v>80908.479999999996</v>
      </c>
      <c r="AQ644" s="1211">
        <v>0</v>
      </c>
      <c r="AR644" s="1032">
        <v>817756.14</v>
      </c>
      <c r="AS644" s="1027"/>
      <c r="AT644" s="68" t="s">
        <v>74</v>
      </c>
      <c r="AU644" s="12"/>
      <c r="AV644" s="243" t="s">
        <v>68</v>
      </c>
      <c r="AW644" s="54" t="s">
        <v>68</v>
      </c>
      <c r="AX644" s="359">
        <v>44833</v>
      </c>
      <c r="AY644" s="255">
        <v>44795</v>
      </c>
      <c r="AZ644" s="255">
        <v>44833</v>
      </c>
      <c r="BA644" s="245">
        <v>44833</v>
      </c>
      <c r="BB644" s="68" t="s">
        <v>74</v>
      </c>
      <c r="BC644" s="1952" t="str">
        <f t="shared" si="21"/>
        <v>GMJ 009 C-OP/2022</v>
      </c>
      <c r="BD644" s="5"/>
      <c r="BE644" s="5"/>
      <c r="BF644" s="5"/>
      <c r="BG644" s="38"/>
      <c r="BH644" s="791" t="s">
        <v>74</v>
      </c>
      <c r="BI644" s="359">
        <v>44792</v>
      </c>
      <c r="BJ644" s="793" t="s">
        <v>74</v>
      </c>
      <c r="BK644" s="793" t="s">
        <v>74</v>
      </c>
      <c r="BL644" s="1648"/>
      <c r="BM644" s="1282">
        <v>44809</v>
      </c>
      <c r="BN644" s="1480" t="s">
        <v>74</v>
      </c>
      <c r="BO644" s="1054">
        <v>44818</v>
      </c>
      <c r="BP644" s="1282">
        <v>44833</v>
      </c>
      <c r="BQ644" s="1054">
        <v>44727</v>
      </c>
      <c r="BR644" s="1993">
        <v>0</v>
      </c>
      <c r="BS644" s="1995">
        <v>0</v>
      </c>
      <c r="BT644" s="14"/>
      <c r="BU644" s="166"/>
      <c r="BV644" s="14"/>
      <c r="BW644" s="14"/>
      <c r="BX644" s="14"/>
      <c r="BY644" s="1433" t="s">
        <v>3989</v>
      </c>
      <c r="BZ644" s="40"/>
      <c r="CA644" s="582"/>
      <c r="CB644" s="582"/>
      <c r="CC644" s="582"/>
      <c r="CD644" s="582"/>
      <c r="CE644" s="582"/>
      <c r="CF644" s="582"/>
      <c r="CG644" s="582"/>
      <c r="CH644" s="16"/>
    </row>
    <row r="645" spans="2:86" ht="102.75" hidden="1" customHeight="1">
      <c r="B645" s="23"/>
      <c r="C645" s="1983"/>
      <c r="D645" s="1987"/>
      <c r="E645" s="1051">
        <v>44805</v>
      </c>
      <c r="F645" s="1871">
        <v>44768</v>
      </c>
      <c r="G645" s="1055">
        <v>45085</v>
      </c>
      <c r="H645" s="365">
        <v>44902</v>
      </c>
      <c r="I645" s="182">
        <v>2022</v>
      </c>
      <c r="J645" s="1678">
        <v>220.01</v>
      </c>
      <c r="K645" s="183" t="s">
        <v>77</v>
      </c>
      <c r="L645" s="191" t="s">
        <v>4397</v>
      </c>
      <c r="M645" s="185" t="s">
        <v>79</v>
      </c>
      <c r="N645" s="495" t="s">
        <v>4524</v>
      </c>
      <c r="O645" s="495" t="s">
        <v>1979</v>
      </c>
      <c r="P645" s="187">
        <v>1697255.04</v>
      </c>
      <c r="Q645" s="598">
        <v>44763</v>
      </c>
      <c r="R645" s="189">
        <v>44767</v>
      </c>
      <c r="S645" s="190">
        <v>44814</v>
      </c>
      <c r="T645" s="1148">
        <v>44762</v>
      </c>
      <c r="U645" s="739" t="s">
        <v>739</v>
      </c>
      <c r="V645" s="716" t="s">
        <v>70</v>
      </c>
      <c r="W645" s="1285">
        <v>44757</v>
      </c>
      <c r="X645" s="1637"/>
      <c r="Y645" s="266" t="s">
        <v>4580</v>
      </c>
      <c r="Z645" s="9">
        <v>44704</v>
      </c>
      <c r="AA645" s="4">
        <v>1519708.04</v>
      </c>
      <c r="AB645" s="4"/>
      <c r="AC645" s="34"/>
      <c r="AD645" s="1844" t="s">
        <v>68</v>
      </c>
      <c r="AE645" s="1845" t="s">
        <v>68</v>
      </c>
      <c r="AF645" s="1845" t="s">
        <v>68</v>
      </c>
      <c r="AG645" s="1846" t="s">
        <v>68</v>
      </c>
      <c r="AH645" s="444" t="s">
        <v>68</v>
      </c>
      <c r="AI645" s="266" t="s">
        <v>4607</v>
      </c>
      <c r="AJ645" s="267">
        <v>2694556</v>
      </c>
      <c r="AK645" s="60">
        <v>44763</v>
      </c>
      <c r="AL645" s="267">
        <v>2694557</v>
      </c>
      <c r="AM645" s="60">
        <v>44763</v>
      </c>
      <c r="AN645" s="267">
        <v>2721155</v>
      </c>
      <c r="AO645" s="5">
        <v>44817</v>
      </c>
      <c r="AP645" s="306">
        <f>509176.51+169725.5+169725.5</f>
        <v>848627.51</v>
      </c>
      <c r="AQ645" s="1211">
        <v>0</v>
      </c>
      <c r="AR645" s="1032">
        <v>1697255.04</v>
      </c>
      <c r="AS645" s="1027"/>
      <c r="AT645" s="359">
        <v>44767</v>
      </c>
      <c r="AU645" s="12">
        <v>44798</v>
      </c>
      <c r="AV645" s="243" t="s">
        <v>68</v>
      </c>
      <c r="AW645" s="54" t="s">
        <v>68</v>
      </c>
      <c r="AX645" s="359">
        <v>44816</v>
      </c>
      <c r="AY645" s="255">
        <v>44767</v>
      </c>
      <c r="AZ645" s="255">
        <v>44814</v>
      </c>
      <c r="BA645" s="245">
        <v>44814</v>
      </c>
      <c r="BB645" s="359">
        <v>44818</v>
      </c>
      <c r="BC645" s="1952" t="str">
        <f t="shared" si="21"/>
        <v>GMJ 010 C-OP/2022</v>
      </c>
      <c r="BD645" s="5">
        <v>44767</v>
      </c>
      <c r="BE645" s="5">
        <v>44814</v>
      </c>
      <c r="BF645" s="5">
        <v>44814</v>
      </c>
      <c r="BG645" s="38">
        <f>1697255.04</f>
        <v>1697255.04</v>
      </c>
      <c r="BH645" s="382">
        <v>44818</v>
      </c>
      <c r="BI645" s="359">
        <v>44764</v>
      </c>
      <c r="BJ645" s="360">
        <v>44766</v>
      </c>
      <c r="BK645" s="76">
        <v>44766</v>
      </c>
      <c r="BL645" s="1648"/>
      <c r="BM645" s="1282">
        <v>44763</v>
      </c>
      <c r="BN645" s="1282">
        <v>44812</v>
      </c>
      <c r="BO645" s="1054">
        <v>44763</v>
      </c>
      <c r="BP645" s="1282">
        <v>44814</v>
      </c>
      <c r="BQ645" s="1054">
        <v>44907</v>
      </c>
      <c r="BR645" s="1993">
        <v>1</v>
      </c>
      <c r="BS645" s="1995">
        <v>0</v>
      </c>
      <c r="BT645" s="14"/>
      <c r="BU645" s="166"/>
      <c r="BV645" s="14"/>
      <c r="BW645" s="14"/>
      <c r="BX645" s="14"/>
      <c r="BY645" s="1433" t="s">
        <v>3989</v>
      </c>
      <c r="BZ645" s="40"/>
      <c r="CA645" s="582"/>
      <c r="CB645" s="582"/>
      <c r="CC645" s="582"/>
      <c r="CD645" s="582"/>
      <c r="CE645" s="582"/>
      <c r="CF645" s="582"/>
      <c r="CG645" s="582"/>
      <c r="CH645" s="16"/>
    </row>
    <row r="646" spans="2:86" ht="101.25" hidden="1" customHeight="1">
      <c r="B646" s="23"/>
      <c r="C646" s="1983">
        <v>45068</v>
      </c>
      <c r="D646" s="1987">
        <v>3</v>
      </c>
      <c r="E646" s="1051">
        <v>44805</v>
      </c>
      <c r="F646" s="1871">
        <v>44802</v>
      </c>
      <c r="G646" s="1055">
        <v>45078</v>
      </c>
      <c r="H646" s="365">
        <v>44902</v>
      </c>
      <c r="I646" s="182">
        <v>2022</v>
      </c>
      <c r="J646" s="1678">
        <v>220.01</v>
      </c>
      <c r="K646" s="183" t="s">
        <v>166</v>
      </c>
      <c r="L646" s="191" t="s">
        <v>4398</v>
      </c>
      <c r="M646" s="185" t="s">
        <v>79</v>
      </c>
      <c r="N646" s="495" t="s">
        <v>4533</v>
      </c>
      <c r="O646" s="495" t="s">
        <v>1979</v>
      </c>
      <c r="P646" s="187">
        <v>1343062.53</v>
      </c>
      <c r="Q646" s="598">
        <v>44767</v>
      </c>
      <c r="R646" s="189">
        <v>44770</v>
      </c>
      <c r="S646" s="190">
        <v>44814</v>
      </c>
      <c r="T646" s="1148">
        <v>44764</v>
      </c>
      <c r="U646" s="739" t="s">
        <v>739</v>
      </c>
      <c r="V646" s="716" t="s">
        <v>449</v>
      </c>
      <c r="W646" s="1285" t="s">
        <v>1431</v>
      </c>
      <c r="X646" s="1638" t="s">
        <v>5080</v>
      </c>
      <c r="Y646" s="266" t="s">
        <v>4581</v>
      </c>
      <c r="Z646" s="9">
        <v>44729</v>
      </c>
      <c r="AA646" s="4">
        <v>1053007.45</v>
      </c>
      <c r="AB646" s="4"/>
      <c r="AC646" s="34"/>
      <c r="AD646" s="1844" t="s">
        <v>68</v>
      </c>
      <c r="AE646" s="1845" t="s">
        <v>68</v>
      </c>
      <c r="AF646" s="1845" t="s">
        <v>68</v>
      </c>
      <c r="AG646" s="1846" t="s">
        <v>68</v>
      </c>
      <c r="AH646" s="444" t="s">
        <v>68</v>
      </c>
      <c r="AI646" s="266" t="s">
        <v>4241</v>
      </c>
      <c r="AJ646" s="267">
        <v>2694589</v>
      </c>
      <c r="AK646" s="60">
        <v>44770</v>
      </c>
      <c r="AL646" s="267">
        <v>2694591</v>
      </c>
      <c r="AM646" s="60">
        <v>44767</v>
      </c>
      <c r="AN646" s="267">
        <v>2721252</v>
      </c>
      <c r="AO646" s="5">
        <v>44802</v>
      </c>
      <c r="AP646" s="306">
        <f>402918.75+134306.25+134306.25</f>
        <v>671531.25</v>
      </c>
      <c r="AQ646" s="1211">
        <v>0</v>
      </c>
      <c r="AR646" s="1032">
        <v>1343062.54</v>
      </c>
      <c r="AS646" s="1027"/>
      <c r="AT646" s="359">
        <v>44769</v>
      </c>
      <c r="AU646" s="12">
        <v>44800</v>
      </c>
      <c r="AV646" s="243" t="s">
        <v>68</v>
      </c>
      <c r="AW646" s="54" t="s">
        <v>68</v>
      </c>
      <c r="AX646" s="359">
        <v>44802</v>
      </c>
      <c r="AY646" s="360">
        <v>44769</v>
      </c>
      <c r="AZ646" s="360">
        <v>44814</v>
      </c>
      <c r="BA646" s="1217">
        <v>44800</v>
      </c>
      <c r="BB646" s="359">
        <v>44802</v>
      </c>
      <c r="BC646" s="1953" t="str">
        <f t="shared" si="21"/>
        <v>GMJ 011 C-OP/2022</v>
      </c>
      <c r="BD646" s="5">
        <v>44769</v>
      </c>
      <c r="BE646" s="5">
        <v>44814</v>
      </c>
      <c r="BF646" s="5">
        <v>44831</v>
      </c>
      <c r="BG646" s="66">
        <f>AQ646+AR646-0.01</f>
        <v>1343062.53</v>
      </c>
      <c r="BH646" s="791" t="s">
        <v>74</v>
      </c>
      <c r="BI646" s="359">
        <v>44768</v>
      </c>
      <c r="BJ646" s="360">
        <v>44768</v>
      </c>
      <c r="BK646" s="360">
        <v>44768</v>
      </c>
      <c r="BL646" s="1648"/>
      <c r="BM646" s="1282">
        <v>44762</v>
      </c>
      <c r="BN646" s="1282">
        <v>44768</v>
      </c>
      <c r="BO646" s="1282">
        <v>44762</v>
      </c>
      <c r="BP646" s="1282">
        <v>44800</v>
      </c>
      <c r="BQ646" s="1282">
        <v>44802</v>
      </c>
      <c r="BR646" s="1993">
        <v>0</v>
      </c>
      <c r="BS646" s="1995">
        <v>0</v>
      </c>
      <c r="BT646" s="14"/>
      <c r="BU646" s="166"/>
      <c r="BV646" s="14"/>
      <c r="BW646" s="14"/>
      <c r="BX646" s="14"/>
      <c r="BY646" s="1433" t="s">
        <v>3989</v>
      </c>
      <c r="BZ646" s="40"/>
      <c r="CA646" s="582"/>
      <c r="CB646" s="582"/>
      <c r="CC646" s="582"/>
      <c r="CD646" s="582"/>
      <c r="CE646" s="582"/>
      <c r="CF646" s="582"/>
      <c r="CG646" s="582"/>
      <c r="CH646" s="16"/>
    </row>
    <row r="647" spans="2:86" ht="71.25" hidden="1" customHeight="1">
      <c r="B647" s="23"/>
      <c r="C647" s="1982"/>
      <c r="D647" s="1982"/>
      <c r="E647" s="1051">
        <v>45170</v>
      </c>
      <c r="F647" s="1051"/>
      <c r="G647" s="1055">
        <v>45076</v>
      </c>
      <c r="H647" s="365">
        <v>44902</v>
      </c>
      <c r="I647" s="182">
        <v>2022</v>
      </c>
      <c r="J647" s="1678">
        <v>220.01</v>
      </c>
      <c r="K647" s="183" t="s">
        <v>166</v>
      </c>
      <c r="L647" s="191" t="s">
        <v>4399</v>
      </c>
      <c r="M647" s="185" t="s">
        <v>79</v>
      </c>
      <c r="N647" s="495" t="s">
        <v>4539</v>
      </c>
      <c r="O647" s="495" t="s">
        <v>1979</v>
      </c>
      <c r="P647" s="187">
        <v>85733.34</v>
      </c>
      <c r="Q647" s="598">
        <v>44816</v>
      </c>
      <c r="R647" s="189">
        <v>44817</v>
      </c>
      <c r="S647" s="190">
        <v>44834</v>
      </c>
      <c r="T647" s="1148">
        <v>44813</v>
      </c>
      <c r="U647" s="739" t="s">
        <v>4499</v>
      </c>
      <c r="V647" s="1232" t="s">
        <v>449</v>
      </c>
      <c r="W647" s="1285" t="s">
        <v>1431</v>
      </c>
      <c r="X647" s="1638" t="s">
        <v>5080</v>
      </c>
      <c r="Y647" s="266" t="s">
        <v>4582</v>
      </c>
      <c r="Z647" s="9">
        <v>44813</v>
      </c>
      <c r="AA647" s="4">
        <v>85733.34</v>
      </c>
      <c r="AB647" s="4"/>
      <c r="AC647" s="34"/>
      <c r="AD647" s="1844" t="s">
        <v>68</v>
      </c>
      <c r="AE647" s="1845" t="s">
        <v>68</v>
      </c>
      <c r="AF647" s="1845" t="s">
        <v>68</v>
      </c>
      <c r="AG647" s="1846" t="s">
        <v>68</v>
      </c>
      <c r="AH647" s="444" t="s">
        <v>68</v>
      </c>
      <c r="AI647" s="280"/>
      <c r="AJ647" s="239"/>
      <c r="AK647" s="255"/>
      <c r="AL647" s="139" t="s">
        <v>74</v>
      </c>
      <c r="AM647" s="255"/>
      <c r="AN647" s="139" t="s">
        <v>74</v>
      </c>
      <c r="AO647" s="5"/>
      <c r="AP647" s="306">
        <v>0</v>
      </c>
      <c r="AQ647" s="1211">
        <v>0</v>
      </c>
      <c r="AR647" s="1040"/>
      <c r="AS647" s="1027"/>
      <c r="AT647" s="359">
        <v>44819</v>
      </c>
      <c r="AU647" s="12">
        <v>44828</v>
      </c>
      <c r="AV647" s="243" t="s">
        <v>68</v>
      </c>
      <c r="AW647" s="54" t="s">
        <v>68</v>
      </c>
      <c r="AX647" s="68" t="s">
        <v>74</v>
      </c>
      <c r="AY647" s="255"/>
      <c r="AZ647" s="255"/>
      <c r="BA647" s="245"/>
      <c r="BB647" s="68" t="s">
        <v>74</v>
      </c>
      <c r="BC647" s="1952" t="str">
        <f t="shared" si="21"/>
        <v>GMJ 012 C-OP/2022</v>
      </c>
      <c r="BD647" s="5"/>
      <c r="BE647" s="5"/>
      <c r="BF647" s="5"/>
      <c r="BG647" s="66">
        <f>AQ647+AR647</f>
        <v>0</v>
      </c>
      <c r="BH647" s="791" t="s">
        <v>74</v>
      </c>
      <c r="BI647" s="359">
        <v>44816</v>
      </c>
      <c r="BJ647" s="360">
        <v>44813</v>
      </c>
      <c r="BK647" s="360">
        <v>44816</v>
      </c>
      <c r="BL647" s="1480"/>
      <c r="BM647" s="1282">
        <v>44813</v>
      </c>
      <c r="BN647" s="1282">
        <v>44813</v>
      </c>
      <c r="BO647" s="1282">
        <v>44813</v>
      </c>
      <c r="BP647" s="1282">
        <v>44828</v>
      </c>
      <c r="BQ647" s="1282">
        <v>44830</v>
      </c>
      <c r="BR647" s="1993"/>
      <c r="BS647" s="1995"/>
      <c r="BT647" s="14"/>
      <c r="BU647" s="166"/>
      <c r="BV647" s="14"/>
      <c r="BW647" s="14"/>
      <c r="BX647" s="14"/>
      <c r="BY647" s="1433" t="s">
        <v>3989</v>
      </c>
      <c r="BZ647" s="40"/>
      <c r="CA647" s="582"/>
      <c r="CB647" s="582"/>
      <c r="CC647" s="582"/>
      <c r="CD647" s="582"/>
      <c r="CE647" s="582"/>
      <c r="CF647" s="582"/>
      <c r="CG647" s="582"/>
      <c r="CH647" s="16"/>
    </row>
    <row r="648" spans="2:86" ht="158.25" hidden="1" customHeight="1">
      <c r="B648" s="23"/>
      <c r="C648" s="1982"/>
      <c r="D648" s="1982"/>
      <c r="E648" s="1051">
        <v>45170</v>
      </c>
      <c r="F648" s="1051"/>
      <c r="G648" s="1055">
        <v>45076</v>
      </c>
      <c r="H648" s="365">
        <v>44904</v>
      </c>
      <c r="I648" s="182">
        <v>2022</v>
      </c>
      <c r="J648" s="1678">
        <v>220.01</v>
      </c>
      <c r="K648" s="183" t="s">
        <v>77</v>
      </c>
      <c r="L648" s="191" t="s">
        <v>4540</v>
      </c>
      <c r="M648" s="185" t="s">
        <v>3252</v>
      </c>
      <c r="N648" s="495" t="s">
        <v>4541</v>
      </c>
      <c r="O648" s="495" t="s">
        <v>1979</v>
      </c>
      <c r="P648" s="187">
        <v>4165845.27</v>
      </c>
      <c r="Q648" s="598">
        <v>44810</v>
      </c>
      <c r="R648" s="189">
        <v>44812</v>
      </c>
      <c r="S648" s="190">
        <v>44834</v>
      </c>
      <c r="T648" s="1148" t="s">
        <v>1431</v>
      </c>
      <c r="U648" s="739" t="s">
        <v>4542</v>
      </c>
      <c r="V648" s="716" t="s">
        <v>70</v>
      </c>
      <c r="W648" s="1997">
        <v>44805</v>
      </c>
      <c r="X648" s="1638" t="s">
        <v>5081</v>
      </c>
      <c r="Y648" s="266" t="s">
        <v>4608</v>
      </c>
      <c r="Z648" s="9">
        <v>44813</v>
      </c>
      <c r="AA648" s="4">
        <v>4164845.27</v>
      </c>
      <c r="AB648" s="4"/>
      <c r="AC648" s="34"/>
      <c r="AD648" s="1904">
        <v>44796</v>
      </c>
      <c r="AE648" s="1905">
        <v>44798</v>
      </c>
      <c r="AF648" s="1905">
        <v>44799</v>
      </c>
      <c r="AG648" s="1906">
        <v>44804</v>
      </c>
      <c r="AH648" s="1907">
        <v>44796</v>
      </c>
      <c r="AI648" s="266" t="s">
        <v>4609</v>
      </c>
      <c r="AJ648" s="267">
        <v>2180241</v>
      </c>
      <c r="AK648" s="60">
        <v>44810</v>
      </c>
      <c r="AL648" s="267">
        <v>2180237</v>
      </c>
      <c r="AM648" s="255">
        <v>44810</v>
      </c>
      <c r="AN648" s="267">
        <v>2193114</v>
      </c>
      <c r="AO648" s="5">
        <v>44848</v>
      </c>
      <c r="AP648" s="306">
        <f>1249753.58+416584.53+449151.07</f>
        <v>2115489.1800000002</v>
      </c>
      <c r="AQ648" s="1211">
        <v>0</v>
      </c>
      <c r="AR648" s="1038">
        <v>4491510.7300000004</v>
      </c>
      <c r="AS648" s="1027"/>
      <c r="AT648" s="359">
        <v>44812</v>
      </c>
      <c r="AU648" s="12">
        <v>44844</v>
      </c>
      <c r="AV648" s="243" t="s">
        <v>68</v>
      </c>
      <c r="AW648" s="54" t="s">
        <v>68</v>
      </c>
      <c r="AX648" s="359">
        <v>44848</v>
      </c>
      <c r="AY648" s="360">
        <v>44812</v>
      </c>
      <c r="AZ648" s="360">
        <v>44834</v>
      </c>
      <c r="BA648" s="1217">
        <v>44848</v>
      </c>
      <c r="BB648" s="359">
        <v>44848</v>
      </c>
      <c r="BC648" s="1964" t="s">
        <v>5082</v>
      </c>
      <c r="BD648" s="5">
        <v>44812</v>
      </c>
      <c r="BE648" s="5">
        <v>44834</v>
      </c>
      <c r="BF648" s="5">
        <v>44848</v>
      </c>
      <c r="BG648" s="66">
        <f>AQ648+AR648+0.01</f>
        <v>4491510.74</v>
      </c>
      <c r="BH648" s="382">
        <v>44848</v>
      </c>
      <c r="BI648" s="359">
        <v>44811</v>
      </c>
      <c r="BJ648" s="360">
        <v>44811</v>
      </c>
      <c r="BK648" s="360">
        <v>44811</v>
      </c>
      <c r="BL648" s="1648"/>
      <c r="BM648" s="1480" t="s">
        <v>74</v>
      </c>
      <c r="BN648" s="1282">
        <v>44804</v>
      </c>
      <c r="BO648" s="1054">
        <v>44804</v>
      </c>
      <c r="BP648" s="1282">
        <v>44848</v>
      </c>
      <c r="BQ648" s="1282">
        <v>44848</v>
      </c>
      <c r="BR648" s="1993">
        <v>2</v>
      </c>
      <c r="BS648" s="1995">
        <v>2</v>
      </c>
      <c r="BT648" s="14"/>
      <c r="BU648" s="166"/>
      <c r="BV648" s="14"/>
      <c r="BW648" s="14"/>
      <c r="BX648" s="14"/>
      <c r="BY648" s="1433" t="s">
        <v>3989</v>
      </c>
      <c r="BZ648" s="40"/>
      <c r="CA648" s="582"/>
      <c r="CB648" s="582"/>
      <c r="CC648" s="582"/>
      <c r="CD648" s="582"/>
      <c r="CE648" s="582"/>
      <c r="CF648" s="582"/>
      <c r="CG648" s="582"/>
      <c r="CH648" s="16"/>
    </row>
    <row r="649" spans="2:86" ht="118.5" hidden="1" customHeight="1">
      <c r="B649" s="23"/>
      <c r="C649" s="1982"/>
      <c r="D649" s="1982"/>
      <c r="E649" s="1051">
        <v>45170</v>
      </c>
      <c r="F649" s="1051"/>
      <c r="G649" s="1055">
        <v>45076</v>
      </c>
      <c r="H649" s="365">
        <v>45084</v>
      </c>
      <c r="I649" s="182">
        <v>2022</v>
      </c>
      <c r="J649" s="1678">
        <v>220.01</v>
      </c>
      <c r="K649" s="183" t="s">
        <v>77</v>
      </c>
      <c r="L649" s="191" t="s">
        <v>4572</v>
      </c>
      <c r="M649" s="185" t="s">
        <v>3252</v>
      </c>
      <c r="N649" s="495" t="s">
        <v>4569</v>
      </c>
      <c r="O649" s="495" t="s">
        <v>4458</v>
      </c>
      <c r="P649" s="187">
        <v>4216204.78</v>
      </c>
      <c r="Q649" s="598">
        <v>44839</v>
      </c>
      <c r="R649" s="189">
        <v>44847</v>
      </c>
      <c r="S649" s="190">
        <v>44895</v>
      </c>
      <c r="T649" s="1148" t="s">
        <v>1431</v>
      </c>
      <c r="U649" s="739" t="s">
        <v>225</v>
      </c>
      <c r="V649" s="716" t="s">
        <v>449</v>
      </c>
      <c r="W649" s="1285">
        <v>44841</v>
      </c>
      <c r="X649" s="1638" t="s">
        <v>5061</v>
      </c>
      <c r="Y649" s="266" t="s">
        <v>4583</v>
      </c>
      <c r="Z649" s="9">
        <v>44692</v>
      </c>
      <c r="AA649" s="4">
        <v>4500000</v>
      </c>
      <c r="AB649" s="4"/>
      <c r="AC649" s="34"/>
      <c r="AD649" s="1904">
        <v>44830</v>
      </c>
      <c r="AE649" s="1905">
        <v>44832</v>
      </c>
      <c r="AF649" s="1905">
        <v>44832</v>
      </c>
      <c r="AG649" s="1906">
        <v>44837</v>
      </c>
      <c r="AH649" s="1907">
        <v>44839</v>
      </c>
      <c r="AI649" s="266" t="s">
        <v>5083</v>
      </c>
      <c r="AJ649" s="267" t="s">
        <v>5084</v>
      </c>
      <c r="AK649" s="60">
        <v>44839</v>
      </c>
      <c r="AL649" s="267" t="s">
        <v>5085</v>
      </c>
      <c r="AM649" s="60">
        <v>44839</v>
      </c>
      <c r="AN649" s="267" t="s">
        <v>5086</v>
      </c>
      <c r="AO649" s="5">
        <v>44895</v>
      </c>
      <c r="AP649" s="306">
        <f>1264861.34+421620.47+542686.5</f>
        <v>2229168.31</v>
      </c>
      <c r="AQ649" s="1211">
        <v>0</v>
      </c>
      <c r="AR649" s="1038">
        <v>5426864.9299999997</v>
      </c>
      <c r="AS649" s="1027"/>
      <c r="AT649" s="359">
        <v>44861</v>
      </c>
      <c r="AU649" s="12">
        <v>44924</v>
      </c>
      <c r="AV649" s="243" t="s">
        <v>68</v>
      </c>
      <c r="AW649" s="54" t="s">
        <v>68</v>
      </c>
      <c r="AX649" s="75">
        <v>44925</v>
      </c>
      <c r="AY649" s="255">
        <v>44861</v>
      </c>
      <c r="AZ649" s="255">
        <v>44895</v>
      </c>
      <c r="BA649" s="559">
        <v>44925</v>
      </c>
      <c r="BB649" s="75">
        <v>44925</v>
      </c>
      <c r="BC649" s="1964" t="s">
        <v>5087</v>
      </c>
      <c r="BD649" s="5">
        <v>44861</v>
      </c>
      <c r="BE649" s="5">
        <v>44895</v>
      </c>
      <c r="BF649" s="521">
        <v>44925</v>
      </c>
      <c r="BG649" s="66">
        <f>AQ649+AR649+0.1</f>
        <v>5426865.0299999993</v>
      </c>
      <c r="BH649" s="1047">
        <v>44925</v>
      </c>
      <c r="BI649" s="75">
        <v>44844</v>
      </c>
      <c r="BJ649" s="76">
        <v>44860</v>
      </c>
      <c r="BK649" s="76">
        <v>44860</v>
      </c>
      <c r="BL649" s="1648"/>
      <c r="BM649" s="1054">
        <v>44860</v>
      </c>
      <c r="BN649" s="1054">
        <v>44860</v>
      </c>
      <c r="BO649" s="1054">
        <v>44860</v>
      </c>
      <c r="BP649" s="1054">
        <v>44924</v>
      </c>
      <c r="BQ649" s="1054">
        <v>44925</v>
      </c>
      <c r="BR649" s="1993">
        <v>5</v>
      </c>
      <c r="BS649" s="1995">
        <v>0</v>
      </c>
      <c r="BT649" s="14"/>
      <c r="BU649" s="166"/>
      <c r="BV649" s="14"/>
      <c r="BW649" s="14"/>
      <c r="BX649" s="14"/>
      <c r="BY649" s="1433" t="s">
        <v>3989</v>
      </c>
      <c r="BZ649" s="40"/>
      <c r="CA649" s="582"/>
      <c r="CB649" s="582"/>
      <c r="CC649" s="582"/>
      <c r="CD649" s="582"/>
      <c r="CE649" s="582"/>
      <c r="CF649" s="582"/>
      <c r="CG649" s="582"/>
      <c r="CH649" s="16"/>
    </row>
    <row r="650" spans="2:86" ht="101.25" hidden="1" customHeight="1">
      <c r="B650" s="23"/>
      <c r="C650" s="1983">
        <v>45068</v>
      </c>
      <c r="D650" s="1987">
        <v>4</v>
      </c>
      <c r="E650" s="1051">
        <v>45170</v>
      </c>
      <c r="F650" s="1051"/>
      <c r="G650" s="1055">
        <v>45071</v>
      </c>
      <c r="H650" s="365">
        <v>45084</v>
      </c>
      <c r="I650" s="182">
        <v>2022</v>
      </c>
      <c r="J650" s="1678">
        <v>220.01</v>
      </c>
      <c r="K650" s="183" t="s">
        <v>166</v>
      </c>
      <c r="L650" s="191" t="s">
        <v>4573</v>
      </c>
      <c r="M650" s="185" t="s">
        <v>3252</v>
      </c>
      <c r="N650" s="495" t="s">
        <v>4568</v>
      </c>
      <c r="O650" s="495" t="s">
        <v>2574</v>
      </c>
      <c r="P650" s="187">
        <v>3845696.93</v>
      </c>
      <c r="Q650" s="598">
        <v>44839</v>
      </c>
      <c r="R650" s="189">
        <v>44847</v>
      </c>
      <c r="S650" s="190">
        <v>44895</v>
      </c>
      <c r="T650" s="1148" t="s">
        <v>1431</v>
      </c>
      <c r="U650" s="739" t="s">
        <v>2890</v>
      </c>
      <c r="V650" s="716" t="s">
        <v>449</v>
      </c>
      <c r="W650" s="740" t="s">
        <v>1431</v>
      </c>
      <c r="X650" s="1637"/>
      <c r="Y650" s="180" t="s">
        <v>4584</v>
      </c>
      <c r="Z650" s="9">
        <v>44862</v>
      </c>
      <c r="AA650" s="4">
        <v>3845696.93</v>
      </c>
      <c r="AB650" s="4"/>
      <c r="AC650" s="34"/>
      <c r="AD650" s="1904">
        <v>44830</v>
      </c>
      <c r="AE650" s="193">
        <v>44832</v>
      </c>
      <c r="AF650" s="193">
        <v>44832</v>
      </c>
      <c r="AG650" s="1906">
        <v>44837</v>
      </c>
      <c r="AH650" s="1907">
        <v>44839</v>
      </c>
      <c r="AI650" s="180" t="s">
        <v>5088</v>
      </c>
      <c r="AJ650" s="71">
        <v>224657</v>
      </c>
      <c r="AK650" s="255">
        <v>44847</v>
      </c>
      <c r="AL650" s="71">
        <v>224658</v>
      </c>
      <c r="AM650" s="255">
        <v>44847</v>
      </c>
      <c r="AN650" s="71">
        <v>224659</v>
      </c>
      <c r="AO650" s="255">
        <v>44895</v>
      </c>
      <c r="AP650" s="601">
        <f>1153709.08+384569.69+384569.69</f>
        <v>1922848.46</v>
      </c>
      <c r="AQ650" s="1211">
        <v>0</v>
      </c>
      <c r="AR650" s="1040"/>
      <c r="AS650" s="1027"/>
      <c r="AT650" s="75">
        <v>44847</v>
      </c>
      <c r="AU650" s="12">
        <v>44912</v>
      </c>
      <c r="AV650" s="243" t="s">
        <v>68</v>
      </c>
      <c r="AW650" s="54" t="s">
        <v>68</v>
      </c>
      <c r="AX650" s="75">
        <v>44922</v>
      </c>
      <c r="AY650" s="76">
        <v>44847</v>
      </c>
      <c r="AZ650" s="76">
        <v>44926</v>
      </c>
      <c r="BA650" s="134"/>
      <c r="BB650" s="75">
        <v>44923</v>
      </c>
      <c r="BC650" s="1952" t="str">
        <f t="shared" si="21"/>
        <v>PROGRAMA CUENTA CORRIENTE-OP-CSS-015/2022</v>
      </c>
      <c r="BD650" s="5">
        <v>44847</v>
      </c>
      <c r="BE650" s="5">
        <v>44885</v>
      </c>
      <c r="BF650" s="5">
        <v>44921</v>
      </c>
      <c r="BG650" s="72">
        <v>4054886.62</v>
      </c>
      <c r="BH650" s="70">
        <v>44924</v>
      </c>
      <c r="BI650" s="75">
        <v>44844</v>
      </c>
      <c r="BJ650" s="76">
        <v>44846</v>
      </c>
      <c r="BK650" s="76">
        <v>44846</v>
      </c>
      <c r="BL650" s="1648"/>
      <c r="BM650" s="1054">
        <v>44846</v>
      </c>
      <c r="BN650" s="1054">
        <v>44846</v>
      </c>
      <c r="BO650" s="1054">
        <v>44846</v>
      </c>
      <c r="BP650" s="1054">
        <v>44914</v>
      </c>
      <c r="BQ650" s="1648"/>
      <c r="BR650" s="1993">
        <v>1</v>
      </c>
      <c r="BS650" s="1995">
        <v>0</v>
      </c>
      <c r="BT650" s="14"/>
      <c r="BU650" s="166"/>
      <c r="BV650" s="14"/>
      <c r="BW650" s="14"/>
      <c r="BX650" s="14"/>
      <c r="BY650" s="1433" t="s">
        <v>3989</v>
      </c>
      <c r="BZ650" s="40"/>
      <c r="CA650" s="582"/>
      <c r="CB650" s="582"/>
      <c r="CC650" s="582"/>
      <c r="CD650" s="582"/>
      <c r="CE650" s="582"/>
      <c r="CF650" s="582"/>
      <c r="CG650" s="582"/>
      <c r="CH650" s="16"/>
    </row>
    <row r="651" spans="2:86" ht="99.75" hidden="1" customHeight="1">
      <c r="B651" s="23"/>
      <c r="C651" s="1982"/>
      <c r="D651" s="1982"/>
      <c r="E651" s="1051">
        <v>44805</v>
      </c>
      <c r="F651" s="1051"/>
      <c r="G651" s="1055">
        <v>45070</v>
      </c>
      <c r="H651" s="365">
        <v>44902</v>
      </c>
      <c r="I651" s="182">
        <v>2022</v>
      </c>
      <c r="J651" s="1678">
        <v>220.01</v>
      </c>
      <c r="K651" s="183" t="s">
        <v>77</v>
      </c>
      <c r="L651" s="191" t="s">
        <v>4400</v>
      </c>
      <c r="M651" s="185" t="s">
        <v>79</v>
      </c>
      <c r="N651" s="495" t="s">
        <v>4563</v>
      </c>
      <c r="O651" s="495" t="s">
        <v>2613</v>
      </c>
      <c r="P651" s="187">
        <v>645484.5</v>
      </c>
      <c r="Q651" s="598">
        <v>44851</v>
      </c>
      <c r="R651" s="189">
        <v>44865</v>
      </c>
      <c r="S651" s="190">
        <v>44883</v>
      </c>
      <c r="T651" s="1148">
        <v>44848</v>
      </c>
      <c r="U651" s="739" t="s">
        <v>2888</v>
      </c>
      <c r="V651" s="1232" t="s">
        <v>70</v>
      </c>
      <c r="W651" s="740">
        <v>44823</v>
      </c>
      <c r="X651" s="1629" t="s">
        <v>5089</v>
      </c>
      <c r="Y651" s="180" t="s">
        <v>4585</v>
      </c>
      <c r="Z651" s="9">
        <v>44847</v>
      </c>
      <c r="AA651" s="4">
        <v>645484.5</v>
      </c>
      <c r="AB651" s="4"/>
      <c r="AC651" s="34"/>
      <c r="AD651" s="1844" t="s">
        <v>68</v>
      </c>
      <c r="AE651" s="1845" t="s">
        <v>68</v>
      </c>
      <c r="AF651" s="1845" t="s">
        <v>68</v>
      </c>
      <c r="AG651" s="1846" t="s">
        <v>68</v>
      </c>
      <c r="AH651" s="444" t="s">
        <v>68</v>
      </c>
      <c r="AI651" s="491" t="s">
        <v>3596</v>
      </c>
      <c r="AJ651" s="135" t="s">
        <v>4610</v>
      </c>
      <c r="AK651" s="76">
        <v>44868</v>
      </c>
      <c r="AL651" s="135" t="s">
        <v>4611</v>
      </c>
      <c r="AM651" s="76">
        <v>44865</v>
      </c>
      <c r="AN651" s="135" t="s">
        <v>5047</v>
      </c>
      <c r="AO651" s="5">
        <v>44886</v>
      </c>
      <c r="AP651" s="306">
        <f>193645.35+64548.45+87841.72</f>
        <v>346035.52</v>
      </c>
      <c r="AQ651" s="1211">
        <v>0</v>
      </c>
      <c r="AR651" s="1032">
        <v>721865.14</v>
      </c>
      <c r="AS651" s="1027"/>
      <c r="AT651" s="68" t="s">
        <v>74</v>
      </c>
      <c r="AU651" s="12"/>
      <c r="AV651" s="243" t="s">
        <v>68</v>
      </c>
      <c r="AW651" s="54" t="s">
        <v>68</v>
      </c>
      <c r="AX651" s="75">
        <v>44886</v>
      </c>
      <c r="AY651" s="76">
        <v>44865</v>
      </c>
      <c r="AZ651" s="76">
        <v>44883</v>
      </c>
      <c r="BA651" s="134">
        <v>44883</v>
      </c>
      <c r="BB651" s="75">
        <v>44891</v>
      </c>
      <c r="BC651" s="1952" t="str">
        <f t="shared" si="21"/>
        <v>GMJ 016 C-OP/2022</v>
      </c>
      <c r="BD651" s="76">
        <v>44865</v>
      </c>
      <c r="BE651" s="76">
        <v>44883</v>
      </c>
      <c r="BF651" s="76">
        <v>44883</v>
      </c>
      <c r="BG651" s="136">
        <v>721865.15</v>
      </c>
      <c r="BH651" s="70">
        <v>44891</v>
      </c>
      <c r="BI651" s="75">
        <v>44855</v>
      </c>
      <c r="BJ651" s="76">
        <v>44865</v>
      </c>
      <c r="BK651" s="76">
        <v>44865</v>
      </c>
      <c r="BL651" s="1648"/>
      <c r="BM651" s="1054">
        <v>44865</v>
      </c>
      <c r="BN651" s="1054">
        <v>44865</v>
      </c>
      <c r="BO651" s="1054">
        <v>44865</v>
      </c>
      <c r="BP651" s="1054">
        <v>44883</v>
      </c>
      <c r="BQ651" s="1054">
        <v>44890</v>
      </c>
      <c r="BR651" s="1993">
        <v>3</v>
      </c>
      <c r="BS651" s="1995">
        <v>0</v>
      </c>
      <c r="BT651" s="14"/>
      <c r="BU651" s="166"/>
      <c r="BV651" s="14"/>
      <c r="BW651" s="14"/>
      <c r="BX651" s="14"/>
      <c r="BY651" s="1433" t="s">
        <v>3989</v>
      </c>
      <c r="BZ651" s="40"/>
      <c r="CA651" s="582"/>
      <c r="CB651" s="582"/>
      <c r="CC651" s="582"/>
      <c r="CD651" s="582"/>
      <c r="CE651" s="582"/>
      <c r="CF651" s="582"/>
      <c r="CG651" s="582"/>
      <c r="CH651" s="16"/>
    </row>
    <row r="652" spans="2:86" ht="101.25" hidden="1" customHeight="1">
      <c r="B652" s="23"/>
      <c r="C652" s="1982"/>
      <c r="D652" s="1982"/>
      <c r="E652" s="1051">
        <v>45170</v>
      </c>
      <c r="F652" s="1051"/>
      <c r="G652" s="1055">
        <v>45075</v>
      </c>
      <c r="H652" s="365">
        <v>45084</v>
      </c>
      <c r="I652" s="182">
        <v>2022</v>
      </c>
      <c r="J652" s="1678">
        <v>220.01</v>
      </c>
      <c r="K652" s="183" t="s">
        <v>77</v>
      </c>
      <c r="L652" s="191" t="s">
        <v>4570</v>
      </c>
      <c r="M652" s="185" t="s">
        <v>3252</v>
      </c>
      <c r="N652" s="495" t="s">
        <v>4564</v>
      </c>
      <c r="O652" s="495" t="s">
        <v>1979</v>
      </c>
      <c r="P652" s="187">
        <v>2479806.63</v>
      </c>
      <c r="Q652" s="598">
        <v>44859</v>
      </c>
      <c r="R652" s="189">
        <v>44862</v>
      </c>
      <c r="S652" s="190">
        <v>44898</v>
      </c>
      <c r="T652" s="1148" t="s">
        <v>1431</v>
      </c>
      <c r="U652" s="739" t="s">
        <v>4565</v>
      </c>
      <c r="V652" s="1232" t="s">
        <v>70</v>
      </c>
      <c r="W652" s="740">
        <v>44855</v>
      </c>
      <c r="X652" s="1629" t="s">
        <v>5089</v>
      </c>
      <c r="Y652" s="180" t="s">
        <v>4586</v>
      </c>
      <c r="Z652" s="9">
        <v>44847</v>
      </c>
      <c r="AA652" s="4">
        <v>2410639.29</v>
      </c>
      <c r="AB652" s="4"/>
      <c r="AC652" s="34"/>
      <c r="AD652" s="1904">
        <v>44848</v>
      </c>
      <c r="AE652" s="1905">
        <v>44851</v>
      </c>
      <c r="AF652" s="1905">
        <v>44851</v>
      </c>
      <c r="AG652" s="1906">
        <v>44855</v>
      </c>
      <c r="AH652" s="1907">
        <v>44858</v>
      </c>
      <c r="AI652" s="180" t="s">
        <v>5090</v>
      </c>
      <c r="AJ652" s="202" t="s">
        <v>5091</v>
      </c>
      <c r="AK652" s="1512">
        <v>44860</v>
      </c>
      <c r="AL652" s="202" t="s">
        <v>5092</v>
      </c>
      <c r="AM652" s="255">
        <v>44860</v>
      </c>
      <c r="AN652" s="139" t="s">
        <v>74</v>
      </c>
      <c r="AO652" s="5"/>
      <c r="AP652" s="306">
        <f>743941.99+247980.66</f>
        <v>991922.65</v>
      </c>
      <c r="AQ652" s="1211">
        <v>0</v>
      </c>
      <c r="AR652" s="1032">
        <v>2386238.9700000002</v>
      </c>
      <c r="AS652" s="1027"/>
      <c r="AT652" s="68" t="s">
        <v>74</v>
      </c>
      <c r="AU652" s="12"/>
      <c r="AV652" s="243" t="s">
        <v>68</v>
      </c>
      <c r="AW652" s="54" t="s">
        <v>68</v>
      </c>
      <c r="AX652" s="75">
        <v>44900</v>
      </c>
      <c r="AY652" s="255">
        <v>44862</v>
      </c>
      <c r="AZ652" s="255">
        <v>44898</v>
      </c>
      <c r="BA652" s="245">
        <v>44898</v>
      </c>
      <c r="BB652" s="75">
        <v>44901</v>
      </c>
      <c r="BC652" s="1952" t="str">
        <f>L652</f>
        <v>FAIS-RAMO/33-OP-CSS-017/2022</v>
      </c>
      <c r="BD652" s="5">
        <v>44862</v>
      </c>
      <c r="BE652" s="5">
        <v>44898</v>
      </c>
      <c r="BF652" s="5">
        <v>44898</v>
      </c>
      <c r="BG652" s="66">
        <f>AQ652+AR652+0.03</f>
        <v>2386239</v>
      </c>
      <c r="BH652" s="70">
        <v>44901</v>
      </c>
      <c r="BI652" s="75">
        <v>44859</v>
      </c>
      <c r="BJ652" s="76">
        <v>44861</v>
      </c>
      <c r="BK652" s="76">
        <v>44861</v>
      </c>
      <c r="BL652" s="1648"/>
      <c r="BM652" s="1054">
        <v>44861</v>
      </c>
      <c r="BN652" s="1054">
        <v>44861</v>
      </c>
      <c r="BO652" s="1054">
        <v>44861</v>
      </c>
      <c r="BP652" s="1054">
        <v>44839</v>
      </c>
      <c r="BQ652" s="1480" t="s">
        <v>74</v>
      </c>
      <c r="BR652" s="1993">
        <v>0</v>
      </c>
      <c r="BS652" s="1995">
        <v>0</v>
      </c>
      <c r="BT652" s="14"/>
      <c r="BU652" s="166"/>
      <c r="BV652" s="14"/>
      <c r="BW652" s="14"/>
      <c r="BX652" s="14"/>
      <c r="BY652" s="1433" t="s">
        <v>3989</v>
      </c>
      <c r="BZ652" s="40"/>
      <c r="CA652" s="582"/>
      <c r="CB652" s="582"/>
      <c r="CC652" s="582"/>
      <c r="CD652" s="582"/>
      <c r="CE652" s="582"/>
      <c r="CF652" s="582"/>
      <c r="CG652" s="582"/>
      <c r="CH652" s="16"/>
    </row>
    <row r="653" spans="2:86" ht="141" hidden="1" customHeight="1">
      <c r="B653" s="23"/>
      <c r="C653" s="1982"/>
      <c r="D653" s="1982"/>
      <c r="E653" s="1051">
        <v>45170</v>
      </c>
      <c r="F653" s="1051"/>
      <c r="G653" s="1055">
        <v>45065</v>
      </c>
      <c r="H653" s="365">
        <v>44904</v>
      </c>
      <c r="I653" s="182">
        <v>2022</v>
      </c>
      <c r="J653" s="1678">
        <v>220.01</v>
      </c>
      <c r="K653" s="183" t="s">
        <v>77</v>
      </c>
      <c r="L653" s="191" t="s">
        <v>4571</v>
      </c>
      <c r="M653" s="185" t="s">
        <v>3252</v>
      </c>
      <c r="N653" s="495" t="s">
        <v>4566</v>
      </c>
      <c r="O653" s="495" t="s">
        <v>1979</v>
      </c>
      <c r="P653" s="187">
        <v>2218847.77</v>
      </c>
      <c r="Q653" s="598">
        <v>44859</v>
      </c>
      <c r="R653" s="189">
        <v>44862</v>
      </c>
      <c r="S653" s="190">
        <v>44898</v>
      </c>
      <c r="T653" s="1148" t="s">
        <v>1431</v>
      </c>
      <c r="U653" s="739" t="s">
        <v>4567</v>
      </c>
      <c r="V653" s="716" t="s">
        <v>70</v>
      </c>
      <c r="W653" s="1998">
        <v>44858</v>
      </c>
      <c r="X653" s="1629" t="s">
        <v>5048</v>
      </c>
      <c r="Y653" s="180" t="s">
        <v>4587</v>
      </c>
      <c r="Z653" s="9">
        <v>44847</v>
      </c>
      <c r="AA653" s="4">
        <v>2365630.4500000002</v>
      </c>
      <c r="AB653" s="4"/>
      <c r="AC653" s="34"/>
      <c r="AD653" s="812">
        <v>44848</v>
      </c>
      <c r="AE653" s="1905">
        <v>44851</v>
      </c>
      <c r="AF653" s="1905">
        <v>44851</v>
      </c>
      <c r="AG653" s="1906">
        <v>44855</v>
      </c>
      <c r="AH653" s="1907">
        <v>44858</v>
      </c>
      <c r="AI653" s="491" t="s">
        <v>4607</v>
      </c>
      <c r="AJ653" s="135">
        <v>2725985</v>
      </c>
      <c r="AK653" s="76">
        <v>44862</v>
      </c>
      <c r="AL653" s="135">
        <v>2725364</v>
      </c>
      <c r="AM653" s="255">
        <v>44862</v>
      </c>
      <c r="AN653" s="71">
        <v>2744209</v>
      </c>
      <c r="AO653" s="5">
        <v>44910</v>
      </c>
      <c r="AP653" s="306">
        <f>665654.33+221884.77+173300.46</f>
        <v>1060839.56</v>
      </c>
      <c r="AQ653" s="1211">
        <v>0</v>
      </c>
      <c r="AR653" s="1032">
        <v>2402556.7200000002</v>
      </c>
      <c r="AS653" s="1027"/>
      <c r="AT653" s="68" t="s">
        <v>74</v>
      </c>
      <c r="AU653" s="12"/>
      <c r="AV653" s="243" t="s">
        <v>68</v>
      </c>
      <c r="AW653" s="54" t="s">
        <v>68</v>
      </c>
      <c r="AX653" s="271">
        <v>44895</v>
      </c>
      <c r="AY653" s="255">
        <v>44862</v>
      </c>
      <c r="AZ653" s="255">
        <v>44898</v>
      </c>
      <c r="BA653" s="245">
        <v>44898</v>
      </c>
      <c r="BB653" s="271">
        <v>44895</v>
      </c>
      <c r="BC653" s="1952" t="str">
        <f>L653</f>
        <v>FAIS-RAMO/33-OP-CSS-018/2022</v>
      </c>
      <c r="BD653" s="5">
        <v>44862</v>
      </c>
      <c r="BE653" s="5">
        <v>44898</v>
      </c>
      <c r="BF653" s="5">
        <v>44898</v>
      </c>
      <c r="BG653" s="72">
        <f>AQ653+AR653</f>
        <v>2402556.7200000002</v>
      </c>
      <c r="BH653" s="1992">
        <v>44896</v>
      </c>
      <c r="BI653" s="75">
        <v>44859</v>
      </c>
      <c r="BJ653" s="76">
        <v>44862</v>
      </c>
      <c r="BK653" s="76">
        <v>44862</v>
      </c>
      <c r="BL653" s="1648"/>
      <c r="BM653" s="1480" t="s">
        <v>74</v>
      </c>
      <c r="BN653" s="1480" t="s">
        <v>74</v>
      </c>
      <c r="BO653" s="1480" t="s">
        <v>74</v>
      </c>
      <c r="BP653" s="1054">
        <v>44894</v>
      </c>
      <c r="BQ653" s="1480" t="s">
        <v>74</v>
      </c>
      <c r="BR653" s="1993">
        <v>0</v>
      </c>
      <c r="BS653" s="1995">
        <v>0</v>
      </c>
      <c r="BT653" s="14"/>
      <c r="BU653" s="166"/>
      <c r="BV653" s="14"/>
      <c r="BW653" s="14"/>
      <c r="BX653" s="14"/>
      <c r="BY653" s="1433" t="s">
        <v>3989</v>
      </c>
      <c r="BZ653" s="40"/>
      <c r="CA653" s="582"/>
      <c r="CB653" s="582"/>
      <c r="CC653" s="582"/>
      <c r="CD653" s="582"/>
      <c r="CE653" s="582"/>
      <c r="CF653" s="582"/>
      <c r="CG653" s="582"/>
      <c r="CH653" s="16"/>
    </row>
    <row r="654" spans="2:86" ht="87.75" hidden="1" customHeight="1">
      <c r="B654" s="23"/>
      <c r="C654" s="1982"/>
      <c r="D654" s="1982"/>
      <c r="E654" s="1051">
        <v>45170</v>
      </c>
      <c r="F654" s="1051"/>
      <c r="G654" s="1055">
        <v>45076</v>
      </c>
      <c r="H654" s="365">
        <v>45084</v>
      </c>
      <c r="I654" s="182">
        <v>2022</v>
      </c>
      <c r="J654" s="1678">
        <v>220.01</v>
      </c>
      <c r="K654" s="183" t="s">
        <v>77</v>
      </c>
      <c r="L654" s="191" t="s">
        <v>4401</v>
      </c>
      <c r="M654" s="185" t="s">
        <v>79</v>
      </c>
      <c r="N654" s="494" t="s">
        <v>4574</v>
      </c>
      <c r="O654" s="494" t="s">
        <v>4458</v>
      </c>
      <c r="P654" s="187">
        <v>762057.5</v>
      </c>
      <c r="Q654" s="657">
        <v>44872</v>
      </c>
      <c r="R654" s="189">
        <v>44889</v>
      </c>
      <c r="S654" s="190">
        <v>44900</v>
      </c>
      <c r="T654" s="578">
        <v>44869</v>
      </c>
      <c r="U654" s="739" t="s">
        <v>4499</v>
      </c>
      <c r="V654" s="716" t="s">
        <v>70</v>
      </c>
      <c r="W654" s="740">
        <v>44841</v>
      </c>
      <c r="X654" s="1629" t="s">
        <v>5061</v>
      </c>
      <c r="Y654" s="180" t="s">
        <v>4588</v>
      </c>
      <c r="Z654" s="9">
        <v>44847</v>
      </c>
      <c r="AA654" s="4">
        <v>1358473.54</v>
      </c>
      <c r="AB654" s="4"/>
      <c r="AC654" s="34"/>
      <c r="AD654" s="1844" t="s">
        <v>68</v>
      </c>
      <c r="AE654" s="1845" t="s">
        <v>68</v>
      </c>
      <c r="AF654" s="1845" t="s">
        <v>68</v>
      </c>
      <c r="AG654" s="1846" t="s">
        <v>68</v>
      </c>
      <c r="AH654" s="444" t="s">
        <v>68</v>
      </c>
      <c r="AI654" s="180" t="s">
        <v>1342</v>
      </c>
      <c r="AJ654" s="202" t="s">
        <v>5093</v>
      </c>
      <c r="AK654" s="1512">
        <v>44887</v>
      </c>
      <c r="AL654" s="202" t="s">
        <v>5094</v>
      </c>
      <c r="AM654" s="1512">
        <v>44887</v>
      </c>
      <c r="AN654" s="202" t="s">
        <v>5095</v>
      </c>
      <c r="AO654" s="5">
        <v>44887</v>
      </c>
      <c r="AP654" s="306">
        <f>228617.25+76205.75+76205.75</f>
        <v>381028.75</v>
      </c>
      <c r="AQ654" s="1211">
        <v>0</v>
      </c>
      <c r="AR654" s="1032">
        <v>745412.8</v>
      </c>
      <c r="AS654" s="1027"/>
      <c r="AT654" s="68" t="s">
        <v>74</v>
      </c>
      <c r="AU654" s="12"/>
      <c r="AV654" s="243" t="s">
        <v>68</v>
      </c>
      <c r="AW654" s="54" t="s">
        <v>68</v>
      </c>
      <c r="AX654" s="75">
        <v>44902</v>
      </c>
      <c r="AY654" s="76">
        <v>44889</v>
      </c>
      <c r="AZ654" s="76">
        <v>44900</v>
      </c>
      <c r="BA654" s="134">
        <v>44900</v>
      </c>
      <c r="BB654" s="75">
        <v>44902</v>
      </c>
      <c r="BC654" s="1964" t="s">
        <v>5096</v>
      </c>
      <c r="BD654" s="5">
        <v>44889</v>
      </c>
      <c r="BE654" s="5">
        <v>44900</v>
      </c>
      <c r="BF654" s="5">
        <v>44900</v>
      </c>
      <c r="BG654" s="66">
        <f>AQ654+AR654-0.2</f>
        <v>745412.60000000009</v>
      </c>
      <c r="BH654" s="70">
        <v>44902</v>
      </c>
      <c r="BI654" s="75">
        <v>44874</v>
      </c>
      <c r="BJ654" s="76">
        <v>44889</v>
      </c>
      <c r="BK654" s="76">
        <v>44889</v>
      </c>
      <c r="BL654" s="1648"/>
      <c r="BM654" s="1054">
        <v>44869</v>
      </c>
      <c r="BN654" s="1054">
        <v>44869</v>
      </c>
      <c r="BO654" s="1054">
        <v>44869</v>
      </c>
      <c r="BP654" s="1054">
        <v>44900</v>
      </c>
      <c r="BQ654" s="1480" t="s">
        <v>74</v>
      </c>
      <c r="BR654" s="1993">
        <v>0</v>
      </c>
      <c r="BS654" s="1995">
        <v>0</v>
      </c>
      <c r="BT654" s="14"/>
      <c r="BU654" s="166"/>
      <c r="BV654" s="14"/>
      <c r="BW654" s="14"/>
      <c r="BX654" s="14"/>
      <c r="BY654" s="1433" t="s">
        <v>3989</v>
      </c>
      <c r="BZ654" s="40"/>
      <c r="CA654" s="582"/>
      <c r="CB654" s="582"/>
      <c r="CC654" s="582"/>
      <c r="CD654" s="582"/>
      <c r="CE654" s="582"/>
      <c r="CF654" s="582"/>
      <c r="CG654" s="582"/>
      <c r="CH654" s="16"/>
    </row>
    <row r="655" spans="2:86" s="110" customFormat="1" ht="87.75" hidden="1" customHeight="1">
      <c r="B655" s="87"/>
      <c r="C655" s="1984"/>
      <c r="D655" s="1984"/>
      <c r="E655" s="1161"/>
      <c r="F655" s="1161"/>
      <c r="G655" s="130"/>
      <c r="H655" s="700"/>
      <c r="I655" s="1162">
        <v>2022</v>
      </c>
      <c r="J655" s="1678">
        <v>220.01</v>
      </c>
      <c r="K655" s="701"/>
      <c r="L655" s="706" t="s">
        <v>4402</v>
      </c>
      <c r="M655" s="747" t="s">
        <v>251</v>
      </c>
      <c r="N655" s="748"/>
      <c r="O655" s="748"/>
      <c r="P655" s="702"/>
      <c r="Q655" s="703"/>
      <c r="R655" s="704"/>
      <c r="S655" s="705"/>
      <c r="T655" s="408"/>
      <c r="U655" s="706"/>
      <c r="V655" s="701"/>
      <c r="W655" s="611"/>
      <c r="X655" s="1615"/>
      <c r="Y655" s="96"/>
      <c r="Z655" s="98"/>
      <c r="AA655" s="92"/>
      <c r="AB655" s="92"/>
      <c r="AC655" s="99"/>
      <c r="AD655" s="100"/>
      <c r="AE655" s="120"/>
      <c r="AF655" s="120"/>
      <c r="AG655" s="101"/>
      <c r="AH655" s="117"/>
      <c r="AI655" s="96"/>
      <c r="AJ655" s="102"/>
      <c r="AK655" s="94"/>
      <c r="AL655" s="102"/>
      <c r="AM655" s="94"/>
      <c r="AN655" s="102"/>
      <c r="AO655" s="94"/>
      <c r="AP655" s="311">
        <v>0</v>
      </c>
      <c r="AQ655" s="104">
        <v>0</v>
      </c>
      <c r="AR655" s="1036"/>
      <c r="AS655" s="1023"/>
      <c r="AT655" s="728" t="s">
        <v>74</v>
      </c>
      <c r="AU655" s="95"/>
      <c r="AV655" s="374" t="s">
        <v>68</v>
      </c>
      <c r="AW655" s="107" t="s">
        <v>68</v>
      </c>
      <c r="AX655" s="728" t="s">
        <v>74</v>
      </c>
      <c r="AY655" s="94"/>
      <c r="AZ655" s="94"/>
      <c r="BA655" s="95"/>
      <c r="BB655" s="728" t="s">
        <v>74</v>
      </c>
      <c r="BC655" s="1965"/>
      <c r="BD655" s="94"/>
      <c r="BE655" s="94"/>
      <c r="BF655" s="94"/>
      <c r="BG655" s="105"/>
      <c r="BH655" s="2052" t="s">
        <v>74</v>
      </c>
      <c r="BI655" s="2053"/>
      <c r="BJ655" s="2054"/>
      <c r="BK655" s="2054"/>
      <c r="BL655" s="2055"/>
      <c r="BM655" s="2055"/>
      <c r="BN655" s="2055"/>
      <c r="BO655" s="2055"/>
      <c r="BP655" s="2055"/>
      <c r="BQ655" s="2055"/>
      <c r="BR655" s="2055"/>
      <c r="BS655" s="2056"/>
      <c r="BT655" s="108"/>
      <c r="BU655" s="956"/>
      <c r="BV655" s="108"/>
      <c r="BW655" s="108"/>
      <c r="BX655" s="108"/>
      <c r="BY655" s="1660" t="s">
        <v>3989</v>
      </c>
      <c r="BZ655" s="985"/>
      <c r="CA655" s="583"/>
      <c r="CB655" s="583"/>
      <c r="CC655" s="583"/>
      <c r="CD655" s="583"/>
      <c r="CE655" s="583"/>
      <c r="CF655" s="583"/>
      <c r="CG655" s="583"/>
      <c r="CH655" s="707"/>
    </row>
    <row r="656" spans="2:86" ht="91.5" hidden="1" customHeight="1">
      <c r="B656" s="23"/>
      <c r="C656" s="1982"/>
      <c r="D656" s="1982"/>
      <c r="E656" s="1051"/>
      <c r="F656" s="1051"/>
      <c r="G656" s="1055"/>
      <c r="H656" s="365"/>
      <c r="I656" s="182">
        <v>2022</v>
      </c>
      <c r="J656" s="1678"/>
      <c r="K656" s="183" t="s">
        <v>4924</v>
      </c>
      <c r="L656" s="191" t="s">
        <v>4925</v>
      </c>
      <c r="M656" s="185" t="s">
        <v>4892</v>
      </c>
      <c r="N656" s="186" t="s">
        <v>4927</v>
      </c>
      <c r="O656" s="186" t="s">
        <v>1979</v>
      </c>
      <c r="P656" s="187">
        <v>4000000</v>
      </c>
      <c r="Q656" s="188">
        <v>44848</v>
      </c>
      <c r="R656" s="189">
        <v>45213</v>
      </c>
      <c r="S656" s="190">
        <v>45565</v>
      </c>
      <c r="T656" s="111" t="s">
        <v>1431</v>
      </c>
      <c r="U656" s="191" t="s">
        <v>68</v>
      </c>
      <c r="V656" s="183" t="s">
        <v>68</v>
      </c>
      <c r="W656" s="220" t="s">
        <v>68</v>
      </c>
      <c r="X656" s="406" t="s">
        <v>68</v>
      </c>
      <c r="Y656" s="35"/>
      <c r="Z656" s="9"/>
      <c r="AA656" s="4"/>
      <c r="AB656" s="4"/>
      <c r="AC656" s="34"/>
      <c r="AD656" s="36" t="s">
        <v>68</v>
      </c>
      <c r="AE656" s="119" t="s">
        <v>68</v>
      </c>
      <c r="AF656" s="119" t="s">
        <v>68</v>
      </c>
      <c r="AG656" s="7" t="s">
        <v>68</v>
      </c>
      <c r="AH656" s="116" t="s">
        <v>68</v>
      </c>
      <c r="AI656" s="35" t="s">
        <v>68</v>
      </c>
      <c r="AJ656" s="1" t="s">
        <v>68</v>
      </c>
      <c r="AK656" s="5"/>
      <c r="AL656" s="1" t="s">
        <v>68</v>
      </c>
      <c r="AM656" s="5"/>
      <c r="AN656" s="1" t="s">
        <v>68</v>
      </c>
      <c r="AO656" s="5"/>
      <c r="AP656" s="306"/>
      <c r="AQ656" s="37">
        <v>0</v>
      </c>
      <c r="AR656" s="1031">
        <v>0</v>
      </c>
      <c r="AS656" s="1018">
        <v>0</v>
      </c>
      <c r="AT656" s="32" t="s">
        <v>68</v>
      </c>
      <c r="AU656" s="12" t="s">
        <v>68</v>
      </c>
      <c r="AV656" s="243" t="s">
        <v>68</v>
      </c>
      <c r="AW656" s="54" t="s">
        <v>68</v>
      </c>
      <c r="AX656" s="32" t="s">
        <v>68</v>
      </c>
      <c r="AY656" s="5"/>
      <c r="AZ656" s="5"/>
      <c r="BA656" s="12"/>
      <c r="BB656" s="32" t="s">
        <v>68</v>
      </c>
      <c r="BC656" s="341" t="s">
        <v>68</v>
      </c>
      <c r="BD656" s="5"/>
      <c r="BE656" s="5"/>
      <c r="BF656" s="5"/>
      <c r="BG656" s="38"/>
      <c r="BH656" s="14" t="s">
        <v>68</v>
      </c>
      <c r="BI656" s="1053" t="s">
        <v>68</v>
      </c>
      <c r="BJ656" s="1052" t="s">
        <v>68</v>
      </c>
      <c r="BK656" s="1052" t="s">
        <v>68</v>
      </c>
      <c r="BL656" s="1649" t="s">
        <v>68</v>
      </c>
      <c r="BM656" s="1649" t="s">
        <v>68</v>
      </c>
      <c r="BN656" s="1649" t="s">
        <v>68</v>
      </c>
      <c r="BO656" s="1649" t="s">
        <v>68</v>
      </c>
      <c r="BP656" s="1649" t="s">
        <v>68</v>
      </c>
      <c r="BQ656" s="1649" t="s">
        <v>68</v>
      </c>
      <c r="BR656" s="1649" t="s">
        <v>68</v>
      </c>
      <c r="BS656" s="1053" t="s">
        <v>68</v>
      </c>
      <c r="BT656" s="14"/>
      <c r="BU656" s="23"/>
      <c r="BV656" s="23"/>
      <c r="BW656" s="23"/>
      <c r="BX656" s="23"/>
      <c r="BY656" s="1433" t="s">
        <v>3989</v>
      </c>
      <c r="BZ656" s="987"/>
      <c r="CA656" s="582"/>
      <c r="CB656" s="582"/>
      <c r="CC656" s="582"/>
      <c r="CD656" s="582"/>
      <c r="CE656" s="582"/>
      <c r="CF656" s="582"/>
      <c r="CG656" s="582"/>
      <c r="CH656" s="16"/>
    </row>
    <row r="657" spans="2:86" ht="87" hidden="1" customHeight="1">
      <c r="B657" s="23"/>
      <c r="C657" s="1982"/>
      <c r="D657" s="1982"/>
      <c r="E657" s="1051"/>
      <c r="F657" s="1051"/>
      <c r="G657" s="1055"/>
      <c r="H657" s="365"/>
      <c r="I657" s="182">
        <v>2022</v>
      </c>
      <c r="J657" s="1678"/>
      <c r="K657" s="183" t="s">
        <v>4924</v>
      </c>
      <c r="L657" s="191" t="s">
        <v>4926</v>
      </c>
      <c r="M657" s="185" t="s">
        <v>4892</v>
      </c>
      <c r="N657" s="186" t="s">
        <v>4928</v>
      </c>
      <c r="O657" s="186" t="s">
        <v>4877</v>
      </c>
      <c r="P657" s="187">
        <v>4000000</v>
      </c>
      <c r="Q657" s="188">
        <v>44848</v>
      </c>
      <c r="R657" s="189">
        <v>44848</v>
      </c>
      <c r="S657" s="190">
        <v>45565</v>
      </c>
      <c r="T657" s="111" t="s">
        <v>1431</v>
      </c>
      <c r="U657" s="191" t="s">
        <v>68</v>
      </c>
      <c r="V657" s="183" t="s">
        <v>68</v>
      </c>
      <c r="W657" s="220" t="s">
        <v>68</v>
      </c>
      <c r="X657" s="406" t="s">
        <v>68</v>
      </c>
      <c r="Y657" s="35"/>
      <c r="Z657" s="9"/>
      <c r="AA657" s="4"/>
      <c r="AB657" s="4"/>
      <c r="AC657" s="34"/>
      <c r="AD657" s="36" t="s">
        <v>68</v>
      </c>
      <c r="AE657" s="119" t="s">
        <v>68</v>
      </c>
      <c r="AF657" s="119" t="s">
        <v>68</v>
      </c>
      <c r="AG657" s="7" t="s">
        <v>68</v>
      </c>
      <c r="AH657" s="116" t="s">
        <v>68</v>
      </c>
      <c r="AI657" s="35" t="s">
        <v>68</v>
      </c>
      <c r="AJ657" s="1" t="s">
        <v>68</v>
      </c>
      <c r="AK657" s="5"/>
      <c r="AL657" s="1" t="s">
        <v>68</v>
      </c>
      <c r="AM657" s="5"/>
      <c r="AN657" s="1" t="s">
        <v>68</v>
      </c>
      <c r="AO657" s="5"/>
      <c r="AP657" s="306"/>
      <c r="AQ657" s="37">
        <v>0</v>
      </c>
      <c r="AR657" s="1031">
        <v>0</v>
      </c>
      <c r="AS657" s="1018">
        <v>0</v>
      </c>
      <c r="AT657" s="32" t="s">
        <v>68</v>
      </c>
      <c r="AU657" s="12" t="s">
        <v>68</v>
      </c>
      <c r="AV657" s="243" t="s">
        <v>68</v>
      </c>
      <c r="AW657" s="54" t="s">
        <v>68</v>
      </c>
      <c r="AX657" s="32" t="s">
        <v>68</v>
      </c>
      <c r="AY657" s="5"/>
      <c r="AZ657" s="5"/>
      <c r="BA657" s="12"/>
      <c r="BB657" s="32" t="s">
        <v>68</v>
      </c>
      <c r="BC657" s="341" t="s">
        <v>68</v>
      </c>
      <c r="BD657" s="5"/>
      <c r="BE657" s="5"/>
      <c r="BF657" s="5"/>
      <c r="BG657" s="38"/>
      <c r="BH657" s="14" t="s">
        <v>68</v>
      </c>
      <c r="BI657" s="1053" t="s">
        <v>68</v>
      </c>
      <c r="BJ657" s="1052" t="s">
        <v>68</v>
      </c>
      <c r="BK657" s="1052" t="s">
        <v>68</v>
      </c>
      <c r="BL657" s="1649" t="s">
        <v>68</v>
      </c>
      <c r="BM657" s="1649" t="s">
        <v>68</v>
      </c>
      <c r="BN657" s="1649" t="s">
        <v>68</v>
      </c>
      <c r="BO657" s="1649" t="s">
        <v>68</v>
      </c>
      <c r="BP657" s="1649" t="s">
        <v>68</v>
      </c>
      <c r="BQ657" s="1649" t="s">
        <v>68</v>
      </c>
      <c r="BR657" s="1649" t="s">
        <v>68</v>
      </c>
      <c r="BS657" s="1053" t="s">
        <v>68</v>
      </c>
      <c r="BT657" s="14"/>
      <c r="BU657" s="23"/>
      <c r="BV657" s="23"/>
      <c r="BW657" s="23"/>
      <c r="BX657" s="23"/>
      <c r="BY657" s="1433" t="s">
        <v>3989</v>
      </c>
      <c r="BZ657" s="987"/>
      <c r="CA657" s="582"/>
      <c r="CB657" s="582"/>
      <c r="CC657" s="582"/>
      <c r="CD657" s="582"/>
      <c r="CE657" s="582"/>
      <c r="CF657" s="582"/>
      <c r="CG657" s="582"/>
      <c r="CH657" s="16"/>
    </row>
    <row r="658" spans="2:86" ht="63" hidden="1" customHeight="1">
      <c r="B658" s="23"/>
      <c r="C658" s="23"/>
      <c r="D658" s="23"/>
      <c r="E658" s="1051"/>
      <c r="F658" s="1051"/>
      <c r="G658" s="1055"/>
      <c r="H658" s="365">
        <v>45302</v>
      </c>
      <c r="I658" s="182">
        <v>2023</v>
      </c>
      <c r="J658" s="1678"/>
      <c r="K658" s="183" t="s">
        <v>867</v>
      </c>
      <c r="L658" s="191" t="s">
        <v>5801</v>
      </c>
      <c r="M658" s="185" t="s">
        <v>4892</v>
      </c>
      <c r="N658" s="186" t="s">
        <v>5802</v>
      </c>
      <c r="O658" s="186" t="s">
        <v>4458</v>
      </c>
      <c r="P658" s="187">
        <v>5000000</v>
      </c>
      <c r="Q658" s="188">
        <v>45086</v>
      </c>
      <c r="R658" s="189">
        <v>45086</v>
      </c>
      <c r="S658" s="190">
        <v>45291</v>
      </c>
      <c r="T658" s="111" t="s">
        <v>1431</v>
      </c>
      <c r="U658" s="191"/>
      <c r="V658" s="183"/>
      <c r="W658" s="220" t="s">
        <v>68</v>
      </c>
      <c r="X658" s="406" t="s">
        <v>68</v>
      </c>
      <c r="Y658" s="35"/>
      <c r="Z658" s="9"/>
      <c r="AA658" s="4"/>
      <c r="AB658" s="4"/>
      <c r="AC658" s="34"/>
      <c r="AD658" s="36" t="s">
        <v>68</v>
      </c>
      <c r="AE658" s="119" t="s">
        <v>68</v>
      </c>
      <c r="AF658" s="119" t="s">
        <v>68</v>
      </c>
      <c r="AG658" s="7" t="s">
        <v>68</v>
      </c>
      <c r="AH658" s="116" t="s">
        <v>68</v>
      </c>
      <c r="AI658" s="35" t="s">
        <v>68</v>
      </c>
      <c r="AJ658" s="1" t="s">
        <v>68</v>
      </c>
      <c r="AK658" s="5"/>
      <c r="AL658" s="1" t="s">
        <v>68</v>
      </c>
      <c r="AM658" s="5"/>
      <c r="AN658" s="1" t="s">
        <v>68</v>
      </c>
      <c r="AO658" s="5"/>
      <c r="AP658" s="306"/>
      <c r="AQ658" s="37">
        <v>0</v>
      </c>
      <c r="AR658" s="1031">
        <v>0</v>
      </c>
      <c r="AS658" s="1018">
        <v>0</v>
      </c>
      <c r="AT658" s="32" t="s">
        <v>68</v>
      </c>
      <c r="AU658" s="12" t="s">
        <v>68</v>
      </c>
      <c r="AV658" s="243" t="s">
        <v>68</v>
      </c>
      <c r="AW658" s="54" t="s">
        <v>68</v>
      </c>
      <c r="AX658" s="32" t="s">
        <v>68</v>
      </c>
      <c r="AY658" s="5"/>
      <c r="AZ658" s="5"/>
      <c r="BA658" s="12"/>
      <c r="BB658" s="32" t="s">
        <v>68</v>
      </c>
      <c r="BC658" s="341" t="s">
        <v>68</v>
      </c>
      <c r="BD658" s="5"/>
      <c r="BE658" s="5"/>
      <c r="BF658" s="5"/>
      <c r="BG658" s="38"/>
      <c r="BH658" s="14" t="s">
        <v>68</v>
      </c>
      <c r="BI658" s="1053" t="s">
        <v>68</v>
      </c>
      <c r="BJ658" s="1052" t="s">
        <v>68</v>
      </c>
      <c r="BK658" s="1052" t="s">
        <v>68</v>
      </c>
      <c r="BL658" s="1649" t="s">
        <v>68</v>
      </c>
      <c r="BM658" s="1649" t="s">
        <v>68</v>
      </c>
      <c r="BN658" s="1649" t="s">
        <v>68</v>
      </c>
      <c r="BO658" s="1649" t="s">
        <v>68</v>
      </c>
      <c r="BP658" s="1649" t="s">
        <v>68</v>
      </c>
      <c r="BQ658" s="1649" t="s">
        <v>68</v>
      </c>
      <c r="BR658" s="1649" t="s">
        <v>68</v>
      </c>
      <c r="BS658" s="1053" t="s">
        <v>68</v>
      </c>
      <c r="BT658" s="14"/>
      <c r="BU658" s="23"/>
      <c r="BV658" s="23"/>
      <c r="BW658" s="23"/>
      <c r="BX658" s="23"/>
      <c r="BY658" s="1433" t="s">
        <v>3989</v>
      </c>
      <c r="BZ658" s="987"/>
      <c r="CA658" s="582"/>
      <c r="CB658" s="582"/>
      <c r="CC658" s="582"/>
      <c r="CD658" s="582"/>
      <c r="CE658" s="582"/>
      <c r="CF658" s="582"/>
      <c r="CG658" s="582"/>
      <c r="CH658" s="16"/>
    </row>
    <row r="659" spans="2:86" ht="72.75" hidden="1" customHeight="1">
      <c r="B659" s="23"/>
      <c r="C659" s="23"/>
      <c r="D659" s="23"/>
      <c r="E659" s="1051"/>
      <c r="F659" s="1051"/>
      <c r="G659" s="1055"/>
      <c r="H659" s="365"/>
      <c r="I659" s="182">
        <v>2023</v>
      </c>
      <c r="J659" s="1678"/>
      <c r="K659" s="183" t="s">
        <v>4924</v>
      </c>
      <c r="L659" s="191" t="s">
        <v>5803</v>
      </c>
      <c r="M659" s="185" t="s">
        <v>4892</v>
      </c>
      <c r="N659" s="186" t="s">
        <v>5804</v>
      </c>
      <c r="O659" s="186" t="s">
        <v>4458</v>
      </c>
      <c r="P659" s="187">
        <v>4000000</v>
      </c>
      <c r="Q659" s="188">
        <v>45153</v>
      </c>
      <c r="R659" s="189">
        <v>45153</v>
      </c>
      <c r="S659" s="190">
        <v>45565</v>
      </c>
      <c r="T659" s="111" t="s">
        <v>1431</v>
      </c>
      <c r="U659" s="191"/>
      <c r="V659" s="183"/>
      <c r="W659" s="220" t="s">
        <v>68</v>
      </c>
      <c r="X659" s="406" t="s">
        <v>68</v>
      </c>
      <c r="Y659" s="35"/>
      <c r="Z659" s="9"/>
      <c r="AA659" s="4"/>
      <c r="AB659" s="4"/>
      <c r="AC659" s="34"/>
      <c r="AD659" s="36" t="s">
        <v>68</v>
      </c>
      <c r="AE659" s="119" t="s">
        <v>68</v>
      </c>
      <c r="AF659" s="119" t="s">
        <v>68</v>
      </c>
      <c r="AG659" s="7" t="s">
        <v>68</v>
      </c>
      <c r="AH659" s="116" t="s">
        <v>68</v>
      </c>
      <c r="AI659" s="35" t="s">
        <v>68</v>
      </c>
      <c r="AJ659" s="1" t="s">
        <v>68</v>
      </c>
      <c r="AK659" s="5"/>
      <c r="AL659" s="1" t="s">
        <v>68</v>
      </c>
      <c r="AM659" s="5"/>
      <c r="AN659" s="1" t="s">
        <v>68</v>
      </c>
      <c r="AO659" s="5"/>
      <c r="AP659" s="306"/>
      <c r="AQ659" s="37">
        <v>0</v>
      </c>
      <c r="AR659" s="1031">
        <v>0</v>
      </c>
      <c r="AS659" s="1018">
        <v>0</v>
      </c>
      <c r="AT659" s="32" t="s">
        <v>68</v>
      </c>
      <c r="AU659" s="12" t="s">
        <v>68</v>
      </c>
      <c r="AV659" s="243" t="s">
        <v>68</v>
      </c>
      <c r="AW659" s="54" t="s">
        <v>68</v>
      </c>
      <c r="AX659" s="32" t="s">
        <v>68</v>
      </c>
      <c r="AY659" s="5"/>
      <c r="AZ659" s="5"/>
      <c r="BA659" s="12"/>
      <c r="BB659" s="32" t="s">
        <v>68</v>
      </c>
      <c r="BC659" s="341" t="s">
        <v>68</v>
      </c>
      <c r="BD659" s="5"/>
      <c r="BE659" s="5"/>
      <c r="BF659" s="5"/>
      <c r="BG659" s="38"/>
      <c r="BH659" s="14" t="s">
        <v>68</v>
      </c>
      <c r="BI659" s="1053" t="s">
        <v>68</v>
      </c>
      <c r="BJ659" s="1052" t="s">
        <v>68</v>
      </c>
      <c r="BK659" s="1052" t="s">
        <v>68</v>
      </c>
      <c r="BL659" s="1649" t="s">
        <v>68</v>
      </c>
      <c r="BM659" s="1649" t="s">
        <v>68</v>
      </c>
      <c r="BN659" s="1649" t="s">
        <v>68</v>
      </c>
      <c r="BO659" s="1649" t="s">
        <v>68</v>
      </c>
      <c r="BP659" s="1649" t="s">
        <v>68</v>
      </c>
      <c r="BQ659" s="1649" t="s">
        <v>68</v>
      </c>
      <c r="BR659" s="1649" t="s">
        <v>68</v>
      </c>
      <c r="BS659" s="1053" t="s">
        <v>68</v>
      </c>
      <c r="BT659" s="14"/>
      <c r="BU659" s="23"/>
      <c r="BV659" s="23"/>
      <c r="BW659" s="23"/>
      <c r="BX659" s="23"/>
      <c r="BY659" s="1433" t="s">
        <v>3989</v>
      </c>
      <c r="BZ659" s="987"/>
      <c r="CA659" s="582"/>
      <c r="CB659" s="582"/>
      <c r="CC659" s="582"/>
      <c r="CD659" s="582"/>
      <c r="CE659" s="582"/>
      <c r="CF659" s="582"/>
      <c r="CG659" s="582"/>
      <c r="CH659" s="16"/>
    </row>
    <row r="660" spans="2:86" ht="75.75" hidden="1" customHeight="1">
      <c r="B660" s="23"/>
      <c r="C660" s="23"/>
      <c r="D660" s="23"/>
      <c r="E660" s="1051"/>
      <c r="F660" s="1051"/>
      <c r="G660" s="1055"/>
      <c r="H660" s="365"/>
      <c r="I660" s="182">
        <v>2023</v>
      </c>
      <c r="J660" s="1678"/>
      <c r="K660" s="183" t="s">
        <v>4924</v>
      </c>
      <c r="L660" s="191" t="s">
        <v>5805</v>
      </c>
      <c r="M660" s="185" t="s">
        <v>4892</v>
      </c>
      <c r="N660" s="186" t="s">
        <v>5806</v>
      </c>
      <c r="O660" s="186" t="s">
        <v>1979</v>
      </c>
      <c r="P660" s="187">
        <v>4000000</v>
      </c>
      <c r="Q660" s="188">
        <v>45153</v>
      </c>
      <c r="R660" s="189">
        <v>45153</v>
      </c>
      <c r="S660" s="190">
        <v>45565</v>
      </c>
      <c r="T660" s="111" t="s">
        <v>1431</v>
      </c>
      <c r="U660" s="191"/>
      <c r="V660" s="183"/>
      <c r="W660" s="220" t="s">
        <v>68</v>
      </c>
      <c r="X660" s="406" t="s">
        <v>68</v>
      </c>
      <c r="Y660" s="35"/>
      <c r="Z660" s="9"/>
      <c r="AA660" s="4"/>
      <c r="AB660" s="4"/>
      <c r="AC660" s="34"/>
      <c r="AD660" s="36" t="s">
        <v>68</v>
      </c>
      <c r="AE660" s="119" t="s">
        <v>68</v>
      </c>
      <c r="AF660" s="119" t="s">
        <v>68</v>
      </c>
      <c r="AG660" s="7" t="s">
        <v>68</v>
      </c>
      <c r="AH660" s="116" t="s">
        <v>68</v>
      </c>
      <c r="AI660" s="35" t="s">
        <v>68</v>
      </c>
      <c r="AJ660" s="1" t="s">
        <v>68</v>
      </c>
      <c r="AK660" s="5"/>
      <c r="AL660" s="1" t="s">
        <v>68</v>
      </c>
      <c r="AM660" s="5"/>
      <c r="AN660" s="1" t="s">
        <v>68</v>
      </c>
      <c r="AO660" s="5"/>
      <c r="AP660" s="306"/>
      <c r="AQ660" s="37">
        <v>0</v>
      </c>
      <c r="AR660" s="1031">
        <v>0</v>
      </c>
      <c r="AS660" s="1018">
        <v>0</v>
      </c>
      <c r="AT660" s="32" t="s">
        <v>68</v>
      </c>
      <c r="AU660" s="12" t="s">
        <v>68</v>
      </c>
      <c r="AV660" s="243" t="s">
        <v>68</v>
      </c>
      <c r="AW660" s="54" t="s">
        <v>68</v>
      </c>
      <c r="AX660" s="32" t="s">
        <v>68</v>
      </c>
      <c r="AY660" s="5"/>
      <c r="AZ660" s="5"/>
      <c r="BA660" s="12"/>
      <c r="BB660" s="32" t="s">
        <v>68</v>
      </c>
      <c r="BC660" s="341" t="s">
        <v>68</v>
      </c>
      <c r="BD660" s="5"/>
      <c r="BE660" s="5"/>
      <c r="BF660" s="5"/>
      <c r="BG660" s="38"/>
      <c r="BH660" s="14" t="s">
        <v>68</v>
      </c>
      <c r="BI660" s="1053" t="s">
        <v>68</v>
      </c>
      <c r="BJ660" s="1052" t="s">
        <v>68</v>
      </c>
      <c r="BK660" s="1052" t="s">
        <v>68</v>
      </c>
      <c r="BL660" s="1649" t="s">
        <v>68</v>
      </c>
      <c r="BM660" s="1649" t="s">
        <v>68</v>
      </c>
      <c r="BN660" s="1649" t="s">
        <v>68</v>
      </c>
      <c r="BO660" s="1649" t="s">
        <v>68</v>
      </c>
      <c r="BP660" s="1649" t="s">
        <v>68</v>
      </c>
      <c r="BQ660" s="1649" t="s">
        <v>68</v>
      </c>
      <c r="BR660" s="1649" t="s">
        <v>68</v>
      </c>
      <c r="BS660" s="1053" t="s">
        <v>68</v>
      </c>
      <c r="BT660" s="14"/>
      <c r="BU660" s="23"/>
      <c r="BV660" s="23"/>
      <c r="BW660" s="23"/>
      <c r="BX660" s="23"/>
      <c r="BY660" s="1433" t="s">
        <v>3989</v>
      </c>
      <c r="BZ660" s="987"/>
      <c r="CA660" s="582"/>
      <c r="CB660" s="582"/>
      <c r="CC660" s="582"/>
      <c r="CD660" s="582"/>
      <c r="CE660" s="582"/>
      <c r="CF660" s="582"/>
      <c r="CG660" s="582"/>
      <c r="CH660" s="16"/>
    </row>
    <row r="661" spans="2:86" ht="134.25" hidden="1" customHeight="1">
      <c r="B661" s="23"/>
      <c r="C661" s="23"/>
      <c r="D661" s="23"/>
      <c r="E661" s="1051"/>
      <c r="F661" s="1051"/>
      <c r="G661" s="1055"/>
      <c r="H661" s="365">
        <v>44999</v>
      </c>
      <c r="I661" s="182">
        <v>2023</v>
      </c>
      <c r="J661" s="1678"/>
      <c r="K661" s="183" t="s">
        <v>166</v>
      </c>
      <c r="L661" s="191" t="s">
        <v>4894</v>
      </c>
      <c r="M661" s="185" t="s">
        <v>45</v>
      </c>
      <c r="N661" s="186" t="s">
        <v>4904</v>
      </c>
      <c r="O661" s="186" t="s">
        <v>4458</v>
      </c>
      <c r="P661" s="187">
        <f>15000*1.16</f>
        <v>17400</v>
      </c>
      <c r="Q661" s="188">
        <v>44928</v>
      </c>
      <c r="R661" s="189">
        <v>44929</v>
      </c>
      <c r="S661" s="190">
        <v>44931</v>
      </c>
      <c r="T661" s="111" t="s">
        <v>68</v>
      </c>
      <c r="U661" s="191" t="s">
        <v>4405</v>
      </c>
      <c r="V661" s="183" t="s">
        <v>472</v>
      </c>
      <c r="W661" s="220" t="s">
        <v>68</v>
      </c>
      <c r="X661" s="406" t="s">
        <v>68</v>
      </c>
      <c r="Y661" s="35"/>
      <c r="Z661" s="9"/>
      <c r="AA661" s="4"/>
      <c r="AB661" s="4"/>
      <c r="AC661" s="34"/>
      <c r="AD661" s="36" t="s">
        <v>68</v>
      </c>
      <c r="AE661" s="119" t="s">
        <v>68</v>
      </c>
      <c r="AF661" s="119" t="s">
        <v>68</v>
      </c>
      <c r="AG661" s="7" t="s">
        <v>68</v>
      </c>
      <c r="AH661" s="116" t="s">
        <v>68</v>
      </c>
      <c r="AI661" s="35" t="s">
        <v>68</v>
      </c>
      <c r="AJ661" s="1" t="s">
        <v>68</v>
      </c>
      <c r="AK661" s="5"/>
      <c r="AL661" s="1" t="s">
        <v>68</v>
      </c>
      <c r="AM661" s="5"/>
      <c r="AN661" s="1" t="s">
        <v>68</v>
      </c>
      <c r="AO661" s="5"/>
      <c r="AP661" s="306"/>
      <c r="AQ661" s="37">
        <v>0</v>
      </c>
      <c r="AR661" s="1031">
        <v>0</v>
      </c>
      <c r="AS661" s="1018">
        <v>0</v>
      </c>
      <c r="AT661" s="32" t="s">
        <v>68</v>
      </c>
      <c r="AU661" s="12" t="s">
        <v>68</v>
      </c>
      <c r="AV661" s="243" t="s">
        <v>68</v>
      </c>
      <c r="AW661" s="54" t="s">
        <v>68</v>
      </c>
      <c r="AX661" s="32" t="s">
        <v>68</v>
      </c>
      <c r="AY661" s="5"/>
      <c r="AZ661" s="5"/>
      <c r="BA661" s="12"/>
      <c r="BB661" s="32" t="s">
        <v>68</v>
      </c>
      <c r="BC661" s="341"/>
      <c r="BD661" s="5"/>
      <c r="BE661" s="5"/>
      <c r="BF661" s="5"/>
      <c r="BG661" s="38"/>
      <c r="BH661" s="14" t="s">
        <v>68</v>
      </c>
      <c r="BI661" s="1053" t="s">
        <v>68</v>
      </c>
      <c r="BJ661" s="1052" t="s">
        <v>68</v>
      </c>
      <c r="BK661" s="1052" t="s">
        <v>68</v>
      </c>
      <c r="BL661" s="1649" t="s">
        <v>68</v>
      </c>
      <c r="BM661" s="1649" t="s">
        <v>68</v>
      </c>
      <c r="BN661" s="1649" t="s">
        <v>68</v>
      </c>
      <c r="BO661" s="1649" t="s">
        <v>68</v>
      </c>
      <c r="BP661" s="1649" t="s">
        <v>68</v>
      </c>
      <c r="BQ661" s="1649" t="s">
        <v>68</v>
      </c>
      <c r="BR661" s="1649" t="s">
        <v>68</v>
      </c>
      <c r="BS661" s="1053" t="s">
        <v>68</v>
      </c>
      <c r="BT661" s="14"/>
      <c r="BU661" s="23"/>
      <c r="BV661" s="23"/>
      <c r="BW661" s="23"/>
      <c r="BX661" s="23"/>
      <c r="BY661" s="1433" t="s">
        <v>3989</v>
      </c>
      <c r="BZ661" s="987"/>
      <c r="CA661" s="582"/>
      <c r="CB661" s="582"/>
      <c r="CC661" s="582"/>
      <c r="CD661" s="582"/>
      <c r="CE661" s="582"/>
      <c r="CF661" s="582"/>
      <c r="CG661" s="582"/>
      <c r="CH661" s="16"/>
    </row>
    <row r="662" spans="2:86" ht="130.5" hidden="1" customHeight="1">
      <c r="B662" s="23"/>
      <c r="C662" s="23"/>
      <c r="D662" s="23"/>
      <c r="E662" s="1051"/>
      <c r="F662" s="1051"/>
      <c r="G662" s="1055"/>
      <c r="H662" s="365">
        <v>44999</v>
      </c>
      <c r="I662" s="182">
        <v>2023</v>
      </c>
      <c r="J662" s="1678"/>
      <c r="K662" s="183" t="s">
        <v>166</v>
      </c>
      <c r="L662" s="191" t="s">
        <v>4895</v>
      </c>
      <c r="M662" s="185" t="s">
        <v>45</v>
      </c>
      <c r="N662" s="186" t="s">
        <v>4905</v>
      </c>
      <c r="O662" s="186" t="s">
        <v>4878</v>
      </c>
      <c r="P662" s="187">
        <f>15000*1.16</f>
        <v>17400</v>
      </c>
      <c r="Q662" s="188">
        <v>44928</v>
      </c>
      <c r="R662" s="189">
        <v>44931</v>
      </c>
      <c r="S662" s="190">
        <v>44932</v>
      </c>
      <c r="T662" s="111" t="s">
        <v>68</v>
      </c>
      <c r="U662" s="191" t="s">
        <v>4405</v>
      </c>
      <c r="V662" s="183" t="s">
        <v>472</v>
      </c>
      <c r="W662" s="220" t="s">
        <v>68</v>
      </c>
      <c r="X662" s="406" t="s">
        <v>68</v>
      </c>
      <c r="Y662" s="35"/>
      <c r="Z662" s="9"/>
      <c r="AA662" s="4"/>
      <c r="AB662" s="4"/>
      <c r="AC662" s="34"/>
      <c r="AD662" s="36" t="s">
        <v>68</v>
      </c>
      <c r="AE662" s="119" t="s">
        <v>68</v>
      </c>
      <c r="AF662" s="119" t="s">
        <v>68</v>
      </c>
      <c r="AG662" s="7" t="s">
        <v>68</v>
      </c>
      <c r="AH662" s="116" t="s">
        <v>68</v>
      </c>
      <c r="AI662" s="35" t="s">
        <v>68</v>
      </c>
      <c r="AJ662" s="1" t="s">
        <v>68</v>
      </c>
      <c r="AK662" s="5"/>
      <c r="AL662" s="1" t="s">
        <v>68</v>
      </c>
      <c r="AM662" s="5"/>
      <c r="AN662" s="1" t="s">
        <v>68</v>
      </c>
      <c r="AO662" s="5"/>
      <c r="AP662" s="306"/>
      <c r="AQ662" s="37">
        <v>0</v>
      </c>
      <c r="AR662" s="1031">
        <v>0</v>
      </c>
      <c r="AS662" s="1018">
        <v>0</v>
      </c>
      <c r="AT662" s="32" t="s">
        <v>68</v>
      </c>
      <c r="AU662" s="12" t="s">
        <v>68</v>
      </c>
      <c r="AV662" s="243" t="s">
        <v>68</v>
      </c>
      <c r="AW662" s="54" t="s">
        <v>68</v>
      </c>
      <c r="AX662" s="32" t="s">
        <v>68</v>
      </c>
      <c r="AY662" s="5"/>
      <c r="AZ662" s="5"/>
      <c r="BA662" s="12"/>
      <c r="BB662" s="32" t="s">
        <v>68</v>
      </c>
      <c r="BC662" s="341"/>
      <c r="BD662" s="5"/>
      <c r="BE662" s="5"/>
      <c r="BF662" s="5"/>
      <c r="BG662" s="38"/>
      <c r="BH662" s="14" t="s">
        <v>68</v>
      </c>
      <c r="BI662" s="1053" t="s">
        <v>68</v>
      </c>
      <c r="BJ662" s="1052" t="s">
        <v>68</v>
      </c>
      <c r="BK662" s="1052" t="s">
        <v>68</v>
      </c>
      <c r="BL662" s="1649" t="s">
        <v>68</v>
      </c>
      <c r="BM662" s="1649" t="s">
        <v>68</v>
      </c>
      <c r="BN662" s="1649" t="s">
        <v>68</v>
      </c>
      <c r="BO662" s="1649" t="s">
        <v>68</v>
      </c>
      <c r="BP662" s="1649" t="s">
        <v>68</v>
      </c>
      <c r="BQ662" s="1649" t="s">
        <v>68</v>
      </c>
      <c r="BR662" s="1649" t="s">
        <v>68</v>
      </c>
      <c r="BS662" s="1053" t="s">
        <v>68</v>
      </c>
      <c r="BT662" s="14"/>
      <c r="BU662" s="23"/>
      <c r="BV662" s="23"/>
      <c r="BW662" s="23"/>
      <c r="BX662" s="23"/>
      <c r="BY662" s="1433" t="s">
        <v>3989</v>
      </c>
      <c r="BZ662" s="987"/>
      <c r="CA662" s="582"/>
      <c r="CB662" s="582"/>
      <c r="CC662" s="582"/>
      <c r="CD662" s="582"/>
      <c r="CE662" s="582"/>
      <c r="CF662" s="582"/>
      <c r="CG662" s="582"/>
      <c r="CH662" s="16"/>
    </row>
    <row r="663" spans="2:86" ht="123" hidden="1" customHeight="1">
      <c r="B663" s="23"/>
      <c r="C663" s="23"/>
      <c r="D663" s="23"/>
      <c r="E663" s="1051"/>
      <c r="F663" s="1051"/>
      <c r="G663" s="1055"/>
      <c r="H663" s="365">
        <v>44999</v>
      </c>
      <c r="I663" s="182">
        <v>2023</v>
      </c>
      <c r="J663" s="1678"/>
      <c r="K663" s="183" t="s">
        <v>166</v>
      </c>
      <c r="L663" s="191" t="s">
        <v>4896</v>
      </c>
      <c r="M663" s="185" t="s">
        <v>45</v>
      </c>
      <c r="N663" s="186" t="s">
        <v>4906</v>
      </c>
      <c r="O663" s="186" t="s">
        <v>4878</v>
      </c>
      <c r="P663" s="187">
        <f>15000*1.16</f>
        <v>17400</v>
      </c>
      <c r="Q663" s="188">
        <v>44928</v>
      </c>
      <c r="R663" s="189"/>
      <c r="S663" s="190"/>
      <c r="T663" s="111" t="s">
        <v>68</v>
      </c>
      <c r="U663" s="191" t="s">
        <v>4405</v>
      </c>
      <c r="V663" s="183" t="s">
        <v>472</v>
      </c>
      <c r="W663" s="220" t="s">
        <v>68</v>
      </c>
      <c r="X663" s="406" t="s">
        <v>68</v>
      </c>
      <c r="Y663" s="35"/>
      <c r="Z663" s="9"/>
      <c r="AA663" s="4"/>
      <c r="AB663" s="4"/>
      <c r="AC663" s="34"/>
      <c r="AD663" s="36" t="s">
        <v>68</v>
      </c>
      <c r="AE663" s="119" t="s">
        <v>68</v>
      </c>
      <c r="AF663" s="119" t="s">
        <v>68</v>
      </c>
      <c r="AG663" s="7" t="s">
        <v>68</v>
      </c>
      <c r="AH663" s="116" t="s">
        <v>68</v>
      </c>
      <c r="AI663" s="35" t="s">
        <v>68</v>
      </c>
      <c r="AJ663" s="1" t="s">
        <v>68</v>
      </c>
      <c r="AK663" s="5"/>
      <c r="AL663" s="1" t="s">
        <v>68</v>
      </c>
      <c r="AM663" s="5"/>
      <c r="AN663" s="1" t="s">
        <v>68</v>
      </c>
      <c r="AO663" s="5"/>
      <c r="AP663" s="306"/>
      <c r="AQ663" s="37">
        <v>0</v>
      </c>
      <c r="AR663" s="1031">
        <v>0</v>
      </c>
      <c r="AS663" s="1018">
        <v>0</v>
      </c>
      <c r="AT663" s="32" t="s">
        <v>68</v>
      </c>
      <c r="AU663" s="12" t="s">
        <v>68</v>
      </c>
      <c r="AV663" s="243" t="s">
        <v>68</v>
      </c>
      <c r="AW663" s="54" t="s">
        <v>68</v>
      </c>
      <c r="AX663" s="32" t="s">
        <v>68</v>
      </c>
      <c r="AY663" s="5"/>
      <c r="AZ663" s="5"/>
      <c r="BA663" s="12"/>
      <c r="BB663" s="32" t="s">
        <v>68</v>
      </c>
      <c r="BC663" s="341"/>
      <c r="BD663" s="5"/>
      <c r="BE663" s="5"/>
      <c r="BF663" s="5"/>
      <c r="BG663" s="38"/>
      <c r="BH663" s="14" t="s">
        <v>68</v>
      </c>
      <c r="BI663" s="1053" t="s">
        <v>68</v>
      </c>
      <c r="BJ663" s="1052" t="s">
        <v>68</v>
      </c>
      <c r="BK663" s="1052" t="s">
        <v>68</v>
      </c>
      <c r="BL663" s="1649" t="s">
        <v>68</v>
      </c>
      <c r="BM663" s="1649" t="s">
        <v>68</v>
      </c>
      <c r="BN663" s="1649" t="s">
        <v>68</v>
      </c>
      <c r="BO663" s="1649" t="s">
        <v>68</v>
      </c>
      <c r="BP663" s="1649" t="s">
        <v>68</v>
      </c>
      <c r="BQ663" s="1649" t="s">
        <v>68</v>
      </c>
      <c r="BR663" s="1649" t="s">
        <v>68</v>
      </c>
      <c r="BS663" s="1053" t="s">
        <v>68</v>
      </c>
      <c r="BT663" s="14"/>
      <c r="BU663" s="23"/>
      <c r="BV663" s="23"/>
      <c r="BW663" s="23"/>
      <c r="BX663" s="23"/>
      <c r="BY663" s="1433" t="s">
        <v>3989</v>
      </c>
      <c r="BZ663" s="987"/>
      <c r="CA663" s="582"/>
      <c r="CB663" s="582"/>
      <c r="CC663" s="582"/>
      <c r="CD663" s="582"/>
      <c r="CE663" s="582"/>
      <c r="CF663" s="582"/>
      <c r="CG663" s="582"/>
      <c r="CH663" s="16"/>
    </row>
    <row r="664" spans="2:86" ht="85.5" hidden="1" customHeight="1">
      <c r="B664" s="23"/>
      <c r="C664" s="23"/>
      <c r="D664" s="23"/>
      <c r="E664" s="1051"/>
      <c r="F664" s="1051"/>
      <c r="G664" s="1055"/>
      <c r="H664" s="365">
        <v>44999</v>
      </c>
      <c r="I664" s="182">
        <v>2023</v>
      </c>
      <c r="J664" s="1678"/>
      <c r="K664" s="183" t="s">
        <v>166</v>
      </c>
      <c r="L664" s="191" t="s">
        <v>4897</v>
      </c>
      <c r="M664" s="185" t="s">
        <v>45</v>
      </c>
      <c r="N664" s="186" t="s">
        <v>4907</v>
      </c>
      <c r="O664" s="186" t="s">
        <v>1979</v>
      </c>
      <c r="P664" s="187">
        <f>22000*1.16</f>
        <v>25520</v>
      </c>
      <c r="Q664" s="188">
        <v>44953</v>
      </c>
      <c r="R664" s="189">
        <v>44958</v>
      </c>
      <c r="S664" s="190">
        <v>44960</v>
      </c>
      <c r="T664" s="111" t="s">
        <v>68</v>
      </c>
      <c r="U664" s="191" t="s">
        <v>739</v>
      </c>
      <c r="V664" s="183" t="s">
        <v>472</v>
      </c>
      <c r="W664" s="220" t="s">
        <v>68</v>
      </c>
      <c r="X664" s="406" t="s">
        <v>68</v>
      </c>
      <c r="Y664" s="35"/>
      <c r="Z664" s="9"/>
      <c r="AA664" s="4"/>
      <c r="AB664" s="4"/>
      <c r="AC664" s="34"/>
      <c r="AD664" s="36" t="s">
        <v>68</v>
      </c>
      <c r="AE664" s="119" t="s">
        <v>68</v>
      </c>
      <c r="AF664" s="119" t="s">
        <v>68</v>
      </c>
      <c r="AG664" s="7" t="s">
        <v>68</v>
      </c>
      <c r="AH664" s="116" t="s">
        <v>68</v>
      </c>
      <c r="AI664" s="35" t="s">
        <v>68</v>
      </c>
      <c r="AJ664" s="1" t="s">
        <v>68</v>
      </c>
      <c r="AK664" s="5"/>
      <c r="AL664" s="1" t="s">
        <v>68</v>
      </c>
      <c r="AM664" s="5"/>
      <c r="AN664" s="1" t="s">
        <v>68</v>
      </c>
      <c r="AO664" s="5"/>
      <c r="AP664" s="306"/>
      <c r="AQ664" s="37">
        <v>0</v>
      </c>
      <c r="AR664" s="1031">
        <v>0</v>
      </c>
      <c r="AS664" s="1018">
        <v>0</v>
      </c>
      <c r="AT664" s="32" t="s">
        <v>68</v>
      </c>
      <c r="AU664" s="12" t="s">
        <v>68</v>
      </c>
      <c r="AV664" s="243" t="s">
        <v>68</v>
      </c>
      <c r="AW664" s="54" t="s">
        <v>68</v>
      </c>
      <c r="AX664" s="32" t="s">
        <v>68</v>
      </c>
      <c r="AY664" s="5"/>
      <c r="AZ664" s="5"/>
      <c r="BA664" s="12"/>
      <c r="BB664" s="32" t="s">
        <v>68</v>
      </c>
      <c r="BC664" s="341"/>
      <c r="BD664" s="5"/>
      <c r="BE664" s="5"/>
      <c r="BF664" s="5"/>
      <c r="BG664" s="38"/>
      <c r="BH664" s="14" t="s">
        <v>68</v>
      </c>
      <c r="BI664" s="1053" t="s">
        <v>68</v>
      </c>
      <c r="BJ664" s="1052" t="s">
        <v>68</v>
      </c>
      <c r="BK664" s="1052" t="s">
        <v>68</v>
      </c>
      <c r="BL664" s="1649" t="s">
        <v>68</v>
      </c>
      <c r="BM664" s="1649" t="s">
        <v>68</v>
      </c>
      <c r="BN664" s="1649" t="s">
        <v>68</v>
      </c>
      <c r="BO664" s="1649" t="s">
        <v>68</v>
      </c>
      <c r="BP664" s="1649" t="s">
        <v>68</v>
      </c>
      <c r="BQ664" s="1649" t="s">
        <v>68</v>
      </c>
      <c r="BR664" s="1649" t="s">
        <v>68</v>
      </c>
      <c r="BS664" s="1053" t="s">
        <v>68</v>
      </c>
      <c r="BT664" s="14"/>
      <c r="BU664" s="23"/>
      <c r="BV664" s="23"/>
      <c r="BW664" s="23"/>
      <c r="BX664" s="23"/>
      <c r="BY664" s="1433" t="s">
        <v>3989</v>
      </c>
      <c r="BZ664" s="987"/>
      <c r="CA664" s="582"/>
      <c r="CB664" s="582"/>
      <c r="CC664" s="582"/>
      <c r="CD664" s="582"/>
      <c r="CE664" s="582"/>
      <c r="CF664" s="582"/>
      <c r="CG664" s="582"/>
      <c r="CH664" s="16"/>
    </row>
    <row r="665" spans="2:86" ht="85.5" hidden="1" customHeight="1">
      <c r="B665" s="23"/>
      <c r="C665" s="23"/>
      <c r="D665" s="23"/>
      <c r="E665" s="1051"/>
      <c r="F665" s="1051"/>
      <c r="G665" s="1055"/>
      <c r="H665" s="365">
        <v>44999</v>
      </c>
      <c r="I665" s="182">
        <v>2023</v>
      </c>
      <c r="J665" s="1678"/>
      <c r="K665" s="183" t="s">
        <v>166</v>
      </c>
      <c r="L665" s="191" t="s">
        <v>4898</v>
      </c>
      <c r="M665" s="185" t="s">
        <v>45</v>
      </c>
      <c r="N665" s="186" t="s">
        <v>4908</v>
      </c>
      <c r="O665" s="186" t="s">
        <v>1979</v>
      </c>
      <c r="P665" s="187">
        <f>15000*1.16</f>
        <v>17400</v>
      </c>
      <c r="Q665" s="188">
        <v>44953</v>
      </c>
      <c r="R665" s="189">
        <v>44960</v>
      </c>
      <c r="S665" s="190">
        <v>44962</v>
      </c>
      <c r="T665" s="111" t="s">
        <v>68</v>
      </c>
      <c r="U665" s="191" t="s">
        <v>739</v>
      </c>
      <c r="V665" s="183" t="s">
        <v>472</v>
      </c>
      <c r="W665" s="220" t="s">
        <v>68</v>
      </c>
      <c r="X665" s="406" t="s">
        <v>68</v>
      </c>
      <c r="Y665" s="35"/>
      <c r="Z665" s="9"/>
      <c r="AA665" s="4"/>
      <c r="AB665" s="4"/>
      <c r="AC665" s="34"/>
      <c r="AD665" s="36" t="s">
        <v>68</v>
      </c>
      <c r="AE665" s="119" t="s">
        <v>68</v>
      </c>
      <c r="AF665" s="119" t="s">
        <v>68</v>
      </c>
      <c r="AG665" s="7" t="s">
        <v>68</v>
      </c>
      <c r="AH665" s="116" t="s">
        <v>68</v>
      </c>
      <c r="AI665" s="35" t="s">
        <v>68</v>
      </c>
      <c r="AJ665" s="1" t="s">
        <v>68</v>
      </c>
      <c r="AK665" s="5"/>
      <c r="AL665" s="1" t="s">
        <v>68</v>
      </c>
      <c r="AM665" s="5"/>
      <c r="AN665" s="1" t="s">
        <v>68</v>
      </c>
      <c r="AO665" s="5"/>
      <c r="AP665" s="306"/>
      <c r="AQ665" s="37">
        <v>0</v>
      </c>
      <c r="AR665" s="1031">
        <v>0</v>
      </c>
      <c r="AS665" s="1018">
        <v>0</v>
      </c>
      <c r="AT665" s="32" t="s">
        <v>68</v>
      </c>
      <c r="AU665" s="12" t="s">
        <v>68</v>
      </c>
      <c r="AV665" s="243" t="s">
        <v>68</v>
      </c>
      <c r="AW665" s="54" t="s">
        <v>68</v>
      </c>
      <c r="AX665" s="32" t="s">
        <v>68</v>
      </c>
      <c r="AY665" s="5"/>
      <c r="AZ665" s="5"/>
      <c r="BA665" s="12"/>
      <c r="BB665" s="32" t="s">
        <v>68</v>
      </c>
      <c r="BC665" s="341"/>
      <c r="BD665" s="5"/>
      <c r="BE665" s="5"/>
      <c r="BF665" s="5"/>
      <c r="BG665" s="38"/>
      <c r="BH665" s="14" t="s">
        <v>68</v>
      </c>
      <c r="BI665" s="1053" t="s">
        <v>68</v>
      </c>
      <c r="BJ665" s="1052" t="s">
        <v>68</v>
      </c>
      <c r="BK665" s="1052" t="s">
        <v>68</v>
      </c>
      <c r="BL665" s="1649" t="s">
        <v>68</v>
      </c>
      <c r="BM665" s="1649" t="s">
        <v>68</v>
      </c>
      <c r="BN665" s="1649" t="s">
        <v>68</v>
      </c>
      <c r="BO665" s="1649" t="s">
        <v>68</v>
      </c>
      <c r="BP665" s="1649" t="s">
        <v>68</v>
      </c>
      <c r="BQ665" s="1649" t="s">
        <v>68</v>
      </c>
      <c r="BR665" s="1649" t="s">
        <v>68</v>
      </c>
      <c r="BS665" s="1053" t="s">
        <v>68</v>
      </c>
      <c r="BT665" s="14"/>
      <c r="BU665" s="23"/>
      <c r="BV665" s="23"/>
      <c r="BW665" s="23"/>
      <c r="BX665" s="23"/>
      <c r="BY665" s="1433" t="s">
        <v>3989</v>
      </c>
      <c r="BZ665" s="987"/>
      <c r="CA665" s="582"/>
      <c r="CB665" s="582"/>
      <c r="CC665" s="582"/>
      <c r="CD665" s="582"/>
      <c r="CE665" s="582"/>
      <c r="CF665" s="582"/>
      <c r="CG665" s="582"/>
      <c r="CH665" s="16"/>
    </row>
    <row r="666" spans="2:86" ht="115.5" hidden="1" customHeight="1">
      <c r="B666" s="23"/>
      <c r="C666" s="23"/>
      <c r="D666" s="23"/>
      <c r="E666" s="1051"/>
      <c r="F666" s="1051"/>
      <c r="G666" s="1055"/>
      <c r="H666" s="365"/>
      <c r="I666" s="182">
        <v>2023</v>
      </c>
      <c r="J666" s="1678"/>
      <c r="K666" s="183" t="s">
        <v>166</v>
      </c>
      <c r="L666" s="191" t="s">
        <v>4899</v>
      </c>
      <c r="M666" s="185" t="s">
        <v>45</v>
      </c>
      <c r="N666" s="186" t="s">
        <v>5638</v>
      </c>
      <c r="O666" s="186" t="s">
        <v>2613</v>
      </c>
      <c r="P666" s="187">
        <v>3500</v>
      </c>
      <c r="Q666" s="188">
        <v>44929</v>
      </c>
      <c r="R666" s="189">
        <v>44931</v>
      </c>
      <c r="S666" s="190">
        <v>44931</v>
      </c>
      <c r="T666" s="111" t="s">
        <v>68</v>
      </c>
      <c r="U666" s="739" t="s">
        <v>5854</v>
      </c>
      <c r="V666" s="183" t="s">
        <v>472</v>
      </c>
      <c r="W666" s="220" t="s">
        <v>68</v>
      </c>
      <c r="X666" s="406" t="s">
        <v>68</v>
      </c>
      <c r="Y666" s="35"/>
      <c r="Z666" s="9"/>
      <c r="AA666" s="4"/>
      <c r="AB666" s="4"/>
      <c r="AC666" s="34"/>
      <c r="AD666" s="36" t="s">
        <v>68</v>
      </c>
      <c r="AE666" s="119" t="s">
        <v>68</v>
      </c>
      <c r="AF666" s="119" t="s">
        <v>68</v>
      </c>
      <c r="AG666" s="7" t="s">
        <v>68</v>
      </c>
      <c r="AH666" s="116" t="s">
        <v>68</v>
      </c>
      <c r="AI666" s="35" t="s">
        <v>68</v>
      </c>
      <c r="AJ666" s="1" t="s">
        <v>68</v>
      </c>
      <c r="AK666" s="5"/>
      <c r="AL666" s="1" t="s">
        <v>68</v>
      </c>
      <c r="AM666" s="5"/>
      <c r="AN666" s="1" t="s">
        <v>68</v>
      </c>
      <c r="AO666" s="5"/>
      <c r="AP666" s="306"/>
      <c r="AQ666" s="37">
        <v>0</v>
      </c>
      <c r="AR666" s="1031">
        <v>0</v>
      </c>
      <c r="AS666" s="1018">
        <v>0</v>
      </c>
      <c r="AT666" s="32" t="s">
        <v>68</v>
      </c>
      <c r="AU666" s="12" t="s">
        <v>68</v>
      </c>
      <c r="AV666" s="243" t="s">
        <v>68</v>
      </c>
      <c r="AW666" s="54" t="s">
        <v>68</v>
      </c>
      <c r="AX666" s="32" t="s">
        <v>68</v>
      </c>
      <c r="AY666" s="5"/>
      <c r="AZ666" s="5"/>
      <c r="BA666" s="12"/>
      <c r="BB666" s="32" t="s">
        <v>68</v>
      </c>
      <c r="BC666" s="341"/>
      <c r="BD666" s="5"/>
      <c r="BE666" s="5"/>
      <c r="BF666" s="5"/>
      <c r="BG666" s="38"/>
      <c r="BH666" s="14" t="s">
        <v>68</v>
      </c>
      <c r="BI666" s="1053" t="s">
        <v>68</v>
      </c>
      <c r="BJ666" s="1052" t="s">
        <v>68</v>
      </c>
      <c r="BK666" s="1052" t="s">
        <v>68</v>
      </c>
      <c r="BL666" s="1649" t="s">
        <v>68</v>
      </c>
      <c r="BM666" s="1649" t="s">
        <v>68</v>
      </c>
      <c r="BN666" s="1649" t="s">
        <v>68</v>
      </c>
      <c r="BO666" s="1649" t="s">
        <v>68</v>
      </c>
      <c r="BP666" s="1649" t="s">
        <v>68</v>
      </c>
      <c r="BQ666" s="1649" t="s">
        <v>68</v>
      </c>
      <c r="BR666" s="1649" t="s">
        <v>68</v>
      </c>
      <c r="BS666" s="1053" t="s">
        <v>68</v>
      </c>
      <c r="BT666" s="14"/>
      <c r="BU666" s="23"/>
      <c r="BV666" s="23"/>
      <c r="BW666" s="23"/>
      <c r="BX666" s="23"/>
      <c r="BY666" s="1433" t="s">
        <v>3989</v>
      </c>
      <c r="BZ666" s="987"/>
      <c r="CA666" s="582"/>
      <c r="CB666" s="582"/>
      <c r="CC666" s="582"/>
      <c r="CD666" s="582"/>
      <c r="CE666" s="582"/>
      <c r="CF666" s="582"/>
      <c r="CG666" s="582"/>
      <c r="CH666" s="16"/>
    </row>
    <row r="667" spans="2:86" ht="117.75" hidden="1" customHeight="1">
      <c r="B667" s="23"/>
      <c r="C667" s="23"/>
      <c r="D667" s="23"/>
      <c r="E667" s="1051"/>
      <c r="F667" s="1051"/>
      <c r="G667" s="1055"/>
      <c r="H667" s="365"/>
      <c r="I667" s="182">
        <v>2023</v>
      </c>
      <c r="J667" s="1678"/>
      <c r="K667" s="183" t="s">
        <v>166</v>
      </c>
      <c r="L667" s="191" t="s">
        <v>4900</v>
      </c>
      <c r="M667" s="185" t="s">
        <v>45</v>
      </c>
      <c r="N667" s="186" t="s">
        <v>5639</v>
      </c>
      <c r="O667" s="186" t="s">
        <v>4458</v>
      </c>
      <c r="P667" s="187">
        <v>3500</v>
      </c>
      <c r="Q667" s="188">
        <v>44970</v>
      </c>
      <c r="R667" s="189">
        <v>44972</v>
      </c>
      <c r="S667" s="190">
        <v>44972</v>
      </c>
      <c r="T667" s="111" t="s">
        <v>68</v>
      </c>
      <c r="U667" s="739" t="s">
        <v>5854</v>
      </c>
      <c r="V667" s="183" t="s">
        <v>472</v>
      </c>
      <c r="W667" s="220" t="s">
        <v>68</v>
      </c>
      <c r="X667" s="406" t="s">
        <v>68</v>
      </c>
      <c r="Y667" s="35"/>
      <c r="Z667" s="9"/>
      <c r="AA667" s="4"/>
      <c r="AB667" s="4"/>
      <c r="AC667" s="34"/>
      <c r="AD667" s="36" t="s">
        <v>68</v>
      </c>
      <c r="AE667" s="119" t="s">
        <v>68</v>
      </c>
      <c r="AF667" s="119" t="s">
        <v>68</v>
      </c>
      <c r="AG667" s="7" t="s">
        <v>68</v>
      </c>
      <c r="AH667" s="116" t="s">
        <v>68</v>
      </c>
      <c r="AI667" s="35" t="s">
        <v>68</v>
      </c>
      <c r="AJ667" s="1" t="s">
        <v>68</v>
      </c>
      <c r="AK667" s="5"/>
      <c r="AL667" s="1" t="s">
        <v>68</v>
      </c>
      <c r="AM667" s="5"/>
      <c r="AN667" s="1" t="s">
        <v>68</v>
      </c>
      <c r="AO667" s="5"/>
      <c r="AP667" s="306"/>
      <c r="AQ667" s="37">
        <v>0</v>
      </c>
      <c r="AR667" s="1031">
        <v>0</v>
      </c>
      <c r="AS667" s="1018">
        <v>0</v>
      </c>
      <c r="AT667" s="32" t="s">
        <v>68</v>
      </c>
      <c r="AU667" s="12" t="s">
        <v>68</v>
      </c>
      <c r="AV667" s="243" t="s">
        <v>68</v>
      </c>
      <c r="AW667" s="54" t="s">
        <v>68</v>
      </c>
      <c r="AX667" s="32" t="s">
        <v>68</v>
      </c>
      <c r="AY667" s="5"/>
      <c r="AZ667" s="5"/>
      <c r="BA667" s="12"/>
      <c r="BB667" s="32" t="s">
        <v>68</v>
      </c>
      <c r="BC667" s="341"/>
      <c r="BD667" s="5"/>
      <c r="BE667" s="5"/>
      <c r="BF667" s="5"/>
      <c r="BG667" s="38"/>
      <c r="BH667" s="14" t="s">
        <v>68</v>
      </c>
      <c r="BI667" s="1053" t="s">
        <v>68</v>
      </c>
      <c r="BJ667" s="1052" t="s">
        <v>68</v>
      </c>
      <c r="BK667" s="1052" t="s">
        <v>68</v>
      </c>
      <c r="BL667" s="1649" t="s">
        <v>68</v>
      </c>
      <c r="BM667" s="1649" t="s">
        <v>68</v>
      </c>
      <c r="BN667" s="1649" t="s">
        <v>68</v>
      </c>
      <c r="BO667" s="1649" t="s">
        <v>68</v>
      </c>
      <c r="BP667" s="1649" t="s">
        <v>68</v>
      </c>
      <c r="BQ667" s="1649" t="s">
        <v>68</v>
      </c>
      <c r="BR667" s="1649" t="s">
        <v>68</v>
      </c>
      <c r="BS667" s="1053" t="s">
        <v>68</v>
      </c>
      <c r="BT667" s="14"/>
      <c r="BU667" s="23"/>
      <c r="BV667" s="23"/>
      <c r="BW667" s="23"/>
      <c r="BX667" s="23"/>
      <c r="BY667" s="1433" t="s">
        <v>3989</v>
      </c>
      <c r="BZ667" s="987"/>
      <c r="CA667" s="582"/>
      <c r="CB667" s="582"/>
      <c r="CC667" s="582"/>
      <c r="CD667" s="582"/>
      <c r="CE667" s="582"/>
      <c r="CF667" s="582"/>
      <c r="CG667" s="582"/>
      <c r="CH667" s="16"/>
    </row>
    <row r="668" spans="2:86" ht="165.75" hidden="1" customHeight="1">
      <c r="B668" s="23"/>
      <c r="C668" s="23"/>
      <c r="D668" s="23"/>
      <c r="E668" s="1051"/>
      <c r="F668" s="1051"/>
      <c r="G668" s="1055"/>
      <c r="H668" s="365"/>
      <c r="I668" s="182">
        <v>2023</v>
      </c>
      <c r="J668" s="1678"/>
      <c r="K668" s="183" t="s">
        <v>166</v>
      </c>
      <c r="L668" s="191" t="s">
        <v>4901</v>
      </c>
      <c r="M668" s="185" t="s">
        <v>45</v>
      </c>
      <c r="N668" s="186" t="s">
        <v>5640</v>
      </c>
      <c r="O668" s="186" t="s">
        <v>1979</v>
      </c>
      <c r="P668" s="187">
        <f>19200*1.16</f>
        <v>22272</v>
      </c>
      <c r="Q668" s="1403">
        <v>44978</v>
      </c>
      <c r="R668" s="189">
        <v>44979</v>
      </c>
      <c r="S668" s="190">
        <v>44979</v>
      </c>
      <c r="T668" s="111" t="s">
        <v>68</v>
      </c>
      <c r="U668" s="191" t="s">
        <v>4003</v>
      </c>
      <c r="V668" s="183" t="s">
        <v>472</v>
      </c>
      <c r="W668" s="220" t="s">
        <v>68</v>
      </c>
      <c r="X668" s="406" t="s">
        <v>68</v>
      </c>
      <c r="Y668" s="35"/>
      <c r="Z668" s="9"/>
      <c r="AA668" s="4"/>
      <c r="AB668" s="4"/>
      <c r="AC668" s="34"/>
      <c r="AD668" s="36" t="s">
        <v>68</v>
      </c>
      <c r="AE668" s="119" t="s">
        <v>68</v>
      </c>
      <c r="AF668" s="119" t="s">
        <v>68</v>
      </c>
      <c r="AG668" s="7" t="s">
        <v>68</v>
      </c>
      <c r="AH668" s="116" t="s">
        <v>68</v>
      </c>
      <c r="AI668" s="35" t="s">
        <v>68</v>
      </c>
      <c r="AJ668" s="1" t="s">
        <v>68</v>
      </c>
      <c r="AK668" s="5"/>
      <c r="AL668" s="1" t="s">
        <v>68</v>
      </c>
      <c r="AM668" s="5"/>
      <c r="AN668" s="1" t="s">
        <v>68</v>
      </c>
      <c r="AO668" s="5"/>
      <c r="AP668" s="306"/>
      <c r="AQ668" s="37">
        <v>0</v>
      </c>
      <c r="AR668" s="1031">
        <v>0</v>
      </c>
      <c r="AS668" s="1018">
        <v>0</v>
      </c>
      <c r="AT668" s="32" t="s">
        <v>68</v>
      </c>
      <c r="AU668" s="12" t="s">
        <v>68</v>
      </c>
      <c r="AV668" s="243" t="s">
        <v>68</v>
      </c>
      <c r="AW668" s="54" t="s">
        <v>68</v>
      </c>
      <c r="AX668" s="32" t="s">
        <v>68</v>
      </c>
      <c r="AY668" s="5"/>
      <c r="AZ668" s="5"/>
      <c r="BA668" s="12"/>
      <c r="BB668" s="32" t="s">
        <v>68</v>
      </c>
      <c r="BC668" s="341"/>
      <c r="BD668" s="5"/>
      <c r="BE668" s="5"/>
      <c r="BF668" s="5"/>
      <c r="BG668" s="38"/>
      <c r="BH668" s="14" t="s">
        <v>68</v>
      </c>
      <c r="BI668" s="1053" t="s">
        <v>68</v>
      </c>
      <c r="BJ668" s="1052" t="s">
        <v>68</v>
      </c>
      <c r="BK668" s="1052" t="s">
        <v>68</v>
      </c>
      <c r="BL668" s="1649" t="s">
        <v>68</v>
      </c>
      <c r="BM668" s="1649" t="s">
        <v>68</v>
      </c>
      <c r="BN668" s="1649" t="s">
        <v>68</v>
      </c>
      <c r="BO668" s="1649" t="s">
        <v>68</v>
      </c>
      <c r="BP668" s="1649" t="s">
        <v>68</v>
      </c>
      <c r="BQ668" s="1649" t="s">
        <v>68</v>
      </c>
      <c r="BR668" s="1649" t="s">
        <v>68</v>
      </c>
      <c r="BS668" s="1053" t="s">
        <v>68</v>
      </c>
      <c r="BT668" s="14"/>
      <c r="BU668" s="23"/>
      <c r="BV668" s="23"/>
      <c r="BW668" s="23"/>
      <c r="BX668" s="23"/>
      <c r="BY668" s="1433" t="s">
        <v>3989</v>
      </c>
      <c r="BZ668" s="987"/>
      <c r="CA668" s="582"/>
      <c r="CB668" s="582"/>
      <c r="CC668" s="582"/>
      <c r="CD668" s="582"/>
      <c r="CE668" s="582"/>
      <c r="CF668" s="582"/>
      <c r="CG668" s="582"/>
      <c r="CH668" s="16"/>
    </row>
    <row r="669" spans="2:86" ht="207" hidden="1" customHeight="1">
      <c r="B669" s="23"/>
      <c r="C669" s="23"/>
      <c r="D669" s="23"/>
      <c r="E669" s="1051"/>
      <c r="F669" s="1051"/>
      <c r="G669" s="1055"/>
      <c r="H669" s="365"/>
      <c r="I669" s="182">
        <v>2023</v>
      </c>
      <c r="J669" s="1678"/>
      <c r="K669" s="183" t="s">
        <v>166</v>
      </c>
      <c r="L669" s="191" t="s">
        <v>4902</v>
      </c>
      <c r="M669" s="185" t="s">
        <v>45</v>
      </c>
      <c r="N669" s="186" t="s">
        <v>5641</v>
      </c>
      <c r="O669" s="186" t="s">
        <v>4458</v>
      </c>
      <c r="P669" s="187">
        <f>18000*1.16</f>
        <v>20880</v>
      </c>
      <c r="Q669" s="1403">
        <v>45007</v>
      </c>
      <c r="R669" s="189">
        <v>45009</v>
      </c>
      <c r="S669" s="190">
        <v>45016</v>
      </c>
      <c r="T669" s="111" t="s">
        <v>68</v>
      </c>
      <c r="U669" s="191" t="s">
        <v>4003</v>
      </c>
      <c r="V669" s="183" t="s">
        <v>472</v>
      </c>
      <c r="W669" s="220" t="s">
        <v>68</v>
      </c>
      <c r="X669" s="406" t="s">
        <v>68</v>
      </c>
      <c r="Y669" s="35"/>
      <c r="Z669" s="9"/>
      <c r="AA669" s="4"/>
      <c r="AB669" s="4"/>
      <c r="AC669" s="34"/>
      <c r="AD669" s="36" t="s">
        <v>68</v>
      </c>
      <c r="AE669" s="119" t="s">
        <v>68</v>
      </c>
      <c r="AF669" s="119" t="s">
        <v>68</v>
      </c>
      <c r="AG669" s="7" t="s">
        <v>68</v>
      </c>
      <c r="AH669" s="116" t="s">
        <v>68</v>
      </c>
      <c r="AI669" s="35" t="s">
        <v>68</v>
      </c>
      <c r="AJ669" s="1" t="s">
        <v>68</v>
      </c>
      <c r="AK669" s="5"/>
      <c r="AL669" s="1" t="s">
        <v>68</v>
      </c>
      <c r="AM669" s="5"/>
      <c r="AN669" s="1" t="s">
        <v>68</v>
      </c>
      <c r="AO669" s="5"/>
      <c r="AP669" s="306"/>
      <c r="AQ669" s="37">
        <v>0</v>
      </c>
      <c r="AR669" s="1031">
        <v>0</v>
      </c>
      <c r="AS669" s="1018">
        <v>0</v>
      </c>
      <c r="AT669" s="32" t="s">
        <v>68</v>
      </c>
      <c r="AU669" s="12" t="s">
        <v>68</v>
      </c>
      <c r="AV669" s="243" t="s">
        <v>68</v>
      </c>
      <c r="AW669" s="54" t="s">
        <v>68</v>
      </c>
      <c r="AX669" s="32" t="s">
        <v>68</v>
      </c>
      <c r="AY669" s="5"/>
      <c r="AZ669" s="5"/>
      <c r="BA669" s="12"/>
      <c r="BB669" s="32" t="s">
        <v>68</v>
      </c>
      <c r="BC669" s="341"/>
      <c r="BD669" s="5"/>
      <c r="BE669" s="5"/>
      <c r="BF669" s="5"/>
      <c r="BG669" s="38"/>
      <c r="BH669" s="14" t="s">
        <v>68</v>
      </c>
      <c r="BI669" s="1053" t="s">
        <v>68</v>
      </c>
      <c r="BJ669" s="1052" t="s">
        <v>68</v>
      </c>
      <c r="BK669" s="1052" t="s">
        <v>68</v>
      </c>
      <c r="BL669" s="1649" t="s">
        <v>68</v>
      </c>
      <c r="BM669" s="1649" t="s">
        <v>68</v>
      </c>
      <c r="BN669" s="1649" t="s">
        <v>68</v>
      </c>
      <c r="BO669" s="1649" t="s">
        <v>68</v>
      </c>
      <c r="BP669" s="1649" t="s">
        <v>68</v>
      </c>
      <c r="BQ669" s="1649" t="s">
        <v>68</v>
      </c>
      <c r="BR669" s="1649" t="s">
        <v>68</v>
      </c>
      <c r="BS669" s="1053" t="s">
        <v>68</v>
      </c>
      <c r="BT669" s="14"/>
      <c r="BU669" s="23"/>
      <c r="BV669" s="23"/>
      <c r="BW669" s="23"/>
      <c r="BX669" s="23"/>
      <c r="BY669" s="1433" t="s">
        <v>3989</v>
      </c>
      <c r="BZ669" s="987"/>
      <c r="CA669" s="582"/>
      <c r="CB669" s="582"/>
      <c r="CC669" s="582"/>
      <c r="CD669" s="582"/>
      <c r="CE669" s="582"/>
      <c r="CF669" s="582"/>
      <c r="CG669" s="582"/>
      <c r="CH669" s="16"/>
    </row>
    <row r="670" spans="2:86" ht="183" hidden="1" customHeight="1">
      <c r="B670" s="23"/>
      <c r="C670" s="23"/>
      <c r="D670" s="23"/>
      <c r="E670" s="1051"/>
      <c r="F670" s="1051"/>
      <c r="G670" s="1055"/>
      <c r="H670" s="365"/>
      <c r="I670" s="182">
        <v>2023</v>
      </c>
      <c r="J670" s="1678"/>
      <c r="K670" s="183" t="s">
        <v>166</v>
      </c>
      <c r="L670" s="191" t="s">
        <v>4903</v>
      </c>
      <c r="M670" s="185" t="s">
        <v>45</v>
      </c>
      <c r="N670" s="186" t="s">
        <v>5642</v>
      </c>
      <c r="O670" s="186" t="s">
        <v>4458</v>
      </c>
      <c r="P670" s="187">
        <f>24000*1.16</f>
        <v>27839.999999999996</v>
      </c>
      <c r="Q670" s="1403">
        <v>45009</v>
      </c>
      <c r="R670" s="189">
        <v>45013</v>
      </c>
      <c r="S670" s="190">
        <v>45016</v>
      </c>
      <c r="T670" s="111" t="s">
        <v>68</v>
      </c>
      <c r="U670" s="191" t="s">
        <v>4003</v>
      </c>
      <c r="V670" s="183" t="s">
        <v>472</v>
      </c>
      <c r="W670" s="220" t="s">
        <v>68</v>
      </c>
      <c r="X670" s="406" t="s">
        <v>68</v>
      </c>
      <c r="Y670" s="35"/>
      <c r="Z670" s="9"/>
      <c r="AA670" s="4"/>
      <c r="AB670" s="4"/>
      <c r="AC670" s="34"/>
      <c r="AD670" s="36" t="s">
        <v>68</v>
      </c>
      <c r="AE670" s="119" t="s">
        <v>68</v>
      </c>
      <c r="AF670" s="119" t="s">
        <v>68</v>
      </c>
      <c r="AG670" s="7" t="s">
        <v>68</v>
      </c>
      <c r="AH670" s="116" t="s">
        <v>68</v>
      </c>
      <c r="AI670" s="35" t="s">
        <v>68</v>
      </c>
      <c r="AJ670" s="1" t="s">
        <v>68</v>
      </c>
      <c r="AK670" s="5"/>
      <c r="AL670" s="1" t="s">
        <v>68</v>
      </c>
      <c r="AM670" s="5"/>
      <c r="AN670" s="1" t="s">
        <v>68</v>
      </c>
      <c r="AO670" s="5"/>
      <c r="AP670" s="306"/>
      <c r="AQ670" s="37">
        <v>0</v>
      </c>
      <c r="AR670" s="1031">
        <v>0</v>
      </c>
      <c r="AS670" s="1018">
        <v>0</v>
      </c>
      <c r="AT670" s="32" t="s">
        <v>68</v>
      </c>
      <c r="AU670" s="12" t="s">
        <v>68</v>
      </c>
      <c r="AV670" s="243" t="s">
        <v>68</v>
      </c>
      <c r="AW670" s="54" t="s">
        <v>68</v>
      </c>
      <c r="AX670" s="32" t="s">
        <v>68</v>
      </c>
      <c r="AY670" s="5"/>
      <c r="AZ670" s="5"/>
      <c r="BA670" s="12"/>
      <c r="BB670" s="32" t="s">
        <v>68</v>
      </c>
      <c r="BC670" s="341"/>
      <c r="BD670" s="5"/>
      <c r="BE670" s="5"/>
      <c r="BF670" s="5"/>
      <c r="BG670" s="38"/>
      <c r="BH670" s="14" t="s">
        <v>68</v>
      </c>
      <c r="BI670" s="1053" t="s">
        <v>68</v>
      </c>
      <c r="BJ670" s="1052" t="s">
        <v>68</v>
      </c>
      <c r="BK670" s="1052" t="s">
        <v>68</v>
      </c>
      <c r="BL670" s="1649" t="s">
        <v>68</v>
      </c>
      <c r="BM670" s="1649" t="s">
        <v>68</v>
      </c>
      <c r="BN670" s="1649" t="s">
        <v>68</v>
      </c>
      <c r="BO670" s="1649" t="s">
        <v>68</v>
      </c>
      <c r="BP670" s="1649" t="s">
        <v>68</v>
      </c>
      <c r="BQ670" s="1649" t="s">
        <v>68</v>
      </c>
      <c r="BR670" s="1649" t="s">
        <v>68</v>
      </c>
      <c r="BS670" s="1053" t="s">
        <v>68</v>
      </c>
      <c r="BT670" s="14"/>
      <c r="BU670" s="23"/>
      <c r="BV670" s="23"/>
      <c r="BW670" s="23"/>
      <c r="BX670" s="23"/>
      <c r="BY670" s="1433" t="s">
        <v>3989</v>
      </c>
      <c r="BZ670" s="987"/>
      <c r="CA670" s="582"/>
      <c r="CB670" s="582"/>
      <c r="CC670" s="582"/>
      <c r="CD670" s="582"/>
      <c r="CE670" s="582"/>
      <c r="CF670" s="582"/>
      <c r="CG670" s="582"/>
      <c r="CH670" s="16"/>
    </row>
    <row r="671" spans="2:86" ht="111" hidden="1" customHeight="1">
      <c r="B671" s="23"/>
      <c r="C671" s="23"/>
      <c r="D671" s="23"/>
      <c r="E671" s="1051"/>
      <c r="F671" s="1051"/>
      <c r="G671" s="1055"/>
      <c r="H671" s="365"/>
      <c r="I671" s="182">
        <v>2023</v>
      </c>
      <c r="J671" s="1678"/>
      <c r="K671" s="183" t="s">
        <v>166</v>
      </c>
      <c r="L671" s="191" t="s">
        <v>5607</v>
      </c>
      <c r="M671" s="185" t="s">
        <v>45</v>
      </c>
      <c r="N671" s="186" t="s">
        <v>5643</v>
      </c>
      <c r="O671" s="186" t="s">
        <v>4878</v>
      </c>
      <c r="P671" s="187">
        <f>16000*1.16</f>
        <v>18560</v>
      </c>
      <c r="Q671" s="1403">
        <v>44988</v>
      </c>
      <c r="R671" s="189">
        <v>44991</v>
      </c>
      <c r="S671" s="190">
        <v>44995</v>
      </c>
      <c r="T671" s="111" t="s">
        <v>68</v>
      </c>
      <c r="U671" s="191" t="s">
        <v>5644</v>
      </c>
      <c r="V671" s="183" t="s">
        <v>472</v>
      </c>
      <c r="W671" s="220" t="s">
        <v>68</v>
      </c>
      <c r="X671" s="406" t="s">
        <v>68</v>
      </c>
      <c r="Y671" s="35"/>
      <c r="Z671" s="9"/>
      <c r="AA671" s="4"/>
      <c r="AB671" s="4"/>
      <c r="AC671" s="34"/>
      <c r="AD671" s="36" t="s">
        <v>68</v>
      </c>
      <c r="AE671" s="119" t="s">
        <v>68</v>
      </c>
      <c r="AF671" s="119" t="s">
        <v>68</v>
      </c>
      <c r="AG671" s="7" t="s">
        <v>68</v>
      </c>
      <c r="AH671" s="116" t="s">
        <v>68</v>
      </c>
      <c r="AI671" s="35" t="s">
        <v>68</v>
      </c>
      <c r="AJ671" s="1" t="s">
        <v>68</v>
      </c>
      <c r="AK671" s="5"/>
      <c r="AL671" s="1" t="s">
        <v>68</v>
      </c>
      <c r="AM671" s="5"/>
      <c r="AN671" s="1" t="s">
        <v>68</v>
      </c>
      <c r="AO671" s="5"/>
      <c r="AP671" s="306"/>
      <c r="AQ671" s="37">
        <v>0</v>
      </c>
      <c r="AR671" s="1031">
        <v>0</v>
      </c>
      <c r="AS671" s="1018">
        <v>0</v>
      </c>
      <c r="AT671" s="32" t="s">
        <v>68</v>
      </c>
      <c r="AU671" s="12" t="s">
        <v>68</v>
      </c>
      <c r="AV671" s="243" t="s">
        <v>68</v>
      </c>
      <c r="AW671" s="54" t="s">
        <v>68</v>
      </c>
      <c r="AX671" s="32" t="s">
        <v>68</v>
      </c>
      <c r="AY671" s="5"/>
      <c r="AZ671" s="5"/>
      <c r="BA671" s="12"/>
      <c r="BB671" s="32" t="s">
        <v>68</v>
      </c>
      <c r="BC671" s="341"/>
      <c r="BD671" s="5"/>
      <c r="BE671" s="5"/>
      <c r="BF671" s="5"/>
      <c r="BG671" s="38"/>
      <c r="BH671" s="14" t="s">
        <v>68</v>
      </c>
      <c r="BI671" s="1053" t="s">
        <v>68</v>
      </c>
      <c r="BJ671" s="1052" t="s">
        <v>68</v>
      </c>
      <c r="BK671" s="1052" t="s">
        <v>68</v>
      </c>
      <c r="BL671" s="1649" t="s">
        <v>68</v>
      </c>
      <c r="BM671" s="1649" t="s">
        <v>68</v>
      </c>
      <c r="BN671" s="1649" t="s">
        <v>68</v>
      </c>
      <c r="BO671" s="1649" t="s">
        <v>68</v>
      </c>
      <c r="BP671" s="1649" t="s">
        <v>68</v>
      </c>
      <c r="BQ671" s="1649" t="s">
        <v>68</v>
      </c>
      <c r="BR671" s="1649" t="s">
        <v>68</v>
      </c>
      <c r="BS671" s="1053" t="s">
        <v>68</v>
      </c>
      <c r="BT671" s="14"/>
      <c r="BU671" s="23"/>
      <c r="BV671" s="23"/>
      <c r="BW671" s="23"/>
      <c r="BX671" s="23"/>
      <c r="BY671" s="1433" t="s">
        <v>3989</v>
      </c>
      <c r="BZ671" s="987"/>
      <c r="CA671" s="582"/>
      <c r="CB671" s="582"/>
      <c r="CC671" s="582"/>
      <c r="CD671" s="582"/>
      <c r="CE671" s="582"/>
      <c r="CF671" s="582"/>
      <c r="CG671" s="582"/>
      <c r="CH671" s="16"/>
    </row>
    <row r="672" spans="2:86" ht="112.5" hidden="1" customHeight="1">
      <c r="B672" s="23"/>
      <c r="C672" s="23"/>
      <c r="D672" s="23"/>
      <c r="E672" s="1051"/>
      <c r="F672" s="1051"/>
      <c r="G672" s="1055"/>
      <c r="H672" s="365"/>
      <c r="I672" s="182">
        <v>2023</v>
      </c>
      <c r="J672" s="1678"/>
      <c r="K672" s="183" t="s">
        <v>166</v>
      </c>
      <c r="L672" s="191" t="s">
        <v>5608</v>
      </c>
      <c r="M672" s="185" t="s">
        <v>45</v>
      </c>
      <c r="N672" s="186" t="s">
        <v>5645</v>
      </c>
      <c r="O672" s="186" t="s">
        <v>4458</v>
      </c>
      <c r="P672" s="187">
        <f>16000*1.16</f>
        <v>18560</v>
      </c>
      <c r="Q672" s="1403">
        <v>44995</v>
      </c>
      <c r="R672" s="189">
        <v>44998</v>
      </c>
      <c r="S672" s="190">
        <v>45002</v>
      </c>
      <c r="T672" s="111" t="s">
        <v>68</v>
      </c>
      <c r="U672" s="191" t="s">
        <v>5644</v>
      </c>
      <c r="V672" s="183" t="s">
        <v>472</v>
      </c>
      <c r="W672" s="220" t="s">
        <v>68</v>
      </c>
      <c r="X672" s="406" t="s">
        <v>68</v>
      </c>
      <c r="Y672" s="35"/>
      <c r="Z672" s="9"/>
      <c r="AA672" s="4"/>
      <c r="AB672" s="4"/>
      <c r="AC672" s="34"/>
      <c r="AD672" s="36" t="s">
        <v>68</v>
      </c>
      <c r="AE672" s="119" t="s">
        <v>68</v>
      </c>
      <c r="AF672" s="119" t="s">
        <v>68</v>
      </c>
      <c r="AG672" s="7" t="s">
        <v>68</v>
      </c>
      <c r="AH672" s="116" t="s">
        <v>68</v>
      </c>
      <c r="AI672" s="35" t="s">
        <v>68</v>
      </c>
      <c r="AJ672" s="1" t="s">
        <v>68</v>
      </c>
      <c r="AK672" s="5"/>
      <c r="AL672" s="1" t="s">
        <v>68</v>
      </c>
      <c r="AM672" s="5"/>
      <c r="AN672" s="1" t="s">
        <v>68</v>
      </c>
      <c r="AO672" s="5"/>
      <c r="AP672" s="306"/>
      <c r="AQ672" s="37">
        <v>0</v>
      </c>
      <c r="AR672" s="1031">
        <v>0</v>
      </c>
      <c r="AS672" s="1018">
        <v>0</v>
      </c>
      <c r="AT672" s="32" t="s">
        <v>68</v>
      </c>
      <c r="AU672" s="12" t="s">
        <v>68</v>
      </c>
      <c r="AV672" s="243" t="s">
        <v>68</v>
      </c>
      <c r="AW672" s="54" t="s">
        <v>68</v>
      </c>
      <c r="AX672" s="32" t="s">
        <v>68</v>
      </c>
      <c r="AY672" s="5"/>
      <c r="AZ672" s="5"/>
      <c r="BA672" s="12"/>
      <c r="BB672" s="32" t="s">
        <v>68</v>
      </c>
      <c r="BC672" s="341"/>
      <c r="BD672" s="5"/>
      <c r="BE672" s="5"/>
      <c r="BF672" s="5"/>
      <c r="BG672" s="38"/>
      <c r="BH672" s="14" t="s">
        <v>68</v>
      </c>
      <c r="BI672" s="1053" t="s">
        <v>68</v>
      </c>
      <c r="BJ672" s="1052" t="s">
        <v>68</v>
      </c>
      <c r="BK672" s="1052" t="s">
        <v>68</v>
      </c>
      <c r="BL672" s="1649" t="s">
        <v>68</v>
      </c>
      <c r="BM672" s="1649" t="s">
        <v>68</v>
      </c>
      <c r="BN672" s="1649" t="s">
        <v>68</v>
      </c>
      <c r="BO672" s="1649" t="s">
        <v>68</v>
      </c>
      <c r="BP672" s="1649" t="s">
        <v>68</v>
      </c>
      <c r="BQ672" s="1649" t="s">
        <v>68</v>
      </c>
      <c r="BR672" s="1649" t="s">
        <v>68</v>
      </c>
      <c r="BS672" s="1053" t="s">
        <v>68</v>
      </c>
      <c r="BT672" s="14"/>
      <c r="BU672" s="23"/>
      <c r="BV672" s="23"/>
      <c r="BW672" s="23"/>
      <c r="BX672" s="23"/>
      <c r="BY672" s="1433" t="s">
        <v>3989</v>
      </c>
      <c r="BZ672" s="987"/>
      <c r="CA672" s="582"/>
      <c r="CB672" s="582"/>
      <c r="CC672" s="582"/>
      <c r="CD672" s="582"/>
      <c r="CE672" s="582"/>
      <c r="CF672" s="582"/>
      <c r="CG672" s="582"/>
      <c r="CH672" s="16"/>
    </row>
    <row r="673" spans="2:86" ht="99.75" hidden="1" customHeight="1">
      <c r="B673" s="23"/>
      <c r="C673" s="23"/>
      <c r="D673" s="23"/>
      <c r="E673" s="1051"/>
      <c r="F673" s="1051"/>
      <c r="G673" s="1055"/>
      <c r="H673" s="365"/>
      <c r="I673" s="182">
        <v>2023</v>
      </c>
      <c r="J673" s="1678"/>
      <c r="K673" s="183" t="s">
        <v>166</v>
      </c>
      <c r="L673" s="191" t="s">
        <v>5609</v>
      </c>
      <c r="M673" s="185" t="s">
        <v>45</v>
      </c>
      <c r="N673" s="186" t="s">
        <v>5646</v>
      </c>
      <c r="O673" s="186" t="s">
        <v>1979</v>
      </c>
      <c r="P673" s="187">
        <f>16000*1.16</f>
        <v>18560</v>
      </c>
      <c r="Q673" s="1403">
        <v>45002</v>
      </c>
      <c r="R673" s="189">
        <v>45005</v>
      </c>
      <c r="S673" s="190">
        <v>45009</v>
      </c>
      <c r="T673" s="111" t="s">
        <v>68</v>
      </c>
      <c r="U673" s="191" t="s">
        <v>5644</v>
      </c>
      <c r="V673" s="183" t="s">
        <v>472</v>
      </c>
      <c r="W673" s="220" t="s">
        <v>68</v>
      </c>
      <c r="X673" s="406" t="s">
        <v>68</v>
      </c>
      <c r="Y673" s="35"/>
      <c r="Z673" s="9"/>
      <c r="AA673" s="4"/>
      <c r="AB673" s="4"/>
      <c r="AC673" s="34"/>
      <c r="AD673" s="36" t="s">
        <v>68</v>
      </c>
      <c r="AE673" s="119" t="s">
        <v>68</v>
      </c>
      <c r="AF673" s="119" t="s">
        <v>68</v>
      </c>
      <c r="AG673" s="7" t="s">
        <v>68</v>
      </c>
      <c r="AH673" s="116" t="s">
        <v>68</v>
      </c>
      <c r="AI673" s="35" t="s">
        <v>68</v>
      </c>
      <c r="AJ673" s="1" t="s">
        <v>68</v>
      </c>
      <c r="AK673" s="5"/>
      <c r="AL673" s="1" t="s">
        <v>68</v>
      </c>
      <c r="AM673" s="5"/>
      <c r="AN673" s="1" t="s">
        <v>68</v>
      </c>
      <c r="AO673" s="5"/>
      <c r="AP673" s="306"/>
      <c r="AQ673" s="37">
        <v>0</v>
      </c>
      <c r="AR673" s="1031">
        <v>0</v>
      </c>
      <c r="AS673" s="1018">
        <v>0</v>
      </c>
      <c r="AT673" s="32" t="s">
        <v>68</v>
      </c>
      <c r="AU673" s="12" t="s">
        <v>68</v>
      </c>
      <c r="AV673" s="243" t="s">
        <v>68</v>
      </c>
      <c r="AW673" s="54" t="s">
        <v>68</v>
      </c>
      <c r="AX673" s="32" t="s">
        <v>68</v>
      </c>
      <c r="AY673" s="5"/>
      <c r="AZ673" s="5"/>
      <c r="BA673" s="12"/>
      <c r="BB673" s="32" t="s">
        <v>68</v>
      </c>
      <c r="BC673" s="341"/>
      <c r="BD673" s="5"/>
      <c r="BE673" s="5"/>
      <c r="BF673" s="5"/>
      <c r="BG673" s="38"/>
      <c r="BH673" s="14" t="s">
        <v>68</v>
      </c>
      <c r="BI673" s="1053" t="s">
        <v>68</v>
      </c>
      <c r="BJ673" s="1052" t="s">
        <v>68</v>
      </c>
      <c r="BK673" s="1052" t="s">
        <v>68</v>
      </c>
      <c r="BL673" s="1649" t="s">
        <v>68</v>
      </c>
      <c r="BM673" s="1649" t="s">
        <v>68</v>
      </c>
      <c r="BN673" s="1649" t="s">
        <v>68</v>
      </c>
      <c r="BO673" s="1649" t="s">
        <v>68</v>
      </c>
      <c r="BP673" s="1649" t="s">
        <v>68</v>
      </c>
      <c r="BQ673" s="1649" t="s">
        <v>68</v>
      </c>
      <c r="BR673" s="1649" t="s">
        <v>68</v>
      </c>
      <c r="BS673" s="1053" t="s">
        <v>68</v>
      </c>
      <c r="BT673" s="14"/>
      <c r="BU673" s="23"/>
      <c r="BV673" s="23"/>
      <c r="BW673" s="23"/>
      <c r="BX673" s="23"/>
      <c r="BY673" s="1433" t="s">
        <v>3989</v>
      </c>
      <c r="BZ673" s="987"/>
      <c r="CA673" s="582"/>
      <c r="CB673" s="582"/>
      <c r="CC673" s="582"/>
      <c r="CD673" s="582"/>
      <c r="CE673" s="582"/>
      <c r="CF673" s="582"/>
      <c r="CG673" s="582"/>
      <c r="CH673" s="16"/>
    </row>
    <row r="674" spans="2:86" ht="113.25" hidden="1" customHeight="1">
      <c r="B674" s="23"/>
      <c r="C674" s="23"/>
      <c r="D674" s="23"/>
      <c r="E674" s="1051"/>
      <c r="F674" s="1051"/>
      <c r="G674" s="1055"/>
      <c r="H674" s="365"/>
      <c r="I674" s="182">
        <v>2023</v>
      </c>
      <c r="J674" s="1678"/>
      <c r="K674" s="183" t="s">
        <v>166</v>
      </c>
      <c r="L674" s="191" t="s">
        <v>5610</v>
      </c>
      <c r="M674" s="185" t="s">
        <v>45</v>
      </c>
      <c r="N674" s="186" t="s">
        <v>5647</v>
      </c>
      <c r="O674" s="186" t="s">
        <v>4458</v>
      </c>
      <c r="P674" s="187">
        <f>16000*1.16</f>
        <v>18560</v>
      </c>
      <c r="Q674" s="1403">
        <v>45001</v>
      </c>
      <c r="R674" s="189">
        <v>45005</v>
      </c>
      <c r="S674" s="190">
        <v>45009</v>
      </c>
      <c r="T674" s="111" t="s">
        <v>68</v>
      </c>
      <c r="U674" s="191" t="s">
        <v>5644</v>
      </c>
      <c r="V674" s="183" t="s">
        <v>472</v>
      </c>
      <c r="W674" s="220" t="s">
        <v>68</v>
      </c>
      <c r="X674" s="406" t="s">
        <v>68</v>
      </c>
      <c r="Y674" s="35"/>
      <c r="Z674" s="9"/>
      <c r="AA674" s="4"/>
      <c r="AB674" s="4"/>
      <c r="AC674" s="34"/>
      <c r="AD674" s="36" t="s">
        <v>68</v>
      </c>
      <c r="AE674" s="119" t="s">
        <v>68</v>
      </c>
      <c r="AF674" s="119" t="s">
        <v>68</v>
      </c>
      <c r="AG674" s="7" t="s">
        <v>68</v>
      </c>
      <c r="AH674" s="116" t="s">
        <v>68</v>
      </c>
      <c r="AI674" s="35" t="s">
        <v>68</v>
      </c>
      <c r="AJ674" s="1" t="s">
        <v>68</v>
      </c>
      <c r="AK674" s="5"/>
      <c r="AL674" s="1" t="s">
        <v>68</v>
      </c>
      <c r="AM674" s="5"/>
      <c r="AN674" s="1" t="s">
        <v>68</v>
      </c>
      <c r="AO674" s="5"/>
      <c r="AP674" s="306"/>
      <c r="AQ674" s="37">
        <v>0</v>
      </c>
      <c r="AR674" s="1031">
        <v>0</v>
      </c>
      <c r="AS674" s="1018">
        <v>0</v>
      </c>
      <c r="AT674" s="32" t="s">
        <v>68</v>
      </c>
      <c r="AU674" s="12" t="s">
        <v>68</v>
      </c>
      <c r="AV674" s="243" t="s">
        <v>68</v>
      </c>
      <c r="AW674" s="54" t="s">
        <v>68</v>
      </c>
      <c r="AX674" s="32" t="s">
        <v>68</v>
      </c>
      <c r="AY674" s="5"/>
      <c r="AZ674" s="5"/>
      <c r="BA674" s="12"/>
      <c r="BB674" s="32" t="s">
        <v>68</v>
      </c>
      <c r="BC674" s="341"/>
      <c r="BD674" s="5"/>
      <c r="BE674" s="5"/>
      <c r="BF674" s="5"/>
      <c r="BG674" s="38"/>
      <c r="BH674" s="14" t="s">
        <v>68</v>
      </c>
      <c r="BI674" s="1053" t="s">
        <v>68</v>
      </c>
      <c r="BJ674" s="1052" t="s">
        <v>68</v>
      </c>
      <c r="BK674" s="1052" t="s">
        <v>68</v>
      </c>
      <c r="BL674" s="1649" t="s">
        <v>68</v>
      </c>
      <c r="BM674" s="1649" t="s">
        <v>68</v>
      </c>
      <c r="BN674" s="1649" t="s">
        <v>68</v>
      </c>
      <c r="BO674" s="1649" t="s">
        <v>68</v>
      </c>
      <c r="BP674" s="1649" t="s">
        <v>68</v>
      </c>
      <c r="BQ674" s="1649" t="s">
        <v>68</v>
      </c>
      <c r="BR674" s="1649" t="s">
        <v>68</v>
      </c>
      <c r="BS674" s="1053" t="s">
        <v>68</v>
      </c>
      <c r="BT674" s="14"/>
      <c r="BU674" s="23"/>
      <c r="BV674" s="23"/>
      <c r="BW674" s="23"/>
      <c r="BX674" s="23"/>
      <c r="BY674" s="1433" t="s">
        <v>3989</v>
      </c>
      <c r="BZ674" s="987"/>
      <c r="CA674" s="582"/>
      <c r="CB674" s="582"/>
      <c r="CC674" s="582"/>
      <c r="CD674" s="582"/>
      <c r="CE674" s="582"/>
      <c r="CF674" s="582"/>
      <c r="CG674" s="582"/>
      <c r="CH674" s="16"/>
    </row>
    <row r="675" spans="2:86" ht="86.25" hidden="1" customHeight="1">
      <c r="B675" s="23"/>
      <c r="C675" s="23"/>
      <c r="D675" s="23"/>
      <c r="E675" s="1051"/>
      <c r="F675" s="1051"/>
      <c r="G675" s="1055"/>
      <c r="H675" s="365"/>
      <c r="I675" s="182">
        <v>2023</v>
      </c>
      <c r="J675" s="1678"/>
      <c r="K675" s="183" t="s">
        <v>166</v>
      </c>
      <c r="L675" s="191" t="s">
        <v>5611</v>
      </c>
      <c r="M675" s="185" t="s">
        <v>45</v>
      </c>
      <c r="N675" s="186" t="s">
        <v>5648</v>
      </c>
      <c r="O675" s="186" t="s">
        <v>4459</v>
      </c>
      <c r="P675" s="187">
        <f>10000*1.16</f>
        <v>11600</v>
      </c>
      <c r="Q675" s="1403">
        <v>45005</v>
      </c>
      <c r="R675" s="189">
        <v>45012</v>
      </c>
      <c r="S675" s="190">
        <v>45016</v>
      </c>
      <c r="T675" s="111" t="s">
        <v>68</v>
      </c>
      <c r="U675" s="191" t="s">
        <v>739</v>
      </c>
      <c r="V675" s="183" t="s">
        <v>472</v>
      </c>
      <c r="W675" s="220" t="s">
        <v>68</v>
      </c>
      <c r="X675" s="406" t="s">
        <v>68</v>
      </c>
      <c r="Y675" s="35"/>
      <c r="Z675" s="9"/>
      <c r="AA675" s="4"/>
      <c r="AB675" s="4"/>
      <c r="AC675" s="34"/>
      <c r="AD675" s="36" t="s">
        <v>68</v>
      </c>
      <c r="AE675" s="119" t="s">
        <v>68</v>
      </c>
      <c r="AF675" s="119" t="s">
        <v>68</v>
      </c>
      <c r="AG675" s="7" t="s">
        <v>68</v>
      </c>
      <c r="AH675" s="116" t="s">
        <v>68</v>
      </c>
      <c r="AI675" s="35" t="s">
        <v>68</v>
      </c>
      <c r="AJ675" s="1" t="s">
        <v>68</v>
      </c>
      <c r="AK675" s="5"/>
      <c r="AL675" s="1" t="s">
        <v>68</v>
      </c>
      <c r="AM675" s="5"/>
      <c r="AN675" s="1" t="s">
        <v>68</v>
      </c>
      <c r="AO675" s="5"/>
      <c r="AP675" s="306"/>
      <c r="AQ675" s="37">
        <v>0</v>
      </c>
      <c r="AR675" s="1031">
        <v>0</v>
      </c>
      <c r="AS675" s="1018">
        <v>0</v>
      </c>
      <c r="AT675" s="32" t="s">
        <v>68</v>
      </c>
      <c r="AU675" s="12" t="s">
        <v>68</v>
      </c>
      <c r="AV675" s="243" t="s">
        <v>68</v>
      </c>
      <c r="AW675" s="54" t="s">
        <v>68</v>
      </c>
      <c r="AX675" s="32" t="s">
        <v>68</v>
      </c>
      <c r="AY675" s="5"/>
      <c r="AZ675" s="5"/>
      <c r="BA675" s="12"/>
      <c r="BB675" s="32" t="s">
        <v>68</v>
      </c>
      <c r="BC675" s="341"/>
      <c r="BD675" s="5"/>
      <c r="BE675" s="5"/>
      <c r="BF675" s="5"/>
      <c r="BG675" s="38"/>
      <c r="BH675" s="14" t="s">
        <v>68</v>
      </c>
      <c r="BI675" s="1053" t="s">
        <v>68</v>
      </c>
      <c r="BJ675" s="1052" t="s">
        <v>68</v>
      </c>
      <c r="BK675" s="1052" t="s">
        <v>68</v>
      </c>
      <c r="BL675" s="1649" t="s">
        <v>68</v>
      </c>
      <c r="BM675" s="1649" t="s">
        <v>68</v>
      </c>
      <c r="BN675" s="1649" t="s">
        <v>68</v>
      </c>
      <c r="BO675" s="1649" t="s">
        <v>68</v>
      </c>
      <c r="BP675" s="1649" t="s">
        <v>68</v>
      </c>
      <c r="BQ675" s="1649" t="s">
        <v>68</v>
      </c>
      <c r="BR675" s="1649" t="s">
        <v>68</v>
      </c>
      <c r="BS675" s="1053" t="s">
        <v>68</v>
      </c>
      <c r="BT675" s="14"/>
      <c r="BU675" s="23"/>
      <c r="BV675" s="23"/>
      <c r="BW675" s="23"/>
      <c r="BX675" s="23"/>
      <c r="BY675" s="1433" t="s">
        <v>3989</v>
      </c>
      <c r="BZ675" s="987"/>
      <c r="CA675" s="582"/>
      <c r="CB675" s="582"/>
      <c r="CC675" s="582"/>
      <c r="CD675" s="582"/>
      <c r="CE675" s="582"/>
      <c r="CF675" s="582"/>
      <c r="CG675" s="582"/>
      <c r="CH675" s="16"/>
    </row>
    <row r="676" spans="2:86" ht="136.5" hidden="1" customHeight="1">
      <c r="B676" s="23"/>
      <c r="C676" s="23"/>
      <c r="D676" s="23"/>
      <c r="E676" s="1051"/>
      <c r="F676" s="1051"/>
      <c r="G676" s="1055"/>
      <c r="H676" s="365"/>
      <c r="I676" s="182">
        <v>2023</v>
      </c>
      <c r="J676" s="1678"/>
      <c r="K676" s="183" t="s">
        <v>166</v>
      </c>
      <c r="L676" s="191" t="s">
        <v>5612</v>
      </c>
      <c r="M676" s="185" t="s">
        <v>45</v>
      </c>
      <c r="N676" s="186" t="s">
        <v>5650</v>
      </c>
      <c r="O676" s="2040" t="s">
        <v>2650</v>
      </c>
      <c r="P676" s="2041">
        <f>27000*1.16</f>
        <v>31319.999999999996</v>
      </c>
      <c r="Q676" s="1403">
        <v>45029</v>
      </c>
      <c r="R676" s="189">
        <v>45033</v>
      </c>
      <c r="S676" s="190">
        <v>45037</v>
      </c>
      <c r="T676" s="111" t="s">
        <v>68</v>
      </c>
      <c r="U676" s="191" t="s">
        <v>739</v>
      </c>
      <c r="V676" s="183" t="s">
        <v>472</v>
      </c>
      <c r="W676" s="220" t="s">
        <v>68</v>
      </c>
      <c r="X676" s="406" t="s">
        <v>68</v>
      </c>
      <c r="Y676" s="35"/>
      <c r="Z676" s="9"/>
      <c r="AA676" s="4"/>
      <c r="AB676" s="4"/>
      <c r="AC676" s="34"/>
      <c r="AD676" s="36" t="s">
        <v>68</v>
      </c>
      <c r="AE676" s="119" t="s">
        <v>68</v>
      </c>
      <c r="AF676" s="119" t="s">
        <v>68</v>
      </c>
      <c r="AG676" s="7" t="s">
        <v>68</v>
      </c>
      <c r="AH676" s="116" t="s">
        <v>68</v>
      </c>
      <c r="AI676" s="35" t="s">
        <v>68</v>
      </c>
      <c r="AJ676" s="1" t="s">
        <v>68</v>
      </c>
      <c r="AK676" s="5"/>
      <c r="AL676" s="1" t="s">
        <v>68</v>
      </c>
      <c r="AM676" s="5"/>
      <c r="AN676" s="1" t="s">
        <v>68</v>
      </c>
      <c r="AO676" s="5"/>
      <c r="AP676" s="306"/>
      <c r="AQ676" s="37">
        <v>0</v>
      </c>
      <c r="AR676" s="1031">
        <v>0</v>
      </c>
      <c r="AS676" s="1018">
        <v>0</v>
      </c>
      <c r="AT676" s="32" t="s">
        <v>68</v>
      </c>
      <c r="AU676" s="12" t="s">
        <v>68</v>
      </c>
      <c r="AV676" s="243" t="s">
        <v>68</v>
      </c>
      <c r="AW676" s="54" t="s">
        <v>68</v>
      </c>
      <c r="AX676" s="32" t="s">
        <v>68</v>
      </c>
      <c r="AY676" s="5"/>
      <c r="AZ676" s="5"/>
      <c r="BA676" s="12"/>
      <c r="BB676" s="32" t="s">
        <v>68</v>
      </c>
      <c r="BC676" s="341"/>
      <c r="BD676" s="5"/>
      <c r="BE676" s="5"/>
      <c r="BF676" s="5"/>
      <c r="BG676" s="38"/>
      <c r="BH676" s="14" t="s">
        <v>68</v>
      </c>
      <c r="BI676" s="1053" t="s">
        <v>68</v>
      </c>
      <c r="BJ676" s="1052" t="s">
        <v>68</v>
      </c>
      <c r="BK676" s="1052" t="s">
        <v>68</v>
      </c>
      <c r="BL676" s="1649" t="s">
        <v>68</v>
      </c>
      <c r="BM676" s="1649" t="s">
        <v>68</v>
      </c>
      <c r="BN676" s="1649" t="s">
        <v>68</v>
      </c>
      <c r="BO676" s="1649" t="s">
        <v>68</v>
      </c>
      <c r="BP676" s="1649" t="s">
        <v>68</v>
      </c>
      <c r="BQ676" s="1649" t="s">
        <v>68</v>
      </c>
      <c r="BR676" s="1649" t="s">
        <v>68</v>
      </c>
      <c r="BS676" s="1053" t="s">
        <v>68</v>
      </c>
      <c r="BT676" s="14"/>
      <c r="BU676" s="23"/>
      <c r="BV676" s="23"/>
      <c r="BW676" s="23"/>
      <c r="BX676" s="23"/>
      <c r="BY676" s="1433" t="s">
        <v>3989</v>
      </c>
      <c r="BZ676" s="987"/>
      <c r="CA676" s="582"/>
      <c r="CB676" s="582"/>
      <c r="CC676" s="582"/>
      <c r="CD676" s="582"/>
      <c r="CE676" s="582"/>
      <c r="CF676" s="582"/>
      <c r="CG676" s="582"/>
      <c r="CH676" s="16"/>
    </row>
    <row r="677" spans="2:86" ht="130.5" hidden="1" customHeight="1">
      <c r="B677" s="23"/>
      <c r="C677" s="23"/>
      <c r="D677" s="23"/>
      <c r="E677" s="1051"/>
      <c r="F677" s="1051"/>
      <c r="G677" s="1055"/>
      <c r="H677" s="365"/>
      <c r="I677" s="182">
        <v>2023</v>
      </c>
      <c r="J677" s="1678"/>
      <c r="K677" s="183" t="s">
        <v>166</v>
      </c>
      <c r="L677" s="191" t="s">
        <v>5613</v>
      </c>
      <c r="M677" s="185" t="s">
        <v>45</v>
      </c>
      <c r="N677" s="186" t="s">
        <v>5651</v>
      </c>
      <c r="O677" s="186" t="s">
        <v>1979</v>
      </c>
      <c r="P677" s="187">
        <f>20000*1.16</f>
        <v>23200</v>
      </c>
      <c r="Q677" s="188">
        <v>45065</v>
      </c>
      <c r="R677" s="189">
        <v>45068</v>
      </c>
      <c r="S677" s="190">
        <v>45070</v>
      </c>
      <c r="T677" s="111" t="s">
        <v>68</v>
      </c>
      <c r="U677" s="191" t="s">
        <v>3026</v>
      </c>
      <c r="V677" s="183" t="s">
        <v>472</v>
      </c>
      <c r="W677" s="220" t="s">
        <v>68</v>
      </c>
      <c r="X677" s="406" t="s">
        <v>68</v>
      </c>
      <c r="Y677" s="35"/>
      <c r="Z677" s="9"/>
      <c r="AA677" s="4"/>
      <c r="AB677" s="4"/>
      <c r="AC677" s="34"/>
      <c r="AD677" s="36" t="s">
        <v>68</v>
      </c>
      <c r="AE677" s="119" t="s">
        <v>68</v>
      </c>
      <c r="AF677" s="119" t="s">
        <v>68</v>
      </c>
      <c r="AG677" s="7" t="s">
        <v>68</v>
      </c>
      <c r="AH677" s="116" t="s">
        <v>68</v>
      </c>
      <c r="AI677" s="35" t="s">
        <v>68</v>
      </c>
      <c r="AJ677" s="1" t="s">
        <v>68</v>
      </c>
      <c r="AK677" s="5"/>
      <c r="AL677" s="1" t="s">
        <v>68</v>
      </c>
      <c r="AM677" s="5"/>
      <c r="AN677" s="1" t="s">
        <v>68</v>
      </c>
      <c r="AO677" s="5"/>
      <c r="AP677" s="306"/>
      <c r="AQ677" s="37">
        <v>0</v>
      </c>
      <c r="AR677" s="1031">
        <v>0</v>
      </c>
      <c r="AS677" s="1018">
        <v>0</v>
      </c>
      <c r="AT677" s="32" t="s">
        <v>68</v>
      </c>
      <c r="AU677" s="12" t="s">
        <v>68</v>
      </c>
      <c r="AV677" s="243" t="s">
        <v>68</v>
      </c>
      <c r="AW677" s="54" t="s">
        <v>68</v>
      </c>
      <c r="AX677" s="32" t="s">
        <v>68</v>
      </c>
      <c r="AY677" s="5"/>
      <c r="AZ677" s="5"/>
      <c r="BA677" s="12"/>
      <c r="BB677" s="32" t="s">
        <v>68</v>
      </c>
      <c r="BC677" s="341"/>
      <c r="BD677" s="5"/>
      <c r="BE677" s="5"/>
      <c r="BF677" s="5"/>
      <c r="BG677" s="38"/>
      <c r="BH677" s="14" t="s">
        <v>68</v>
      </c>
      <c r="BI677" s="1053" t="s">
        <v>68</v>
      </c>
      <c r="BJ677" s="1052" t="s">
        <v>68</v>
      </c>
      <c r="BK677" s="1052" t="s">
        <v>68</v>
      </c>
      <c r="BL677" s="1649" t="s">
        <v>68</v>
      </c>
      <c r="BM677" s="1649" t="s">
        <v>68</v>
      </c>
      <c r="BN677" s="1649" t="s">
        <v>68</v>
      </c>
      <c r="BO677" s="1649" t="s">
        <v>68</v>
      </c>
      <c r="BP677" s="1649" t="s">
        <v>68</v>
      </c>
      <c r="BQ677" s="1649" t="s">
        <v>68</v>
      </c>
      <c r="BR677" s="1649" t="s">
        <v>68</v>
      </c>
      <c r="BS677" s="1053" t="s">
        <v>68</v>
      </c>
      <c r="BT677" s="14"/>
      <c r="BU677" s="23"/>
      <c r="BV677" s="23"/>
      <c r="BW677" s="23"/>
      <c r="BX677" s="23"/>
      <c r="BY677" s="1433" t="s">
        <v>3989</v>
      </c>
      <c r="BZ677" s="987"/>
      <c r="CA677" s="582"/>
      <c r="CB677" s="582"/>
      <c r="CC677" s="582"/>
      <c r="CD677" s="582"/>
      <c r="CE677" s="582"/>
      <c r="CF677" s="582"/>
      <c r="CG677" s="582"/>
      <c r="CH677" s="16"/>
    </row>
    <row r="678" spans="2:86" ht="119.25" hidden="1" customHeight="1">
      <c r="B678" s="23"/>
      <c r="C678" s="23"/>
      <c r="D678" s="23"/>
      <c r="E678" s="1051"/>
      <c r="F678" s="1051"/>
      <c r="G678" s="1055"/>
      <c r="H678" s="365"/>
      <c r="I678" s="182">
        <v>2023</v>
      </c>
      <c r="J678" s="1678"/>
      <c r="K678" s="183" t="s">
        <v>166</v>
      </c>
      <c r="L678" s="191" t="s">
        <v>5614</v>
      </c>
      <c r="M678" s="185" t="s">
        <v>45</v>
      </c>
      <c r="N678" s="186" t="s">
        <v>5652</v>
      </c>
      <c r="O678" s="186" t="s">
        <v>1979</v>
      </c>
      <c r="P678" s="187">
        <f>20000*1.16</f>
        <v>23200</v>
      </c>
      <c r="Q678" s="188">
        <v>45069</v>
      </c>
      <c r="R678" s="189">
        <v>45071</v>
      </c>
      <c r="S678" s="190">
        <v>45072</v>
      </c>
      <c r="T678" s="111" t="s">
        <v>68</v>
      </c>
      <c r="U678" s="191" t="s">
        <v>3026</v>
      </c>
      <c r="V678" s="183" t="s">
        <v>472</v>
      </c>
      <c r="W678" s="220" t="s">
        <v>68</v>
      </c>
      <c r="X678" s="406" t="s">
        <v>68</v>
      </c>
      <c r="Y678" s="35"/>
      <c r="Z678" s="9"/>
      <c r="AA678" s="4"/>
      <c r="AB678" s="4"/>
      <c r="AC678" s="34"/>
      <c r="AD678" s="36" t="s">
        <v>68</v>
      </c>
      <c r="AE678" s="119" t="s">
        <v>68</v>
      </c>
      <c r="AF678" s="119" t="s">
        <v>68</v>
      </c>
      <c r="AG678" s="7" t="s">
        <v>68</v>
      </c>
      <c r="AH678" s="116" t="s">
        <v>68</v>
      </c>
      <c r="AI678" s="35" t="s">
        <v>68</v>
      </c>
      <c r="AJ678" s="1" t="s">
        <v>68</v>
      </c>
      <c r="AK678" s="5"/>
      <c r="AL678" s="1" t="s">
        <v>68</v>
      </c>
      <c r="AM678" s="5"/>
      <c r="AN678" s="1" t="s">
        <v>68</v>
      </c>
      <c r="AO678" s="5"/>
      <c r="AP678" s="306"/>
      <c r="AQ678" s="37">
        <v>0</v>
      </c>
      <c r="AR678" s="1031">
        <v>0</v>
      </c>
      <c r="AS678" s="1018">
        <v>0</v>
      </c>
      <c r="AT678" s="32" t="s">
        <v>68</v>
      </c>
      <c r="AU678" s="12" t="s">
        <v>68</v>
      </c>
      <c r="AV678" s="243" t="s">
        <v>68</v>
      </c>
      <c r="AW678" s="54" t="s">
        <v>68</v>
      </c>
      <c r="AX678" s="32" t="s">
        <v>68</v>
      </c>
      <c r="AY678" s="5"/>
      <c r="AZ678" s="5"/>
      <c r="BA678" s="12"/>
      <c r="BB678" s="32" t="s">
        <v>68</v>
      </c>
      <c r="BC678" s="341"/>
      <c r="BD678" s="5"/>
      <c r="BE678" s="5"/>
      <c r="BF678" s="5"/>
      <c r="BG678" s="38"/>
      <c r="BH678" s="14" t="s">
        <v>68</v>
      </c>
      <c r="BI678" s="1053" t="s">
        <v>68</v>
      </c>
      <c r="BJ678" s="1052" t="s">
        <v>68</v>
      </c>
      <c r="BK678" s="1052" t="s">
        <v>68</v>
      </c>
      <c r="BL678" s="1649" t="s">
        <v>68</v>
      </c>
      <c r="BM678" s="1649" t="s">
        <v>68</v>
      </c>
      <c r="BN678" s="1649" t="s">
        <v>68</v>
      </c>
      <c r="BO678" s="1649" t="s">
        <v>68</v>
      </c>
      <c r="BP678" s="1649" t="s">
        <v>68</v>
      </c>
      <c r="BQ678" s="1649" t="s">
        <v>68</v>
      </c>
      <c r="BR678" s="1649" t="s">
        <v>68</v>
      </c>
      <c r="BS678" s="1053" t="s">
        <v>68</v>
      </c>
      <c r="BT678" s="14"/>
      <c r="BU678" s="23"/>
      <c r="BV678" s="23"/>
      <c r="BW678" s="23"/>
      <c r="BX678" s="23"/>
      <c r="BY678" s="1433" t="s">
        <v>3989</v>
      </c>
      <c r="BZ678" s="987"/>
      <c r="CA678" s="582"/>
      <c r="CB678" s="582"/>
      <c r="CC678" s="582"/>
      <c r="CD678" s="582"/>
      <c r="CE678" s="582"/>
      <c r="CF678" s="582"/>
      <c r="CG678" s="582"/>
      <c r="CH678" s="16"/>
    </row>
    <row r="679" spans="2:86" ht="78.75" hidden="1" customHeight="1">
      <c r="B679" s="23"/>
      <c r="C679" s="23"/>
      <c r="D679" s="23"/>
      <c r="E679" s="1051"/>
      <c r="F679" s="1051"/>
      <c r="G679" s="1055"/>
      <c r="H679" s="365"/>
      <c r="I679" s="182">
        <v>2023</v>
      </c>
      <c r="J679" s="1678"/>
      <c r="K679" s="183" t="s">
        <v>166</v>
      </c>
      <c r="L679" s="191" t="s">
        <v>5615</v>
      </c>
      <c r="M679" s="185" t="s">
        <v>45</v>
      </c>
      <c r="N679" s="186" t="s">
        <v>5653</v>
      </c>
      <c r="O679" s="186" t="s">
        <v>1979</v>
      </c>
      <c r="P679" s="187">
        <f>5172.41*1.16</f>
        <v>5999.9955999999993</v>
      </c>
      <c r="Q679" s="1403">
        <v>45099</v>
      </c>
      <c r="R679" s="189">
        <v>45099</v>
      </c>
      <c r="S679" s="190">
        <v>45103</v>
      </c>
      <c r="T679" s="111" t="s">
        <v>68</v>
      </c>
      <c r="U679" s="191" t="s">
        <v>191</v>
      </c>
      <c r="V679" s="183" t="s">
        <v>472</v>
      </c>
      <c r="W679" s="220" t="s">
        <v>68</v>
      </c>
      <c r="X679" s="406" t="s">
        <v>68</v>
      </c>
      <c r="Y679" s="35"/>
      <c r="Z679" s="9"/>
      <c r="AA679" s="4"/>
      <c r="AB679" s="4"/>
      <c r="AC679" s="34"/>
      <c r="AD679" s="36" t="s">
        <v>68</v>
      </c>
      <c r="AE679" s="119" t="s">
        <v>68</v>
      </c>
      <c r="AF679" s="119" t="s">
        <v>68</v>
      </c>
      <c r="AG679" s="7" t="s">
        <v>68</v>
      </c>
      <c r="AH679" s="116" t="s">
        <v>68</v>
      </c>
      <c r="AI679" s="35" t="s">
        <v>68</v>
      </c>
      <c r="AJ679" s="1" t="s">
        <v>68</v>
      </c>
      <c r="AK679" s="5"/>
      <c r="AL679" s="1" t="s">
        <v>68</v>
      </c>
      <c r="AM679" s="5"/>
      <c r="AN679" s="1" t="s">
        <v>68</v>
      </c>
      <c r="AO679" s="5"/>
      <c r="AP679" s="306"/>
      <c r="AQ679" s="37">
        <v>0</v>
      </c>
      <c r="AR679" s="1031">
        <v>0</v>
      </c>
      <c r="AS679" s="1018">
        <v>0</v>
      </c>
      <c r="AT679" s="32" t="s">
        <v>68</v>
      </c>
      <c r="AU679" s="12" t="s">
        <v>68</v>
      </c>
      <c r="AV679" s="243" t="s">
        <v>68</v>
      </c>
      <c r="AW679" s="54" t="s">
        <v>68</v>
      </c>
      <c r="AX679" s="32" t="s">
        <v>68</v>
      </c>
      <c r="AY679" s="5"/>
      <c r="AZ679" s="5"/>
      <c r="BA679" s="12"/>
      <c r="BB679" s="32" t="s">
        <v>68</v>
      </c>
      <c r="BC679" s="341"/>
      <c r="BD679" s="5"/>
      <c r="BE679" s="5"/>
      <c r="BF679" s="5"/>
      <c r="BG679" s="38"/>
      <c r="BH679" s="14" t="s">
        <v>68</v>
      </c>
      <c r="BI679" s="1053" t="s">
        <v>68</v>
      </c>
      <c r="BJ679" s="1052" t="s">
        <v>68</v>
      </c>
      <c r="BK679" s="1052" t="s">
        <v>68</v>
      </c>
      <c r="BL679" s="1649" t="s">
        <v>68</v>
      </c>
      <c r="BM679" s="1649" t="s">
        <v>68</v>
      </c>
      <c r="BN679" s="1649" t="s">
        <v>68</v>
      </c>
      <c r="BO679" s="1649" t="s">
        <v>68</v>
      </c>
      <c r="BP679" s="1649" t="s">
        <v>68</v>
      </c>
      <c r="BQ679" s="1649" t="s">
        <v>68</v>
      </c>
      <c r="BR679" s="1649" t="s">
        <v>68</v>
      </c>
      <c r="BS679" s="1053" t="s">
        <v>68</v>
      </c>
      <c r="BT679" s="14"/>
      <c r="BU679" s="23"/>
      <c r="BV679" s="23"/>
      <c r="BW679" s="23"/>
      <c r="BX679" s="23"/>
      <c r="BY679" s="1433" t="s">
        <v>3989</v>
      </c>
      <c r="BZ679" s="987"/>
      <c r="CA679" s="582"/>
      <c r="CB679" s="582"/>
      <c r="CC679" s="582"/>
      <c r="CD679" s="582"/>
      <c r="CE679" s="582"/>
      <c r="CF679" s="582"/>
      <c r="CG679" s="582"/>
      <c r="CH679" s="16"/>
    </row>
    <row r="680" spans="2:86" ht="105" hidden="1" customHeight="1">
      <c r="B680" s="23"/>
      <c r="C680" s="23"/>
      <c r="D680" s="23"/>
      <c r="E680" s="1051"/>
      <c r="F680" s="1051"/>
      <c r="G680" s="1055"/>
      <c r="H680" s="365"/>
      <c r="I680" s="182">
        <v>2023</v>
      </c>
      <c r="J680" s="1678"/>
      <c r="K680" s="183" t="s">
        <v>166</v>
      </c>
      <c r="L680" s="191" t="s">
        <v>5616</v>
      </c>
      <c r="M680" s="185" t="s">
        <v>45</v>
      </c>
      <c r="N680" s="186" t="s">
        <v>5649</v>
      </c>
      <c r="O680" s="186" t="s">
        <v>2611</v>
      </c>
      <c r="P680" s="187">
        <f>83144.46*1.16</f>
        <v>96447.573600000003</v>
      </c>
      <c r="Q680" s="1403">
        <v>45118</v>
      </c>
      <c r="R680" s="189">
        <v>45120</v>
      </c>
      <c r="S680" s="190">
        <v>45129</v>
      </c>
      <c r="T680" s="111" t="s">
        <v>68</v>
      </c>
      <c r="U680" s="191" t="s">
        <v>191</v>
      </c>
      <c r="V680" s="183" t="s">
        <v>472</v>
      </c>
      <c r="W680" s="220" t="s">
        <v>68</v>
      </c>
      <c r="X680" s="406" t="s">
        <v>68</v>
      </c>
      <c r="Y680" s="35"/>
      <c r="Z680" s="9"/>
      <c r="AA680" s="4"/>
      <c r="AB680" s="4"/>
      <c r="AC680" s="34"/>
      <c r="AD680" s="36" t="s">
        <v>68</v>
      </c>
      <c r="AE680" s="119" t="s">
        <v>68</v>
      </c>
      <c r="AF680" s="119" t="s">
        <v>68</v>
      </c>
      <c r="AG680" s="7" t="s">
        <v>68</v>
      </c>
      <c r="AH680" s="116" t="s">
        <v>68</v>
      </c>
      <c r="AI680" s="35" t="s">
        <v>68</v>
      </c>
      <c r="AJ680" s="1" t="s">
        <v>68</v>
      </c>
      <c r="AK680" s="5"/>
      <c r="AL680" s="1" t="s">
        <v>68</v>
      </c>
      <c r="AM680" s="5"/>
      <c r="AN680" s="1" t="s">
        <v>68</v>
      </c>
      <c r="AO680" s="5"/>
      <c r="AP680" s="306"/>
      <c r="AQ680" s="37">
        <v>0</v>
      </c>
      <c r="AR680" s="1031">
        <v>0</v>
      </c>
      <c r="AS680" s="1018">
        <v>0</v>
      </c>
      <c r="AT680" s="32" t="s">
        <v>68</v>
      </c>
      <c r="AU680" s="12" t="s">
        <v>68</v>
      </c>
      <c r="AV680" s="243" t="s">
        <v>68</v>
      </c>
      <c r="AW680" s="54" t="s">
        <v>68</v>
      </c>
      <c r="AX680" s="32" t="s">
        <v>68</v>
      </c>
      <c r="AY680" s="5"/>
      <c r="AZ680" s="5"/>
      <c r="BA680" s="12"/>
      <c r="BB680" s="32" t="s">
        <v>68</v>
      </c>
      <c r="BC680" s="341"/>
      <c r="BD680" s="5"/>
      <c r="BE680" s="5"/>
      <c r="BF680" s="5"/>
      <c r="BG680" s="38"/>
      <c r="BH680" s="14" t="s">
        <v>68</v>
      </c>
      <c r="BI680" s="1053" t="s">
        <v>68</v>
      </c>
      <c r="BJ680" s="1052" t="s">
        <v>68</v>
      </c>
      <c r="BK680" s="1052" t="s">
        <v>68</v>
      </c>
      <c r="BL680" s="1649" t="s">
        <v>68</v>
      </c>
      <c r="BM680" s="1649" t="s">
        <v>68</v>
      </c>
      <c r="BN680" s="1649" t="s">
        <v>68</v>
      </c>
      <c r="BO680" s="1649" t="s">
        <v>68</v>
      </c>
      <c r="BP680" s="1649" t="s">
        <v>68</v>
      </c>
      <c r="BQ680" s="1649" t="s">
        <v>68</v>
      </c>
      <c r="BR680" s="1649" t="s">
        <v>68</v>
      </c>
      <c r="BS680" s="1053" t="s">
        <v>68</v>
      </c>
      <c r="BT680" s="14"/>
      <c r="BU680" s="23"/>
      <c r="BV680" s="23"/>
      <c r="BW680" s="23"/>
      <c r="BX680" s="23"/>
      <c r="BY680" s="1433" t="s">
        <v>3989</v>
      </c>
      <c r="BZ680" s="987"/>
      <c r="CA680" s="582"/>
      <c r="CB680" s="582"/>
      <c r="CC680" s="582"/>
      <c r="CD680" s="582"/>
      <c r="CE680" s="582"/>
      <c r="CF680" s="582"/>
      <c r="CG680" s="582"/>
      <c r="CH680" s="16"/>
    </row>
    <row r="681" spans="2:86" ht="208.5" hidden="1" customHeight="1">
      <c r="B681" s="23"/>
      <c r="C681" s="23"/>
      <c r="D681" s="23"/>
      <c r="E681" s="1051"/>
      <c r="F681" s="1051"/>
      <c r="G681" s="1055"/>
      <c r="H681" s="365"/>
      <c r="I681" s="182">
        <v>2023</v>
      </c>
      <c r="J681" s="1678"/>
      <c r="K681" s="183" t="s">
        <v>166</v>
      </c>
      <c r="L681" s="191" t="s">
        <v>5617</v>
      </c>
      <c r="M681" s="185" t="s">
        <v>45</v>
      </c>
      <c r="N681" s="186" t="s">
        <v>5654</v>
      </c>
      <c r="O681" s="186" t="s">
        <v>2611</v>
      </c>
      <c r="P681" s="187">
        <f>15000*1.16</f>
        <v>17400</v>
      </c>
      <c r="Q681" s="1403">
        <v>45131</v>
      </c>
      <c r="R681" s="189">
        <v>45138</v>
      </c>
      <c r="S681" s="190">
        <v>45187</v>
      </c>
      <c r="T681" s="111" t="s">
        <v>68</v>
      </c>
      <c r="U681" s="191" t="s">
        <v>4502</v>
      </c>
      <c r="V681" s="183" t="s">
        <v>472</v>
      </c>
      <c r="W681" s="220" t="s">
        <v>68</v>
      </c>
      <c r="X681" s="406" t="s">
        <v>68</v>
      </c>
      <c r="Y681" s="35"/>
      <c r="Z681" s="9"/>
      <c r="AA681" s="4"/>
      <c r="AB681" s="4"/>
      <c r="AC681" s="34"/>
      <c r="AD681" s="36" t="s">
        <v>68</v>
      </c>
      <c r="AE681" s="119" t="s">
        <v>68</v>
      </c>
      <c r="AF681" s="119" t="s">
        <v>68</v>
      </c>
      <c r="AG681" s="7" t="s">
        <v>68</v>
      </c>
      <c r="AH681" s="116" t="s">
        <v>68</v>
      </c>
      <c r="AI681" s="35" t="s">
        <v>68</v>
      </c>
      <c r="AJ681" s="1" t="s">
        <v>68</v>
      </c>
      <c r="AK681" s="5"/>
      <c r="AL681" s="1" t="s">
        <v>68</v>
      </c>
      <c r="AM681" s="5"/>
      <c r="AN681" s="1" t="s">
        <v>68</v>
      </c>
      <c r="AO681" s="5"/>
      <c r="AP681" s="306"/>
      <c r="AQ681" s="37">
        <v>0</v>
      </c>
      <c r="AR681" s="1031">
        <v>0</v>
      </c>
      <c r="AS681" s="1018">
        <v>0</v>
      </c>
      <c r="AT681" s="32" t="s">
        <v>68</v>
      </c>
      <c r="AU681" s="12" t="s">
        <v>68</v>
      </c>
      <c r="AV681" s="243" t="s">
        <v>68</v>
      </c>
      <c r="AW681" s="54" t="s">
        <v>68</v>
      </c>
      <c r="AX681" s="32" t="s">
        <v>68</v>
      </c>
      <c r="AY681" s="5"/>
      <c r="AZ681" s="5"/>
      <c r="BA681" s="12"/>
      <c r="BB681" s="32" t="s">
        <v>68</v>
      </c>
      <c r="BC681" s="341"/>
      <c r="BD681" s="5"/>
      <c r="BE681" s="5"/>
      <c r="BF681" s="5"/>
      <c r="BG681" s="38"/>
      <c r="BH681" s="14" t="s">
        <v>68</v>
      </c>
      <c r="BI681" s="1053" t="s">
        <v>68</v>
      </c>
      <c r="BJ681" s="1052" t="s">
        <v>68</v>
      </c>
      <c r="BK681" s="1052" t="s">
        <v>68</v>
      </c>
      <c r="BL681" s="1649" t="s">
        <v>68</v>
      </c>
      <c r="BM681" s="1649" t="s">
        <v>68</v>
      </c>
      <c r="BN681" s="1649" t="s">
        <v>68</v>
      </c>
      <c r="BO681" s="1649" t="s">
        <v>68</v>
      </c>
      <c r="BP681" s="1649" t="s">
        <v>68</v>
      </c>
      <c r="BQ681" s="1649" t="s">
        <v>68</v>
      </c>
      <c r="BR681" s="1649" t="s">
        <v>68</v>
      </c>
      <c r="BS681" s="1053" t="s">
        <v>68</v>
      </c>
      <c r="BT681" s="14"/>
      <c r="BU681" s="23"/>
      <c r="BV681" s="23"/>
      <c r="BW681" s="23"/>
      <c r="BX681" s="23"/>
      <c r="BY681" s="1433" t="s">
        <v>3989</v>
      </c>
      <c r="BZ681" s="987"/>
      <c r="CA681" s="582"/>
      <c r="CB681" s="582"/>
      <c r="CC681" s="582"/>
      <c r="CD681" s="582"/>
      <c r="CE681" s="582"/>
      <c r="CF681" s="582"/>
      <c r="CG681" s="582"/>
      <c r="CH681" s="16"/>
    </row>
    <row r="682" spans="2:86" ht="98.25" hidden="1" customHeight="1">
      <c r="B682" s="23"/>
      <c r="C682" s="23"/>
      <c r="D682" s="23"/>
      <c r="E682" s="1051"/>
      <c r="F682" s="1051"/>
      <c r="G682" s="1055"/>
      <c r="H682" s="365"/>
      <c r="I682" s="182">
        <v>2023</v>
      </c>
      <c r="J682" s="1678"/>
      <c r="K682" s="183" t="s">
        <v>166</v>
      </c>
      <c r="L682" s="191" t="s">
        <v>5618</v>
      </c>
      <c r="M682" s="185" t="s">
        <v>45</v>
      </c>
      <c r="N682" s="186" t="s">
        <v>5655</v>
      </c>
      <c r="O682" s="186" t="s">
        <v>2574</v>
      </c>
      <c r="P682" s="187">
        <f>63525.18*1.16</f>
        <v>73689.208799999993</v>
      </c>
      <c r="Q682" s="1403">
        <v>45133</v>
      </c>
      <c r="R682" s="189">
        <v>45141</v>
      </c>
      <c r="S682" s="190">
        <v>45155</v>
      </c>
      <c r="T682" s="111" t="s">
        <v>68</v>
      </c>
      <c r="U682" s="191" t="s">
        <v>4502</v>
      </c>
      <c r="V682" s="183" t="s">
        <v>472</v>
      </c>
      <c r="W682" s="220" t="s">
        <v>68</v>
      </c>
      <c r="X682" s="406" t="s">
        <v>68</v>
      </c>
      <c r="Y682" s="35"/>
      <c r="Z682" s="9"/>
      <c r="AA682" s="4"/>
      <c r="AB682" s="4"/>
      <c r="AC682" s="34"/>
      <c r="AD682" s="36" t="s">
        <v>68</v>
      </c>
      <c r="AE682" s="119" t="s">
        <v>68</v>
      </c>
      <c r="AF682" s="119" t="s">
        <v>68</v>
      </c>
      <c r="AG682" s="7" t="s">
        <v>68</v>
      </c>
      <c r="AH682" s="116" t="s">
        <v>68</v>
      </c>
      <c r="AI682" s="35" t="s">
        <v>68</v>
      </c>
      <c r="AJ682" s="1" t="s">
        <v>68</v>
      </c>
      <c r="AK682" s="5"/>
      <c r="AL682" s="1" t="s">
        <v>68</v>
      </c>
      <c r="AM682" s="5"/>
      <c r="AN682" s="1" t="s">
        <v>68</v>
      </c>
      <c r="AO682" s="5"/>
      <c r="AP682" s="306"/>
      <c r="AQ682" s="37">
        <v>0</v>
      </c>
      <c r="AR682" s="1031">
        <v>0</v>
      </c>
      <c r="AS682" s="1018">
        <v>0</v>
      </c>
      <c r="AT682" s="32" t="s">
        <v>68</v>
      </c>
      <c r="AU682" s="12" t="s">
        <v>68</v>
      </c>
      <c r="AV682" s="243" t="s">
        <v>68</v>
      </c>
      <c r="AW682" s="54" t="s">
        <v>68</v>
      </c>
      <c r="AX682" s="32" t="s">
        <v>68</v>
      </c>
      <c r="AY682" s="5"/>
      <c r="AZ682" s="5"/>
      <c r="BA682" s="12"/>
      <c r="BB682" s="32" t="s">
        <v>68</v>
      </c>
      <c r="BC682" s="341"/>
      <c r="BD682" s="5"/>
      <c r="BE682" s="5"/>
      <c r="BF682" s="5"/>
      <c r="BG682" s="38"/>
      <c r="BH682" s="14" t="s">
        <v>68</v>
      </c>
      <c r="BI682" s="1053" t="s">
        <v>68</v>
      </c>
      <c r="BJ682" s="1052" t="s">
        <v>68</v>
      </c>
      <c r="BK682" s="1052" t="s">
        <v>68</v>
      </c>
      <c r="BL682" s="1649" t="s">
        <v>68</v>
      </c>
      <c r="BM682" s="1649" t="s">
        <v>68</v>
      </c>
      <c r="BN682" s="1649" t="s">
        <v>68</v>
      </c>
      <c r="BO682" s="1649" t="s">
        <v>68</v>
      </c>
      <c r="BP682" s="1649" t="s">
        <v>68</v>
      </c>
      <c r="BQ682" s="1649" t="s">
        <v>68</v>
      </c>
      <c r="BR682" s="1649" t="s">
        <v>68</v>
      </c>
      <c r="BS682" s="1053" t="s">
        <v>68</v>
      </c>
      <c r="BT682" s="14"/>
      <c r="BU682" s="23"/>
      <c r="BV682" s="23"/>
      <c r="BW682" s="23"/>
      <c r="BX682" s="23"/>
      <c r="BY682" s="1433" t="s">
        <v>3989</v>
      </c>
      <c r="BZ682" s="987"/>
      <c r="CA682" s="582"/>
      <c r="CB682" s="582"/>
      <c r="CC682" s="582"/>
      <c r="CD682" s="582"/>
      <c r="CE682" s="582"/>
      <c r="CF682" s="582"/>
      <c r="CG682" s="582"/>
      <c r="CH682" s="16"/>
    </row>
    <row r="683" spans="2:86" ht="111" hidden="1" customHeight="1">
      <c r="B683" s="23"/>
      <c r="C683" s="23"/>
      <c r="D683" s="23"/>
      <c r="E683" s="1051"/>
      <c r="F683" s="1051"/>
      <c r="G683" s="1055"/>
      <c r="H683" s="365"/>
      <c r="I683" s="182">
        <v>2023</v>
      </c>
      <c r="J683" s="1678"/>
      <c r="K683" s="183" t="s">
        <v>166</v>
      </c>
      <c r="L683" s="191" t="s">
        <v>5619</v>
      </c>
      <c r="M683" s="185" t="s">
        <v>45</v>
      </c>
      <c r="N683" s="186" t="s">
        <v>5656</v>
      </c>
      <c r="O683" s="186" t="s">
        <v>2611</v>
      </c>
      <c r="P683" s="187">
        <f>139537.27*1.16</f>
        <v>161863.23319999999</v>
      </c>
      <c r="Q683" s="1403">
        <v>45148</v>
      </c>
      <c r="R683" s="189">
        <v>45152</v>
      </c>
      <c r="S683" s="190">
        <v>45163</v>
      </c>
      <c r="T683" s="111" t="s">
        <v>68</v>
      </c>
      <c r="U683" s="191" t="s">
        <v>4502</v>
      </c>
      <c r="V683" s="183" t="s">
        <v>472</v>
      </c>
      <c r="W683" s="220" t="s">
        <v>68</v>
      </c>
      <c r="X683" s="406" t="s">
        <v>68</v>
      </c>
      <c r="Y683" s="35"/>
      <c r="Z683" s="9"/>
      <c r="AA683" s="4"/>
      <c r="AB683" s="4"/>
      <c r="AC683" s="34"/>
      <c r="AD683" s="36" t="s">
        <v>68</v>
      </c>
      <c r="AE683" s="119" t="s">
        <v>68</v>
      </c>
      <c r="AF683" s="119" t="s">
        <v>68</v>
      </c>
      <c r="AG683" s="7" t="s">
        <v>68</v>
      </c>
      <c r="AH683" s="116" t="s">
        <v>68</v>
      </c>
      <c r="AI683" s="35" t="s">
        <v>68</v>
      </c>
      <c r="AJ683" s="1" t="s">
        <v>68</v>
      </c>
      <c r="AK683" s="5"/>
      <c r="AL683" s="1" t="s">
        <v>68</v>
      </c>
      <c r="AM683" s="5"/>
      <c r="AN683" s="1" t="s">
        <v>68</v>
      </c>
      <c r="AO683" s="5"/>
      <c r="AP683" s="306"/>
      <c r="AQ683" s="37">
        <v>0</v>
      </c>
      <c r="AR683" s="1031">
        <v>0</v>
      </c>
      <c r="AS683" s="1018">
        <v>0</v>
      </c>
      <c r="AT683" s="32" t="s">
        <v>68</v>
      </c>
      <c r="AU683" s="12" t="s">
        <v>68</v>
      </c>
      <c r="AV683" s="243" t="s">
        <v>68</v>
      </c>
      <c r="AW683" s="54" t="s">
        <v>68</v>
      </c>
      <c r="AX683" s="32" t="s">
        <v>68</v>
      </c>
      <c r="AY683" s="5"/>
      <c r="AZ683" s="5"/>
      <c r="BA683" s="12"/>
      <c r="BB683" s="32" t="s">
        <v>68</v>
      </c>
      <c r="BC683" s="341"/>
      <c r="BD683" s="5"/>
      <c r="BE683" s="5"/>
      <c r="BF683" s="5"/>
      <c r="BG683" s="38"/>
      <c r="BH683" s="14" t="s">
        <v>68</v>
      </c>
      <c r="BI683" s="1053" t="s">
        <v>68</v>
      </c>
      <c r="BJ683" s="1052" t="s">
        <v>68</v>
      </c>
      <c r="BK683" s="1052" t="s">
        <v>68</v>
      </c>
      <c r="BL683" s="1649" t="s">
        <v>68</v>
      </c>
      <c r="BM683" s="1649" t="s">
        <v>68</v>
      </c>
      <c r="BN683" s="1649" t="s">
        <v>68</v>
      </c>
      <c r="BO683" s="1649" t="s">
        <v>68</v>
      </c>
      <c r="BP683" s="1649" t="s">
        <v>68</v>
      </c>
      <c r="BQ683" s="1649" t="s">
        <v>68</v>
      </c>
      <c r="BR683" s="1649" t="s">
        <v>68</v>
      </c>
      <c r="BS683" s="1053" t="s">
        <v>68</v>
      </c>
      <c r="BT683" s="14"/>
      <c r="BU683" s="23"/>
      <c r="BV683" s="23"/>
      <c r="BW683" s="23"/>
      <c r="BX683" s="23"/>
      <c r="BY683" s="1433" t="s">
        <v>3989</v>
      </c>
      <c r="BZ683" s="987"/>
      <c r="CA683" s="582"/>
      <c r="CB683" s="582"/>
      <c r="CC683" s="582"/>
      <c r="CD683" s="582"/>
      <c r="CE683" s="582"/>
      <c r="CF683" s="582"/>
      <c r="CG683" s="582"/>
      <c r="CH683" s="16"/>
    </row>
    <row r="684" spans="2:86" ht="138" hidden="1" customHeight="1">
      <c r="B684" s="23"/>
      <c r="C684" s="23"/>
      <c r="D684" s="23"/>
      <c r="E684" s="1051"/>
      <c r="F684" s="1051"/>
      <c r="G684" s="1055"/>
      <c r="H684" s="365"/>
      <c r="I684" s="182">
        <v>2023</v>
      </c>
      <c r="J684" s="1678"/>
      <c r="K684" s="183" t="s">
        <v>166</v>
      </c>
      <c r="L684" s="191" t="s">
        <v>5620</v>
      </c>
      <c r="M684" s="185" t="s">
        <v>45</v>
      </c>
      <c r="N684" s="186" t="s">
        <v>5657</v>
      </c>
      <c r="O684" s="186" t="s">
        <v>1979</v>
      </c>
      <c r="P684" s="187">
        <f>30000*1.16</f>
        <v>34800</v>
      </c>
      <c r="Q684" s="188">
        <v>45140</v>
      </c>
      <c r="R684" s="189">
        <v>45141</v>
      </c>
      <c r="S684" s="190">
        <v>45143</v>
      </c>
      <c r="T684" s="111" t="s">
        <v>68</v>
      </c>
      <c r="U684" s="191" t="s">
        <v>191</v>
      </c>
      <c r="V684" s="183" t="s">
        <v>472</v>
      </c>
      <c r="W684" s="220" t="s">
        <v>68</v>
      </c>
      <c r="X684" s="406" t="s">
        <v>68</v>
      </c>
      <c r="Y684" s="35"/>
      <c r="Z684" s="9"/>
      <c r="AA684" s="4"/>
      <c r="AB684" s="4"/>
      <c r="AC684" s="34"/>
      <c r="AD684" s="36" t="s">
        <v>68</v>
      </c>
      <c r="AE684" s="119" t="s">
        <v>68</v>
      </c>
      <c r="AF684" s="119" t="s">
        <v>68</v>
      </c>
      <c r="AG684" s="7" t="s">
        <v>68</v>
      </c>
      <c r="AH684" s="116" t="s">
        <v>68</v>
      </c>
      <c r="AI684" s="35" t="s">
        <v>68</v>
      </c>
      <c r="AJ684" s="1" t="s">
        <v>68</v>
      </c>
      <c r="AK684" s="5"/>
      <c r="AL684" s="1" t="s">
        <v>68</v>
      </c>
      <c r="AM684" s="5"/>
      <c r="AN684" s="1" t="s">
        <v>68</v>
      </c>
      <c r="AO684" s="5"/>
      <c r="AP684" s="306"/>
      <c r="AQ684" s="37">
        <v>0</v>
      </c>
      <c r="AR684" s="1031">
        <v>0</v>
      </c>
      <c r="AS684" s="1018">
        <v>0</v>
      </c>
      <c r="AT684" s="32" t="s">
        <v>68</v>
      </c>
      <c r="AU684" s="12" t="s">
        <v>68</v>
      </c>
      <c r="AV684" s="243" t="s">
        <v>68</v>
      </c>
      <c r="AW684" s="54" t="s">
        <v>68</v>
      </c>
      <c r="AX684" s="32" t="s">
        <v>68</v>
      </c>
      <c r="AY684" s="5"/>
      <c r="AZ684" s="5"/>
      <c r="BA684" s="12"/>
      <c r="BB684" s="32" t="s">
        <v>68</v>
      </c>
      <c r="BC684" s="341"/>
      <c r="BD684" s="5"/>
      <c r="BE684" s="5"/>
      <c r="BF684" s="5"/>
      <c r="BG684" s="38"/>
      <c r="BH684" s="14" t="s">
        <v>68</v>
      </c>
      <c r="BI684" s="1053" t="s">
        <v>68</v>
      </c>
      <c r="BJ684" s="1052" t="s">
        <v>68</v>
      </c>
      <c r="BK684" s="1052" t="s">
        <v>68</v>
      </c>
      <c r="BL684" s="1649" t="s">
        <v>68</v>
      </c>
      <c r="BM684" s="1649" t="s">
        <v>68</v>
      </c>
      <c r="BN684" s="1649" t="s">
        <v>68</v>
      </c>
      <c r="BO684" s="1649" t="s">
        <v>68</v>
      </c>
      <c r="BP684" s="1649" t="s">
        <v>68</v>
      </c>
      <c r="BQ684" s="1649" t="s">
        <v>68</v>
      </c>
      <c r="BR684" s="1649" t="s">
        <v>68</v>
      </c>
      <c r="BS684" s="1053" t="s">
        <v>68</v>
      </c>
      <c r="BT684" s="14"/>
      <c r="BU684" s="23"/>
      <c r="BV684" s="23"/>
      <c r="BW684" s="23"/>
      <c r="BX684" s="23"/>
      <c r="BY684" s="1433" t="s">
        <v>3989</v>
      </c>
      <c r="BZ684" s="987"/>
      <c r="CA684" s="582"/>
      <c r="CB684" s="582"/>
      <c r="CC684" s="582"/>
      <c r="CD684" s="582"/>
      <c r="CE684" s="582"/>
      <c r="CF684" s="582"/>
      <c r="CG684" s="582"/>
      <c r="CH684" s="16"/>
    </row>
    <row r="685" spans="2:86" ht="147" hidden="1" customHeight="1">
      <c r="B685" s="23"/>
      <c r="C685" s="23"/>
      <c r="D685" s="23"/>
      <c r="E685" s="1051"/>
      <c r="F685" s="1051"/>
      <c r="G685" s="1055"/>
      <c r="H685" s="365"/>
      <c r="I685" s="182">
        <v>2023</v>
      </c>
      <c r="J685" s="1678"/>
      <c r="K685" s="183" t="s">
        <v>166</v>
      </c>
      <c r="L685" s="191" t="s">
        <v>5621</v>
      </c>
      <c r="M685" s="185" t="s">
        <v>45</v>
      </c>
      <c r="N685" s="186" t="s">
        <v>5658</v>
      </c>
      <c r="O685" s="186" t="s">
        <v>1979</v>
      </c>
      <c r="P685" s="187">
        <f>47010*1.16</f>
        <v>54531.6</v>
      </c>
      <c r="Q685" s="188">
        <v>45140</v>
      </c>
      <c r="R685" s="189">
        <v>45152</v>
      </c>
      <c r="S685" s="190">
        <v>45155</v>
      </c>
      <c r="T685" s="111" t="s">
        <v>68</v>
      </c>
      <c r="U685" s="191" t="s">
        <v>191</v>
      </c>
      <c r="V685" s="183" t="s">
        <v>472</v>
      </c>
      <c r="W685" s="220" t="s">
        <v>68</v>
      </c>
      <c r="X685" s="406" t="s">
        <v>68</v>
      </c>
      <c r="Y685" s="35"/>
      <c r="Z685" s="9"/>
      <c r="AA685" s="4"/>
      <c r="AB685" s="4"/>
      <c r="AC685" s="34"/>
      <c r="AD685" s="36" t="s">
        <v>68</v>
      </c>
      <c r="AE685" s="119" t="s">
        <v>68</v>
      </c>
      <c r="AF685" s="119" t="s">
        <v>68</v>
      </c>
      <c r="AG685" s="7" t="s">
        <v>68</v>
      </c>
      <c r="AH685" s="116" t="s">
        <v>68</v>
      </c>
      <c r="AI685" s="35" t="s">
        <v>68</v>
      </c>
      <c r="AJ685" s="1" t="s">
        <v>68</v>
      </c>
      <c r="AK685" s="5"/>
      <c r="AL685" s="1" t="s">
        <v>68</v>
      </c>
      <c r="AM685" s="5"/>
      <c r="AN685" s="1" t="s">
        <v>68</v>
      </c>
      <c r="AO685" s="5"/>
      <c r="AP685" s="306"/>
      <c r="AQ685" s="37">
        <v>0</v>
      </c>
      <c r="AR685" s="1031">
        <v>0</v>
      </c>
      <c r="AS685" s="1018">
        <v>0</v>
      </c>
      <c r="AT685" s="32" t="s">
        <v>68</v>
      </c>
      <c r="AU685" s="12" t="s">
        <v>68</v>
      </c>
      <c r="AV685" s="243" t="s">
        <v>68</v>
      </c>
      <c r="AW685" s="54" t="s">
        <v>68</v>
      </c>
      <c r="AX685" s="32" t="s">
        <v>68</v>
      </c>
      <c r="AY685" s="5"/>
      <c r="AZ685" s="5"/>
      <c r="BA685" s="12"/>
      <c r="BB685" s="32" t="s">
        <v>68</v>
      </c>
      <c r="BC685" s="341"/>
      <c r="BD685" s="5"/>
      <c r="BE685" s="5"/>
      <c r="BF685" s="5"/>
      <c r="BG685" s="38"/>
      <c r="BH685" s="14" t="s">
        <v>68</v>
      </c>
      <c r="BI685" s="1053" t="s">
        <v>68</v>
      </c>
      <c r="BJ685" s="1052" t="s">
        <v>68</v>
      </c>
      <c r="BK685" s="1052" t="s">
        <v>68</v>
      </c>
      <c r="BL685" s="1649" t="s">
        <v>68</v>
      </c>
      <c r="BM685" s="1649" t="s">
        <v>68</v>
      </c>
      <c r="BN685" s="1649" t="s">
        <v>68</v>
      </c>
      <c r="BO685" s="1649" t="s">
        <v>68</v>
      </c>
      <c r="BP685" s="1649" t="s">
        <v>68</v>
      </c>
      <c r="BQ685" s="1649" t="s">
        <v>68</v>
      </c>
      <c r="BR685" s="1649" t="s">
        <v>68</v>
      </c>
      <c r="BS685" s="1053" t="s">
        <v>68</v>
      </c>
      <c r="BT685" s="14"/>
      <c r="BU685" s="23"/>
      <c r="BV685" s="23"/>
      <c r="BW685" s="23"/>
      <c r="BX685" s="23"/>
      <c r="BY685" s="1433" t="s">
        <v>3989</v>
      </c>
      <c r="BZ685" s="987"/>
      <c r="CA685" s="582"/>
      <c r="CB685" s="582"/>
      <c r="CC685" s="582"/>
      <c r="CD685" s="582"/>
      <c r="CE685" s="582"/>
      <c r="CF685" s="582"/>
      <c r="CG685" s="582"/>
      <c r="CH685" s="16"/>
    </row>
    <row r="686" spans="2:86" ht="138" hidden="1" customHeight="1">
      <c r="B686" s="23"/>
      <c r="C686" s="23"/>
      <c r="D686" s="23"/>
      <c r="E686" s="1051"/>
      <c r="F686" s="1051"/>
      <c r="G686" s="1055"/>
      <c r="H686" s="365"/>
      <c r="I686" s="182">
        <v>2023</v>
      </c>
      <c r="J686" s="1678"/>
      <c r="K686" s="183" t="s">
        <v>166</v>
      </c>
      <c r="L686" s="191" t="s">
        <v>5622</v>
      </c>
      <c r="M686" s="185" t="s">
        <v>45</v>
      </c>
      <c r="N686" s="186" t="s">
        <v>5659</v>
      </c>
      <c r="O686" s="186" t="s">
        <v>1979</v>
      </c>
      <c r="P686" s="187">
        <f>30000*1.16</f>
        <v>34800</v>
      </c>
      <c r="Q686" s="188">
        <v>45140</v>
      </c>
      <c r="R686" s="189">
        <v>45144</v>
      </c>
      <c r="S686" s="190">
        <v>45146</v>
      </c>
      <c r="T686" s="111" t="s">
        <v>68</v>
      </c>
      <c r="U686" s="191" t="s">
        <v>191</v>
      </c>
      <c r="V686" s="183" t="s">
        <v>472</v>
      </c>
      <c r="W686" s="220" t="s">
        <v>68</v>
      </c>
      <c r="X686" s="406" t="s">
        <v>68</v>
      </c>
      <c r="Y686" s="35"/>
      <c r="Z686" s="9"/>
      <c r="AA686" s="4"/>
      <c r="AB686" s="4"/>
      <c r="AC686" s="34"/>
      <c r="AD686" s="36" t="s">
        <v>68</v>
      </c>
      <c r="AE686" s="119" t="s">
        <v>68</v>
      </c>
      <c r="AF686" s="119" t="s">
        <v>68</v>
      </c>
      <c r="AG686" s="7" t="s">
        <v>68</v>
      </c>
      <c r="AH686" s="116" t="s">
        <v>68</v>
      </c>
      <c r="AI686" s="35" t="s">
        <v>68</v>
      </c>
      <c r="AJ686" s="1" t="s">
        <v>68</v>
      </c>
      <c r="AK686" s="5"/>
      <c r="AL686" s="1" t="s">
        <v>68</v>
      </c>
      <c r="AM686" s="5"/>
      <c r="AN686" s="1" t="s">
        <v>68</v>
      </c>
      <c r="AO686" s="5"/>
      <c r="AP686" s="306"/>
      <c r="AQ686" s="37">
        <v>0</v>
      </c>
      <c r="AR686" s="1031">
        <v>0</v>
      </c>
      <c r="AS686" s="1018">
        <v>0</v>
      </c>
      <c r="AT686" s="32" t="s">
        <v>68</v>
      </c>
      <c r="AU686" s="12" t="s">
        <v>68</v>
      </c>
      <c r="AV686" s="243" t="s">
        <v>68</v>
      </c>
      <c r="AW686" s="54" t="s">
        <v>68</v>
      </c>
      <c r="AX686" s="32" t="s">
        <v>68</v>
      </c>
      <c r="AY686" s="5"/>
      <c r="AZ686" s="5"/>
      <c r="BA686" s="12"/>
      <c r="BB686" s="32" t="s">
        <v>68</v>
      </c>
      <c r="BC686" s="341"/>
      <c r="BD686" s="5"/>
      <c r="BE686" s="5"/>
      <c r="BF686" s="5"/>
      <c r="BG686" s="38"/>
      <c r="BH686" s="14" t="s">
        <v>68</v>
      </c>
      <c r="BI686" s="1053" t="s">
        <v>68</v>
      </c>
      <c r="BJ686" s="1052" t="s">
        <v>68</v>
      </c>
      <c r="BK686" s="1052" t="s">
        <v>68</v>
      </c>
      <c r="BL686" s="1649" t="s">
        <v>68</v>
      </c>
      <c r="BM686" s="1649" t="s">
        <v>68</v>
      </c>
      <c r="BN686" s="1649" t="s">
        <v>68</v>
      </c>
      <c r="BO686" s="1649" t="s">
        <v>68</v>
      </c>
      <c r="BP686" s="1649" t="s">
        <v>68</v>
      </c>
      <c r="BQ686" s="1649" t="s">
        <v>68</v>
      </c>
      <c r="BR686" s="1649" t="s">
        <v>68</v>
      </c>
      <c r="BS686" s="1053" t="s">
        <v>68</v>
      </c>
      <c r="BT686" s="14"/>
      <c r="BU686" s="23"/>
      <c r="BV686" s="23"/>
      <c r="BW686" s="23"/>
      <c r="BX686" s="23"/>
      <c r="BY686" s="1433" t="s">
        <v>3989</v>
      </c>
      <c r="BZ686" s="987"/>
      <c r="CA686" s="582"/>
      <c r="CB686" s="582"/>
      <c r="CC686" s="582"/>
      <c r="CD686" s="582"/>
      <c r="CE686" s="582"/>
      <c r="CF686" s="582"/>
      <c r="CG686" s="582"/>
      <c r="CH686" s="16"/>
    </row>
    <row r="687" spans="2:86" ht="34.5" hidden="1" customHeight="1">
      <c r="B687" s="23"/>
      <c r="C687" s="23"/>
      <c r="D687" s="23"/>
      <c r="E687" s="1051"/>
      <c r="F687" s="1051"/>
      <c r="G687" s="1055"/>
      <c r="H687" s="365"/>
      <c r="I687" s="182">
        <v>2023</v>
      </c>
      <c r="J687" s="1678"/>
      <c r="K687" s="183" t="s">
        <v>166</v>
      </c>
      <c r="L687" s="191" t="s">
        <v>5623</v>
      </c>
      <c r="M687" s="185" t="s">
        <v>45</v>
      </c>
      <c r="N687" s="186" t="s">
        <v>68</v>
      </c>
      <c r="O687" s="186" t="s">
        <v>68</v>
      </c>
      <c r="P687" s="187"/>
      <c r="Q687" s="188"/>
      <c r="R687" s="189"/>
      <c r="S687" s="190"/>
      <c r="T687" s="111" t="s">
        <v>68</v>
      </c>
      <c r="U687" s="191"/>
      <c r="V687" s="183"/>
      <c r="W687" s="220" t="s">
        <v>68</v>
      </c>
      <c r="X687" s="406" t="s">
        <v>68</v>
      </c>
      <c r="Y687" s="35"/>
      <c r="Z687" s="9"/>
      <c r="AA687" s="4"/>
      <c r="AB687" s="4"/>
      <c r="AC687" s="34"/>
      <c r="AD687" s="36" t="s">
        <v>68</v>
      </c>
      <c r="AE687" s="119" t="s">
        <v>68</v>
      </c>
      <c r="AF687" s="119" t="s">
        <v>68</v>
      </c>
      <c r="AG687" s="7" t="s">
        <v>68</v>
      </c>
      <c r="AH687" s="116" t="s">
        <v>68</v>
      </c>
      <c r="AI687" s="35" t="s">
        <v>68</v>
      </c>
      <c r="AJ687" s="1" t="s">
        <v>68</v>
      </c>
      <c r="AK687" s="5"/>
      <c r="AL687" s="1" t="s">
        <v>68</v>
      </c>
      <c r="AM687" s="5"/>
      <c r="AN687" s="1" t="s">
        <v>68</v>
      </c>
      <c r="AO687" s="5"/>
      <c r="AP687" s="306"/>
      <c r="AQ687" s="37">
        <v>0</v>
      </c>
      <c r="AR687" s="1031">
        <v>0</v>
      </c>
      <c r="AS687" s="1018">
        <v>0</v>
      </c>
      <c r="AT687" s="32" t="s">
        <v>68</v>
      </c>
      <c r="AU687" s="12" t="s">
        <v>68</v>
      </c>
      <c r="AV687" s="243" t="s">
        <v>68</v>
      </c>
      <c r="AW687" s="54" t="s">
        <v>68</v>
      </c>
      <c r="AX687" s="32" t="s">
        <v>68</v>
      </c>
      <c r="AY687" s="5"/>
      <c r="AZ687" s="5"/>
      <c r="BA687" s="12"/>
      <c r="BB687" s="32" t="s">
        <v>68</v>
      </c>
      <c r="BC687" s="341"/>
      <c r="BD687" s="5"/>
      <c r="BE687" s="5"/>
      <c r="BF687" s="5"/>
      <c r="BG687" s="38"/>
      <c r="BH687" s="14" t="s">
        <v>68</v>
      </c>
      <c r="BI687" s="1053" t="s">
        <v>68</v>
      </c>
      <c r="BJ687" s="1052" t="s">
        <v>68</v>
      </c>
      <c r="BK687" s="1052" t="s">
        <v>68</v>
      </c>
      <c r="BL687" s="1649" t="s">
        <v>68</v>
      </c>
      <c r="BM687" s="1649" t="s">
        <v>68</v>
      </c>
      <c r="BN687" s="1649" t="s">
        <v>68</v>
      </c>
      <c r="BO687" s="1649" t="s">
        <v>68</v>
      </c>
      <c r="BP687" s="1649" t="s">
        <v>68</v>
      </c>
      <c r="BQ687" s="1649" t="s">
        <v>68</v>
      </c>
      <c r="BR687" s="1649" t="s">
        <v>68</v>
      </c>
      <c r="BS687" s="1053" t="s">
        <v>68</v>
      </c>
      <c r="BT687" s="14"/>
      <c r="BU687" s="23"/>
      <c r="BV687" s="23"/>
      <c r="BW687" s="23"/>
      <c r="BX687" s="23"/>
      <c r="BY687" s="1433" t="s">
        <v>3989</v>
      </c>
      <c r="BZ687" s="987"/>
      <c r="CA687" s="582"/>
      <c r="CB687" s="582"/>
      <c r="CC687" s="582"/>
      <c r="CD687" s="582"/>
      <c r="CE687" s="582"/>
      <c r="CF687" s="582"/>
      <c r="CG687" s="582"/>
      <c r="CH687" s="16"/>
    </row>
    <row r="688" spans="2:86" ht="34.5" hidden="1" customHeight="1">
      <c r="B688" s="23"/>
      <c r="C688" s="23"/>
      <c r="D688" s="23"/>
      <c r="E688" s="1051"/>
      <c r="F688" s="1051"/>
      <c r="G688" s="1055"/>
      <c r="H688" s="365"/>
      <c r="I688" s="182">
        <v>2023</v>
      </c>
      <c r="J688" s="1678"/>
      <c r="K688" s="183" t="s">
        <v>166</v>
      </c>
      <c r="L688" s="191" t="s">
        <v>5624</v>
      </c>
      <c r="M688" s="185" t="s">
        <v>45</v>
      </c>
      <c r="N688" s="186" t="s">
        <v>68</v>
      </c>
      <c r="O688" s="186" t="s">
        <v>68</v>
      </c>
      <c r="P688" s="187"/>
      <c r="Q688" s="188"/>
      <c r="R688" s="189"/>
      <c r="S688" s="190"/>
      <c r="T688" s="111" t="s">
        <v>68</v>
      </c>
      <c r="U688" s="191"/>
      <c r="V688" s="183"/>
      <c r="W688" s="220" t="s">
        <v>68</v>
      </c>
      <c r="X688" s="406" t="s">
        <v>68</v>
      </c>
      <c r="Y688" s="35"/>
      <c r="Z688" s="9"/>
      <c r="AA688" s="4"/>
      <c r="AB688" s="4"/>
      <c r="AC688" s="34"/>
      <c r="AD688" s="36" t="s">
        <v>68</v>
      </c>
      <c r="AE688" s="119" t="s">
        <v>68</v>
      </c>
      <c r="AF688" s="119" t="s">
        <v>68</v>
      </c>
      <c r="AG688" s="7" t="s">
        <v>68</v>
      </c>
      <c r="AH688" s="116" t="s">
        <v>68</v>
      </c>
      <c r="AI688" s="35" t="s">
        <v>68</v>
      </c>
      <c r="AJ688" s="1" t="s">
        <v>68</v>
      </c>
      <c r="AK688" s="5"/>
      <c r="AL688" s="1" t="s">
        <v>68</v>
      </c>
      <c r="AM688" s="5"/>
      <c r="AN688" s="1" t="s">
        <v>68</v>
      </c>
      <c r="AO688" s="5"/>
      <c r="AP688" s="306"/>
      <c r="AQ688" s="37">
        <v>0</v>
      </c>
      <c r="AR688" s="1031">
        <v>0</v>
      </c>
      <c r="AS688" s="1018">
        <v>0</v>
      </c>
      <c r="AT688" s="32" t="s">
        <v>68</v>
      </c>
      <c r="AU688" s="12" t="s">
        <v>68</v>
      </c>
      <c r="AV688" s="243" t="s">
        <v>68</v>
      </c>
      <c r="AW688" s="54" t="s">
        <v>68</v>
      </c>
      <c r="AX688" s="32" t="s">
        <v>68</v>
      </c>
      <c r="AY688" s="5"/>
      <c r="AZ688" s="5"/>
      <c r="BA688" s="12"/>
      <c r="BB688" s="32" t="s">
        <v>68</v>
      </c>
      <c r="BC688" s="341"/>
      <c r="BD688" s="5"/>
      <c r="BE688" s="5"/>
      <c r="BF688" s="5"/>
      <c r="BG688" s="38"/>
      <c r="BH688" s="14" t="s">
        <v>68</v>
      </c>
      <c r="BI688" s="1053" t="s">
        <v>68</v>
      </c>
      <c r="BJ688" s="1052" t="s">
        <v>68</v>
      </c>
      <c r="BK688" s="1052" t="s">
        <v>68</v>
      </c>
      <c r="BL688" s="1649" t="s">
        <v>68</v>
      </c>
      <c r="BM688" s="1649" t="s">
        <v>68</v>
      </c>
      <c r="BN688" s="1649" t="s">
        <v>68</v>
      </c>
      <c r="BO688" s="1649" t="s">
        <v>68</v>
      </c>
      <c r="BP688" s="1649" t="s">
        <v>68</v>
      </c>
      <c r="BQ688" s="1649" t="s">
        <v>68</v>
      </c>
      <c r="BR688" s="1649" t="s">
        <v>68</v>
      </c>
      <c r="BS688" s="1053" t="s">
        <v>68</v>
      </c>
      <c r="BT688" s="14"/>
      <c r="BU688" s="23"/>
      <c r="BV688" s="23"/>
      <c r="BW688" s="23"/>
      <c r="BX688" s="23"/>
      <c r="BY688" s="1433" t="s">
        <v>3989</v>
      </c>
      <c r="BZ688" s="987"/>
      <c r="CA688" s="582"/>
      <c r="CB688" s="582"/>
      <c r="CC688" s="582"/>
      <c r="CD688" s="582"/>
      <c r="CE688" s="582"/>
      <c r="CF688" s="582"/>
      <c r="CG688" s="582"/>
      <c r="CH688" s="16"/>
    </row>
    <row r="689" spans="2:86" ht="34.5" hidden="1" customHeight="1">
      <c r="B689" s="23"/>
      <c r="C689" s="23"/>
      <c r="D689" s="23"/>
      <c r="E689" s="1051"/>
      <c r="F689" s="1051"/>
      <c r="G689" s="1055"/>
      <c r="H689" s="365"/>
      <c r="I689" s="182">
        <v>2023</v>
      </c>
      <c r="J689" s="1678"/>
      <c r="K689" s="183" t="s">
        <v>166</v>
      </c>
      <c r="L689" s="191" t="s">
        <v>5625</v>
      </c>
      <c r="M689" s="185" t="s">
        <v>45</v>
      </c>
      <c r="N689" s="186" t="s">
        <v>68</v>
      </c>
      <c r="O689" s="186" t="s">
        <v>68</v>
      </c>
      <c r="P689" s="187"/>
      <c r="Q689" s="188"/>
      <c r="R689" s="189"/>
      <c r="S689" s="190"/>
      <c r="T689" s="111" t="s">
        <v>68</v>
      </c>
      <c r="U689" s="191"/>
      <c r="V689" s="183"/>
      <c r="W689" s="220" t="s">
        <v>68</v>
      </c>
      <c r="X689" s="406" t="s">
        <v>68</v>
      </c>
      <c r="Y689" s="35"/>
      <c r="Z689" s="9"/>
      <c r="AA689" s="4"/>
      <c r="AB689" s="4"/>
      <c r="AC689" s="34"/>
      <c r="AD689" s="36" t="s">
        <v>68</v>
      </c>
      <c r="AE689" s="119" t="s">
        <v>68</v>
      </c>
      <c r="AF689" s="119" t="s">
        <v>68</v>
      </c>
      <c r="AG689" s="7" t="s">
        <v>68</v>
      </c>
      <c r="AH689" s="116" t="s">
        <v>68</v>
      </c>
      <c r="AI689" s="35" t="s">
        <v>68</v>
      </c>
      <c r="AJ689" s="1" t="s">
        <v>68</v>
      </c>
      <c r="AK689" s="5"/>
      <c r="AL689" s="1" t="s">
        <v>68</v>
      </c>
      <c r="AM689" s="5"/>
      <c r="AN689" s="1" t="s">
        <v>68</v>
      </c>
      <c r="AO689" s="5"/>
      <c r="AP689" s="306"/>
      <c r="AQ689" s="37">
        <v>0</v>
      </c>
      <c r="AR689" s="1031">
        <v>0</v>
      </c>
      <c r="AS689" s="1018">
        <v>0</v>
      </c>
      <c r="AT689" s="32" t="s">
        <v>68</v>
      </c>
      <c r="AU689" s="12" t="s">
        <v>68</v>
      </c>
      <c r="AV689" s="243" t="s">
        <v>68</v>
      </c>
      <c r="AW689" s="54" t="s">
        <v>68</v>
      </c>
      <c r="AX689" s="32" t="s">
        <v>68</v>
      </c>
      <c r="AY689" s="5"/>
      <c r="AZ689" s="5"/>
      <c r="BA689" s="12"/>
      <c r="BB689" s="32" t="s">
        <v>68</v>
      </c>
      <c r="BC689" s="341"/>
      <c r="BD689" s="5"/>
      <c r="BE689" s="5"/>
      <c r="BF689" s="5"/>
      <c r="BG689" s="38"/>
      <c r="BH689" s="14" t="s">
        <v>68</v>
      </c>
      <c r="BI689" s="1053" t="s">
        <v>68</v>
      </c>
      <c r="BJ689" s="1052" t="s">
        <v>68</v>
      </c>
      <c r="BK689" s="1052" t="s">
        <v>68</v>
      </c>
      <c r="BL689" s="1649" t="s">
        <v>68</v>
      </c>
      <c r="BM689" s="1649" t="s">
        <v>68</v>
      </c>
      <c r="BN689" s="1649" t="s">
        <v>68</v>
      </c>
      <c r="BO689" s="1649" t="s">
        <v>68</v>
      </c>
      <c r="BP689" s="1649" t="s">
        <v>68</v>
      </c>
      <c r="BQ689" s="1649" t="s">
        <v>68</v>
      </c>
      <c r="BR689" s="1649" t="s">
        <v>68</v>
      </c>
      <c r="BS689" s="1053" t="s">
        <v>68</v>
      </c>
      <c r="BT689" s="14"/>
      <c r="BU689" s="23"/>
      <c r="BV689" s="23"/>
      <c r="BW689" s="23"/>
      <c r="BX689" s="23"/>
      <c r="BY689" s="1433" t="s">
        <v>3989</v>
      </c>
      <c r="BZ689" s="987"/>
      <c r="CA689" s="582"/>
      <c r="CB689" s="582"/>
      <c r="CC689" s="582"/>
      <c r="CD689" s="582"/>
      <c r="CE689" s="582"/>
      <c r="CF689" s="582"/>
      <c r="CG689" s="582"/>
      <c r="CH689" s="16"/>
    </row>
    <row r="690" spans="2:86" ht="34.5" hidden="1" customHeight="1">
      <c r="B690" s="23"/>
      <c r="C690" s="23"/>
      <c r="D690" s="23"/>
      <c r="E690" s="1051"/>
      <c r="F690" s="1051"/>
      <c r="G690" s="1055"/>
      <c r="H690" s="365"/>
      <c r="I690" s="182">
        <v>2023</v>
      </c>
      <c r="J690" s="1678"/>
      <c r="K690" s="183" t="s">
        <v>166</v>
      </c>
      <c r="L690" s="191" t="s">
        <v>5626</v>
      </c>
      <c r="M690" s="185" t="s">
        <v>45</v>
      </c>
      <c r="N690" s="186" t="s">
        <v>68</v>
      </c>
      <c r="O690" s="186" t="s">
        <v>68</v>
      </c>
      <c r="P690" s="187"/>
      <c r="Q690" s="188"/>
      <c r="R690" s="189"/>
      <c r="S690" s="190"/>
      <c r="T690" s="111" t="s">
        <v>68</v>
      </c>
      <c r="U690" s="191"/>
      <c r="V690" s="183"/>
      <c r="W690" s="220" t="s">
        <v>68</v>
      </c>
      <c r="X690" s="406" t="s">
        <v>68</v>
      </c>
      <c r="Y690" s="35"/>
      <c r="Z690" s="9"/>
      <c r="AA690" s="4"/>
      <c r="AB690" s="4"/>
      <c r="AC690" s="34"/>
      <c r="AD690" s="36" t="s">
        <v>68</v>
      </c>
      <c r="AE690" s="119" t="s">
        <v>68</v>
      </c>
      <c r="AF690" s="119" t="s">
        <v>68</v>
      </c>
      <c r="AG690" s="7" t="s">
        <v>68</v>
      </c>
      <c r="AH690" s="116" t="s">
        <v>68</v>
      </c>
      <c r="AI690" s="35" t="s">
        <v>68</v>
      </c>
      <c r="AJ690" s="1" t="s">
        <v>68</v>
      </c>
      <c r="AK690" s="5"/>
      <c r="AL690" s="1" t="s">
        <v>68</v>
      </c>
      <c r="AM690" s="5"/>
      <c r="AN690" s="1" t="s">
        <v>68</v>
      </c>
      <c r="AO690" s="5"/>
      <c r="AP690" s="306"/>
      <c r="AQ690" s="37">
        <v>0</v>
      </c>
      <c r="AR690" s="1031">
        <v>0</v>
      </c>
      <c r="AS690" s="1018">
        <v>0</v>
      </c>
      <c r="AT690" s="32" t="s">
        <v>68</v>
      </c>
      <c r="AU690" s="12" t="s">
        <v>68</v>
      </c>
      <c r="AV690" s="243" t="s">
        <v>68</v>
      </c>
      <c r="AW690" s="54" t="s">
        <v>68</v>
      </c>
      <c r="AX690" s="32" t="s">
        <v>68</v>
      </c>
      <c r="AY690" s="5"/>
      <c r="AZ690" s="5"/>
      <c r="BA690" s="12"/>
      <c r="BB690" s="32" t="s">
        <v>68</v>
      </c>
      <c r="BC690" s="341"/>
      <c r="BD690" s="5"/>
      <c r="BE690" s="5"/>
      <c r="BF690" s="5"/>
      <c r="BG690" s="38"/>
      <c r="BH690" s="14" t="s">
        <v>68</v>
      </c>
      <c r="BI690" s="1053" t="s">
        <v>68</v>
      </c>
      <c r="BJ690" s="1052" t="s">
        <v>68</v>
      </c>
      <c r="BK690" s="1052" t="s">
        <v>68</v>
      </c>
      <c r="BL690" s="1649" t="s">
        <v>68</v>
      </c>
      <c r="BM690" s="1649" t="s">
        <v>68</v>
      </c>
      <c r="BN690" s="1649" t="s">
        <v>68</v>
      </c>
      <c r="BO690" s="1649" t="s">
        <v>68</v>
      </c>
      <c r="BP690" s="1649" t="s">
        <v>68</v>
      </c>
      <c r="BQ690" s="1649" t="s">
        <v>68</v>
      </c>
      <c r="BR690" s="1649" t="s">
        <v>68</v>
      </c>
      <c r="BS690" s="1053" t="s">
        <v>68</v>
      </c>
      <c r="BT690" s="14"/>
      <c r="BU690" s="23"/>
      <c r="BV690" s="23"/>
      <c r="BW690" s="23"/>
      <c r="BX690" s="23"/>
      <c r="BY690" s="1433" t="s">
        <v>3989</v>
      </c>
      <c r="BZ690" s="987"/>
      <c r="CA690" s="582"/>
      <c r="CB690" s="582"/>
      <c r="CC690" s="582"/>
      <c r="CD690" s="582"/>
      <c r="CE690" s="582"/>
      <c r="CF690" s="582"/>
      <c r="CG690" s="582"/>
      <c r="CH690" s="16"/>
    </row>
    <row r="691" spans="2:86" ht="87" hidden="1" customHeight="1">
      <c r="B691" s="23"/>
      <c r="C691" s="23"/>
      <c r="D691" s="23"/>
      <c r="E691" s="1051"/>
      <c r="F691" s="1051"/>
      <c r="G691" s="1055">
        <v>44999</v>
      </c>
      <c r="H691" s="365"/>
      <c r="I691" s="182">
        <v>2023</v>
      </c>
      <c r="J691" s="1678"/>
      <c r="K691" s="183" t="s">
        <v>166</v>
      </c>
      <c r="L691" s="191" t="s">
        <v>4909</v>
      </c>
      <c r="M691" s="185" t="s">
        <v>46</v>
      </c>
      <c r="N691" s="186" t="s">
        <v>4920</v>
      </c>
      <c r="O691" s="186" t="s">
        <v>2611</v>
      </c>
      <c r="P691" s="187">
        <f>49000*1.16</f>
        <v>56839.999999999993</v>
      </c>
      <c r="Q691" s="188">
        <v>44928</v>
      </c>
      <c r="R691" s="189">
        <v>44928</v>
      </c>
      <c r="S691" s="190">
        <v>44957</v>
      </c>
      <c r="T691" s="111" t="s">
        <v>68</v>
      </c>
      <c r="U691" s="191" t="s">
        <v>4921</v>
      </c>
      <c r="V691" s="183" t="s">
        <v>70</v>
      </c>
      <c r="W691" s="220" t="s">
        <v>68</v>
      </c>
      <c r="X691" s="406" t="s">
        <v>68</v>
      </c>
      <c r="Y691" s="35"/>
      <c r="Z691" s="9"/>
      <c r="AA691" s="4"/>
      <c r="AB691" s="4"/>
      <c r="AC691" s="34"/>
      <c r="AD691" s="36" t="s">
        <v>68</v>
      </c>
      <c r="AE691" s="119" t="s">
        <v>68</v>
      </c>
      <c r="AF691" s="119" t="s">
        <v>68</v>
      </c>
      <c r="AG691" s="7" t="s">
        <v>68</v>
      </c>
      <c r="AH691" s="116" t="s">
        <v>68</v>
      </c>
      <c r="AI691" s="35" t="s">
        <v>68</v>
      </c>
      <c r="AJ691" s="1" t="s">
        <v>68</v>
      </c>
      <c r="AK691" s="5"/>
      <c r="AL691" s="1" t="s">
        <v>68</v>
      </c>
      <c r="AM691" s="5"/>
      <c r="AN691" s="1" t="s">
        <v>68</v>
      </c>
      <c r="AO691" s="5"/>
      <c r="AP691" s="306"/>
      <c r="AQ691" s="37">
        <v>0</v>
      </c>
      <c r="AR691" s="1031">
        <v>0</v>
      </c>
      <c r="AS691" s="1018">
        <v>0</v>
      </c>
      <c r="AT691" s="32" t="s">
        <v>68</v>
      </c>
      <c r="AU691" s="12" t="s">
        <v>68</v>
      </c>
      <c r="AV691" s="243" t="s">
        <v>68</v>
      </c>
      <c r="AW691" s="54" t="s">
        <v>68</v>
      </c>
      <c r="AX691" s="32" t="s">
        <v>68</v>
      </c>
      <c r="AY691" s="5"/>
      <c r="AZ691" s="5"/>
      <c r="BA691" s="12"/>
      <c r="BB691" s="32" t="s">
        <v>68</v>
      </c>
      <c r="BC691" s="341"/>
      <c r="BD691" s="5"/>
      <c r="BE691" s="5"/>
      <c r="BF691" s="5"/>
      <c r="BG691" s="38"/>
      <c r="BH691" s="14" t="s">
        <v>68</v>
      </c>
      <c r="BI691" s="1053" t="s">
        <v>68</v>
      </c>
      <c r="BJ691" s="1052" t="s">
        <v>68</v>
      </c>
      <c r="BK691" s="1052" t="s">
        <v>68</v>
      </c>
      <c r="BL691" s="1649" t="s">
        <v>68</v>
      </c>
      <c r="BM691" s="1649" t="s">
        <v>68</v>
      </c>
      <c r="BN691" s="1649" t="s">
        <v>68</v>
      </c>
      <c r="BO691" s="1649" t="s">
        <v>68</v>
      </c>
      <c r="BP691" s="1649" t="s">
        <v>68</v>
      </c>
      <c r="BQ691" s="1649" t="s">
        <v>68</v>
      </c>
      <c r="BR691" s="1649" t="s">
        <v>68</v>
      </c>
      <c r="BS691" s="1053" t="s">
        <v>68</v>
      </c>
      <c r="BT691" s="14"/>
      <c r="BU691" s="23"/>
      <c r="BV691" s="23"/>
      <c r="BW691" s="23"/>
      <c r="BX691" s="23"/>
      <c r="BY691" s="1433" t="s">
        <v>3989</v>
      </c>
      <c r="BZ691" s="987"/>
      <c r="CA691" s="582"/>
      <c r="CB691" s="582"/>
      <c r="CC691" s="582"/>
      <c r="CD691" s="582"/>
      <c r="CE691" s="582"/>
      <c r="CF691" s="582"/>
      <c r="CG691" s="582"/>
      <c r="CH691" s="16"/>
    </row>
    <row r="692" spans="2:86" ht="108" hidden="1" customHeight="1">
      <c r="B692" s="23"/>
      <c r="C692" s="23"/>
      <c r="D692" s="23"/>
      <c r="E692" s="1051"/>
      <c r="F692" s="1051"/>
      <c r="G692" s="1055">
        <v>44999</v>
      </c>
      <c r="H692" s="365"/>
      <c r="I692" s="182">
        <v>2023</v>
      </c>
      <c r="J692" s="1678"/>
      <c r="K692" s="183" t="s">
        <v>166</v>
      </c>
      <c r="L692" s="191" t="s">
        <v>4910</v>
      </c>
      <c r="M692" s="185" t="s">
        <v>46</v>
      </c>
      <c r="N692" s="186" t="s">
        <v>4922</v>
      </c>
      <c r="O692" s="186" t="s">
        <v>2611</v>
      </c>
      <c r="P692" s="187">
        <f>2800*1.16</f>
        <v>3248</v>
      </c>
      <c r="Q692" s="188">
        <v>44929</v>
      </c>
      <c r="R692" s="189">
        <v>44929</v>
      </c>
      <c r="S692" s="190">
        <v>44985</v>
      </c>
      <c r="T692" s="111" t="s">
        <v>68</v>
      </c>
      <c r="U692" s="191" t="s">
        <v>4923</v>
      </c>
      <c r="V692" s="183" t="s">
        <v>1107</v>
      </c>
      <c r="W692" s="220" t="s">
        <v>68</v>
      </c>
      <c r="X692" s="406" t="s">
        <v>68</v>
      </c>
      <c r="Y692" s="35"/>
      <c r="Z692" s="9"/>
      <c r="AA692" s="4"/>
      <c r="AB692" s="4"/>
      <c r="AC692" s="34"/>
      <c r="AD692" s="36" t="s">
        <v>68</v>
      </c>
      <c r="AE692" s="119" t="s">
        <v>68</v>
      </c>
      <c r="AF692" s="119" t="s">
        <v>68</v>
      </c>
      <c r="AG692" s="7" t="s">
        <v>68</v>
      </c>
      <c r="AH692" s="116" t="s">
        <v>68</v>
      </c>
      <c r="AI692" s="35" t="s">
        <v>68</v>
      </c>
      <c r="AJ692" s="1" t="s">
        <v>68</v>
      </c>
      <c r="AK692" s="5"/>
      <c r="AL692" s="1" t="s">
        <v>68</v>
      </c>
      <c r="AM692" s="5"/>
      <c r="AN692" s="1" t="s">
        <v>68</v>
      </c>
      <c r="AO692" s="5"/>
      <c r="AP692" s="306"/>
      <c r="AQ692" s="37">
        <v>0</v>
      </c>
      <c r="AR692" s="1031">
        <v>0</v>
      </c>
      <c r="AS692" s="1018">
        <v>0</v>
      </c>
      <c r="AT692" s="32" t="s">
        <v>68</v>
      </c>
      <c r="AU692" s="12" t="s">
        <v>68</v>
      </c>
      <c r="AV692" s="243" t="s">
        <v>68</v>
      </c>
      <c r="AW692" s="54" t="s">
        <v>68</v>
      </c>
      <c r="AX692" s="32" t="s">
        <v>68</v>
      </c>
      <c r="AY692" s="5"/>
      <c r="AZ692" s="5"/>
      <c r="BA692" s="12"/>
      <c r="BB692" s="32" t="s">
        <v>68</v>
      </c>
      <c r="BC692" s="341"/>
      <c r="BD692" s="5"/>
      <c r="BE692" s="5"/>
      <c r="BF692" s="5"/>
      <c r="BG692" s="38"/>
      <c r="BH692" s="14" t="s">
        <v>68</v>
      </c>
      <c r="BI692" s="1053" t="s">
        <v>68</v>
      </c>
      <c r="BJ692" s="1052" t="s">
        <v>68</v>
      </c>
      <c r="BK692" s="1052" t="s">
        <v>68</v>
      </c>
      <c r="BL692" s="1649" t="s">
        <v>68</v>
      </c>
      <c r="BM692" s="1649" t="s">
        <v>68</v>
      </c>
      <c r="BN692" s="1649" t="s">
        <v>68</v>
      </c>
      <c r="BO692" s="1649" t="s">
        <v>68</v>
      </c>
      <c r="BP692" s="1649" t="s">
        <v>68</v>
      </c>
      <c r="BQ692" s="1649" t="s">
        <v>68</v>
      </c>
      <c r="BR692" s="1649" t="s">
        <v>68</v>
      </c>
      <c r="BS692" s="1053" t="s">
        <v>68</v>
      </c>
      <c r="BT692" s="14"/>
      <c r="BU692" s="23"/>
      <c r="BV692" s="23"/>
      <c r="BW692" s="23"/>
      <c r="BX692" s="23"/>
      <c r="BY692" s="1433" t="s">
        <v>3989</v>
      </c>
      <c r="BZ692" s="987"/>
      <c r="CA692" s="582"/>
      <c r="CB692" s="582"/>
      <c r="CC692" s="582"/>
      <c r="CD692" s="582"/>
      <c r="CE692" s="582"/>
      <c r="CF692" s="582"/>
      <c r="CG692" s="582"/>
      <c r="CH692" s="16"/>
    </row>
    <row r="693" spans="2:86" ht="134.25" hidden="1" customHeight="1">
      <c r="B693" s="23"/>
      <c r="C693" s="23"/>
      <c r="D693" s="23"/>
      <c r="E693" s="1051"/>
      <c r="F693" s="1051"/>
      <c r="G693" s="1055"/>
      <c r="H693" s="365"/>
      <c r="I693" s="182">
        <v>2023</v>
      </c>
      <c r="J693" s="1678"/>
      <c r="K693" s="183" t="s">
        <v>166</v>
      </c>
      <c r="L693" s="191" t="s">
        <v>4911</v>
      </c>
      <c r="M693" s="185" t="s">
        <v>46</v>
      </c>
      <c r="N693" s="186" t="s">
        <v>5660</v>
      </c>
      <c r="O693" s="186" t="s">
        <v>2611</v>
      </c>
      <c r="P693" s="187">
        <f>25000*1.16</f>
        <v>28999.999999999996</v>
      </c>
      <c r="Q693" s="188">
        <v>45005</v>
      </c>
      <c r="R693" s="189">
        <v>45007</v>
      </c>
      <c r="S693" s="190">
        <v>45038</v>
      </c>
      <c r="T693" s="111" t="s">
        <v>68</v>
      </c>
      <c r="U693" s="191" t="s">
        <v>1319</v>
      </c>
      <c r="V693" s="183" t="s">
        <v>70</v>
      </c>
      <c r="W693" s="220" t="s">
        <v>68</v>
      </c>
      <c r="X693" s="406" t="s">
        <v>68</v>
      </c>
      <c r="Y693" s="35"/>
      <c r="Z693" s="9"/>
      <c r="AA693" s="4"/>
      <c r="AB693" s="4"/>
      <c r="AC693" s="34"/>
      <c r="AD693" s="36" t="s">
        <v>68</v>
      </c>
      <c r="AE693" s="119" t="s">
        <v>68</v>
      </c>
      <c r="AF693" s="119" t="s">
        <v>68</v>
      </c>
      <c r="AG693" s="7" t="s">
        <v>68</v>
      </c>
      <c r="AH693" s="116" t="s">
        <v>68</v>
      </c>
      <c r="AI693" s="35" t="s">
        <v>68</v>
      </c>
      <c r="AJ693" s="1" t="s">
        <v>68</v>
      </c>
      <c r="AK693" s="5"/>
      <c r="AL693" s="1" t="s">
        <v>68</v>
      </c>
      <c r="AM693" s="5"/>
      <c r="AN693" s="1" t="s">
        <v>68</v>
      </c>
      <c r="AO693" s="5"/>
      <c r="AP693" s="306"/>
      <c r="AQ693" s="37">
        <v>0</v>
      </c>
      <c r="AR693" s="1031">
        <v>0</v>
      </c>
      <c r="AS693" s="1018">
        <v>0</v>
      </c>
      <c r="AT693" s="32" t="s">
        <v>68</v>
      </c>
      <c r="AU693" s="12" t="s">
        <v>68</v>
      </c>
      <c r="AV693" s="243" t="s">
        <v>68</v>
      </c>
      <c r="AW693" s="54" t="s">
        <v>68</v>
      </c>
      <c r="AX693" s="32" t="s">
        <v>68</v>
      </c>
      <c r="AY693" s="5"/>
      <c r="AZ693" s="5"/>
      <c r="BA693" s="12"/>
      <c r="BB693" s="32" t="s">
        <v>68</v>
      </c>
      <c r="BC693" s="341"/>
      <c r="BD693" s="5"/>
      <c r="BE693" s="5"/>
      <c r="BF693" s="5"/>
      <c r="BG693" s="38"/>
      <c r="BH693" s="14" t="s">
        <v>68</v>
      </c>
      <c r="BI693" s="1053" t="s">
        <v>68</v>
      </c>
      <c r="BJ693" s="1052" t="s">
        <v>68</v>
      </c>
      <c r="BK693" s="1052" t="s">
        <v>68</v>
      </c>
      <c r="BL693" s="1649" t="s">
        <v>68</v>
      </c>
      <c r="BM693" s="1649" t="s">
        <v>68</v>
      </c>
      <c r="BN693" s="1649" t="s">
        <v>68</v>
      </c>
      <c r="BO693" s="1649" t="s">
        <v>68</v>
      </c>
      <c r="BP693" s="1649" t="s">
        <v>68</v>
      </c>
      <c r="BQ693" s="1649" t="s">
        <v>68</v>
      </c>
      <c r="BR693" s="1649" t="s">
        <v>68</v>
      </c>
      <c r="BS693" s="1053" t="s">
        <v>68</v>
      </c>
      <c r="BT693" s="14"/>
      <c r="BU693" s="23"/>
      <c r="BV693" s="23"/>
      <c r="BW693" s="23"/>
      <c r="BX693" s="23"/>
      <c r="BY693" s="1433" t="s">
        <v>3989</v>
      </c>
      <c r="BZ693" s="987"/>
      <c r="CA693" s="582"/>
      <c r="CB693" s="582"/>
      <c r="CC693" s="582"/>
      <c r="CD693" s="582"/>
      <c r="CE693" s="582"/>
      <c r="CF693" s="582"/>
      <c r="CG693" s="582"/>
      <c r="CH693" s="16"/>
    </row>
    <row r="694" spans="2:86" ht="94.5" hidden="1" customHeight="1">
      <c r="B694" s="23"/>
      <c r="C694" s="23"/>
      <c r="D694" s="23"/>
      <c r="E694" s="1051"/>
      <c r="F694" s="1051"/>
      <c r="G694" s="1055"/>
      <c r="H694" s="365"/>
      <c r="I694" s="182">
        <v>2023</v>
      </c>
      <c r="J694" s="1678"/>
      <c r="K694" s="183" t="s">
        <v>166</v>
      </c>
      <c r="L694" s="191" t="s">
        <v>4912</v>
      </c>
      <c r="M694" s="185" t="s">
        <v>46</v>
      </c>
      <c r="N694" s="186" t="s">
        <v>5661</v>
      </c>
      <c r="O694" s="186" t="s">
        <v>2611</v>
      </c>
      <c r="P694" s="187">
        <f>51450*1.16</f>
        <v>59681.999999999993</v>
      </c>
      <c r="Q694" s="188">
        <v>44956</v>
      </c>
      <c r="R694" s="189">
        <v>44958</v>
      </c>
      <c r="S694" s="190">
        <v>44985</v>
      </c>
      <c r="T694" s="111" t="s">
        <v>68</v>
      </c>
      <c r="U694" s="191" t="s">
        <v>4921</v>
      </c>
      <c r="V694" s="183" t="s">
        <v>70</v>
      </c>
      <c r="W694" s="220" t="s">
        <v>68</v>
      </c>
      <c r="X694" s="406" t="s">
        <v>68</v>
      </c>
      <c r="Y694" s="35"/>
      <c r="Z694" s="9"/>
      <c r="AA694" s="4"/>
      <c r="AB694" s="4"/>
      <c r="AC694" s="34"/>
      <c r="AD694" s="36" t="s">
        <v>68</v>
      </c>
      <c r="AE694" s="119" t="s">
        <v>68</v>
      </c>
      <c r="AF694" s="119" t="s">
        <v>68</v>
      </c>
      <c r="AG694" s="7" t="s">
        <v>68</v>
      </c>
      <c r="AH694" s="116" t="s">
        <v>68</v>
      </c>
      <c r="AI694" s="35" t="s">
        <v>68</v>
      </c>
      <c r="AJ694" s="1" t="s">
        <v>68</v>
      </c>
      <c r="AK694" s="5"/>
      <c r="AL694" s="1" t="s">
        <v>68</v>
      </c>
      <c r="AM694" s="5"/>
      <c r="AN694" s="1" t="s">
        <v>68</v>
      </c>
      <c r="AO694" s="5"/>
      <c r="AP694" s="306"/>
      <c r="AQ694" s="37">
        <v>0</v>
      </c>
      <c r="AR694" s="1031">
        <v>0</v>
      </c>
      <c r="AS694" s="1018">
        <v>0</v>
      </c>
      <c r="AT694" s="32" t="s">
        <v>68</v>
      </c>
      <c r="AU694" s="12" t="s">
        <v>68</v>
      </c>
      <c r="AV694" s="243" t="s">
        <v>68</v>
      </c>
      <c r="AW694" s="54" t="s">
        <v>68</v>
      </c>
      <c r="AX694" s="32" t="s">
        <v>68</v>
      </c>
      <c r="AY694" s="5"/>
      <c r="AZ694" s="5"/>
      <c r="BA694" s="12"/>
      <c r="BB694" s="32" t="s">
        <v>68</v>
      </c>
      <c r="BC694" s="341"/>
      <c r="BD694" s="5"/>
      <c r="BE694" s="5"/>
      <c r="BF694" s="5"/>
      <c r="BG694" s="38"/>
      <c r="BH694" s="14" t="s">
        <v>68</v>
      </c>
      <c r="BI694" s="1053" t="s">
        <v>68</v>
      </c>
      <c r="BJ694" s="1052" t="s">
        <v>68</v>
      </c>
      <c r="BK694" s="1052" t="s">
        <v>68</v>
      </c>
      <c r="BL694" s="1649" t="s">
        <v>68</v>
      </c>
      <c r="BM694" s="1649" t="s">
        <v>68</v>
      </c>
      <c r="BN694" s="1649" t="s">
        <v>68</v>
      </c>
      <c r="BO694" s="1649" t="s">
        <v>68</v>
      </c>
      <c r="BP694" s="1649" t="s">
        <v>68</v>
      </c>
      <c r="BQ694" s="1649" t="s">
        <v>68</v>
      </c>
      <c r="BR694" s="1649" t="s">
        <v>68</v>
      </c>
      <c r="BS694" s="1053" t="s">
        <v>68</v>
      </c>
      <c r="BT694" s="14"/>
      <c r="BU694" s="23"/>
      <c r="BV694" s="23"/>
      <c r="BW694" s="23"/>
      <c r="BX694" s="23"/>
      <c r="BY694" s="1433" t="s">
        <v>3989</v>
      </c>
      <c r="BZ694" s="987"/>
      <c r="CA694" s="582"/>
      <c r="CB694" s="582"/>
      <c r="CC694" s="582"/>
      <c r="CD694" s="582"/>
      <c r="CE694" s="582"/>
      <c r="CF694" s="582"/>
      <c r="CG694" s="582"/>
      <c r="CH694" s="16"/>
    </row>
    <row r="695" spans="2:86" ht="106.5" hidden="1" customHeight="1">
      <c r="B695" s="23"/>
      <c r="C695" s="23"/>
      <c r="D695" s="23"/>
      <c r="E695" s="1051"/>
      <c r="F695" s="1051"/>
      <c r="G695" s="1055"/>
      <c r="H695" s="365"/>
      <c r="I695" s="182">
        <v>2023</v>
      </c>
      <c r="J695" s="1678"/>
      <c r="K695" s="183" t="s">
        <v>166</v>
      </c>
      <c r="L695" s="191" t="s">
        <v>4913</v>
      </c>
      <c r="M695" s="185" t="s">
        <v>46</v>
      </c>
      <c r="N695" s="186" t="s">
        <v>5662</v>
      </c>
      <c r="O695" s="186" t="s">
        <v>2551</v>
      </c>
      <c r="P695" s="187">
        <f>550*1.16</f>
        <v>638</v>
      </c>
      <c r="Q695" s="1403">
        <v>44981</v>
      </c>
      <c r="R695" s="189">
        <v>44985</v>
      </c>
      <c r="S695" s="190">
        <v>44989</v>
      </c>
      <c r="T695" s="111" t="s">
        <v>68</v>
      </c>
      <c r="U695" s="191" t="s">
        <v>4407</v>
      </c>
      <c r="V695" s="183" t="s">
        <v>70</v>
      </c>
      <c r="W695" s="220" t="s">
        <v>68</v>
      </c>
      <c r="X695" s="406" t="s">
        <v>68</v>
      </c>
      <c r="Y695" s="35"/>
      <c r="Z695" s="9"/>
      <c r="AA695" s="4"/>
      <c r="AB695" s="4"/>
      <c r="AC695" s="34"/>
      <c r="AD695" s="36" t="s">
        <v>68</v>
      </c>
      <c r="AE695" s="119" t="s">
        <v>68</v>
      </c>
      <c r="AF695" s="119" t="s">
        <v>68</v>
      </c>
      <c r="AG695" s="7" t="s">
        <v>68</v>
      </c>
      <c r="AH695" s="116" t="s">
        <v>68</v>
      </c>
      <c r="AI695" s="35" t="s">
        <v>68</v>
      </c>
      <c r="AJ695" s="1" t="s">
        <v>68</v>
      </c>
      <c r="AK695" s="5"/>
      <c r="AL695" s="1" t="s">
        <v>68</v>
      </c>
      <c r="AM695" s="5"/>
      <c r="AN695" s="1" t="s">
        <v>68</v>
      </c>
      <c r="AO695" s="5"/>
      <c r="AP695" s="306"/>
      <c r="AQ695" s="37">
        <v>0</v>
      </c>
      <c r="AR695" s="1031">
        <v>0</v>
      </c>
      <c r="AS695" s="1018">
        <v>0</v>
      </c>
      <c r="AT695" s="32" t="s">
        <v>68</v>
      </c>
      <c r="AU695" s="12" t="s">
        <v>68</v>
      </c>
      <c r="AV695" s="243" t="s">
        <v>68</v>
      </c>
      <c r="AW695" s="54" t="s">
        <v>68</v>
      </c>
      <c r="AX695" s="32" t="s">
        <v>68</v>
      </c>
      <c r="AY695" s="5"/>
      <c r="AZ695" s="5"/>
      <c r="BA695" s="12"/>
      <c r="BB695" s="32" t="s">
        <v>68</v>
      </c>
      <c r="BC695" s="341"/>
      <c r="BD695" s="5"/>
      <c r="BE695" s="5"/>
      <c r="BF695" s="5"/>
      <c r="BG695" s="38"/>
      <c r="BH695" s="14" t="s">
        <v>68</v>
      </c>
      <c r="BI695" s="1053" t="s">
        <v>68</v>
      </c>
      <c r="BJ695" s="1052" t="s">
        <v>68</v>
      </c>
      <c r="BK695" s="1052" t="s">
        <v>68</v>
      </c>
      <c r="BL695" s="1649" t="s">
        <v>68</v>
      </c>
      <c r="BM695" s="1649" t="s">
        <v>68</v>
      </c>
      <c r="BN695" s="1649" t="s">
        <v>68</v>
      </c>
      <c r="BO695" s="1649" t="s">
        <v>68</v>
      </c>
      <c r="BP695" s="1649" t="s">
        <v>68</v>
      </c>
      <c r="BQ695" s="1649" t="s">
        <v>68</v>
      </c>
      <c r="BR695" s="1649" t="s">
        <v>68</v>
      </c>
      <c r="BS695" s="1053" t="s">
        <v>68</v>
      </c>
      <c r="BT695" s="14"/>
      <c r="BU695" s="23"/>
      <c r="BV695" s="23"/>
      <c r="BW695" s="23"/>
      <c r="BX695" s="23"/>
      <c r="BY695" s="1433" t="s">
        <v>3989</v>
      </c>
      <c r="BZ695" s="987"/>
      <c r="CA695" s="582"/>
      <c r="CB695" s="582"/>
      <c r="CC695" s="582"/>
      <c r="CD695" s="582"/>
      <c r="CE695" s="582"/>
      <c r="CF695" s="582"/>
      <c r="CG695" s="582"/>
      <c r="CH695" s="16"/>
    </row>
    <row r="696" spans="2:86" ht="82.5" hidden="1" customHeight="1">
      <c r="B696" s="23"/>
      <c r="C696" s="23"/>
      <c r="D696" s="23"/>
      <c r="E696" s="1051"/>
      <c r="F696" s="1051"/>
      <c r="G696" s="1055"/>
      <c r="H696" s="365"/>
      <c r="I696" s="182">
        <v>2023</v>
      </c>
      <c r="J696" s="1678"/>
      <c r="K696" s="183" t="s">
        <v>166</v>
      </c>
      <c r="L696" s="191" t="s">
        <v>4914</v>
      </c>
      <c r="M696" s="185" t="s">
        <v>46</v>
      </c>
      <c r="N696" s="186" t="s">
        <v>5663</v>
      </c>
      <c r="O696" s="186" t="s">
        <v>2611</v>
      </c>
      <c r="P696" s="187">
        <f>25000*1.16</f>
        <v>28999.999999999996</v>
      </c>
      <c r="Q696" s="1403">
        <v>45037</v>
      </c>
      <c r="R696" s="189">
        <v>45039</v>
      </c>
      <c r="S696" s="190">
        <v>45069</v>
      </c>
      <c r="T696" s="111" t="s">
        <v>68</v>
      </c>
      <c r="U696" s="191" t="s">
        <v>1319</v>
      </c>
      <c r="V696" s="183" t="s">
        <v>70</v>
      </c>
      <c r="W696" s="220" t="s">
        <v>68</v>
      </c>
      <c r="X696" s="406" t="s">
        <v>68</v>
      </c>
      <c r="Y696" s="35"/>
      <c r="Z696" s="9"/>
      <c r="AA696" s="4"/>
      <c r="AB696" s="4"/>
      <c r="AC696" s="34"/>
      <c r="AD696" s="36" t="s">
        <v>68</v>
      </c>
      <c r="AE696" s="119" t="s">
        <v>68</v>
      </c>
      <c r="AF696" s="119" t="s">
        <v>68</v>
      </c>
      <c r="AG696" s="7" t="s">
        <v>68</v>
      </c>
      <c r="AH696" s="116" t="s">
        <v>68</v>
      </c>
      <c r="AI696" s="35" t="s">
        <v>68</v>
      </c>
      <c r="AJ696" s="1" t="s">
        <v>68</v>
      </c>
      <c r="AK696" s="5"/>
      <c r="AL696" s="1" t="s">
        <v>68</v>
      </c>
      <c r="AM696" s="5"/>
      <c r="AN696" s="1" t="s">
        <v>68</v>
      </c>
      <c r="AO696" s="5"/>
      <c r="AP696" s="306"/>
      <c r="AQ696" s="37">
        <v>0</v>
      </c>
      <c r="AR696" s="1031">
        <v>0</v>
      </c>
      <c r="AS696" s="1018">
        <v>0</v>
      </c>
      <c r="AT696" s="32" t="s">
        <v>68</v>
      </c>
      <c r="AU696" s="12" t="s">
        <v>68</v>
      </c>
      <c r="AV696" s="243" t="s">
        <v>68</v>
      </c>
      <c r="AW696" s="54" t="s">
        <v>68</v>
      </c>
      <c r="AX696" s="32" t="s">
        <v>68</v>
      </c>
      <c r="AY696" s="5"/>
      <c r="AZ696" s="5"/>
      <c r="BA696" s="12"/>
      <c r="BB696" s="32" t="s">
        <v>68</v>
      </c>
      <c r="BC696" s="341"/>
      <c r="BD696" s="5"/>
      <c r="BE696" s="5"/>
      <c r="BF696" s="5"/>
      <c r="BG696" s="38"/>
      <c r="BH696" s="14" t="s">
        <v>68</v>
      </c>
      <c r="BI696" s="1053" t="s">
        <v>68</v>
      </c>
      <c r="BJ696" s="1052" t="s">
        <v>68</v>
      </c>
      <c r="BK696" s="1052" t="s">
        <v>68</v>
      </c>
      <c r="BL696" s="1649" t="s">
        <v>68</v>
      </c>
      <c r="BM696" s="1649" t="s">
        <v>68</v>
      </c>
      <c r="BN696" s="1649" t="s">
        <v>68</v>
      </c>
      <c r="BO696" s="1649" t="s">
        <v>68</v>
      </c>
      <c r="BP696" s="1649" t="s">
        <v>68</v>
      </c>
      <c r="BQ696" s="1649" t="s">
        <v>68</v>
      </c>
      <c r="BR696" s="1649" t="s">
        <v>68</v>
      </c>
      <c r="BS696" s="1053" t="s">
        <v>68</v>
      </c>
      <c r="BT696" s="14"/>
      <c r="BU696" s="23"/>
      <c r="BV696" s="23"/>
      <c r="BW696" s="23"/>
      <c r="BX696" s="23"/>
      <c r="BY696" s="1433" t="s">
        <v>3989</v>
      </c>
      <c r="BZ696" s="987"/>
      <c r="CA696" s="582"/>
      <c r="CB696" s="582"/>
      <c r="CC696" s="582"/>
      <c r="CD696" s="582"/>
      <c r="CE696" s="582"/>
      <c r="CF696" s="582"/>
      <c r="CG696" s="582"/>
      <c r="CH696" s="16"/>
    </row>
    <row r="697" spans="2:86" ht="101.25" hidden="1" customHeight="1">
      <c r="B697" s="23"/>
      <c r="C697" s="23"/>
      <c r="D697" s="23"/>
      <c r="E697" s="1051"/>
      <c r="F697" s="1051"/>
      <c r="G697" s="1055"/>
      <c r="H697" s="365"/>
      <c r="I697" s="182">
        <v>2023</v>
      </c>
      <c r="J697" s="1678"/>
      <c r="K697" s="183" t="s">
        <v>166</v>
      </c>
      <c r="L697" s="191" t="s">
        <v>4915</v>
      </c>
      <c r="M697" s="185" t="s">
        <v>46</v>
      </c>
      <c r="N697" s="186" t="s">
        <v>5665</v>
      </c>
      <c r="O697" s="186" t="s">
        <v>2611</v>
      </c>
      <c r="P697" s="187">
        <f>51450*1.16</f>
        <v>59681.999999999993</v>
      </c>
      <c r="Q697" s="1403">
        <v>45015</v>
      </c>
      <c r="R697" s="189">
        <v>45017</v>
      </c>
      <c r="S697" s="190">
        <v>45046</v>
      </c>
      <c r="T697" s="111" t="s">
        <v>68</v>
      </c>
      <c r="U697" s="191" t="s">
        <v>4921</v>
      </c>
      <c r="V697" s="183" t="s">
        <v>70</v>
      </c>
      <c r="W697" s="220" t="s">
        <v>68</v>
      </c>
      <c r="X697" s="406" t="s">
        <v>68</v>
      </c>
      <c r="Y697" s="35"/>
      <c r="Z697" s="9"/>
      <c r="AA697" s="4"/>
      <c r="AB697" s="4"/>
      <c r="AC697" s="34"/>
      <c r="AD697" s="36" t="s">
        <v>68</v>
      </c>
      <c r="AE697" s="119" t="s">
        <v>68</v>
      </c>
      <c r="AF697" s="119" t="s">
        <v>68</v>
      </c>
      <c r="AG697" s="7" t="s">
        <v>68</v>
      </c>
      <c r="AH697" s="116" t="s">
        <v>68</v>
      </c>
      <c r="AI697" s="35" t="s">
        <v>68</v>
      </c>
      <c r="AJ697" s="1" t="s">
        <v>68</v>
      </c>
      <c r="AK697" s="5"/>
      <c r="AL697" s="1" t="s">
        <v>68</v>
      </c>
      <c r="AM697" s="5"/>
      <c r="AN697" s="1" t="s">
        <v>68</v>
      </c>
      <c r="AO697" s="5"/>
      <c r="AP697" s="306"/>
      <c r="AQ697" s="37">
        <v>0</v>
      </c>
      <c r="AR697" s="1031">
        <v>0</v>
      </c>
      <c r="AS697" s="1018">
        <v>0</v>
      </c>
      <c r="AT697" s="32" t="s">
        <v>68</v>
      </c>
      <c r="AU697" s="12" t="s">
        <v>68</v>
      </c>
      <c r="AV697" s="243" t="s">
        <v>68</v>
      </c>
      <c r="AW697" s="54" t="s">
        <v>68</v>
      </c>
      <c r="AX697" s="32" t="s">
        <v>68</v>
      </c>
      <c r="AY697" s="5"/>
      <c r="AZ697" s="5"/>
      <c r="BA697" s="12"/>
      <c r="BB697" s="32" t="s">
        <v>68</v>
      </c>
      <c r="BC697" s="341"/>
      <c r="BD697" s="5"/>
      <c r="BE697" s="5"/>
      <c r="BF697" s="5"/>
      <c r="BG697" s="38"/>
      <c r="BH697" s="14" t="s">
        <v>68</v>
      </c>
      <c r="BI697" s="1053" t="s">
        <v>68</v>
      </c>
      <c r="BJ697" s="1052" t="s">
        <v>68</v>
      </c>
      <c r="BK697" s="1052" t="s">
        <v>68</v>
      </c>
      <c r="BL697" s="1649" t="s">
        <v>68</v>
      </c>
      <c r="BM697" s="1649" t="s">
        <v>68</v>
      </c>
      <c r="BN697" s="1649" t="s">
        <v>68</v>
      </c>
      <c r="BO697" s="1649" t="s">
        <v>68</v>
      </c>
      <c r="BP697" s="1649" t="s">
        <v>68</v>
      </c>
      <c r="BQ697" s="1649" t="s">
        <v>68</v>
      </c>
      <c r="BR697" s="1649" t="s">
        <v>68</v>
      </c>
      <c r="BS697" s="1053" t="s">
        <v>68</v>
      </c>
      <c r="BT697" s="14"/>
      <c r="BU697" s="23"/>
      <c r="BV697" s="23"/>
      <c r="BW697" s="23"/>
      <c r="BX697" s="23"/>
      <c r="BY697" s="1433" t="s">
        <v>3989</v>
      </c>
      <c r="BZ697" s="987"/>
      <c r="CA697" s="582"/>
      <c r="CB697" s="582"/>
      <c r="CC697" s="582"/>
      <c r="CD697" s="582"/>
      <c r="CE697" s="582"/>
      <c r="CF697" s="582"/>
      <c r="CG697" s="582"/>
      <c r="CH697" s="16"/>
    </row>
    <row r="698" spans="2:86" ht="81.75" hidden="1" customHeight="1">
      <c r="B698" s="23"/>
      <c r="C698" s="23"/>
      <c r="D698" s="23"/>
      <c r="E698" s="1051"/>
      <c r="F698" s="1051"/>
      <c r="G698" s="1055"/>
      <c r="H698" s="365"/>
      <c r="I698" s="182">
        <v>2023</v>
      </c>
      <c r="J698" s="1678"/>
      <c r="K698" s="183" t="s">
        <v>166</v>
      </c>
      <c r="L698" s="191" t="s">
        <v>5627</v>
      </c>
      <c r="M698" s="185" t="s">
        <v>46</v>
      </c>
      <c r="N698" s="186" t="s">
        <v>5666</v>
      </c>
      <c r="O698" s="186" t="s">
        <v>2611</v>
      </c>
      <c r="P698" s="187">
        <f>4094.83*1.16</f>
        <v>4750.0027999999993</v>
      </c>
      <c r="Q698" s="1403">
        <v>45033</v>
      </c>
      <c r="R698" s="189">
        <v>45033</v>
      </c>
      <c r="S698" s="190">
        <v>45094</v>
      </c>
      <c r="T698" s="111" t="s">
        <v>68</v>
      </c>
      <c r="U698" s="191" t="s">
        <v>5669</v>
      </c>
      <c r="V698" s="183" t="s">
        <v>1107</v>
      </c>
      <c r="W698" s="220" t="s">
        <v>68</v>
      </c>
      <c r="X698" s="406" t="s">
        <v>68</v>
      </c>
      <c r="Y698" s="35"/>
      <c r="Z698" s="9"/>
      <c r="AA698" s="4"/>
      <c r="AB698" s="4"/>
      <c r="AC698" s="34"/>
      <c r="AD698" s="36" t="s">
        <v>68</v>
      </c>
      <c r="AE698" s="119" t="s">
        <v>68</v>
      </c>
      <c r="AF698" s="119" t="s">
        <v>68</v>
      </c>
      <c r="AG698" s="7" t="s">
        <v>68</v>
      </c>
      <c r="AH698" s="116" t="s">
        <v>68</v>
      </c>
      <c r="AI698" s="35" t="s">
        <v>68</v>
      </c>
      <c r="AJ698" s="1" t="s">
        <v>68</v>
      </c>
      <c r="AK698" s="5"/>
      <c r="AL698" s="1" t="s">
        <v>68</v>
      </c>
      <c r="AM698" s="5"/>
      <c r="AN698" s="1" t="s">
        <v>68</v>
      </c>
      <c r="AO698" s="5"/>
      <c r="AP698" s="306"/>
      <c r="AQ698" s="37">
        <v>0</v>
      </c>
      <c r="AR698" s="1031">
        <v>0</v>
      </c>
      <c r="AS698" s="1018">
        <v>0</v>
      </c>
      <c r="AT698" s="32" t="s">
        <v>68</v>
      </c>
      <c r="AU698" s="12" t="s">
        <v>68</v>
      </c>
      <c r="AV698" s="243" t="s">
        <v>68</v>
      </c>
      <c r="AW698" s="54" t="s">
        <v>68</v>
      </c>
      <c r="AX698" s="32" t="s">
        <v>68</v>
      </c>
      <c r="AY698" s="5"/>
      <c r="AZ698" s="5"/>
      <c r="BA698" s="12"/>
      <c r="BB698" s="32" t="s">
        <v>68</v>
      </c>
      <c r="BC698" s="341"/>
      <c r="BD698" s="5"/>
      <c r="BE698" s="5"/>
      <c r="BF698" s="5"/>
      <c r="BG698" s="38"/>
      <c r="BH698" s="14" t="s">
        <v>68</v>
      </c>
      <c r="BI698" s="1053" t="s">
        <v>68</v>
      </c>
      <c r="BJ698" s="1052" t="s">
        <v>68</v>
      </c>
      <c r="BK698" s="1052" t="s">
        <v>68</v>
      </c>
      <c r="BL698" s="1649" t="s">
        <v>68</v>
      </c>
      <c r="BM698" s="1649" t="s">
        <v>68</v>
      </c>
      <c r="BN698" s="1649" t="s">
        <v>68</v>
      </c>
      <c r="BO698" s="1649" t="s">
        <v>68</v>
      </c>
      <c r="BP698" s="1649" t="s">
        <v>68</v>
      </c>
      <c r="BQ698" s="1649" t="s">
        <v>68</v>
      </c>
      <c r="BR698" s="1649" t="s">
        <v>68</v>
      </c>
      <c r="BS698" s="1053" t="s">
        <v>68</v>
      </c>
      <c r="BT698" s="14"/>
      <c r="BU698" s="23"/>
      <c r="BV698" s="23"/>
      <c r="BW698" s="23"/>
      <c r="BX698" s="23"/>
      <c r="BY698" s="1433" t="s">
        <v>3989</v>
      </c>
      <c r="BZ698" s="987"/>
      <c r="CA698" s="582"/>
      <c r="CB698" s="582"/>
      <c r="CC698" s="582"/>
      <c r="CD698" s="582"/>
      <c r="CE698" s="582"/>
      <c r="CF698" s="582"/>
      <c r="CG698" s="582"/>
      <c r="CH698" s="16"/>
    </row>
    <row r="699" spans="2:86" ht="81" hidden="1" customHeight="1">
      <c r="B699" s="23"/>
      <c r="C699" s="23"/>
      <c r="D699" s="23"/>
      <c r="E699" s="1051"/>
      <c r="F699" s="1051"/>
      <c r="G699" s="1055"/>
      <c r="H699" s="365"/>
      <c r="I699" s="182">
        <v>2023</v>
      </c>
      <c r="J699" s="1678"/>
      <c r="K699" s="183" t="s">
        <v>166</v>
      </c>
      <c r="L699" s="191" t="s">
        <v>5628</v>
      </c>
      <c r="M699" s="185" t="s">
        <v>46</v>
      </c>
      <c r="N699" s="186" t="s">
        <v>5670</v>
      </c>
      <c r="O699" s="186" t="s">
        <v>2611</v>
      </c>
      <c r="P699" s="187">
        <f>1637.93*1.16</f>
        <v>1899.9987999999998</v>
      </c>
      <c r="Q699" s="1403">
        <v>45033</v>
      </c>
      <c r="R699" s="189">
        <v>45033</v>
      </c>
      <c r="S699" s="190">
        <v>45094</v>
      </c>
      <c r="T699" s="111" t="s">
        <v>68</v>
      </c>
      <c r="U699" s="191" t="s">
        <v>5669</v>
      </c>
      <c r="V699" s="183" t="s">
        <v>1107</v>
      </c>
      <c r="W699" s="220" t="s">
        <v>68</v>
      </c>
      <c r="X699" s="406" t="s">
        <v>68</v>
      </c>
      <c r="Y699" s="35"/>
      <c r="Z699" s="9"/>
      <c r="AA699" s="4"/>
      <c r="AB699" s="4"/>
      <c r="AC699" s="34"/>
      <c r="AD699" s="36" t="s">
        <v>68</v>
      </c>
      <c r="AE699" s="119" t="s">
        <v>68</v>
      </c>
      <c r="AF699" s="119" t="s">
        <v>68</v>
      </c>
      <c r="AG699" s="7" t="s">
        <v>68</v>
      </c>
      <c r="AH699" s="116" t="s">
        <v>68</v>
      </c>
      <c r="AI699" s="35" t="s">
        <v>68</v>
      </c>
      <c r="AJ699" s="1" t="s">
        <v>68</v>
      </c>
      <c r="AK699" s="5"/>
      <c r="AL699" s="1" t="s">
        <v>68</v>
      </c>
      <c r="AM699" s="5"/>
      <c r="AN699" s="1" t="s">
        <v>68</v>
      </c>
      <c r="AO699" s="5"/>
      <c r="AP699" s="306"/>
      <c r="AQ699" s="37">
        <v>0</v>
      </c>
      <c r="AR699" s="1031">
        <v>0</v>
      </c>
      <c r="AS699" s="1018">
        <v>0</v>
      </c>
      <c r="AT699" s="32" t="s">
        <v>68</v>
      </c>
      <c r="AU699" s="12" t="s">
        <v>68</v>
      </c>
      <c r="AV699" s="243" t="s">
        <v>68</v>
      </c>
      <c r="AW699" s="54" t="s">
        <v>68</v>
      </c>
      <c r="AX699" s="32" t="s">
        <v>68</v>
      </c>
      <c r="AY699" s="5"/>
      <c r="AZ699" s="5"/>
      <c r="BA699" s="12"/>
      <c r="BB699" s="32" t="s">
        <v>68</v>
      </c>
      <c r="BC699" s="341"/>
      <c r="BD699" s="5"/>
      <c r="BE699" s="5"/>
      <c r="BF699" s="5"/>
      <c r="BG699" s="38"/>
      <c r="BH699" s="14" t="s">
        <v>68</v>
      </c>
      <c r="BI699" s="1053" t="s">
        <v>68</v>
      </c>
      <c r="BJ699" s="1052" t="s">
        <v>68</v>
      </c>
      <c r="BK699" s="1052" t="s">
        <v>68</v>
      </c>
      <c r="BL699" s="1649" t="s">
        <v>68</v>
      </c>
      <c r="BM699" s="1649" t="s">
        <v>68</v>
      </c>
      <c r="BN699" s="1649" t="s">
        <v>68</v>
      </c>
      <c r="BO699" s="1649" t="s">
        <v>68</v>
      </c>
      <c r="BP699" s="1649" t="s">
        <v>68</v>
      </c>
      <c r="BQ699" s="1649" t="s">
        <v>68</v>
      </c>
      <c r="BR699" s="1649" t="s">
        <v>68</v>
      </c>
      <c r="BS699" s="1053" t="s">
        <v>68</v>
      </c>
      <c r="BT699" s="14"/>
      <c r="BU699" s="23"/>
      <c r="BV699" s="23"/>
      <c r="BW699" s="23"/>
      <c r="BX699" s="23"/>
      <c r="BY699" s="1433" t="s">
        <v>3989</v>
      </c>
      <c r="BZ699" s="987"/>
      <c r="CA699" s="582"/>
      <c r="CB699" s="582"/>
      <c r="CC699" s="582"/>
      <c r="CD699" s="582"/>
      <c r="CE699" s="582"/>
      <c r="CF699" s="582"/>
      <c r="CG699" s="582"/>
      <c r="CH699" s="16"/>
    </row>
    <row r="700" spans="2:86" ht="135" hidden="1" customHeight="1">
      <c r="B700" s="23"/>
      <c r="C700" s="23"/>
      <c r="D700" s="23"/>
      <c r="E700" s="1051"/>
      <c r="F700" s="1051"/>
      <c r="G700" s="1055"/>
      <c r="H700" s="365"/>
      <c r="I700" s="182">
        <v>2023</v>
      </c>
      <c r="J700" s="1678"/>
      <c r="K700" s="183" t="s">
        <v>166</v>
      </c>
      <c r="L700" s="191" t="s">
        <v>4916</v>
      </c>
      <c r="M700" s="185" t="s">
        <v>46</v>
      </c>
      <c r="N700" s="186" t="s">
        <v>5671</v>
      </c>
      <c r="O700" s="186" t="s">
        <v>2611</v>
      </c>
      <c r="P700" s="187">
        <f>4500*1.16</f>
        <v>5220</v>
      </c>
      <c r="Q700" s="1403">
        <v>45034</v>
      </c>
      <c r="R700" s="189">
        <v>45036</v>
      </c>
      <c r="S700" s="190">
        <v>45066</v>
      </c>
      <c r="T700" s="111" t="s">
        <v>68</v>
      </c>
      <c r="U700" s="191" t="s">
        <v>4407</v>
      </c>
      <c r="V700" s="183" t="s">
        <v>70</v>
      </c>
      <c r="W700" s="220" t="s">
        <v>68</v>
      </c>
      <c r="X700" s="406" t="s">
        <v>68</v>
      </c>
      <c r="Y700" s="35"/>
      <c r="Z700" s="9"/>
      <c r="AA700" s="4"/>
      <c r="AB700" s="4"/>
      <c r="AC700" s="34"/>
      <c r="AD700" s="36" t="s">
        <v>68</v>
      </c>
      <c r="AE700" s="119" t="s">
        <v>68</v>
      </c>
      <c r="AF700" s="119" t="s">
        <v>68</v>
      </c>
      <c r="AG700" s="7" t="s">
        <v>68</v>
      </c>
      <c r="AH700" s="116" t="s">
        <v>68</v>
      </c>
      <c r="AI700" s="35" t="s">
        <v>68</v>
      </c>
      <c r="AJ700" s="1" t="s">
        <v>68</v>
      </c>
      <c r="AK700" s="5"/>
      <c r="AL700" s="1" t="s">
        <v>68</v>
      </c>
      <c r="AM700" s="5"/>
      <c r="AN700" s="1" t="s">
        <v>68</v>
      </c>
      <c r="AO700" s="5"/>
      <c r="AP700" s="306"/>
      <c r="AQ700" s="37">
        <v>0</v>
      </c>
      <c r="AR700" s="1031">
        <v>0</v>
      </c>
      <c r="AS700" s="1018">
        <v>0</v>
      </c>
      <c r="AT700" s="32" t="s">
        <v>68</v>
      </c>
      <c r="AU700" s="12" t="s">
        <v>68</v>
      </c>
      <c r="AV700" s="243" t="s">
        <v>68</v>
      </c>
      <c r="AW700" s="54" t="s">
        <v>68</v>
      </c>
      <c r="AX700" s="32" t="s">
        <v>68</v>
      </c>
      <c r="AY700" s="5"/>
      <c r="AZ700" s="5"/>
      <c r="BA700" s="12"/>
      <c r="BB700" s="32" t="s">
        <v>68</v>
      </c>
      <c r="BC700" s="341"/>
      <c r="BD700" s="5"/>
      <c r="BE700" s="5"/>
      <c r="BF700" s="5"/>
      <c r="BG700" s="38"/>
      <c r="BH700" s="14" t="s">
        <v>68</v>
      </c>
      <c r="BI700" s="1053" t="s">
        <v>68</v>
      </c>
      <c r="BJ700" s="1052" t="s">
        <v>68</v>
      </c>
      <c r="BK700" s="1052" t="s">
        <v>68</v>
      </c>
      <c r="BL700" s="1649" t="s">
        <v>68</v>
      </c>
      <c r="BM700" s="1649" t="s">
        <v>68</v>
      </c>
      <c r="BN700" s="1649" t="s">
        <v>68</v>
      </c>
      <c r="BO700" s="1649" t="s">
        <v>68</v>
      </c>
      <c r="BP700" s="1649" t="s">
        <v>68</v>
      </c>
      <c r="BQ700" s="1649" t="s">
        <v>68</v>
      </c>
      <c r="BR700" s="1649" t="s">
        <v>68</v>
      </c>
      <c r="BS700" s="1053" t="s">
        <v>68</v>
      </c>
      <c r="BT700" s="14"/>
      <c r="BU700" s="23"/>
      <c r="BV700" s="23"/>
      <c r="BW700" s="23"/>
      <c r="BX700" s="23"/>
      <c r="BY700" s="1433" t="s">
        <v>3989</v>
      </c>
      <c r="BZ700" s="987"/>
      <c r="CA700" s="582"/>
      <c r="CB700" s="582"/>
      <c r="CC700" s="582"/>
      <c r="CD700" s="582"/>
      <c r="CE700" s="582"/>
      <c r="CF700" s="582"/>
      <c r="CG700" s="582"/>
      <c r="CH700" s="16"/>
    </row>
    <row r="701" spans="2:86" ht="122.25" hidden="1" customHeight="1">
      <c r="B701" s="23"/>
      <c r="C701" s="23"/>
      <c r="D701" s="23"/>
      <c r="E701" s="1051"/>
      <c r="F701" s="1051"/>
      <c r="G701" s="1055"/>
      <c r="H701" s="365"/>
      <c r="I701" s="182">
        <v>2023</v>
      </c>
      <c r="J701" s="1678"/>
      <c r="K701" s="183" t="s">
        <v>166</v>
      </c>
      <c r="L701" s="191" t="s">
        <v>4917</v>
      </c>
      <c r="M701" s="185" t="s">
        <v>46</v>
      </c>
      <c r="N701" s="186" t="s">
        <v>5672</v>
      </c>
      <c r="O701" s="186" t="s">
        <v>1979</v>
      </c>
      <c r="P701" s="187">
        <f>4500*1.16</f>
        <v>5220</v>
      </c>
      <c r="Q701" s="1403">
        <v>45034</v>
      </c>
      <c r="R701" s="189">
        <v>45036</v>
      </c>
      <c r="S701" s="190">
        <v>45066</v>
      </c>
      <c r="T701" s="111" t="s">
        <v>68</v>
      </c>
      <c r="U701" s="191" t="s">
        <v>4407</v>
      </c>
      <c r="V701" s="183" t="s">
        <v>70</v>
      </c>
      <c r="W701" s="220" t="s">
        <v>68</v>
      </c>
      <c r="X701" s="406" t="s">
        <v>68</v>
      </c>
      <c r="Y701" s="35"/>
      <c r="Z701" s="9"/>
      <c r="AA701" s="4"/>
      <c r="AB701" s="4"/>
      <c r="AC701" s="34"/>
      <c r="AD701" s="36" t="s">
        <v>68</v>
      </c>
      <c r="AE701" s="119" t="s">
        <v>68</v>
      </c>
      <c r="AF701" s="119" t="s">
        <v>68</v>
      </c>
      <c r="AG701" s="7" t="s">
        <v>68</v>
      </c>
      <c r="AH701" s="116" t="s">
        <v>68</v>
      </c>
      <c r="AI701" s="35" t="s">
        <v>68</v>
      </c>
      <c r="AJ701" s="1" t="s">
        <v>68</v>
      </c>
      <c r="AK701" s="5"/>
      <c r="AL701" s="1" t="s">
        <v>68</v>
      </c>
      <c r="AM701" s="5"/>
      <c r="AN701" s="1" t="s">
        <v>68</v>
      </c>
      <c r="AO701" s="5"/>
      <c r="AP701" s="306"/>
      <c r="AQ701" s="37">
        <v>0</v>
      </c>
      <c r="AR701" s="1031">
        <v>0</v>
      </c>
      <c r="AS701" s="1018">
        <v>0</v>
      </c>
      <c r="AT701" s="32" t="s">
        <v>68</v>
      </c>
      <c r="AU701" s="12" t="s">
        <v>68</v>
      </c>
      <c r="AV701" s="243" t="s">
        <v>68</v>
      </c>
      <c r="AW701" s="54" t="s">
        <v>68</v>
      </c>
      <c r="AX701" s="32" t="s">
        <v>68</v>
      </c>
      <c r="AY701" s="5"/>
      <c r="AZ701" s="5"/>
      <c r="BA701" s="12"/>
      <c r="BB701" s="32" t="s">
        <v>68</v>
      </c>
      <c r="BC701" s="341"/>
      <c r="BD701" s="5"/>
      <c r="BE701" s="5"/>
      <c r="BF701" s="5"/>
      <c r="BG701" s="38"/>
      <c r="BH701" s="14" t="s">
        <v>68</v>
      </c>
      <c r="BI701" s="1053" t="s">
        <v>68</v>
      </c>
      <c r="BJ701" s="1052" t="s">
        <v>68</v>
      </c>
      <c r="BK701" s="1052" t="s">
        <v>68</v>
      </c>
      <c r="BL701" s="1649" t="s">
        <v>68</v>
      </c>
      <c r="BM701" s="1649" t="s">
        <v>68</v>
      </c>
      <c r="BN701" s="1649" t="s">
        <v>68</v>
      </c>
      <c r="BO701" s="1649" t="s">
        <v>68</v>
      </c>
      <c r="BP701" s="1649" t="s">
        <v>68</v>
      </c>
      <c r="BQ701" s="1649" t="s">
        <v>68</v>
      </c>
      <c r="BR701" s="1649" t="s">
        <v>68</v>
      </c>
      <c r="BS701" s="1053" t="s">
        <v>68</v>
      </c>
      <c r="BT701" s="14"/>
      <c r="BU701" s="23"/>
      <c r="BV701" s="23"/>
      <c r="BW701" s="23"/>
      <c r="BX701" s="23"/>
      <c r="BY701" s="1433" t="s">
        <v>3989</v>
      </c>
      <c r="BZ701" s="987"/>
      <c r="CA701" s="582"/>
      <c r="CB701" s="582"/>
      <c r="CC701" s="582"/>
      <c r="CD701" s="582"/>
      <c r="CE701" s="582"/>
      <c r="CF701" s="582"/>
      <c r="CG701" s="582"/>
      <c r="CH701" s="16"/>
    </row>
    <row r="702" spans="2:86" ht="138" hidden="1" customHeight="1">
      <c r="B702" s="23"/>
      <c r="C702" s="23"/>
      <c r="D702" s="23"/>
      <c r="E702" s="1051"/>
      <c r="F702" s="1051"/>
      <c r="G702" s="1055"/>
      <c r="H702" s="365"/>
      <c r="I702" s="182">
        <v>2023</v>
      </c>
      <c r="J702" s="1678"/>
      <c r="K702" s="183" t="s">
        <v>166</v>
      </c>
      <c r="L702" s="191" t="s">
        <v>4918</v>
      </c>
      <c r="M702" s="185" t="s">
        <v>46</v>
      </c>
      <c r="N702" s="186" t="s">
        <v>5673</v>
      </c>
      <c r="O702" s="186" t="s">
        <v>1979</v>
      </c>
      <c r="P702" s="187">
        <f>600*1.16</f>
        <v>696</v>
      </c>
      <c r="Q702" s="1403">
        <v>44972</v>
      </c>
      <c r="R702" s="189">
        <v>44974</v>
      </c>
      <c r="S702" s="190">
        <v>44976</v>
      </c>
      <c r="T702" s="111" t="s">
        <v>68</v>
      </c>
      <c r="U702" s="191" t="s">
        <v>4407</v>
      </c>
      <c r="V702" s="183" t="s">
        <v>70</v>
      </c>
      <c r="W702" s="220" t="s">
        <v>68</v>
      </c>
      <c r="X702" s="406" t="s">
        <v>68</v>
      </c>
      <c r="Y702" s="35"/>
      <c r="Z702" s="9"/>
      <c r="AA702" s="4"/>
      <c r="AB702" s="4"/>
      <c r="AC702" s="34"/>
      <c r="AD702" s="36" t="s">
        <v>68</v>
      </c>
      <c r="AE702" s="119" t="s">
        <v>68</v>
      </c>
      <c r="AF702" s="119" t="s">
        <v>68</v>
      </c>
      <c r="AG702" s="7" t="s">
        <v>68</v>
      </c>
      <c r="AH702" s="116" t="s">
        <v>68</v>
      </c>
      <c r="AI702" s="35" t="s">
        <v>68</v>
      </c>
      <c r="AJ702" s="1" t="s">
        <v>68</v>
      </c>
      <c r="AK702" s="5"/>
      <c r="AL702" s="1" t="s">
        <v>68</v>
      </c>
      <c r="AM702" s="5"/>
      <c r="AN702" s="1" t="s">
        <v>68</v>
      </c>
      <c r="AO702" s="5"/>
      <c r="AP702" s="306"/>
      <c r="AQ702" s="37">
        <v>0</v>
      </c>
      <c r="AR702" s="1031">
        <v>0</v>
      </c>
      <c r="AS702" s="1018">
        <v>0</v>
      </c>
      <c r="AT702" s="32" t="s">
        <v>68</v>
      </c>
      <c r="AU702" s="12" t="s">
        <v>68</v>
      </c>
      <c r="AV702" s="243" t="s">
        <v>68</v>
      </c>
      <c r="AW702" s="54" t="s">
        <v>68</v>
      </c>
      <c r="AX702" s="32" t="s">
        <v>68</v>
      </c>
      <c r="AY702" s="5"/>
      <c r="AZ702" s="5"/>
      <c r="BA702" s="12"/>
      <c r="BB702" s="32" t="s">
        <v>68</v>
      </c>
      <c r="BC702" s="341"/>
      <c r="BD702" s="5"/>
      <c r="BE702" s="5"/>
      <c r="BF702" s="5"/>
      <c r="BG702" s="38"/>
      <c r="BH702" s="14" t="s">
        <v>68</v>
      </c>
      <c r="BI702" s="1053" t="s">
        <v>68</v>
      </c>
      <c r="BJ702" s="1052" t="s">
        <v>68</v>
      </c>
      <c r="BK702" s="1052" t="s">
        <v>68</v>
      </c>
      <c r="BL702" s="1649" t="s">
        <v>68</v>
      </c>
      <c r="BM702" s="1649" t="s">
        <v>68</v>
      </c>
      <c r="BN702" s="1649" t="s">
        <v>68</v>
      </c>
      <c r="BO702" s="1649" t="s">
        <v>68</v>
      </c>
      <c r="BP702" s="1649" t="s">
        <v>68</v>
      </c>
      <c r="BQ702" s="1649" t="s">
        <v>68</v>
      </c>
      <c r="BR702" s="1649" t="s">
        <v>68</v>
      </c>
      <c r="BS702" s="1053" t="s">
        <v>68</v>
      </c>
      <c r="BT702" s="14"/>
      <c r="BU702" s="23"/>
      <c r="BV702" s="23"/>
      <c r="BW702" s="23"/>
      <c r="BX702" s="23"/>
      <c r="BY702" s="1433" t="s">
        <v>3989</v>
      </c>
      <c r="BZ702" s="987"/>
      <c r="CA702" s="582"/>
      <c r="CB702" s="582"/>
      <c r="CC702" s="582"/>
      <c r="CD702" s="582"/>
      <c r="CE702" s="582"/>
      <c r="CF702" s="582"/>
      <c r="CG702" s="582"/>
      <c r="CH702" s="16"/>
    </row>
    <row r="703" spans="2:86" ht="123.75" hidden="1" customHeight="1">
      <c r="B703" s="23"/>
      <c r="C703" s="23"/>
      <c r="D703" s="23"/>
      <c r="E703" s="1051"/>
      <c r="F703" s="1051"/>
      <c r="G703" s="1055"/>
      <c r="H703" s="365"/>
      <c r="I703" s="182">
        <v>2023</v>
      </c>
      <c r="J703" s="1678"/>
      <c r="K703" s="183" t="s">
        <v>166</v>
      </c>
      <c r="L703" s="191" t="s">
        <v>4919</v>
      </c>
      <c r="M703" s="185" t="s">
        <v>46</v>
      </c>
      <c r="N703" s="186" t="s">
        <v>5674</v>
      </c>
      <c r="O703" s="186" t="s">
        <v>1979</v>
      </c>
      <c r="P703" s="187">
        <f>650*1.16</f>
        <v>754</v>
      </c>
      <c r="Q703" s="1403">
        <v>44966</v>
      </c>
      <c r="R703" s="189">
        <v>44970</v>
      </c>
      <c r="S703" s="190">
        <v>44976</v>
      </c>
      <c r="T703" s="111" t="s">
        <v>68</v>
      </c>
      <c r="U703" s="191" t="s">
        <v>4407</v>
      </c>
      <c r="V703" s="183" t="s">
        <v>70</v>
      </c>
      <c r="W703" s="220" t="s">
        <v>68</v>
      </c>
      <c r="X703" s="406" t="s">
        <v>68</v>
      </c>
      <c r="Y703" s="35"/>
      <c r="Z703" s="9"/>
      <c r="AA703" s="4"/>
      <c r="AB703" s="4"/>
      <c r="AC703" s="34"/>
      <c r="AD703" s="36" t="s">
        <v>68</v>
      </c>
      <c r="AE703" s="119" t="s">
        <v>68</v>
      </c>
      <c r="AF703" s="119" t="s">
        <v>68</v>
      </c>
      <c r="AG703" s="7" t="s">
        <v>68</v>
      </c>
      <c r="AH703" s="116" t="s">
        <v>68</v>
      </c>
      <c r="AI703" s="35" t="s">
        <v>68</v>
      </c>
      <c r="AJ703" s="1" t="s">
        <v>68</v>
      </c>
      <c r="AK703" s="5"/>
      <c r="AL703" s="1" t="s">
        <v>68</v>
      </c>
      <c r="AM703" s="5"/>
      <c r="AN703" s="1" t="s">
        <v>68</v>
      </c>
      <c r="AO703" s="5"/>
      <c r="AP703" s="306"/>
      <c r="AQ703" s="37">
        <v>0</v>
      </c>
      <c r="AR703" s="1031">
        <v>0</v>
      </c>
      <c r="AS703" s="1018">
        <v>0</v>
      </c>
      <c r="AT703" s="32" t="s">
        <v>68</v>
      </c>
      <c r="AU703" s="12" t="s">
        <v>68</v>
      </c>
      <c r="AV703" s="243" t="s">
        <v>68</v>
      </c>
      <c r="AW703" s="54" t="s">
        <v>68</v>
      </c>
      <c r="AX703" s="32" t="s">
        <v>68</v>
      </c>
      <c r="AY703" s="5"/>
      <c r="AZ703" s="5"/>
      <c r="BA703" s="12"/>
      <c r="BB703" s="32" t="s">
        <v>68</v>
      </c>
      <c r="BC703" s="341"/>
      <c r="BD703" s="5"/>
      <c r="BE703" s="5"/>
      <c r="BF703" s="5"/>
      <c r="BG703" s="38"/>
      <c r="BH703" s="14" t="s">
        <v>68</v>
      </c>
      <c r="BI703" s="1053" t="s">
        <v>68</v>
      </c>
      <c r="BJ703" s="1052" t="s">
        <v>68</v>
      </c>
      <c r="BK703" s="1052" t="s">
        <v>68</v>
      </c>
      <c r="BL703" s="1649" t="s">
        <v>68</v>
      </c>
      <c r="BM703" s="1649" t="s">
        <v>68</v>
      </c>
      <c r="BN703" s="1649" t="s">
        <v>68</v>
      </c>
      <c r="BO703" s="1649" t="s">
        <v>68</v>
      </c>
      <c r="BP703" s="1649" t="s">
        <v>68</v>
      </c>
      <c r="BQ703" s="1649" t="s">
        <v>68</v>
      </c>
      <c r="BR703" s="1649" t="s">
        <v>68</v>
      </c>
      <c r="BS703" s="1053" t="s">
        <v>68</v>
      </c>
      <c r="BT703" s="14"/>
      <c r="BU703" s="23"/>
      <c r="BV703" s="23"/>
      <c r="BW703" s="23"/>
      <c r="BX703" s="23"/>
      <c r="BY703" s="1433" t="s">
        <v>3989</v>
      </c>
      <c r="BZ703" s="987"/>
      <c r="CA703" s="582"/>
      <c r="CB703" s="582"/>
      <c r="CC703" s="582"/>
      <c r="CD703" s="582"/>
      <c r="CE703" s="582"/>
      <c r="CF703" s="582"/>
      <c r="CG703" s="582"/>
      <c r="CH703" s="16"/>
    </row>
    <row r="704" spans="2:86" ht="146.25" hidden="1" customHeight="1">
      <c r="B704" s="23"/>
      <c r="C704" s="23"/>
      <c r="D704" s="23"/>
      <c r="E704" s="1051"/>
      <c r="F704" s="1051"/>
      <c r="G704" s="1055"/>
      <c r="H704" s="365"/>
      <c r="I704" s="182">
        <v>2023</v>
      </c>
      <c r="J704" s="1678"/>
      <c r="K704" s="183" t="s">
        <v>166</v>
      </c>
      <c r="L704" s="191" t="s">
        <v>5629</v>
      </c>
      <c r="M704" s="185" t="s">
        <v>46</v>
      </c>
      <c r="N704" s="186" t="s">
        <v>5675</v>
      </c>
      <c r="O704" s="186" t="s">
        <v>1979</v>
      </c>
      <c r="P704" s="187">
        <f>880*1.16</f>
        <v>1020.8</v>
      </c>
      <c r="Q704" s="1403">
        <v>44966</v>
      </c>
      <c r="R704" s="189">
        <v>44970</v>
      </c>
      <c r="S704" s="190">
        <v>44977</v>
      </c>
      <c r="T704" s="111" t="s">
        <v>68</v>
      </c>
      <c r="U704" s="191" t="s">
        <v>4407</v>
      </c>
      <c r="V704" s="183" t="s">
        <v>70</v>
      </c>
      <c r="W704" s="220" t="s">
        <v>68</v>
      </c>
      <c r="X704" s="406" t="s">
        <v>68</v>
      </c>
      <c r="Y704" s="35"/>
      <c r="Z704" s="9"/>
      <c r="AA704" s="4"/>
      <c r="AB704" s="4"/>
      <c r="AC704" s="34"/>
      <c r="AD704" s="36" t="s">
        <v>68</v>
      </c>
      <c r="AE704" s="119" t="s">
        <v>68</v>
      </c>
      <c r="AF704" s="119" t="s">
        <v>68</v>
      </c>
      <c r="AG704" s="7" t="s">
        <v>68</v>
      </c>
      <c r="AH704" s="116" t="s">
        <v>68</v>
      </c>
      <c r="AI704" s="35" t="s">
        <v>68</v>
      </c>
      <c r="AJ704" s="1" t="s">
        <v>68</v>
      </c>
      <c r="AK704" s="5"/>
      <c r="AL704" s="1" t="s">
        <v>68</v>
      </c>
      <c r="AM704" s="5"/>
      <c r="AN704" s="1" t="s">
        <v>68</v>
      </c>
      <c r="AO704" s="5"/>
      <c r="AP704" s="306"/>
      <c r="AQ704" s="37">
        <v>0</v>
      </c>
      <c r="AR704" s="1031">
        <v>0</v>
      </c>
      <c r="AS704" s="1018">
        <v>0</v>
      </c>
      <c r="AT704" s="32" t="s">
        <v>68</v>
      </c>
      <c r="AU704" s="12" t="s">
        <v>68</v>
      </c>
      <c r="AV704" s="243" t="s">
        <v>68</v>
      </c>
      <c r="AW704" s="54" t="s">
        <v>68</v>
      </c>
      <c r="AX704" s="32" t="s">
        <v>68</v>
      </c>
      <c r="AY704" s="5"/>
      <c r="AZ704" s="5"/>
      <c r="BA704" s="12"/>
      <c r="BB704" s="32" t="s">
        <v>68</v>
      </c>
      <c r="BC704" s="341"/>
      <c r="BD704" s="5"/>
      <c r="BE704" s="5"/>
      <c r="BF704" s="5"/>
      <c r="BG704" s="38"/>
      <c r="BH704" s="14" t="s">
        <v>68</v>
      </c>
      <c r="BI704" s="1053" t="s">
        <v>68</v>
      </c>
      <c r="BJ704" s="1052" t="s">
        <v>68</v>
      </c>
      <c r="BK704" s="1052" t="s">
        <v>68</v>
      </c>
      <c r="BL704" s="1649" t="s">
        <v>68</v>
      </c>
      <c r="BM704" s="1649" t="s">
        <v>68</v>
      </c>
      <c r="BN704" s="1649" t="s">
        <v>68</v>
      </c>
      <c r="BO704" s="1649" t="s">
        <v>68</v>
      </c>
      <c r="BP704" s="1649" t="s">
        <v>68</v>
      </c>
      <c r="BQ704" s="1649" t="s">
        <v>68</v>
      </c>
      <c r="BR704" s="1649" t="s">
        <v>68</v>
      </c>
      <c r="BS704" s="1053" t="s">
        <v>68</v>
      </c>
      <c r="BT704" s="14"/>
      <c r="BU704" s="23"/>
      <c r="BV704" s="23"/>
      <c r="BW704" s="23"/>
      <c r="BX704" s="23"/>
      <c r="BY704" s="1433" t="s">
        <v>3989</v>
      </c>
      <c r="BZ704" s="987"/>
      <c r="CA704" s="582"/>
      <c r="CB704" s="582"/>
      <c r="CC704" s="582"/>
      <c r="CD704" s="582"/>
      <c r="CE704" s="582"/>
      <c r="CF704" s="582"/>
      <c r="CG704" s="582"/>
      <c r="CH704" s="16"/>
    </row>
    <row r="705" spans="2:86" ht="121.5" hidden="1" customHeight="1">
      <c r="B705" s="23"/>
      <c r="C705" s="23"/>
      <c r="D705" s="23"/>
      <c r="E705" s="1051"/>
      <c r="F705" s="1051"/>
      <c r="G705" s="1055"/>
      <c r="H705" s="365"/>
      <c r="I705" s="182">
        <v>2023</v>
      </c>
      <c r="J705" s="1678"/>
      <c r="K705" s="183" t="s">
        <v>166</v>
      </c>
      <c r="L705" s="191" t="s">
        <v>5630</v>
      </c>
      <c r="M705" s="185" t="s">
        <v>46</v>
      </c>
      <c r="N705" s="186" t="s">
        <v>5676</v>
      </c>
      <c r="O705" s="186" t="s">
        <v>1979</v>
      </c>
      <c r="P705" s="187">
        <f>650*1.16</f>
        <v>754</v>
      </c>
      <c r="Q705" s="1403">
        <v>44974</v>
      </c>
      <c r="R705" s="189">
        <v>44977</v>
      </c>
      <c r="S705" s="190">
        <v>44982</v>
      </c>
      <c r="T705" s="111" t="s">
        <v>68</v>
      </c>
      <c r="U705" s="191" t="s">
        <v>4407</v>
      </c>
      <c r="V705" s="183" t="s">
        <v>70</v>
      </c>
      <c r="W705" s="220" t="s">
        <v>68</v>
      </c>
      <c r="X705" s="406" t="s">
        <v>68</v>
      </c>
      <c r="Y705" s="35"/>
      <c r="Z705" s="9"/>
      <c r="AA705" s="4"/>
      <c r="AB705" s="4"/>
      <c r="AC705" s="34"/>
      <c r="AD705" s="36" t="s">
        <v>68</v>
      </c>
      <c r="AE705" s="119" t="s">
        <v>68</v>
      </c>
      <c r="AF705" s="119" t="s">
        <v>68</v>
      </c>
      <c r="AG705" s="7" t="s">
        <v>68</v>
      </c>
      <c r="AH705" s="116" t="s">
        <v>68</v>
      </c>
      <c r="AI705" s="35" t="s">
        <v>68</v>
      </c>
      <c r="AJ705" s="1" t="s">
        <v>68</v>
      </c>
      <c r="AK705" s="5"/>
      <c r="AL705" s="1" t="s">
        <v>68</v>
      </c>
      <c r="AM705" s="5"/>
      <c r="AN705" s="1" t="s">
        <v>68</v>
      </c>
      <c r="AO705" s="5"/>
      <c r="AP705" s="306"/>
      <c r="AQ705" s="37">
        <v>0</v>
      </c>
      <c r="AR705" s="1031">
        <v>0</v>
      </c>
      <c r="AS705" s="1018">
        <v>0</v>
      </c>
      <c r="AT705" s="32" t="s">
        <v>68</v>
      </c>
      <c r="AU705" s="12" t="s">
        <v>68</v>
      </c>
      <c r="AV705" s="243" t="s">
        <v>68</v>
      </c>
      <c r="AW705" s="54" t="s">
        <v>68</v>
      </c>
      <c r="AX705" s="32" t="s">
        <v>68</v>
      </c>
      <c r="AY705" s="5"/>
      <c r="AZ705" s="5"/>
      <c r="BA705" s="12"/>
      <c r="BB705" s="32" t="s">
        <v>68</v>
      </c>
      <c r="BC705" s="341"/>
      <c r="BD705" s="5"/>
      <c r="BE705" s="5"/>
      <c r="BF705" s="5"/>
      <c r="BG705" s="38"/>
      <c r="BH705" s="14" t="s">
        <v>68</v>
      </c>
      <c r="BI705" s="1053" t="s">
        <v>68</v>
      </c>
      <c r="BJ705" s="1052" t="s">
        <v>68</v>
      </c>
      <c r="BK705" s="1052" t="s">
        <v>68</v>
      </c>
      <c r="BL705" s="1649" t="s">
        <v>68</v>
      </c>
      <c r="BM705" s="1649" t="s">
        <v>68</v>
      </c>
      <c r="BN705" s="1649" t="s">
        <v>68</v>
      </c>
      <c r="BO705" s="1649" t="s">
        <v>68</v>
      </c>
      <c r="BP705" s="1649" t="s">
        <v>68</v>
      </c>
      <c r="BQ705" s="1649" t="s">
        <v>68</v>
      </c>
      <c r="BR705" s="1649" t="s">
        <v>68</v>
      </c>
      <c r="BS705" s="1053" t="s">
        <v>68</v>
      </c>
      <c r="BT705" s="14"/>
      <c r="BU705" s="23"/>
      <c r="BV705" s="23"/>
      <c r="BW705" s="23"/>
      <c r="BX705" s="23"/>
      <c r="BY705" s="1433" t="s">
        <v>3989</v>
      </c>
      <c r="BZ705" s="987"/>
      <c r="CA705" s="582"/>
      <c r="CB705" s="582"/>
      <c r="CC705" s="582"/>
      <c r="CD705" s="582"/>
      <c r="CE705" s="582"/>
      <c r="CF705" s="582"/>
      <c r="CG705" s="582"/>
      <c r="CH705" s="16"/>
    </row>
    <row r="706" spans="2:86" ht="153" hidden="1" customHeight="1">
      <c r="B706" s="23"/>
      <c r="C706" s="23"/>
      <c r="D706" s="23"/>
      <c r="E706" s="1051"/>
      <c r="F706" s="1051"/>
      <c r="G706" s="1055"/>
      <c r="H706" s="365"/>
      <c r="I706" s="182">
        <v>2023</v>
      </c>
      <c r="J706" s="1678"/>
      <c r="K706" s="183" t="s">
        <v>166</v>
      </c>
      <c r="L706" s="191" t="s">
        <v>5712</v>
      </c>
      <c r="M706" s="185" t="s">
        <v>46</v>
      </c>
      <c r="N706" s="186" t="s">
        <v>5677</v>
      </c>
      <c r="O706" s="186" t="s">
        <v>1979</v>
      </c>
      <c r="P706" s="187">
        <f>880*1.16</f>
        <v>1020.8</v>
      </c>
      <c r="Q706" s="1403">
        <v>44974</v>
      </c>
      <c r="R706" s="189">
        <v>44977</v>
      </c>
      <c r="S706" s="190">
        <v>44982</v>
      </c>
      <c r="T706" s="111" t="s">
        <v>68</v>
      </c>
      <c r="U706" s="191" t="s">
        <v>4407</v>
      </c>
      <c r="V706" s="183" t="s">
        <v>70</v>
      </c>
      <c r="W706" s="220" t="s">
        <v>68</v>
      </c>
      <c r="X706" s="406" t="s">
        <v>68</v>
      </c>
      <c r="Y706" s="35"/>
      <c r="Z706" s="9"/>
      <c r="AA706" s="4"/>
      <c r="AB706" s="4"/>
      <c r="AC706" s="34"/>
      <c r="AD706" s="36" t="s">
        <v>68</v>
      </c>
      <c r="AE706" s="119" t="s">
        <v>68</v>
      </c>
      <c r="AF706" s="119" t="s">
        <v>68</v>
      </c>
      <c r="AG706" s="7" t="s">
        <v>68</v>
      </c>
      <c r="AH706" s="116" t="s">
        <v>68</v>
      </c>
      <c r="AI706" s="35" t="s">
        <v>68</v>
      </c>
      <c r="AJ706" s="1" t="s">
        <v>68</v>
      </c>
      <c r="AK706" s="5"/>
      <c r="AL706" s="1" t="s">
        <v>68</v>
      </c>
      <c r="AM706" s="5"/>
      <c r="AN706" s="1" t="s">
        <v>68</v>
      </c>
      <c r="AO706" s="5"/>
      <c r="AP706" s="306"/>
      <c r="AQ706" s="37">
        <v>0</v>
      </c>
      <c r="AR706" s="1031">
        <v>0</v>
      </c>
      <c r="AS706" s="1018">
        <v>0</v>
      </c>
      <c r="AT706" s="32" t="s">
        <v>68</v>
      </c>
      <c r="AU706" s="12" t="s">
        <v>68</v>
      </c>
      <c r="AV706" s="243" t="s">
        <v>68</v>
      </c>
      <c r="AW706" s="54" t="s">
        <v>68</v>
      </c>
      <c r="AX706" s="32" t="s">
        <v>68</v>
      </c>
      <c r="AY706" s="5"/>
      <c r="AZ706" s="5"/>
      <c r="BA706" s="12"/>
      <c r="BB706" s="32" t="s">
        <v>68</v>
      </c>
      <c r="BC706" s="341"/>
      <c r="BD706" s="5"/>
      <c r="BE706" s="5"/>
      <c r="BF706" s="5"/>
      <c r="BG706" s="38"/>
      <c r="BH706" s="14" t="s">
        <v>68</v>
      </c>
      <c r="BI706" s="1053" t="s">
        <v>68</v>
      </c>
      <c r="BJ706" s="1052" t="s">
        <v>68</v>
      </c>
      <c r="BK706" s="1052" t="s">
        <v>68</v>
      </c>
      <c r="BL706" s="1649" t="s">
        <v>68</v>
      </c>
      <c r="BM706" s="1649" t="s">
        <v>68</v>
      </c>
      <c r="BN706" s="1649" t="s">
        <v>68</v>
      </c>
      <c r="BO706" s="1649" t="s">
        <v>68</v>
      </c>
      <c r="BP706" s="1649" t="s">
        <v>68</v>
      </c>
      <c r="BQ706" s="1649" t="s">
        <v>68</v>
      </c>
      <c r="BR706" s="1649" t="s">
        <v>68</v>
      </c>
      <c r="BS706" s="1053" t="s">
        <v>68</v>
      </c>
      <c r="BT706" s="14"/>
      <c r="BU706" s="23"/>
      <c r="BV706" s="23"/>
      <c r="BW706" s="23"/>
      <c r="BX706" s="23"/>
      <c r="BY706" s="1433" t="s">
        <v>3989</v>
      </c>
      <c r="BZ706" s="987"/>
      <c r="CA706" s="582"/>
      <c r="CB706" s="582"/>
      <c r="CC706" s="582"/>
      <c r="CD706" s="582"/>
      <c r="CE706" s="582"/>
      <c r="CF706" s="582"/>
      <c r="CG706" s="582"/>
      <c r="CH706" s="16"/>
    </row>
    <row r="707" spans="2:86" ht="127.5" hidden="1" customHeight="1">
      <c r="B707" s="23"/>
      <c r="C707" s="23"/>
      <c r="D707" s="23"/>
      <c r="E707" s="1051"/>
      <c r="F707" s="1051"/>
      <c r="G707" s="1055"/>
      <c r="H707" s="365"/>
      <c r="I707" s="182">
        <v>2023</v>
      </c>
      <c r="J707" s="1678"/>
      <c r="K707" s="183" t="s">
        <v>166</v>
      </c>
      <c r="L707" s="191" t="s">
        <v>5631</v>
      </c>
      <c r="M707" s="185" t="s">
        <v>46</v>
      </c>
      <c r="N707" s="186" t="s">
        <v>5678</v>
      </c>
      <c r="O707" s="186" t="s">
        <v>1979</v>
      </c>
      <c r="P707" s="187">
        <f>600*1.16</f>
        <v>696</v>
      </c>
      <c r="Q707" s="1403">
        <v>44977</v>
      </c>
      <c r="R707" s="189">
        <v>44978</v>
      </c>
      <c r="S707" s="190">
        <v>44982</v>
      </c>
      <c r="T707" s="111" t="s">
        <v>68</v>
      </c>
      <c r="U707" s="191" t="s">
        <v>4407</v>
      </c>
      <c r="V707" s="183" t="s">
        <v>70</v>
      </c>
      <c r="W707" s="220" t="s">
        <v>68</v>
      </c>
      <c r="X707" s="406" t="s">
        <v>68</v>
      </c>
      <c r="Y707" s="35"/>
      <c r="Z707" s="9"/>
      <c r="AA707" s="4"/>
      <c r="AB707" s="4"/>
      <c r="AC707" s="34"/>
      <c r="AD707" s="36" t="s">
        <v>68</v>
      </c>
      <c r="AE707" s="119" t="s">
        <v>68</v>
      </c>
      <c r="AF707" s="119" t="s">
        <v>68</v>
      </c>
      <c r="AG707" s="7" t="s">
        <v>68</v>
      </c>
      <c r="AH707" s="116" t="s">
        <v>68</v>
      </c>
      <c r="AI707" s="35" t="s">
        <v>68</v>
      </c>
      <c r="AJ707" s="1" t="s">
        <v>68</v>
      </c>
      <c r="AK707" s="5"/>
      <c r="AL707" s="1" t="s">
        <v>68</v>
      </c>
      <c r="AM707" s="5"/>
      <c r="AN707" s="1" t="s">
        <v>68</v>
      </c>
      <c r="AO707" s="5"/>
      <c r="AP707" s="306"/>
      <c r="AQ707" s="37">
        <v>0</v>
      </c>
      <c r="AR707" s="1031">
        <v>0</v>
      </c>
      <c r="AS707" s="1018">
        <v>0</v>
      </c>
      <c r="AT707" s="32" t="s">
        <v>68</v>
      </c>
      <c r="AU707" s="12" t="s">
        <v>68</v>
      </c>
      <c r="AV707" s="243" t="s">
        <v>68</v>
      </c>
      <c r="AW707" s="54" t="s">
        <v>68</v>
      </c>
      <c r="AX707" s="32" t="s">
        <v>68</v>
      </c>
      <c r="AY707" s="5"/>
      <c r="AZ707" s="5"/>
      <c r="BA707" s="12"/>
      <c r="BB707" s="32" t="s">
        <v>68</v>
      </c>
      <c r="BC707" s="341"/>
      <c r="BD707" s="5"/>
      <c r="BE707" s="5"/>
      <c r="BF707" s="5"/>
      <c r="BG707" s="38"/>
      <c r="BH707" s="14" t="s">
        <v>68</v>
      </c>
      <c r="BI707" s="1053" t="s">
        <v>68</v>
      </c>
      <c r="BJ707" s="1052" t="s">
        <v>68</v>
      </c>
      <c r="BK707" s="1052" t="s">
        <v>68</v>
      </c>
      <c r="BL707" s="1649" t="s">
        <v>68</v>
      </c>
      <c r="BM707" s="1649" t="s">
        <v>68</v>
      </c>
      <c r="BN707" s="1649" t="s">
        <v>68</v>
      </c>
      <c r="BO707" s="1649" t="s">
        <v>68</v>
      </c>
      <c r="BP707" s="1649" t="s">
        <v>68</v>
      </c>
      <c r="BQ707" s="1649" t="s">
        <v>68</v>
      </c>
      <c r="BR707" s="1649" t="s">
        <v>68</v>
      </c>
      <c r="BS707" s="1053" t="s">
        <v>68</v>
      </c>
      <c r="BT707" s="14"/>
      <c r="BU707" s="23"/>
      <c r="BV707" s="23"/>
      <c r="BW707" s="23"/>
      <c r="BX707" s="23"/>
      <c r="BY707" s="1433" t="s">
        <v>3989</v>
      </c>
      <c r="BZ707" s="987"/>
      <c r="CA707" s="582"/>
      <c r="CB707" s="582"/>
      <c r="CC707" s="582"/>
      <c r="CD707" s="582"/>
      <c r="CE707" s="582"/>
      <c r="CF707" s="582"/>
      <c r="CG707" s="582"/>
      <c r="CH707" s="16"/>
    </row>
    <row r="708" spans="2:86" ht="93" hidden="1" customHeight="1">
      <c r="B708" s="23"/>
      <c r="C708" s="23"/>
      <c r="D708" s="23"/>
      <c r="E708" s="1051"/>
      <c r="F708" s="1051"/>
      <c r="G708" s="1055"/>
      <c r="H708" s="365"/>
      <c r="I708" s="182">
        <v>2023</v>
      </c>
      <c r="J708" s="1678"/>
      <c r="K708" s="183" t="s">
        <v>166</v>
      </c>
      <c r="L708" s="191" t="s">
        <v>5632</v>
      </c>
      <c r="M708" s="185" t="s">
        <v>46</v>
      </c>
      <c r="N708" s="186" t="s">
        <v>5661</v>
      </c>
      <c r="O708" s="186" t="s">
        <v>2611</v>
      </c>
      <c r="P708" s="187">
        <f>51450*1.16</f>
        <v>59681.999999999993</v>
      </c>
      <c r="Q708" s="188">
        <v>45044</v>
      </c>
      <c r="R708" s="189">
        <v>45047</v>
      </c>
      <c r="S708" s="190">
        <v>45077</v>
      </c>
      <c r="T708" s="111" t="s">
        <v>68</v>
      </c>
      <c r="U708" s="191" t="s">
        <v>4921</v>
      </c>
      <c r="V708" s="183" t="s">
        <v>70</v>
      </c>
      <c r="W708" s="220" t="s">
        <v>68</v>
      </c>
      <c r="X708" s="406" t="s">
        <v>68</v>
      </c>
      <c r="Y708" s="35"/>
      <c r="Z708" s="9"/>
      <c r="AA708" s="4"/>
      <c r="AB708" s="4"/>
      <c r="AC708" s="34"/>
      <c r="AD708" s="36" t="s">
        <v>68</v>
      </c>
      <c r="AE708" s="119" t="s">
        <v>68</v>
      </c>
      <c r="AF708" s="119" t="s">
        <v>68</v>
      </c>
      <c r="AG708" s="7" t="s">
        <v>68</v>
      </c>
      <c r="AH708" s="116" t="s">
        <v>68</v>
      </c>
      <c r="AI708" s="35" t="s">
        <v>68</v>
      </c>
      <c r="AJ708" s="1" t="s">
        <v>68</v>
      </c>
      <c r="AK708" s="5"/>
      <c r="AL708" s="1" t="s">
        <v>68</v>
      </c>
      <c r="AM708" s="5"/>
      <c r="AN708" s="1" t="s">
        <v>68</v>
      </c>
      <c r="AO708" s="5"/>
      <c r="AP708" s="306"/>
      <c r="AQ708" s="37">
        <v>0</v>
      </c>
      <c r="AR708" s="1031">
        <v>0</v>
      </c>
      <c r="AS708" s="1018">
        <v>0</v>
      </c>
      <c r="AT708" s="32" t="s">
        <v>68</v>
      </c>
      <c r="AU708" s="12" t="s">
        <v>68</v>
      </c>
      <c r="AV708" s="243" t="s">
        <v>68</v>
      </c>
      <c r="AW708" s="54" t="s">
        <v>68</v>
      </c>
      <c r="AX708" s="32" t="s">
        <v>68</v>
      </c>
      <c r="AY708" s="5"/>
      <c r="AZ708" s="5"/>
      <c r="BA708" s="12"/>
      <c r="BB708" s="32" t="s">
        <v>68</v>
      </c>
      <c r="BC708" s="341"/>
      <c r="BD708" s="5"/>
      <c r="BE708" s="5"/>
      <c r="BF708" s="5"/>
      <c r="BG708" s="38"/>
      <c r="BH708" s="14" t="s">
        <v>68</v>
      </c>
      <c r="BI708" s="1053" t="s">
        <v>68</v>
      </c>
      <c r="BJ708" s="1052" t="s">
        <v>68</v>
      </c>
      <c r="BK708" s="1052" t="s">
        <v>68</v>
      </c>
      <c r="BL708" s="1649" t="s">
        <v>68</v>
      </c>
      <c r="BM708" s="1649" t="s">
        <v>68</v>
      </c>
      <c r="BN708" s="1649" t="s">
        <v>68</v>
      </c>
      <c r="BO708" s="1649" t="s">
        <v>68</v>
      </c>
      <c r="BP708" s="1649" t="s">
        <v>68</v>
      </c>
      <c r="BQ708" s="1649" t="s">
        <v>68</v>
      </c>
      <c r="BR708" s="1649" t="s">
        <v>68</v>
      </c>
      <c r="BS708" s="1053" t="s">
        <v>68</v>
      </c>
      <c r="BT708" s="14"/>
      <c r="BU708" s="23"/>
      <c r="BV708" s="23"/>
      <c r="BW708" s="23"/>
      <c r="BX708" s="23"/>
      <c r="BY708" s="1433" t="s">
        <v>3989</v>
      </c>
      <c r="BZ708" s="987"/>
      <c r="CA708" s="582"/>
      <c r="CB708" s="582"/>
      <c r="CC708" s="582"/>
      <c r="CD708" s="582"/>
      <c r="CE708" s="582"/>
      <c r="CF708" s="582"/>
      <c r="CG708" s="582"/>
      <c r="CH708" s="16"/>
    </row>
    <row r="709" spans="2:86" ht="157.5" hidden="1" customHeight="1">
      <c r="B709" s="23"/>
      <c r="C709" s="23"/>
      <c r="D709" s="23"/>
      <c r="E709" s="1051"/>
      <c r="F709" s="1051"/>
      <c r="G709" s="1055"/>
      <c r="H709" s="365"/>
      <c r="I709" s="182">
        <v>2023</v>
      </c>
      <c r="J709" s="1678"/>
      <c r="K709" s="183" t="s">
        <v>166</v>
      </c>
      <c r="L709" s="191" t="s">
        <v>5633</v>
      </c>
      <c r="M709" s="185" t="s">
        <v>46</v>
      </c>
      <c r="N709" s="186" t="s">
        <v>5679</v>
      </c>
      <c r="O709" s="186" t="s">
        <v>2699</v>
      </c>
      <c r="P709" s="187">
        <f>2500*1.16</f>
        <v>2900</v>
      </c>
      <c r="Q709" s="1403">
        <v>45113</v>
      </c>
      <c r="R709" s="189">
        <v>45117</v>
      </c>
      <c r="S709" s="190">
        <v>45127</v>
      </c>
      <c r="T709" s="111" t="s">
        <v>68</v>
      </c>
      <c r="U709" s="191" t="s">
        <v>5680</v>
      </c>
      <c r="V709" s="183" t="s">
        <v>70</v>
      </c>
      <c r="W709" s="220" t="s">
        <v>68</v>
      </c>
      <c r="X709" s="406" t="s">
        <v>68</v>
      </c>
      <c r="Y709" s="35"/>
      <c r="Z709" s="9"/>
      <c r="AA709" s="4"/>
      <c r="AB709" s="4"/>
      <c r="AC709" s="34"/>
      <c r="AD709" s="36" t="s">
        <v>68</v>
      </c>
      <c r="AE709" s="119" t="s">
        <v>68</v>
      </c>
      <c r="AF709" s="119" t="s">
        <v>68</v>
      </c>
      <c r="AG709" s="7" t="s">
        <v>68</v>
      </c>
      <c r="AH709" s="116" t="s">
        <v>68</v>
      </c>
      <c r="AI709" s="35" t="s">
        <v>68</v>
      </c>
      <c r="AJ709" s="1" t="s">
        <v>68</v>
      </c>
      <c r="AK709" s="5"/>
      <c r="AL709" s="1" t="s">
        <v>68</v>
      </c>
      <c r="AM709" s="5"/>
      <c r="AN709" s="1" t="s">
        <v>68</v>
      </c>
      <c r="AO709" s="5"/>
      <c r="AP709" s="306"/>
      <c r="AQ709" s="37">
        <v>0</v>
      </c>
      <c r="AR709" s="1031">
        <v>0</v>
      </c>
      <c r="AS709" s="1018">
        <v>0</v>
      </c>
      <c r="AT709" s="32" t="s">
        <v>68</v>
      </c>
      <c r="AU709" s="12" t="s">
        <v>68</v>
      </c>
      <c r="AV709" s="243" t="s">
        <v>68</v>
      </c>
      <c r="AW709" s="54" t="s">
        <v>68</v>
      </c>
      <c r="AX709" s="32" t="s">
        <v>68</v>
      </c>
      <c r="AY709" s="5"/>
      <c r="AZ709" s="5"/>
      <c r="BA709" s="12"/>
      <c r="BB709" s="32" t="s">
        <v>68</v>
      </c>
      <c r="BC709" s="341"/>
      <c r="BD709" s="5"/>
      <c r="BE709" s="5"/>
      <c r="BF709" s="5"/>
      <c r="BG709" s="38"/>
      <c r="BH709" s="14" t="s">
        <v>68</v>
      </c>
      <c r="BI709" s="1053" t="s">
        <v>68</v>
      </c>
      <c r="BJ709" s="1052" t="s">
        <v>68</v>
      </c>
      <c r="BK709" s="1052" t="s">
        <v>68</v>
      </c>
      <c r="BL709" s="1649" t="s">
        <v>68</v>
      </c>
      <c r="BM709" s="1649" t="s">
        <v>68</v>
      </c>
      <c r="BN709" s="1649" t="s">
        <v>68</v>
      </c>
      <c r="BO709" s="1649" t="s">
        <v>68</v>
      </c>
      <c r="BP709" s="1649" t="s">
        <v>68</v>
      </c>
      <c r="BQ709" s="1649" t="s">
        <v>68</v>
      </c>
      <c r="BR709" s="1649" t="s">
        <v>68</v>
      </c>
      <c r="BS709" s="1053" t="s">
        <v>68</v>
      </c>
      <c r="BT709" s="14"/>
      <c r="BU709" s="23"/>
      <c r="BV709" s="23"/>
      <c r="BW709" s="23"/>
      <c r="BX709" s="23"/>
      <c r="BY709" s="1433" t="s">
        <v>3989</v>
      </c>
      <c r="BZ709" s="987"/>
      <c r="CA709" s="582"/>
      <c r="CB709" s="582"/>
      <c r="CC709" s="582"/>
      <c r="CD709" s="582"/>
      <c r="CE709" s="582"/>
      <c r="CF709" s="582"/>
      <c r="CG709" s="582"/>
      <c r="CH709" s="16"/>
    </row>
    <row r="710" spans="2:86" ht="99.75" hidden="1" customHeight="1">
      <c r="B710" s="23"/>
      <c r="C710" s="23"/>
      <c r="D710" s="23"/>
      <c r="E710" s="1051"/>
      <c r="F710" s="1051"/>
      <c r="G710" s="1055"/>
      <c r="H710" s="365"/>
      <c r="I710" s="182">
        <v>2023</v>
      </c>
      <c r="J710" s="1678"/>
      <c r="K710" s="183" t="s">
        <v>166</v>
      </c>
      <c r="L710" s="191" t="s">
        <v>5634</v>
      </c>
      <c r="M710" s="185" t="s">
        <v>46</v>
      </c>
      <c r="N710" s="186" t="s">
        <v>5681</v>
      </c>
      <c r="O710" s="186" t="s">
        <v>2650</v>
      </c>
      <c r="P710" s="187">
        <f>600*1.16</f>
        <v>696</v>
      </c>
      <c r="Q710" s="188">
        <v>45133</v>
      </c>
      <c r="R710" s="189">
        <v>45139</v>
      </c>
      <c r="S710" s="190">
        <v>45148</v>
      </c>
      <c r="T710" s="111" t="s">
        <v>68</v>
      </c>
      <c r="U710" s="191" t="s">
        <v>5680</v>
      </c>
      <c r="V710" s="183" t="s">
        <v>70</v>
      </c>
      <c r="W710" s="220" t="s">
        <v>68</v>
      </c>
      <c r="X710" s="406" t="s">
        <v>68</v>
      </c>
      <c r="Y710" s="35"/>
      <c r="Z710" s="9"/>
      <c r="AA710" s="4"/>
      <c r="AB710" s="4"/>
      <c r="AC710" s="34"/>
      <c r="AD710" s="36" t="s">
        <v>68</v>
      </c>
      <c r="AE710" s="119" t="s">
        <v>68</v>
      </c>
      <c r="AF710" s="119" t="s">
        <v>68</v>
      </c>
      <c r="AG710" s="7" t="s">
        <v>68</v>
      </c>
      <c r="AH710" s="116" t="s">
        <v>68</v>
      </c>
      <c r="AI710" s="35" t="s">
        <v>68</v>
      </c>
      <c r="AJ710" s="1" t="s">
        <v>68</v>
      </c>
      <c r="AK710" s="5"/>
      <c r="AL710" s="1" t="s">
        <v>68</v>
      </c>
      <c r="AM710" s="5"/>
      <c r="AN710" s="1" t="s">
        <v>68</v>
      </c>
      <c r="AO710" s="5"/>
      <c r="AP710" s="306"/>
      <c r="AQ710" s="37">
        <v>0</v>
      </c>
      <c r="AR710" s="1031">
        <v>0</v>
      </c>
      <c r="AS710" s="1018">
        <v>0</v>
      </c>
      <c r="AT710" s="32" t="s">
        <v>68</v>
      </c>
      <c r="AU710" s="12" t="s">
        <v>68</v>
      </c>
      <c r="AV710" s="243" t="s">
        <v>68</v>
      </c>
      <c r="AW710" s="54" t="s">
        <v>68</v>
      </c>
      <c r="AX710" s="32" t="s">
        <v>68</v>
      </c>
      <c r="AY710" s="5"/>
      <c r="AZ710" s="5"/>
      <c r="BA710" s="12"/>
      <c r="BB710" s="32" t="s">
        <v>68</v>
      </c>
      <c r="BC710" s="341"/>
      <c r="BD710" s="5"/>
      <c r="BE710" s="5"/>
      <c r="BF710" s="5"/>
      <c r="BG710" s="38"/>
      <c r="BH710" s="14" t="s">
        <v>68</v>
      </c>
      <c r="BI710" s="1053" t="s">
        <v>68</v>
      </c>
      <c r="BJ710" s="1052" t="s">
        <v>68</v>
      </c>
      <c r="BK710" s="1052" t="s">
        <v>68</v>
      </c>
      <c r="BL710" s="1649" t="s">
        <v>68</v>
      </c>
      <c r="BM710" s="1649" t="s">
        <v>68</v>
      </c>
      <c r="BN710" s="1649" t="s">
        <v>68</v>
      </c>
      <c r="BO710" s="1649" t="s">
        <v>68</v>
      </c>
      <c r="BP710" s="1649" t="s">
        <v>68</v>
      </c>
      <c r="BQ710" s="1649" t="s">
        <v>68</v>
      </c>
      <c r="BR710" s="1649" t="s">
        <v>68</v>
      </c>
      <c r="BS710" s="1053" t="s">
        <v>68</v>
      </c>
      <c r="BT710" s="14"/>
      <c r="BU710" s="23"/>
      <c r="BV710" s="23"/>
      <c r="BW710" s="23"/>
      <c r="BX710" s="23"/>
      <c r="BY710" s="1433" t="s">
        <v>3989</v>
      </c>
      <c r="BZ710" s="987"/>
      <c r="CA710" s="582"/>
      <c r="CB710" s="582"/>
      <c r="CC710" s="582"/>
      <c r="CD710" s="582"/>
      <c r="CE710" s="582"/>
      <c r="CF710" s="582"/>
      <c r="CG710" s="582"/>
      <c r="CH710" s="16"/>
    </row>
    <row r="711" spans="2:86" ht="34.5" hidden="1" customHeight="1">
      <c r="B711" s="23"/>
      <c r="C711" s="23"/>
      <c r="D711" s="23"/>
      <c r="E711" s="1051"/>
      <c r="F711" s="1051"/>
      <c r="G711" s="1055"/>
      <c r="H711" s="365"/>
      <c r="I711" s="182">
        <v>2023</v>
      </c>
      <c r="J711" s="1678"/>
      <c r="K711" s="183" t="s">
        <v>166</v>
      </c>
      <c r="L711" s="191" t="s">
        <v>5635</v>
      </c>
      <c r="M711" s="185" t="s">
        <v>46</v>
      </c>
      <c r="N711" s="186" t="s">
        <v>68</v>
      </c>
      <c r="O711" s="186" t="s">
        <v>68</v>
      </c>
      <c r="P711" s="187"/>
      <c r="Q711" s="188"/>
      <c r="R711" s="189"/>
      <c r="S711" s="190"/>
      <c r="T711" s="111" t="s">
        <v>68</v>
      </c>
      <c r="U711" s="191"/>
      <c r="V711" s="183"/>
      <c r="W711" s="220" t="s">
        <v>68</v>
      </c>
      <c r="X711" s="406" t="s">
        <v>68</v>
      </c>
      <c r="Y711" s="35"/>
      <c r="Z711" s="9"/>
      <c r="AA711" s="4"/>
      <c r="AB711" s="4"/>
      <c r="AC711" s="34"/>
      <c r="AD711" s="36" t="s">
        <v>68</v>
      </c>
      <c r="AE711" s="119" t="s">
        <v>68</v>
      </c>
      <c r="AF711" s="119" t="s">
        <v>68</v>
      </c>
      <c r="AG711" s="7" t="s">
        <v>68</v>
      </c>
      <c r="AH711" s="116" t="s">
        <v>68</v>
      </c>
      <c r="AI711" s="35" t="s">
        <v>68</v>
      </c>
      <c r="AJ711" s="1" t="s">
        <v>68</v>
      </c>
      <c r="AK711" s="5"/>
      <c r="AL711" s="1" t="s">
        <v>68</v>
      </c>
      <c r="AM711" s="5"/>
      <c r="AN711" s="1" t="s">
        <v>68</v>
      </c>
      <c r="AO711" s="5"/>
      <c r="AP711" s="306"/>
      <c r="AQ711" s="37">
        <v>0</v>
      </c>
      <c r="AR711" s="1031">
        <v>0</v>
      </c>
      <c r="AS711" s="1018">
        <v>0</v>
      </c>
      <c r="AT711" s="32" t="s">
        <v>68</v>
      </c>
      <c r="AU711" s="12" t="s">
        <v>68</v>
      </c>
      <c r="AV711" s="243" t="s">
        <v>68</v>
      </c>
      <c r="AW711" s="54" t="s">
        <v>68</v>
      </c>
      <c r="AX711" s="32" t="s">
        <v>68</v>
      </c>
      <c r="AY711" s="5"/>
      <c r="AZ711" s="5"/>
      <c r="BA711" s="12"/>
      <c r="BB711" s="32" t="s">
        <v>68</v>
      </c>
      <c r="BC711" s="341"/>
      <c r="BD711" s="5"/>
      <c r="BE711" s="5"/>
      <c r="BF711" s="5"/>
      <c r="BG711" s="38"/>
      <c r="BH711" s="14" t="s">
        <v>68</v>
      </c>
      <c r="BI711" s="1053" t="s">
        <v>68</v>
      </c>
      <c r="BJ711" s="1052" t="s">
        <v>68</v>
      </c>
      <c r="BK711" s="1052" t="s">
        <v>68</v>
      </c>
      <c r="BL711" s="1649" t="s">
        <v>68</v>
      </c>
      <c r="BM711" s="1649" t="s">
        <v>68</v>
      </c>
      <c r="BN711" s="1649" t="s">
        <v>68</v>
      </c>
      <c r="BO711" s="1649" t="s">
        <v>68</v>
      </c>
      <c r="BP711" s="1649" t="s">
        <v>68</v>
      </c>
      <c r="BQ711" s="1649" t="s">
        <v>68</v>
      </c>
      <c r="BR711" s="1649" t="s">
        <v>68</v>
      </c>
      <c r="BS711" s="1053" t="s">
        <v>68</v>
      </c>
      <c r="BT711" s="14"/>
      <c r="BU711" s="23"/>
      <c r="BV711" s="23"/>
      <c r="BW711" s="23"/>
      <c r="BX711" s="23"/>
      <c r="BY711" s="1433" t="s">
        <v>3989</v>
      </c>
      <c r="BZ711" s="987"/>
      <c r="CA711" s="582"/>
      <c r="CB711" s="582"/>
      <c r="CC711" s="582"/>
      <c r="CD711" s="582"/>
      <c r="CE711" s="582"/>
      <c r="CF711" s="582"/>
      <c r="CG711" s="582"/>
      <c r="CH711" s="16"/>
    </row>
    <row r="712" spans="2:86" ht="34.5" hidden="1" customHeight="1">
      <c r="B712" s="23"/>
      <c r="C712" s="23"/>
      <c r="D712" s="23"/>
      <c r="E712" s="1051"/>
      <c r="F712" s="1051"/>
      <c r="G712" s="1055"/>
      <c r="H712" s="365"/>
      <c r="I712" s="182">
        <v>2023</v>
      </c>
      <c r="J712" s="1678"/>
      <c r="K712" s="183" t="s">
        <v>166</v>
      </c>
      <c r="L712" s="191" t="s">
        <v>5636</v>
      </c>
      <c r="M712" s="185" t="s">
        <v>46</v>
      </c>
      <c r="N712" s="186" t="s">
        <v>68</v>
      </c>
      <c r="O712" s="186" t="s">
        <v>68</v>
      </c>
      <c r="P712" s="187"/>
      <c r="Q712" s="188"/>
      <c r="R712" s="189"/>
      <c r="S712" s="190"/>
      <c r="T712" s="111" t="s">
        <v>68</v>
      </c>
      <c r="U712" s="191"/>
      <c r="V712" s="183"/>
      <c r="W712" s="220" t="s">
        <v>68</v>
      </c>
      <c r="X712" s="406" t="s">
        <v>68</v>
      </c>
      <c r="Y712" s="35"/>
      <c r="Z712" s="9"/>
      <c r="AA712" s="4"/>
      <c r="AB712" s="4"/>
      <c r="AC712" s="34"/>
      <c r="AD712" s="36" t="s">
        <v>68</v>
      </c>
      <c r="AE712" s="119" t="s">
        <v>68</v>
      </c>
      <c r="AF712" s="119" t="s">
        <v>68</v>
      </c>
      <c r="AG712" s="7" t="s">
        <v>68</v>
      </c>
      <c r="AH712" s="116" t="s">
        <v>68</v>
      </c>
      <c r="AI712" s="35" t="s">
        <v>68</v>
      </c>
      <c r="AJ712" s="1" t="s">
        <v>68</v>
      </c>
      <c r="AK712" s="5"/>
      <c r="AL712" s="1" t="s">
        <v>68</v>
      </c>
      <c r="AM712" s="5"/>
      <c r="AN712" s="1" t="s">
        <v>68</v>
      </c>
      <c r="AO712" s="5"/>
      <c r="AP712" s="306"/>
      <c r="AQ712" s="37">
        <v>0</v>
      </c>
      <c r="AR712" s="1031">
        <v>0</v>
      </c>
      <c r="AS712" s="1018">
        <v>0</v>
      </c>
      <c r="AT712" s="32" t="s">
        <v>68</v>
      </c>
      <c r="AU712" s="12" t="s">
        <v>68</v>
      </c>
      <c r="AV712" s="243" t="s">
        <v>68</v>
      </c>
      <c r="AW712" s="54" t="s">
        <v>68</v>
      </c>
      <c r="AX712" s="32" t="s">
        <v>68</v>
      </c>
      <c r="AY712" s="5"/>
      <c r="AZ712" s="5"/>
      <c r="BA712" s="12"/>
      <c r="BB712" s="32" t="s">
        <v>68</v>
      </c>
      <c r="BC712" s="341"/>
      <c r="BD712" s="5"/>
      <c r="BE712" s="5"/>
      <c r="BF712" s="5"/>
      <c r="BG712" s="38"/>
      <c r="BH712" s="14" t="s">
        <v>68</v>
      </c>
      <c r="BI712" s="1053" t="s">
        <v>68</v>
      </c>
      <c r="BJ712" s="1052" t="s">
        <v>68</v>
      </c>
      <c r="BK712" s="1052" t="s">
        <v>68</v>
      </c>
      <c r="BL712" s="1649" t="s">
        <v>68</v>
      </c>
      <c r="BM712" s="1649" t="s">
        <v>68</v>
      </c>
      <c r="BN712" s="1649" t="s">
        <v>68</v>
      </c>
      <c r="BO712" s="1649" t="s">
        <v>68</v>
      </c>
      <c r="BP712" s="1649" t="s">
        <v>68</v>
      </c>
      <c r="BQ712" s="1649" t="s">
        <v>68</v>
      </c>
      <c r="BR712" s="1649" t="s">
        <v>68</v>
      </c>
      <c r="BS712" s="1053" t="s">
        <v>68</v>
      </c>
      <c r="BT712" s="14"/>
      <c r="BU712" s="23"/>
      <c r="BV712" s="23"/>
      <c r="BW712" s="23"/>
      <c r="BX712" s="23"/>
      <c r="BY712" s="1433" t="s">
        <v>3989</v>
      </c>
      <c r="BZ712" s="987"/>
      <c r="CA712" s="582"/>
      <c r="CB712" s="582"/>
      <c r="CC712" s="582"/>
      <c r="CD712" s="582"/>
      <c r="CE712" s="582"/>
      <c r="CF712" s="582"/>
      <c r="CG712" s="582"/>
      <c r="CH712" s="16"/>
    </row>
    <row r="713" spans="2:86" ht="34.5" hidden="1" customHeight="1">
      <c r="B713" s="23"/>
      <c r="C713" s="23"/>
      <c r="D713" s="23"/>
      <c r="E713" s="1051"/>
      <c r="F713" s="1051"/>
      <c r="G713" s="1055"/>
      <c r="H713" s="365"/>
      <c r="I713" s="182">
        <v>2023</v>
      </c>
      <c r="J713" s="1678"/>
      <c r="K713" s="183" t="s">
        <v>166</v>
      </c>
      <c r="L713" s="191" t="s">
        <v>5637</v>
      </c>
      <c r="M713" s="185" t="s">
        <v>46</v>
      </c>
      <c r="N713" s="186" t="s">
        <v>68</v>
      </c>
      <c r="O713" s="186" t="s">
        <v>68</v>
      </c>
      <c r="P713" s="187"/>
      <c r="Q713" s="188"/>
      <c r="R713" s="189"/>
      <c r="S713" s="190"/>
      <c r="T713" s="111" t="s">
        <v>68</v>
      </c>
      <c r="U713" s="191"/>
      <c r="V713" s="183"/>
      <c r="W713" s="220" t="s">
        <v>68</v>
      </c>
      <c r="X713" s="406" t="s">
        <v>68</v>
      </c>
      <c r="Y713" s="35"/>
      <c r="Z713" s="9"/>
      <c r="AA713" s="4"/>
      <c r="AB713" s="4"/>
      <c r="AC713" s="34"/>
      <c r="AD713" s="36" t="s">
        <v>68</v>
      </c>
      <c r="AE713" s="119" t="s">
        <v>68</v>
      </c>
      <c r="AF713" s="119" t="s">
        <v>68</v>
      </c>
      <c r="AG713" s="7" t="s">
        <v>68</v>
      </c>
      <c r="AH713" s="116" t="s">
        <v>68</v>
      </c>
      <c r="AI713" s="35" t="s">
        <v>68</v>
      </c>
      <c r="AJ713" s="1" t="s">
        <v>68</v>
      </c>
      <c r="AK713" s="5"/>
      <c r="AL713" s="1" t="s">
        <v>68</v>
      </c>
      <c r="AM713" s="5"/>
      <c r="AN713" s="1" t="s">
        <v>68</v>
      </c>
      <c r="AO713" s="5"/>
      <c r="AP713" s="306"/>
      <c r="AQ713" s="37">
        <v>0</v>
      </c>
      <c r="AR713" s="1031">
        <v>0</v>
      </c>
      <c r="AS713" s="1018">
        <v>0</v>
      </c>
      <c r="AT713" s="32" t="s">
        <v>68</v>
      </c>
      <c r="AU713" s="12" t="s">
        <v>68</v>
      </c>
      <c r="AV713" s="243" t="s">
        <v>68</v>
      </c>
      <c r="AW713" s="54" t="s">
        <v>68</v>
      </c>
      <c r="AX713" s="32" t="s">
        <v>68</v>
      </c>
      <c r="AY713" s="5"/>
      <c r="AZ713" s="5"/>
      <c r="BA713" s="12"/>
      <c r="BB713" s="32" t="s">
        <v>68</v>
      </c>
      <c r="BC713" s="341"/>
      <c r="BD713" s="5"/>
      <c r="BE713" s="5"/>
      <c r="BF713" s="5"/>
      <c r="BG713" s="38"/>
      <c r="BH713" s="14" t="s">
        <v>68</v>
      </c>
      <c r="BI713" s="1053" t="s">
        <v>68</v>
      </c>
      <c r="BJ713" s="1052" t="s">
        <v>68</v>
      </c>
      <c r="BK713" s="1052" t="s">
        <v>68</v>
      </c>
      <c r="BL713" s="1649" t="s">
        <v>68</v>
      </c>
      <c r="BM713" s="1649" t="s">
        <v>68</v>
      </c>
      <c r="BN713" s="1649" t="s">
        <v>68</v>
      </c>
      <c r="BO713" s="1649" t="s">
        <v>68</v>
      </c>
      <c r="BP713" s="1649" t="s">
        <v>68</v>
      </c>
      <c r="BQ713" s="1649" t="s">
        <v>68</v>
      </c>
      <c r="BR713" s="1649" t="s">
        <v>68</v>
      </c>
      <c r="BS713" s="1053" t="s">
        <v>68</v>
      </c>
      <c r="BT713" s="14"/>
      <c r="BU713" s="23"/>
      <c r="BV713" s="23"/>
      <c r="BW713" s="23"/>
      <c r="BX713" s="23"/>
      <c r="BY713" s="1433" t="s">
        <v>3989</v>
      </c>
      <c r="BZ713" s="987"/>
      <c r="CA713" s="582"/>
      <c r="CB713" s="582"/>
      <c r="CC713" s="582"/>
      <c r="CD713" s="582"/>
      <c r="CE713" s="582"/>
      <c r="CF713" s="582"/>
      <c r="CG713" s="582"/>
      <c r="CH713" s="16"/>
    </row>
    <row r="714" spans="2:86" ht="99" hidden="1" customHeight="1">
      <c r="B714" s="23"/>
      <c r="C714" s="23"/>
      <c r="D714" s="23"/>
      <c r="E714" s="1051">
        <v>45170</v>
      </c>
      <c r="F714" s="1051"/>
      <c r="G714" s="1055"/>
      <c r="H714" s="365"/>
      <c r="I714" s="182">
        <v>2023</v>
      </c>
      <c r="J714" s="1678"/>
      <c r="K714" s="183" t="s">
        <v>166</v>
      </c>
      <c r="L714" s="191" t="s">
        <v>5429</v>
      </c>
      <c r="M714" s="185" t="s">
        <v>4077</v>
      </c>
      <c r="N714" s="494" t="s">
        <v>5546</v>
      </c>
      <c r="O714" s="186" t="s">
        <v>1979</v>
      </c>
      <c r="P714" s="661">
        <v>307647.35999999999</v>
      </c>
      <c r="Q714" s="188">
        <v>44967</v>
      </c>
      <c r="R714" s="189">
        <v>44968</v>
      </c>
      <c r="S714" s="190">
        <v>44985</v>
      </c>
      <c r="T714" s="111" t="s">
        <v>68</v>
      </c>
      <c r="U714" s="191" t="s">
        <v>68</v>
      </c>
      <c r="V714" s="1232" t="s">
        <v>70</v>
      </c>
      <c r="W714" s="2030"/>
      <c r="X714" s="1637"/>
      <c r="Y714" s="2030"/>
      <c r="Z714" s="9"/>
      <c r="AA714" s="4"/>
      <c r="AB714" s="4"/>
      <c r="AC714" s="34"/>
      <c r="AD714" s="36" t="s">
        <v>68</v>
      </c>
      <c r="AE714" s="119" t="s">
        <v>68</v>
      </c>
      <c r="AF714" s="119" t="s">
        <v>68</v>
      </c>
      <c r="AG714" s="7" t="s">
        <v>68</v>
      </c>
      <c r="AH714" s="116" t="s">
        <v>68</v>
      </c>
      <c r="AI714" s="35" t="s">
        <v>68</v>
      </c>
      <c r="AJ714" s="1" t="s">
        <v>68</v>
      </c>
      <c r="AK714" s="5"/>
      <c r="AL714" s="1" t="s">
        <v>68</v>
      </c>
      <c r="AM714" s="5"/>
      <c r="AN714" s="1" t="s">
        <v>68</v>
      </c>
      <c r="AO714" s="5"/>
      <c r="AP714" s="306"/>
      <c r="AQ714" s="771"/>
      <c r="AR714" s="1040"/>
      <c r="AS714" s="1027"/>
      <c r="AT714" s="253"/>
      <c r="AU714" s="12"/>
      <c r="AV714" s="1695"/>
      <c r="AW714" s="1014"/>
      <c r="AX714" s="253"/>
      <c r="AY714" s="5"/>
      <c r="AZ714" s="5"/>
      <c r="BA714" s="12"/>
      <c r="BB714" s="253"/>
      <c r="BC714" s="558"/>
      <c r="BD714" s="5"/>
      <c r="BE714" s="5"/>
      <c r="BF714" s="5"/>
      <c r="BG714" s="38">
        <f>AQ714+AR714</f>
        <v>0</v>
      </c>
      <c r="BH714" s="222"/>
      <c r="BI714" s="1646"/>
      <c r="BJ714" s="1052" t="s">
        <v>68</v>
      </c>
      <c r="BK714" s="1052" t="s">
        <v>68</v>
      </c>
      <c r="BL714" s="1648"/>
      <c r="BM714" s="1649" t="s">
        <v>68</v>
      </c>
      <c r="BN714" s="1649" t="s">
        <v>68</v>
      </c>
      <c r="BO714" s="1649" t="s">
        <v>68</v>
      </c>
      <c r="BP714" s="1649" t="s">
        <v>68</v>
      </c>
      <c r="BQ714" s="1649" t="s">
        <v>68</v>
      </c>
      <c r="BR714" s="1649" t="s">
        <v>68</v>
      </c>
      <c r="BS714" s="1053" t="s">
        <v>68</v>
      </c>
      <c r="BT714" s="14"/>
      <c r="BU714" s="23"/>
      <c r="BV714" s="23"/>
      <c r="BW714" s="23"/>
      <c r="BX714" s="23"/>
      <c r="BY714" s="1433" t="s">
        <v>3989</v>
      </c>
      <c r="BZ714" s="987"/>
      <c r="CA714" s="582"/>
      <c r="CB714" s="582"/>
      <c r="CC714" s="582"/>
      <c r="CD714" s="582"/>
      <c r="CE714" s="582"/>
      <c r="CF714" s="582"/>
      <c r="CG714" s="582"/>
      <c r="CH714" s="16"/>
    </row>
    <row r="715" spans="2:86" ht="63" hidden="1" customHeight="1">
      <c r="B715" s="23"/>
      <c r="C715" s="23"/>
      <c r="D715" s="23"/>
      <c r="E715" s="1051"/>
      <c r="F715" s="1051"/>
      <c r="G715" s="1055"/>
      <c r="H715" s="365"/>
      <c r="I715" s="182">
        <v>2023</v>
      </c>
      <c r="J715" s="1678"/>
      <c r="K715" s="2082" t="s">
        <v>6024</v>
      </c>
      <c r="L715" s="191" t="s">
        <v>5430</v>
      </c>
      <c r="M715" s="185" t="s">
        <v>4077</v>
      </c>
      <c r="N715" s="495" t="s">
        <v>6030</v>
      </c>
      <c r="O715" s="495" t="s">
        <v>1979</v>
      </c>
      <c r="P715" s="661">
        <v>27472.5</v>
      </c>
      <c r="Q715" s="188">
        <v>45033</v>
      </c>
      <c r="R715" s="189">
        <v>45036</v>
      </c>
      <c r="S715" s="190">
        <v>45038</v>
      </c>
      <c r="T715" s="111" t="s">
        <v>68</v>
      </c>
      <c r="U715" s="191" t="s">
        <v>68</v>
      </c>
      <c r="V715" s="716" t="s">
        <v>1107</v>
      </c>
      <c r="W715" s="1227"/>
      <c r="X715" s="1637"/>
      <c r="Y715" s="280"/>
      <c r="Z715" s="9"/>
      <c r="AA715" s="4"/>
      <c r="AB715" s="4"/>
      <c r="AC715" s="34"/>
      <c r="AD715" s="36" t="s">
        <v>68</v>
      </c>
      <c r="AE715" s="119" t="s">
        <v>68</v>
      </c>
      <c r="AF715" s="119" t="s">
        <v>68</v>
      </c>
      <c r="AG715" s="7" t="s">
        <v>68</v>
      </c>
      <c r="AH715" s="116" t="s">
        <v>68</v>
      </c>
      <c r="AI715" s="35" t="s">
        <v>68</v>
      </c>
      <c r="AJ715" s="1" t="s">
        <v>68</v>
      </c>
      <c r="AK715" s="5"/>
      <c r="AL715" s="1" t="s">
        <v>68</v>
      </c>
      <c r="AM715" s="5"/>
      <c r="AN715" s="1" t="s">
        <v>68</v>
      </c>
      <c r="AO715" s="5"/>
      <c r="AP715" s="306"/>
      <c r="AQ715" s="771"/>
      <c r="AR715" s="1040"/>
      <c r="AS715" s="1027"/>
      <c r="AT715" s="253"/>
      <c r="AU715" s="12"/>
      <c r="AV715" s="1695"/>
      <c r="AW715" s="1014"/>
      <c r="AX715" s="253"/>
      <c r="AY715" s="5"/>
      <c r="AZ715" s="5"/>
      <c r="BA715" s="12"/>
      <c r="BB715" s="253"/>
      <c r="BC715" s="558"/>
      <c r="BD715" s="5"/>
      <c r="BE715" s="5"/>
      <c r="BF715" s="5"/>
      <c r="BG715" s="38">
        <f t="shared" ref="BG715:BG723" si="22">AQ715+AR715</f>
        <v>0</v>
      </c>
      <c r="BH715" s="222"/>
      <c r="BI715" s="1646"/>
      <c r="BJ715" s="1052" t="s">
        <v>68</v>
      </c>
      <c r="BK715" s="1052" t="s">
        <v>68</v>
      </c>
      <c r="BL715" s="1648"/>
      <c r="BM715" s="1649" t="s">
        <v>68</v>
      </c>
      <c r="BN715" s="1649" t="s">
        <v>68</v>
      </c>
      <c r="BO715" s="1649" t="s">
        <v>68</v>
      </c>
      <c r="BP715" s="1649" t="s">
        <v>68</v>
      </c>
      <c r="BQ715" s="1649" t="s">
        <v>68</v>
      </c>
      <c r="BR715" s="1649" t="s">
        <v>68</v>
      </c>
      <c r="BS715" s="1053" t="s">
        <v>68</v>
      </c>
      <c r="BT715" s="14"/>
      <c r="BU715" s="23"/>
      <c r="BV715" s="23"/>
      <c r="BW715" s="23"/>
      <c r="BX715" s="23"/>
      <c r="BY715" s="1433" t="s">
        <v>3989</v>
      </c>
      <c r="BZ715" s="987"/>
      <c r="CA715" s="582"/>
      <c r="CB715" s="582"/>
      <c r="CC715" s="582"/>
      <c r="CD715" s="582"/>
      <c r="CE715" s="582"/>
      <c r="CF715" s="582"/>
      <c r="CG715" s="582"/>
      <c r="CH715" s="16"/>
    </row>
    <row r="716" spans="2:86" ht="34.5" hidden="1" customHeight="1">
      <c r="B716" s="23"/>
      <c r="C716" s="23"/>
      <c r="D716" s="23"/>
      <c r="E716" s="1051"/>
      <c r="F716" s="1051"/>
      <c r="G716" s="1055"/>
      <c r="H716" s="365"/>
      <c r="I716" s="182">
        <v>2023</v>
      </c>
      <c r="J716" s="1678"/>
      <c r="K716" s="183"/>
      <c r="L716" s="191" t="s">
        <v>5431</v>
      </c>
      <c r="M716" s="185" t="s">
        <v>4077</v>
      </c>
      <c r="N716" s="1401" t="s">
        <v>68</v>
      </c>
      <c r="O716" s="186" t="s">
        <v>68</v>
      </c>
      <c r="P716" s="2019"/>
      <c r="Q716" s="188"/>
      <c r="R716" s="189"/>
      <c r="S716" s="190"/>
      <c r="T716" s="111" t="s">
        <v>68</v>
      </c>
      <c r="U716" s="191" t="s">
        <v>68</v>
      </c>
      <c r="V716" s="1064"/>
      <c r="W716" s="1227"/>
      <c r="X716" s="1637"/>
      <c r="Y716" s="280"/>
      <c r="Z716" s="9"/>
      <c r="AA716" s="4"/>
      <c r="AB716" s="4"/>
      <c r="AC716" s="34"/>
      <c r="AD716" s="36" t="s">
        <v>68</v>
      </c>
      <c r="AE716" s="119" t="s">
        <v>68</v>
      </c>
      <c r="AF716" s="119" t="s">
        <v>68</v>
      </c>
      <c r="AG716" s="7" t="s">
        <v>68</v>
      </c>
      <c r="AH716" s="116" t="s">
        <v>68</v>
      </c>
      <c r="AI716" s="35" t="s">
        <v>68</v>
      </c>
      <c r="AJ716" s="1" t="s">
        <v>68</v>
      </c>
      <c r="AK716" s="5"/>
      <c r="AL716" s="1" t="s">
        <v>68</v>
      </c>
      <c r="AM716" s="5"/>
      <c r="AN716" s="1" t="s">
        <v>68</v>
      </c>
      <c r="AO716" s="5"/>
      <c r="AP716" s="306"/>
      <c r="AQ716" s="771"/>
      <c r="AR716" s="1040"/>
      <c r="AS716" s="1027"/>
      <c r="AT716" s="253"/>
      <c r="AU716" s="12"/>
      <c r="AV716" s="1695"/>
      <c r="AW716" s="1014"/>
      <c r="AX716" s="253"/>
      <c r="AY716" s="5"/>
      <c r="AZ716" s="5"/>
      <c r="BA716" s="12"/>
      <c r="BB716" s="253"/>
      <c r="BC716" s="558"/>
      <c r="BD716" s="5"/>
      <c r="BE716" s="5"/>
      <c r="BF716" s="5"/>
      <c r="BG716" s="38">
        <f t="shared" si="22"/>
        <v>0</v>
      </c>
      <c r="BH716" s="222"/>
      <c r="BI716" s="1646"/>
      <c r="BJ716" s="1052" t="s">
        <v>68</v>
      </c>
      <c r="BK716" s="1052" t="s">
        <v>68</v>
      </c>
      <c r="BL716" s="1648"/>
      <c r="BM716" s="1649" t="s">
        <v>68</v>
      </c>
      <c r="BN716" s="1649" t="s">
        <v>68</v>
      </c>
      <c r="BO716" s="1649" t="s">
        <v>68</v>
      </c>
      <c r="BP716" s="1649" t="s">
        <v>68</v>
      </c>
      <c r="BQ716" s="1649" t="s">
        <v>68</v>
      </c>
      <c r="BR716" s="1649" t="s">
        <v>68</v>
      </c>
      <c r="BS716" s="1053" t="s">
        <v>68</v>
      </c>
      <c r="BT716" s="14"/>
      <c r="BU716" s="23"/>
      <c r="BV716" s="23"/>
      <c r="BW716" s="23"/>
      <c r="BX716" s="23"/>
      <c r="BY716" s="1433" t="s">
        <v>3989</v>
      </c>
      <c r="BZ716" s="987"/>
      <c r="CA716" s="582"/>
      <c r="CB716" s="582"/>
      <c r="CC716" s="582"/>
      <c r="CD716" s="582"/>
      <c r="CE716" s="582"/>
      <c r="CF716" s="582"/>
      <c r="CG716" s="582"/>
      <c r="CH716" s="16"/>
    </row>
    <row r="717" spans="2:86" ht="34.5" hidden="1" customHeight="1">
      <c r="B717" s="23"/>
      <c r="C717" s="23"/>
      <c r="D717" s="23"/>
      <c r="E717" s="1051"/>
      <c r="F717" s="1051"/>
      <c r="G717" s="1055"/>
      <c r="H717" s="365"/>
      <c r="I717" s="182">
        <v>2023</v>
      </c>
      <c r="J717" s="1678"/>
      <c r="K717" s="183"/>
      <c r="L717" s="191" t="s">
        <v>5432</v>
      </c>
      <c r="M717" s="185" t="s">
        <v>4077</v>
      </c>
      <c r="N717" s="1401" t="s">
        <v>68</v>
      </c>
      <c r="O717" s="186" t="s">
        <v>68</v>
      </c>
      <c r="P717" s="2019"/>
      <c r="Q717" s="188"/>
      <c r="R717" s="189"/>
      <c r="S717" s="190"/>
      <c r="T717" s="111" t="s">
        <v>68</v>
      </c>
      <c r="U717" s="191" t="s">
        <v>68</v>
      </c>
      <c r="V717" s="1064"/>
      <c r="W717" s="1227"/>
      <c r="X717" s="1637"/>
      <c r="Y717" s="280"/>
      <c r="Z717" s="9"/>
      <c r="AA717" s="4"/>
      <c r="AB717" s="4"/>
      <c r="AC717" s="34"/>
      <c r="AD717" s="36" t="s">
        <v>68</v>
      </c>
      <c r="AE717" s="119" t="s">
        <v>68</v>
      </c>
      <c r="AF717" s="119" t="s">
        <v>68</v>
      </c>
      <c r="AG717" s="7" t="s">
        <v>68</v>
      </c>
      <c r="AH717" s="116" t="s">
        <v>68</v>
      </c>
      <c r="AI717" s="35" t="s">
        <v>68</v>
      </c>
      <c r="AJ717" s="1" t="s">
        <v>68</v>
      </c>
      <c r="AK717" s="5"/>
      <c r="AL717" s="1" t="s">
        <v>68</v>
      </c>
      <c r="AM717" s="5"/>
      <c r="AN717" s="1" t="s">
        <v>68</v>
      </c>
      <c r="AO717" s="5"/>
      <c r="AP717" s="306"/>
      <c r="AQ717" s="771"/>
      <c r="AR717" s="1040"/>
      <c r="AS717" s="1027"/>
      <c r="AT717" s="253"/>
      <c r="AU717" s="12"/>
      <c r="AV717" s="1695"/>
      <c r="AW717" s="1014"/>
      <c r="AX717" s="253"/>
      <c r="AY717" s="5"/>
      <c r="AZ717" s="5"/>
      <c r="BA717" s="12"/>
      <c r="BB717" s="253"/>
      <c r="BC717" s="558"/>
      <c r="BD717" s="5"/>
      <c r="BE717" s="5"/>
      <c r="BF717" s="5"/>
      <c r="BG717" s="38">
        <f t="shared" si="22"/>
        <v>0</v>
      </c>
      <c r="BH717" s="222"/>
      <c r="BI717" s="1646"/>
      <c r="BJ717" s="1052" t="s">
        <v>68</v>
      </c>
      <c r="BK717" s="1052" t="s">
        <v>68</v>
      </c>
      <c r="BL717" s="1648"/>
      <c r="BM717" s="1649" t="s">
        <v>68</v>
      </c>
      <c r="BN717" s="1649" t="s">
        <v>68</v>
      </c>
      <c r="BO717" s="1649" t="s">
        <v>68</v>
      </c>
      <c r="BP717" s="1649" t="s">
        <v>68</v>
      </c>
      <c r="BQ717" s="1649" t="s">
        <v>68</v>
      </c>
      <c r="BR717" s="1649" t="s">
        <v>68</v>
      </c>
      <c r="BS717" s="1053" t="s">
        <v>68</v>
      </c>
      <c r="BT717" s="14"/>
      <c r="BU717" s="23"/>
      <c r="BV717" s="23"/>
      <c r="BW717" s="23"/>
      <c r="BX717" s="23"/>
      <c r="BY717" s="1433" t="s">
        <v>3989</v>
      </c>
      <c r="BZ717" s="987"/>
      <c r="CA717" s="582"/>
      <c r="CB717" s="582"/>
      <c r="CC717" s="582"/>
      <c r="CD717" s="582"/>
      <c r="CE717" s="582"/>
      <c r="CF717" s="582"/>
      <c r="CG717" s="582"/>
      <c r="CH717" s="16"/>
    </row>
    <row r="718" spans="2:86" ht="105" hidden="1" customHeight="1">
      <c r="B718" s="23"/>
      <c r="C718" s="23"/>
      <c r="D718" s="23"/>
      <c r="E718" s="1051"/>
      <c r="F718" s="1051"/>
      <c r="G718" s="1055"/>
      <c r="H718" s="365"/>
      <c r="I718" s="182">
        <v>2023</v>
      </c>
      <c r="J718" s="1678"/>
      <c r="K718" s="2082" t="s">
        <v>6024</v>
      </c>
      <c r="L718" s="191" t="s">
        <v>5433</v>
      </c>
      <c r="M718" s="185" t="s">
        <v>4077</v>
      </c>
      <c r="N718" s="495" t="s">
        <v>6029</v>
      </c>
      <c r="O718" s="495" t="s">
        <v>1979</v>
      </c>
      <c r="P718" s="661">
        <v>92407.5</v>
      </c>
      <c r="Q718" s="188">
        <v>45244</v>
      </c>
      <c r="R718" s="189">
        <v>45264</v>
      </c>
      <c r="S718" s="190">
        <v>45268</v>
      </c>
      <c r="T718" s="111" t="s">
        <v>68</v>
      </c>
      <c r="U718" s="191" t="s">
        <v>68</v>
      </c>
      <c r="V718" s="716" t="s">
        <v>1107</v>
      </c>
      <c r="W718" s="1227"/>
      <c r="X718" s="1637"/>
      <c r="Y718" s="280"/>
      <c r="Z718" s="9"/>
      <c r="AA718" s="4"/>
      <c r="AB718" s="4"/>
      <c r="AC718" s="34"/>
      <c r="AD718" s="36" t="s">
        <v>68</v>
      </c>
      <c r="AE718" s="119" t="s">
        <v>68</v>
      </c>
      <c r="AF718" s="119" t="s">
        <v>68</v>
      </c>
      <c r="AG718" s="7" t="s">
        <v>68</v>
      </c>
      <c r="AH718" s="116" t="s">
        <v>68</v>
      </c>
      <c r="AI718" s="35" t="s">
        <v>68</v>
      </c>
      <c r="AJ718" s="1" t="s">
        <v>68</v>
      </c>
      <c r="AK718" s="5"/>
      <c r="AL718" s="1" t="s">
        <v>68</v>
      </c>
      <c r="AM718" s="5"/>
      <c r="AN718" s="1" t="s">
        <v>68</v>
      </c>
      <c r="AO718" s="5"/>
      <c r="AP718" s="306"/>
      <c r="AQ718" s="771"/>
      <c r="AR718" s="1040"/>
      <c r="AS718" s="1027"/>
      <c r="AT718" s="253"/>
      <c r="AU718" s="12"/>
      <c r="AV718" s="1695"/>
      <c r="AW718" s="1014"/>
      <c r="AX718" s="253"/>
      <c r="AY718" s="5"/>
      <c r="AZ718" s="5"/>
      <c r="BA718" s="12"/>
      <c r="BB718" s="253"/>
      <c r="BC718" s="558"/>
      <c r="BD718" s="5"/>
      <c r="BE718" s="5"/>
      <c r="BF718" s="5"/>
      <c r="BG718" s="38">
        <f t="shared" si="22"/>
        <v>0</v>
      </c>
      <c r="BH718" s="222"/>
      <c r="BI718" s="1646"/>
      <c r="BJ718" s="1052" t="s">
        <v>68</v>
      </c>
      <c r="BK718" s="1052" t="s">
        <v>68</v>
      </c>
      <c r="BL718" s="1648"/>
      <c r="BM718" s="1649" t="s">
        <v>68</v>
      </c>
      <c r="BN718" s="1649" t="s">
        <v>68</v>
      </c>
      <c r="BO718" s="1649" t="s">
        <v>68</v>
      </c>
      <c r="BP718" s="1649" t="s">
        <v>68</v>
      </c>
      <c r="BQ718" s="1649" t="s">
        <v>68</v>
      </c>
      <c r="BR718" s="1649" t="s">
        <v>68</v>
      </c>
      <c r="BS718" s="1053" t="s">
        <v>68</v>
      </c>
      <c r="BT718" s="14"/>
      <c r="BU718" s="23"/>
      <c r="BV718" s="23"/>
      <c r="BW718" s="23"/>
      <c r="BX718" s="23"/>
      <c r="BY718" s="1433" t="s">
        <v>3989</v>
      </c>
      <c r="BZ718" s="987"/>
      <c r="CA718" s="582"/>
      <c r="CB718" s="582"/>
      <c r="CC718" s="582"/>
      <c r="CD718" s="582"/>
      <c r="CE718" s="582"/>
      <c r="CF718" s="582"/>
      <c r="CG718" s="582"/>
      <c r="CH718" s="16"/>
    </row>
    <row r="719" spans="2:86" ht="34.5" hidden="1" customHeight="1">
      <c r="B719" s="23"/>
      <c r="C719" s="23"/>
      <c r="D719" s="23"/>
      <c r="E719" s="1051"/>
      <c r="F719" s="1051"/>
      <c r="G719" s="1055"/>
      <c r="H719" s="365"/>
      <c r="I719" s="182">
        <v>2023</v>
      </c>
      <c r="J719" s="1678"/>
      <c r="K719" s="183"/>
      <c r="L719" s="191" t="s">
        <v>5434</v>
      </c>
      <c r="M719" s="185" t="s">
        <v>251</v>
      </c>
      <c r="N719" s="1401" t="s">
        <v>68</v>
      </c>
      <c r="O719" s="186" t="s">
        <v>68</v>
      </c>
      <c r="P719" s="2019"/>
      <c r="Q719" s="188"/>
      <c r="R719" s="189"/>
      <c r="S719" s="190"/>
      <c r="T719" s="111" t="s">
        <v>68</v>
      </c>
      <c r="U719" s="191" t="s">
        <v>68</v>
      </c>
      <c r="V719" s="1064"/>
      <c r="W719" s="1227"/>
      <c r="X719" s="1637"/>
      <c r="Y719" s="280"/>
      <c r="Z719" s="9"/>
      <c r="AA719" s="4"/>
      <c r="AB719" s="4"/>
      <c r="AC719" s="34"/>
      <c r="AD719" s="36" t="s">
        <v>68</v>
      </c>
      <c r="AE719" s="119" t="s">
        <v>68</v>
      </c>
      <c r="AF719" s="119" t="s">
        <v>68</v>
      </c>
      <c r="AG719" s="7" t="s">
        <v>68</v>
      </c>
      <c r="AH719" s="116" t="s">
        <v>68</v>
      </c>
      <c r="AI719" s="35" t="s">
        <v>68</v>
      </c>
      <c r="AJ719" s="1" t="s">
        <v>68</v>
      </c>
      <c r="AK719" s="5"/>
      <c r="AL719" s="1" t="s">
        <v>68</v>
      </c>
      <c r="AM719" s="5"/>
      <c r="AN719" s="1" t="s">
        <v>68</v>
      </c>
      <c r="AO719" s="5"/>
      <c r="AP719" s="306"/>
      <c r="AQ719" s="771"/>
      <c r="AR719" s="1040"/>
      <c r="AS719" s="1027"/>
      <c r="AT719" s="253"/>
      <c r="AU719" s="12"/>
      <c r="AV719" s="1695"/>
      <c r="AW719" s="1014"/>
      <c r="AX719" s="253"/>
      <c r="AY719" s="5"/>
      <c r="AZ719" s="5"/>
      <c r="BA719" s="12"/>
      <c r="BB719" s="253"/>
      <c r="BC719" s="558"/>
      <c r="BD719" s="5"/>
      <c r="BE719" s="5"/>
      <c r="BF719" s="5"/>
      <c r="BG719" s="38">
        <f t="shared" si="22"/>
        <v>0</v>
      </c>
      <c r="BH719" s="222"/>
      <c r="BI719" s="1646"/>
      <c r="BJ719" s="1052" t="s">
        <v>68</v>
      </c>
      <c r="BK719" s="1052" t="s">
        <v>68</v>
      </c>
      <c r="BL719" s="1648"/>
      <c r="BM719" s="1649" t="s">
        <v>68</v>
      </c>
      <c r="BN719" s="1649" t="s">
        <v>68</v>
      </c>
      <c r="BO719" s="1649" t="s">
        <v>68</v>
      </c>
      <c r="BP719" s="1649" t="s">
        <v>68</v>
      </c>
      <c r="BQ719" s="1649" t="s">
        <v>68</v>
      </c>
      <c r="BR719" s="1649" t="s">
        <v>68</v>
      </c>
      <c r="BS719" s="1053" t="s">
        <v>68</v>
      </c>
      <c r="BT719" s="14"/>
      <c r="BU719" s="23"/>
      <c r="BV719" s="23"/>
      <c r="BW719" s="23"/>
      <c r="BX719" s="23"/>
      <c r="BY719" s="1433" t="s">
        <v>3989</v>
      </c>
      <c r="BZ719" s="987"/>
      <c r="CA719" s="582"/>
      <c r="CB719" s="582"/>
      <c r="CC719" s="582"/>
      <c r="CD719" s="582"/>
      <c r="CE719" s="582"/>
      <c r="CF719" s="582"/>
      <c r="CG719" s="582"/>
      <c r="CH719" s="16"/>
    </row>
    <row r="720" spans="2:86" ht="34.5" hidden="1" customHeight="1">
      <c r="B720" s="23"/>
      <c r="C720" s="23"/>
      <c r="D720" s="23"/>
      <c r="E720" s="1051"/>
      <c r="F720" s="1051"/>
      <c r="G720" s="1055"/>
      <c r="H720" s="365"/>
      <c r="I720" s="182">
        <v>2023</v>
      </c>
      <c r="J720" s="1678"/>
      <c r="K720" s="183"/>
      <c r="L720" s="191" t="s">
        <v>5435</v>
      </c>
      <c r="M720" s="185" t="s">
        <v>251</v>
      </c>
      <c r="N720" s="1401" t="s">
        <v>68</v>
      </c>
      <c r="O720" s="186" t="s">
        <v>68</v>
      </c>
      <c r="P720" s="2019"/>
      <c r="Q720" s="188"/>
      <c r="R720" s="189"/>
      <c r="S720" s="190"/>
      <c r="T720" s="111" t="s">
        <v>68</v>
      </c>
      <c r="U720" s="191" t="s">
        <v>68</v>
      </c>
      <c r="V720" s="1064"/>
      <c r="W720" s="1227"/>
      <c r="X720" s="1637"/>
      <c r="Y720" s="280"/>
      <c r="Z720" s="9"/>
      <c r="AA720" s="4"/>
      <c r="AB720" s="4"/>
      <c r="AC720" s="34"/>
      <c r="AD720" s="36" t="s">
        <v>68</v>
      </c>
      <c r="AE720" s="119" t="s">
        <v>68</v>
      </c>
      <c r="AF720" s="119" t="s">
        <v>68</v>
      </c>
      <c r="AG720" s="7" t="s">
        <v>68</v>
      </c>
      <c r="AH720" s="116" t="s">
        <v>68</v>
      </c>
      <c r="AI720" s="35" t="s">
        <v>68</v>
      </c>
      <c r="AJ720" s="1" t="s">
        <v>68</v>
      </c>
      <c r="AK720" s="5"/>
      <c r="AL720" s="1" t="s">
        <v>68</v>
      </c>
      <c r="AM720" s="5"/>
      <c r="AN720" s="1" t="s">
        <v>68</v>
      </c>
      <c r="AO720" s="5"/>
      <c r="AP720" s="306"/>
      <c r="AQ720" s="771"/>
      <c r="AR720" s="1040"/>
      <c r="AS720" s="1027"/>
      <c r="AT720" s="253"/>
      <c r="AU720" s="12"/>
      <c r="AV720" s="1695"/>
      <c r="AW720" s="1014"/>
      <c r="AX720" s="253"/>
      <c r="AY720" s="5"/>
      <c r="AZ720" s="5"/>
      <c r="BA720" s="12"/>
      <c r="BB720" s="253"/>
      <c r="BC720" s="558"/>
      <c r="BD720" s="5"/>
      <c r="BE720" s="5"/>
      <c r="BF720" s="5"/>
      <c r="BG720" s="38">
        <f t="shared" si="22"/>
        <v>0</v>
      </c>
      <c r="BH720" s="222"/>
      <c r="BI720" s="1646"/>
      <c r="BJ720" s="1052" t="s">
        <v>68</v>
      </c>
      <c r="BK720" s="1052" t="s">
        <v>68</v>
      </c>
      <c r="BL720" s="1648"/>
      <c r="BM720" s="1649" t="s">
        <v>68</v>
      </c>
      <c r="BN720" s="1649" t="s">
        <v>68</v>
      </c>
      <c r="BO720" s="1649" t="s">
        <v>68</v>
      </c>
      <c r="BP720" s="1649" t="s">
        <v>68</v>
      </c>
      <c r="BQ720" s="1649" t="s">
        <v>68</v>
      </c>
      <c r="BR720" s="1649" t="s">
        <v>68</v>
      </c>
      <c r="BS720" s="1053" t="s">
        <v>68</v>
      </c>
      <c r="BT720" s="14"/>
      <c r="BU720" s="23"/>
      <c r="BV720" s="23"/>
      <c r="BW720" s="23"/>
      <c r="BX720" s="23"/>
      <c r="BY720" s="1433" t="s">
        <v>3989</v>
      </c>
      <c r="BZ720" s="987"/>
      <c r="CA720" s="582"/>
      <c r="CB720" s="582"/>
      <c r="CC720" s="582"/>
      <c r="CD720" s="582"/>
      <c r="CE720" s="582"/>
      <c r="CF720" s="582"/>
      <c r="CG720" s="582"/>
      <c r="CH720" s="16"/>
    </row>
    <row r="721" spans="2:86" ht="34.5" hidden="1" customHeight="1">
      <c r="B721" s="23"/>
      <c r="C721" s="23"/>
      <c r="D721" s="23"/>
      <c r="E721" s="1051"/>
      <c r="F721" s="1051"/>
      <c r="G721" s="1055"/>
      <c r="H721" s="365"/>
      <c r="I721" s="182">
        <v>2023</v>
      </c>
      <c r="J721" s="1678"/>
      <c r="K721" s="183"/>
      <c r="L721" s="191" t="s">
        <v>5436</v>
      </c>
      <c r="M721" s="185" t="s">
        <v>251</v>
      </c>
      <c r="N721" s="1401" t="s">
        <v>68</v>
      </c>
      <c r="O721" s="186" t="s">
        <v>68</v>
      </c>
      <c r="P721" s="2019"/>
      <c r="Q721" s="188"/>
      <c r="R721" s="189"/>
      <c r="S721" s="190"/>
      <c r="T721" s="111" t="s">
        <v>68</v>
      </c>
      <c r="U721" s="191" t="s">
        <v>68</v>
      </c>
      <c r="V721" s="1064"/>
      <c r="W721" s="1227"/>
      <c r="X721" s="1637"/>
      <c r="Y721" s="280"/>
      <c r="Z721" s="9"/>
      <c r="AA721" s="4"/>
      <c r="AB721" s="4"/>
      <c r="AC721" s="34"/>
      <c r="AD721" s="36" t="s">
        <v>68</v>
      </c>
      <c r="AE721" s="119" t="s">
        <v>68</v>
      </c>
      <c r="AF721" s="119" t="s">
        <v>68</v>
      </c>
      <c r="AG721" s="7" t="s">
        <v>68</v>
      </c>
      <c r="AH721" s="116" t="s">
        <v>68</v>
      </c>
      <c r="AI721" s="35" t="s">
        <v>68</v>
      </c>
      <c r="AJ721" s="1" t="s">
        <v>68</v>
      </c>
      <c r="AK721" s="5"/>
      <c r="AL721" s="1" t="s">
        <v>68</v>
      </c>
      <c r="AM721" s="5"/>
      <c r="AN721" s="1" t="s">
        <v>68</v>
      </c>
      <c r="AO721" s="5"/>
      <c r="AP721" s="306"/>
      <c r="AQ721" s="771"/>
      <c r="AR721" s="1040"/>
      <c r="AS721" s="1027"/>
      <c r="AT721" s="253"/>
      <c r="AU721" s="12"/>
      <c r="AV721" s="1695"/>
      <c r="AW721" s="1014"/>
      <c r="AX721" s="253"/>
      <c r="AY721" s="5"/>
      <c r="AZ721" s="5"/>
      <c r="BA721" s="12"/>
      <c r="BB721" s="253"/>
      <c r="BC721" s="558"/>
      <c r="BD721" s="5"/>
      <c r="BE721" s="5"/>
      <c r="BF721" s="5"/>
      <c r="BG721" s="66">
        <f t="shared" si="22"/>
        <v>0</v>
      </c>
      <c r="BH721" s="222"/>
      <c r="BI721" s="1646"/>
      <c r="BJ721" s="1052" t="s">
        <v>68</v>
      </c>
      <c r="BK721" s="1052" t="s">
        <v>68</v>
      </c>
      <c r="BL721" s="1648"/>
      <c r="BM721" s="1649" t="s">
        <v>68</v>
      </c>
      <c r="BN721" s="1649" t="s">
        <v>68</v>
      </c>
      <c r="BO721" s="1649" t="s">
        <v>68</v>
      </c>
      <c r="BP721" s="1649" t="s">
        <v>68</v>
      </c>
      <c r="BQ721" s="1649" t="s">
        <v>68</v>
      </c>
      <c r="BR721" s="1649" t="s">
        <v>68</v>
      </c>
      <c r="BS721" s="1053" t="s">
        <v>68</v>
      </c>
      <c r="BT721" s="14"/>
      <c r="BU721" s="23"/>
      <c r="BV721" s="23"/>
      <c r="BW721" s="23"/>
      <c r="BX721" s="23"/>
      <c r="BY721" s="1433" t="s">
        <v>3989</v>
      </c>
      <c r="BZ721" s="987"/>
      <c r="CA721" s="582"/>
      <c r="CB721" s="582"/>
      <c r="CC721" s="582"/>
      <c r="CD721" s="582"/>
      <c r="CE721" s="582"/>
      <c r="CF721" s="582"/>
      <c r="CG721" s="582"/>
      <c r="CH721" s="16"/>
    </row>
    <row r="722" spans="2:86" ht="34.5" hidden="1" customHeight="1">
      <c r="B722" s="23"/>
      <c r="C722" s="23"/>
      <c r="D722" s="23"/>
      <c r="E722" s="1051"/>
      <c r="F722" s="1051"/>
      <c r="G722" s="1055"/>
      <c r="H722" s="365"/>
      <c r="I722" s="182">
        <v>2023</v>
      </c>
      <c r="J722" s="1678"/>
      <c r="K722" s="183"/>
      <c r="L722" s="191" t="s">
        <v>5437</v>
      </c>
      <c r="M722" s="185" t="s">
        <v>251</v>
      </c>
      <c r="N722" s="1401" t="s">
        <v>68</v>
      </c>
      <c r="O722" s="186" t="s">
        <v>68</v>
      </c>
      <c r="P722" s="2019"/>
      <c r="Q722" s="188"/>
      <c r="R722" s="189"/>
      <c r="S722" s="190"/>
      <c r="T722" s="111" t="s">
        <v>68</v>
      </c>
      <c r="U722" s="191" t="s">
        <v>68</v>
      </c>
      <c r="V722" s="1064"/>
      <c r="W722" s="1227"/>
      <c r="X722" s="1637"/>
      <c r="Y722" s="280"/>
      <c r="Z722" s="9"/>
      <c r="AA722" s="4"/>
      <c r="AB722" s="4"/>
      <c r="AC722" s="34"/>
      <c r="AD722" s="36" t="s">
        <v>68</v>
      </c>
      <c r="AE722" s="119" t="s">
        <v>68</v>
      </c>
      <c r="AF722" s="119" t="s">
        <v>68</v>
      </c>
      <c r="AG722" s="7" t="s">
        <v>68</v>
      </c>
      <c r="AH722" s="116" t="s">
        <v>68</v>
      </c>
      <c r="AI722" s="35" t="s">
        <v>68</v>
      </c>
      <c r="AJ722" s="1" t="s">
        <v>68</v>
      </c>
      <c r="AK722" s="5"/>
      <c r="AL722" s="1" t="s">
        <v>68</v>
      </c>
      <c r="AM722" s="5"/>
      <c r="AN722" s="1" t="s">
        <v>68</v>
      </c>
      <c r="AO722" s="5"/>
      <c r="AP722" s="306"/>
      <c r="AQ722" s="771"/>
      <c r="AR722" s="1040"/>
      <c r="AS722" s="1027"/>
      <c r="AT722" s="253"/>
      <c r="AU722" s="12"/>
      <c r="AV722" s="1695"/>
      <c r="AW722" s="1014"/>
      <c r="AX722" s="253"/>
      <c r="AY722" s="5"/>
      <c r="AZ722" s="5"/>
      <c r="BA722" s="12"/>
      <c r="BB722" s="253"/>
      <c r="BC722" s="558"/>
      <c r="BD722" s="5"/>
      <c r="BE722" s="5"/>
      <c r="BF722" s="5"/>
      <c r="BG722" s="66">
        <f t="shared" si="22"/>
        <v>0</v>
      </c>
      <c r="BH722" s="222"/>
      <c r="BI722" s="1646"/>
      <c r="BJ722" s="1052" t="s">
        <v>68</v>
      </c>
      <c r="BK722" s="1052" t="s">
        <v>68</v>
      </c>
      <c r="BL722" s="1648"/>
      <c r="BM722" s="1649" t="s">
        <v>68</v>
      </c>
      <c r="BN722" s="1649" t="s">
        <v>68</v>
      </c>
      <c r="BO722" s="1649" t="s">
        <v>68</v>
      </c>
      <c r="BP722" s="1649" t="s">
        <v>68</v>
      </c>
      <c r="BQ722" s="1649" t="s">
        <v>68</v>
      </c>
      <c r="BR722" s="1649" t="s">
        <v>68</v>
      </c>
      <c r="BS722" s="1053" t="s">
        <v>68</v>
      </c>
      <c r="BT722" s="14"/>
      <c r="BU722" s="23"/>
      <c r="BV722" s="23"/>
      <c r="BW722" s="23"/>
      <c r="BX722" s="23"/>
      <c r="BY722" s="1433" t="s">
        <v>3989</v>
      </c>
      <c r="BZ722" s="987"/>
      <c r="CA722" s="582"/>
      <c r="CB722" s="582"/>
      <c r="CC722" s="582"/>
      <c r="CD722" s="582"/>
      <c r="CE722" s="582"/>
      <c r="CF722" s="582"/>
      <c r="CG722" s="582"/>
      <c r="CH722" s="16"/>
    </row>
    <row r="723" spans="2:86" ht="34.5" hidden="1" customHeight="1">
      <c r="B723" s="23"/>
      <c r="C723" s="23"/>
      <c r="D723" s="23"/>
      <c r="E723" s="1051"/>
      <c r="F723" s="1051"/>
      <c r="G723" s="1055"/>
      <c r="H723" s="365"/>
      <c r="I723" s="182">
        <v>2023</v>
      </c>
      <c r="J723" s="1678"/>
      <c r="K723" s="183"/>
      <c r="L723" s="191" t="s">
        <v>5438</v>
      </c>
      <c r="M723" s="185" t="s">
        <v>251</v>
      </c>
      <c r="N723" s="1401" t="s">
        <v>68</v>
      </c>
      <c r="O723" s="186" t="s">
        <v>68</v>
      </c>
      <c r="P723" s="2019"/>
      <c r="Q723" s="188"/>
      <c r="R723" s="189"/>
      <c r="S723" s="190"/>
      <c r="T723" s="111" t="s">
        <v>68</v>
      </c>
      <c r="U723" s="191" t="s">
        <v>68</v>
      </c>
      <c r="V723" s="1064"/>
      <c r="W723" s="1227"/>
      <c r="X723" s="1637"/>
      <c r="Y723" s="280"/>
      <c r="Z723" s="9"/>
      <c r="AA723" s="4"/>
      <c r="AB723" s="4"/>
      <c r="AC723" s="34"/>
      <c r="AD723" s="36" t="s">
        <v>68</v>
      </c>
      <c r="AE723" s="119" t="s">
        <v>68</v>
      </c>
      <c r="AF723" s="119" t="s">
        <v>68</v>
      </c>
      <c r="AG723" s="7" t="s">
        <v>68</v>
      </c>
      <c r="AH723" s="116" t="s">
        <v>68</v>
      </c>
      <c r="AI723" s="35" t="s">
        <v>68</v>
      </c>
      <c r="AJ723" s="1" t="s">
        <v>68</v>
      </c>
      <c r="AK723" s="5"/>
      <c r="AL723" s="1" t="s">
        <v>68</v>
      </c>
      <c r="AM723" s="5"/>
      <c r="AN723" s="1" t="s">
        <v>68</v>
      </c>
      <c r="AO723" s="5"/>
      <c r="AP723" s="306"/>
      <c r="AQ723" s="771"/>
      <c r="AR723" s="1040"/>
      <c r="AS723" s="1027"/>
      <c r="AT723" s="253"/>
      <c r="AU723" s="12"/>
      <c r="AV723" s="1695"/>
      <c r="AW723" s="1014"/>
      <c r="AX723" s="253"/>
      <c r="AY723" s="5"/>
      <c r="AZ723" s="5"/>
      <c r="BA723" s="12"/>
      <c r="BB723" s="253"/>
      <c r="BC723" s="558"/>
      <c r="BD723" s="5"/>
      <c r="BE723" s="5"/>
      <c r="BF723" s="5"/>
      <c r="BG723" s="66">
        <f t="shared" si="22"/>
        <v>0</v>
      </c>
      <c r="BH723" s="222"/>
      <c r="BI723" s="1646"/>
      <c r="BJ723" s="1052" t="s">
        <v>68</v>
      </c>
      <c r="BK723" s="1052" t="s">
        <v>68</v>
      </c>
      <c r="BL723" s="1648"/>
      <c r="BM723" s="1649" t="s">
        <v>68</v>
      </c>
      <c r="BN723" s="1649" t="s">
        <v>68</v>
      </c>
      <c r="BO723" s="1649" t="s">
        <v>68</v>
      </c>
      <c r="BP723" s="1649" t="s">
        <v>68</v>
      </c>
      <c r="BQ723" s="1649" t="s">
        <v>68</v>
      </c>
      <c r="BR723" s="1649" t="s">
        <v>68</v>
      </c>
      <c r="BS723" s="1053" t="s">
        <v>68</v>
      </c>
      <c r="BT723" s="14"/>
      <c r="BU723" s="23"/>
      <c r="BV723" s="23"/>
      <c r="BW723" s="23"/>
      <c r="BX723" s="23"/>
      <c r="BY723" s="1433" t="s">
        <v>3989</v>
      </c>
      <c r="BZ723" s="987"/>
      <c r="CA723" s="582"/>
      <c r="CB723" s="582"/>
      <c r="CC723" s="582"/>
      <c r="CD723" s="582"/>
      <c r="CE723" s="582"/>
      <c r="CF723" s="582"/>
      <c r="CG723" s="582"/>
      <c r="CH723" s="16"/>
    </row>
    <row r="724" spans="2:86" ht="120.75" hidden="1" customHeight="1">
      <c r="B724" s="23"/>
      <c r="C724" s="23"/>
      <c r="D724" s="23"/>
      <c r="E724" s="1051">
        <v>45170</v>
      </c>
      <c r="F724" s="1051"/>
      <c r="G724" s="1055">
        <v>45279</v>
      </c>
      <c r="H724" s="365">
        <v>45138</v>
      </c>
      <c r="I724" s="182">
        <v>2023</v>
      </c>
      <c r="J724" s="1678"/>
      <c r="K724" s="183" t="s">
        <v>77</v>
      </c>
      <c r="L724" s="191" t="s">
        <v>5439</v>
      </c>
      <c r="M724" s="185" t="s">
        <v>79</v>
      </c>
      <c r="N724" s="494" t="s">
        <v>5555</v>
      </c>
      <c r="O724" s="186" t="s">
        <v>1979</v>
      </c>
      <c r="P724" s="661">
        <v>1211066.4099999999</v>
      </c>
      <c r="Q724" s="188">
        <v>44974</v>
      </c>
      <c r="R724" s="189">
        <v>44977</v>
      </c>
      <c r="S724" s="190">
        <v>45021</v>
      </c>
      <c r="T724" s="1148">
        <v>44971</v>
      </c>
      <c r="U724" s="1231" t="s">
        <v>5457</v>
      </c>
      <c r="V724" s="1232" t="s">
        <v>70</v>
      </c>
      <c r="W724" s="2030">
        <v>44967</v>
      </c>
      <c r="X724" s="1637" t="s">
        <v>5997</v>
      </c>
      <c r="Y724" s="266" t="s">
        <v>5453</v>
      </c>
      <c r="Z724" s="9">
        <v>44966</v>
      </c>
      <c r="AA724" s="4">
        <v>3021426.25</v>
      </c>
      <c r="AB724" s="4"/>
      <c r="AC724" s="34"/>
      <c r="AD724" s="36" t="s">
        <v>68</v>
      </c>
      <c r="AE724" s="119" t="s">
        <v>68</v>
      </c>
      <c r="AF724" s="119" t="s">
        <v>68</v>
      </c>
      <c r="AG724" s="7" t="s">
        <v>68</v>
      </c>
      <c r="AH724" s="116" t="s">
        <v>68</v>
      </c>
      <c r="AI724" s="180" t="s">
        <v>3965</v>
      </c>
      <c r="AJ724" s="71" t="s">
        <v>68</v>
      </c>
      <c r="AK724" s="255"/>
      <c r="AL724" s="71">
        <v>2784156</v>
      </c>
      <c r="AM724" s="255">
        <v>44974</v>
      </c>
      <c r="AN724" s="71">
        <v>2794037</v>
      </c>
      <c r="AO724" s="255">
        <v>45023</v>
      </c>
      <c r="AP724" s="601">
        <f>121106.64+121106.64</f>
        <v>242213.28</v>
      </c>
      <c r="AQ724" s="37">
        <v>0</v>
      </c>
      <c r="AR724" s="1040"/>
      <c r="AS724" s="1027"/>
      <c r="AT724" s="253"/>
      <c r="AU724" s="12"/>
      <c r="AV724" s="243" t="s">
        <v>68</v>
      </c>
      <c r="AW724" s="54" t="s">
        <v>68</v>
      </c>
      <c r="AX724" s="253">
        <v>45023</v>
      </c>
      <c r="AY724" s="5">
        <v>44977</v>
      </c>
      <c r="AZ724" s="5">
        <v>45021</v>
      </c>
      <c r="BA724" s="12">
        <v>45021</v>
      </c>
      <c r="BB724" s="253">
        <v>45026</v>
      </c>
      <c r="BC724" s="558" t="s">
        <v>5439</v>
      </c>
      <c r="BD724" s="5">
        <v>44977</v>
      </c>
      <c r="BE724" s="5">
        <v>45021</v>
      </c>
      <c r="BF724" s="5">
        <v>45021</v>
      </c>
      <c r="BG724" s="66">
        <v>1211066.4099999999</v>
      </c>
      <c r="BH724" s="1476">
        <v>45026</v>
      </c>
      <c r="BI724" s="75">
        <v>44976</v>
      </c>
      <c r="BJ724" s="76">
        <v>44977</v>
      </c>
      <c r="BK724" s="76">
        <v>45024</v>
      </c>
      <c r="BL724" s="1054"/>
      <c r="BM724" s="1054">
        <v>44977</v>
      </c>
      <c r="BN724" s="1054">
        <v>44977</v>
      </c>
      <c r="BO724" s="1054">
        <v>44977</v>
      </c>
      <c r="BP724" s="1054">
        <v>45021</v>
      </c>
      <c r="BQ724" s="1648"/>
      <c r="BR724" s="1649" t="s">
        <v>68</v>
      </c>
      <c r="BS724" s="1053" t="s">
        <v>68</v>
      </c>
      <c r="BT724" s="14"/>
      <c r="BU724" s="23" t="s">
        <v>551</v>
      </c>
      <c r="BV724" s="23" t="s">
        <v>1295</v>
      </c>
      <c r="BW724" s="23" t="s">
        <v>1295</v>
      </c>
      <c r="BX724" s="23" t="s">
        <v>1295</v>
      </c>
      <c r="BY724" s="1433" t="s">
        <v>3989</v>
      </c>
      <c r="BZ724" s="987"/>
      <c r="CA724" s="582"/>
      <c r="CB724" s="582"/>
      <c r="CC724" s="582"/>
      <c r="CD724" s="582"/>
      <c r="CE724" s="582"/>
      <c r="CF724" s="582"/>
      <c r="CG724" s="582"/>
      <c r="CH724" s="16"/>
    </row>
    <row r="725" spans="2:86" ht="120" hidden="1" customHeight="1">
      <c r="B725" s="23"/>
      <c r="C725" s="23"/>
      <c r="D725" s="23"/>
      <c r="E725" s="1051">
        <v>45170</v>
      </c>
      <c r="F725" s="1051"/>
      <c r="G725" s="1055">
        <v>45279</v>
      </c>
      <c r="H725" s="365">
        <v>45138</v>
      </c>
      <c r="I725" s="182">
        <v>2023</v>
      </c>
      <c r="J725" s="1678"/>
      <c r="K725" s="183" t="s">
        <v>77</v>
      </c>
      <c r="L725" s="191" t="s">
        <v>5440</v>
      </c>
      <c r="M725" s="185" t="s">
        <v>79</v>
      </c>
      <c r="N725" s="494" t="s">
        <v>5547</v>
      </c>
      <c r="O725" s="186" t="s">
        <v>1979</v>
      </c>
      <c r="P725" s="661">
        <v>1810170.95</v>
      </c>
      <c r="Q725" s="188">
        <v>45022</v>
      </c>
      <c r="R725" s="189">
        <v>45024</v>
      </c>
      <c r="S725" s="190">
        <v>45061</v>
      </c>
      <c r="T725" s="1148">
        <v>45021</v>
      </c>
      <c r="U725" s="1231" t="s">
        <v>739</v>
      </c>
      <c r="V725" s="1232" t="s">
        <v>70</v>
      </c>
      <c r="W725" s="2030">
        <v>45015</v>
      </c>
      <c r="X725" s="1637" t="s">
        <v>5997</v>
      </c>
      <c r="Y725" s="266" t="s">
        <v>5453</v>
      </c>
      <c r="Z725" s="9">
        <v>44966</v>
      </c>
      <c r="AA725" s="4">
        <v>3021426.25</v>
      </c>
      <c r="AB725" s="4"/>
      <c r="AC725" s="34"/>
      <c r="AD725" s="36" t="s">
        <v>68</v>
      </c>
      <c r="AE725" s="119" t="s">
        <v>68</v>
      </c>
      <c r="AF725" s="119" t="s">
        <v>68</v>
      </c>
      <c r="AG725" s="7" t="s">
        <v>68</v>
      </c>
      <c r="AH725" s="116" t="s">
        <v>68</v>
      </c>
      <c r="AI725" s="266" t="s">
        <v>3965</v>
      </c>
      <c r="AJ725" s="267" t="s">
        <v>68</v>
      </c>
      <c r="AK725" s="60"/>
      <c r="AL725" s="267">
        <v>2792986</v>
      </c>
      <c r="AM725" s="60">
        <v>45022</v>
      </c>
      <c r="AN725" s="71">
        <v>2827754</v>
      </c>
      <c r="AO725" s="255">
        <v>45064</v>
      </c>
      <c r="AP725" s="601">
        <f>181017.09+181017.09</f>
        <v>362034.18</v>
      </c>
      <c r="AQ725" s="37">
        <v>0</v>
      </c>
      <c r="AR725" s="1040"/>
      <c r="AS725" s="1027"/>
      <c r="AT725" s="253"/>
      <c r="AU725" s="12"/>
      <c r="AV725" s="243" t="s">
        <v>68</v>
      </c>
      <c r="AW725" s="54" t="s">
        <v>68</v>
      </c>
      <c r="AX725" s="253">
        <v>45062</v>
      </c>
      <c r="AY725" s="5">
        <v>45024</v>
      </c>
      <c r="AZ725" s="5">
        <v>45061</v>
      </c>
      <c r="BA725" s="12">
        <v>45061</v>
      </c>
      <c r="BB725" s="253">
        <v>45065</v>
      </c>
      <c r="BC725" s="591" t="s">
        <v>5998</v>
      </c>
      <c r="BD725" s="5">
        <v>45024</v>
      </c>
      <c r="BE725" s="5">
        <v>45061</v>
      </c>
      <c r="BF725" s="5">
        <v>45061</v>
      </c>
      <c r="BG725" s="66">
        <v>1884522.92</v>
      </c>
      <c r="BH725" s="1652">
        <v>45065</v>
      </c>
      <c r="BI725" s="1212">
        <v>44976</v>
      </c>
      <c r="BJ725" s="360">
        <v>45024</v>
      </c>
      <c r="BK725" s="360">
        <v>45024</v>
      </c>
      <c r="BL725" s="1648"/>
      <c r="BM725" s="1282">
        <v>45024</v>
      </c>
      <c r="BN725" s="1282">
        <v>45024</v>
      </c>
      <c r="BO725" s="1282">
        <v>45024</v>
      </c>
      <c r="BP725" s="1716">
        <v>45061</v>
      </c>
      <c r="BQ725" s="1648"/>
      <c r="BR725" s="1649" t="s">
        <v>68</v>
      </c>
      <c r="BS725" s="1053" t="s">
        <v>68</v>
      </c>
      <c r="BT725" s="14"/>
      <c r="BU725" s="23" t="s">
        <v>551</v>
      </c>
      <c r="BV725" s="23" t="s">
        <v>1295</v>
      </c>
      <c r="BW725" s="23" t="s">
        <v>1295</v>
      </c>
      <c r="BX725" s="23" t="s">
        <v>1295</v>
      </c>
      <c r="BY725" s="1433" t="s">
        <v>3989</v>
      </c>
      <c r="BZ725" s="987"/>
      <c r="CA725" s="582"/>
      <c r="CB725" s="582"/>
      <c r="CC725" s="582"/>
      <c r="CD725" s="582"/>
      <c r="CE725" s="582"/>
      <c r="CF725" s="582"/>
      <c r="CG725" s="582"/>
      <c r="CH725" s="16"/>
    </row>
    <row r="726" spans="2:86" ht="122.25" customHeight="1">
      <c r="B726" s="23"/>
      <c r="C726" s="23"/>
      <c r="D726" s="23"/>
      <c r="E726" s="1051">
        <v>45170</v>
      </c>
      <c r="F726" s="1051"/>
      <c r="G726" s="1055">
        <v>45279</v>
      </c>
      <c r="H726" s="365">
        <v>45138</v>
      </c>
      <c r="I726" s="182">
        <v>2023</v>
      </c>
      <c r="J726" s="1678"/>
      <c r="K726" s="183" t="s">
        <v>166</v>
      </c>
      <c r="L726" s="191" t="s">
        <v>5468</v>
      </c>
      <c r="M726" s="185" t="s">
        <v>3252</v>
      </c>
      <c r="N726" s="495" t="s">
        <v>5548</v>
      </c>
      <c r="O726" s="495" t="s">
        <v>1979</v>
      </c>
      <c r="P726" s="661">
        <v>4378573.75</v>
      </c>
      <c r="Q726" s="657">
        <v>44981</v>
      </c>
      <c r="R726" s="664">
        <v>44987</v>
      </c>
      <c r="S726" s="665">
        <v>45048</v>
      </c>
      <c r="T726" s="578" t="s">
        <v>68</v>
      </c>
      <c r="U726" s="739" t="s">
        <v>3510</v>
      </c>
      <c r="V726" s="716" t="s">
        <v>70</v>
      </c>
      <c r="W726" s="1997" t="s">
        <v>68</v>
      </c>
      <c r="X726" s="1638" t="s">
        <v>5997</v>
      </c>
      <c r="Y726" s="266" t="s">
        <v>5593</v>
      </c>
      <c r="Z726" s="9">
        <v>44966</v>
      </c>
      <c r="AA726" s="4">
        <v>4378573.75</v>
      </c>
      <c r="AB726" s="4"/>
      <c r="AC726" s="34"/>
      <c r="AD726" s="645">
        <v>44967</v>
      </c>
      <c r="AE726" s="646">
        <v>44970</v>
      </c>
      <c r="AF726" s="646">
        <v>44970</v>
      </c>
      <c r="AG726" s="647">
        <v>44977</v>
      </c>
      <c r="AH726" s="644">
        <v>44967</v>
      </c>
      <c r="AI726" s="180" t="s">
        <v>5999</v>
      </c>
      <c r="AJ726" s="71" t="s">
        <v>68</v>
      </c>
      <c r="AK726" s="255"/>
      <c r="AL726" s="71" t="s">
        <v>6000</v>
      </c>
      <c r="AM726" s="255">
        <v>45079</v>
      </c>
      <c r="AN726" s="71" t="s">
        <v>6001</v>
      </c>
      <c r="AO726" s="5">
        <v>45065</v>
      </c>
      <c r="AP726" s="601">
        <f>437857.37+437857.37</f>
        <v>875714.74</v>
      </c>
      <c r="AQ726" s="37">
        <v>0</v>
      </c>
      <c r="AR726" s="1032">
        <f>1909156.68+1847311.19+954401.11</f>
        <v>4710868.9800000004</v>
      </c>
      <c r="AS726" s="1027"/>
      <c r="AT726" s="253"/>
      <c r="AU726" s="12"/>
      <c r="AV726" s="243" t="s">
        <v>68</v>
      </c>
      <c r="AW726" s="54" t="s">
        <v>68</v>
      </c>
      <c r="AX726" s="78">
        <v>45050</v>
      </c>
      <c r="AY726" s="255">
        <v>44987</v>
      </c>
      <c r="AZ726" s="255">
        <v>45048</v>
      </c>
      <c r="BA726" s="245">
        <v>45048</v>
      </c>
      <c r="BB726" s="78">
        <v>45051</v>
      </c>
      <c r="BC726" s="349" t="s">
        <v>5468</v>
      </c>
      <c r="BD726" s="5">
        <v>44987</v>
      </c>
      <c r="BE726" s="5">
        <v>45048</v>
      </c>
      <c r="BF726" s="5">
        <v>45048</v>
      </c>
      <c r="BG726" s="72">
        <v>4710868.97</v>
      </c>
      <c r="BH726" s="415">
        <v>45051</v>
      </c>
      <c r="BI726" s="1212">
        <v>44985</v>
      </c>
      <c r="BJ726" s="360">
        <v>44986</v>
      </c>
      <c r="BK726" s="360">
        <v>44986</v>
      </c>
      <c r="BL726" s="1282" t="s">
        <v>68</v>
      </c>
      <c r="BM726" s="1054" t="s">
        <v>6002</v>
      </c>
      <c r="BN726" s="1054" t="s">
        <v>6002</v>
      </c>
      <c r="BO726" s="1054" t="s">
        <v>6002</v>
      </c>
      <c r="BP726" s="1555" t="s">
        <v>74</v>
      </c>
      <c r="BQ726" s="1555" t="s">
        <v>74</v>
      </c>
      <c r="BR726" s="1054"/>
      <c r="BS726" s="372"/>
      <c r="BT726" s="14"/>
      <c r="BU726" s="23" t="s">
        <v>551</v>
      </c>
      <c r="BV726" s="23" t="s">
        <v>1295</v>
      </c>
      <c r="BW726" s="23" t="s">
        <v>1295</v>
      </c>
      <c r="BX726" s="23" t="s">
        <v>1295</v>
      </c>
      <c r="BY726" s="1433" t="s">
        <v>3989</v>
      </c>
      <c r="BZ726" s="987"/>
      <c r="CA726" s="582"/>
      <c r="CB726" s="582"/>
      <c r="CC726" s="582"/>
      <c r="CD726" s="582"/>
      <c r="CE726" s="582"/>
      <c r="CF726" s="582"/>
      <c r="CG726" s="582"/>
      <c r="CH726" s="16"/>
    </row>
    <row r="727" spans="2:86" ht="124.5" hidden="1" customHeight="1">
      <c r="B727" s="23"/>
      <c r="C727" s="23"/>
      <c r="D727" s="23"/>
      <c r="E727" s="1051">
        <v>45170</v>
      </c>
      <c r="F727" s="1051"/>
      <c r="G727" s="1055">
        <v>45279</v>
      </c>
      <c r="H727" s="365">
        <v>45087</v>
      </c>
      <c r="I727" s="182">
        <v>2023</v>
      </c>
      <c r="J727" s="1678"/>
      <c r="K727" s="183" t="s">
        <v>77</v>
      </c>
      <c r="L727" s="191" t="s">
        <v>5441</v>
      </c>
      <c r="M727" s="185" t="s">
        <v>79</v>
      </c>
      <c r="N727" s="2021" t="s">
        <v>5463</v>
      </c>
      <c r="O727" s="186" t="s">
        <v>2574</v>
      </c>
      <c r="P727" s="1376">
        <v>1196296.56</v>
      </c>
      <c r="Q727" s="598">
        <v>45036</v>
      </c>
      <c r="R727" s="1146">
        <v>45048</v>
      </c>
      <c r="S727" s="1147">
        <v>45079</v>
      </c>
      <c r="T727" s="1148">
        <v>45034</v>
      </c>
      <c r="U727" s="1231" t="s">
        <v>4921</v>
      </c>
      <c r="V727" s="1232" t="s">
        <v>449</v>
      </c>
      <c r="W727" s="1997">
        <v>45048</v>
      </c>
      <c r="X727" s="1638" t="s">
        <v>5997</v>
      </c>
      <c r="Y727" s="266" t="s">
        <v>6003</v>
      </c>
      <c r="Z727" s="9">
        <v>44966</v>
      </c>
      <c r="AA727" s="4">
        <v>3845696.93</v>
      </c>
      <c r="AB727" s="4"/>
      <c r="AC727" s="34"/>
      <c r="AD727" s="36" t="s">
        <v>68</v>
      </c>
      <c r="AE727" s="119" t="s">
        <v>68</v>
      </c>
      <c r="AF727" s="119" t="s">
        <v>68</v>
      </c>
      <c r="AG727" s="7" t="s">
        <v>68</v>
      </c>
      <c r="AH727" s="116" t="s">
        <v>68</v>
      </c>
      <c r="AI727" s="266" t="s">
        <v>3810</v>
      </c>
      <c r="AJ727" s="267">
        <v>237656</v>
      </c>
      <c r="AK727" s="60">
        <v>45048</v>
      </c>
      <c r="AL727" s="267">
        <v>237655</v>
      </c>
      <c r="AM727" s="60">
        <v>45048</v>
      </c>
      <c r="AN727" s="267">
        <v>237657</v>
      </c>
      <c r="AO727" s="60">
        <v>45111</v>
      </c>
      <c r="AP727" s="729">
        <f>358888.97+119629.65+106333.09</f>
        <v>584851.71</v>
      </c>
      <c r="AQ727" s="37">
        <v>0</v>
      </c>
      <c r="AR727" s="1040"/>
      <c r="AS727" s="1027"/>
      <c r="AT727" s="253"/>
      <c r="AU727" s="12"/>
      <c r="AV727" s="243" t="s">
        <v>68</v>
      </c>
      <c r="AW727" s="54" t="s">
        <v>68</v>
      </c>
      <c r="AX727" s="247">
        <v>45112</v>
      </c>
      <c r="AY727" s="60">
        <v>45054</v>
      </c>
      <c r="AZ727" s="60">
        <v>45111</v>
      </c>
      <c r="BA727" s="61"/>
      <c r="BB727" s="247">
        <v>45113</v>
      </c>
      <c r="BC727" s="1942" t="s">
        <v>6004</v>
      </c>
      <c r="BD727" s="5">
        <v>45054</v>
      </c>
      <c r="BE727" s="5">
        <v>45079</v>
      </c>
      <c r="BF727" s="5">
        <v>45111</v>
      </c>
      <c r="BG727" s="66">
        <v>990606.67</v>
      </c>
      <c r="BH727" s="688">
        <v>45114</v>
      </c>
      <c r="BI727" s="1212">
        <v>45044</v>
      </c>
      <c r="BJ727" s="360">
        <v>45048</v>
      </c>
      <c r="BK727" s="360">
        <v>45048</v>
      </c>
      <c r="BL727" s="1716"/>
      <c r="BM727" s="1282">
        <v>45048</v>
      </c>
      <c r="BN727" s="1282">
        <v>45048</v>
      </c>
      <c r="BO727" s="1282">
        <v>45048</v>
      </c>
      <c r="BP727" s="1282">
        <v>45110</v>
      </c>
      <c r="BQ727" s="1716"/>
      <c r="BR727" s="1054"/>
      <c r="BS727" s="372"/>
      <c r="BT727" s="14"/>
      <c r="BU727" s="23"/>
      <c r="BV727" s="23"/>
      <c r="BW727" s="23"/>
      <c r="BX727" s="23"/>
      <c r="BY727" s="1433" t="s">
        <v>3989</v>
      </c>
      <c r="BZ727" s="987"/>
      <c r="CA727" s="582"/>
      <c r="CB727" s="582"/>
      <c r="CC727" s="582"/>
      <c r="CD727" s="582"/>
      <c r="CE727" s="582"/>
      <c r="CF727" s="582"/>
      <c r="CG727" s="582"/>
      <c r="CH727" s="16"/>
    </row>
    <row r="728" spans="2:86" ht="114" hidden="1" customHeight="1">
      <c r="B728" s="23"/>
      <c r="C728" s="23"/>
      <c r="D728" s="23"/>
      <c r="E728" s="1051">
        <v>45170</v>
      </c>
      <c r="F728" s="1051"/>
      <c r="G728" s="1055">
        <v>45279</v>
      </c>
      <c r="H728" s="365">
        <v>45087</v>
      </c>
      <c r="I728" s="182">
        <v>2023</v>
      </c>
      <c r="J728" s="1678"/>
      <c r="K728" s="183" t="s">
        <v>77</v>
      </c>
      <c r="L728" s="191" t="s">
        <v>5442</v>
      </c>
      <c r="M728" s="185" t="s">
        <v>79</v>
      </c>
      <c r="N728" s="494" t="s">
        <v>5454</v>
      </c>
      <c r="O728" s="186" t="s">
        <v>2574</v>
      </c>
      <c r="P728" s="1376">
        <v>544139.78</v>
      </c>
      <c r="Q728" s="598">
        <v>45044</v>
      </c>
      <c r="R728" s="1146">
        <v>45054</v>
      </c>
      <c r="S728" s="1147">
        <v>45086</v>
      </c>
      <c r="T728" s="1148">
        <v>45035</v>
      </c>
      <c r="U728" s="1231" t="s">
        <v>5455</v>
      </c>
      <c r="V728" s="1232" t="s">
        <v>449</v>
      </c>
      <c r="W728" s="1997">
        <v>45048</v>
      </c>
      <c r="X728" s="1638" t="s">
        <v>5997</v>
      </c>
      <c r="Y728" s="266" t="s">
        <v>5456</v>
      </c>
      <c r="Z728" s="9">
        <v>44995</v>
      </c>
      <c r="AA728" s="4">
        <v>2068000</v>
      </c>
      <c r="AB728" s="4"/>
      <c r="AC728" s="34"/>
      <c r="AD728" s="36" t="s">
        <v>68</v>
      </c>
      <c r="AE728" s="119" t="s">
        <v>68</v>
      </c>
      <c r="AF728" s="119" t="s">
        <v>68</v>
      </c>
      <c r="AG728" s="7" t="s">
        <v>68</v>
      </c>
      <c r="AH728" s="116" t="s">
        <v>68</v>
      </c>
      <c r="AI728" s="266" t="s">
        <v>1289</v>
      </c>
      <c r="AJ728" s="267">
        <v>237690</v>
      </c>
      <c r="AK728" s="60">
        <v>45054</v>
      </c>
      <c r="AL728" s="267">
        <v>237691</v>
      </c>
      <c r="AM728" s="60">
        <v>45054</v>
      </c>
      <c r="AN728" s="267">
        <v>237711</v>
      </c>
      <c r="AO728" s="5">
        <v>45086</v>
      </c>
      <c r="AP728" s="729">
        <f>163241.93+54413.97+54413.97</f>
        <v>272069.87</v>
      </c>
      <c r="AQ728" s="37">
        <v>0</v>
      </c>
      <c r="AR728" s="1040"/>
      <c r="AS728" s="1027"/>
      <c r="AT728" s="253"/>
      <c r="AU728" s="12"/>
      <c r="AV728" s="243" t="s">
        <v>68</v>
      </c>
      <c r="AW728" s="54" t="s">
        <v>68</v>
      </c>
      <c r="AX728" s="247">
        <v>45175</v>
      </c>
      <c r="AY728" s="5">
        <v>45054</v>
      </c>
      <c r="AZ728" s="5">
        <v>45245</v>
      </c>
      <c r="BA728" s="12">
        <v>45175</v>
      </c>
      <c r="BB728" s="247">
        <v>45175</v>
      </c>
      <c r="BC728" s="1005" t="s">
        <v>5442</v>
      </c>
      <c r="BD728" s="60">
        <v>45054</v>
      </c>
      <c r="BE728" s="60">
        <v>45245</v>
      </c>
      <c r="BF728" s="60">
        <v>45175</v>
      </c>
      <c r="BG728" s="1222">
        <v>609769.68000000005</v>
      </c>
      <c r="BH728" s="688">
        <v>45175</v>
      </c>
      <c r="BI728" s="1212">
        <v>45050</v>
      </c>
      <c r="BJ728" s="259" t="s">
        <v>74</v>
      </c>
      <c r="BK728" s="259" t="s">
        <v>74</v>
      </c>
      <c r="BL728" s="1282" t="s">
        <v>68</v>
      </c>
      <c r="BM728" s="1555" t="s">
        <v>74</v>
      </c>
      <c r="BN728" s="1555" t="s">
        <v>74</v>
      </c>
      <c r="BO728" s="1555" t="s">
        <v>74</v>
      </c>
      <c r="BP728" s="1555" t="s">
        <v>74</v>
      </c>
      <c r="BQ728" s="1555" t="s">
        <v>74</v>
      </c>
      <c r="BR728" s="1054"/>
      <c r="BS728" s="372"/>
      <c r="BT728" s="14"/>
      <c r="BU728" s="23"/>
      <c r="BV728" s="23" t="s">
        <v>1295</v>
      </c>
      <c r="BW728" s="23" t="s">
        <v>1295</v>
      </c>
      <c r="BX728" s="23" t="s">
        <v>1295</v>
      </c>
      <c r="BY728" s="1433" t="s">
        <v>3989</v>
      </c>
      <c r="BZ728" s="987"/>
      <c r="CA728" s="582"/>
      <c r="CB728" s="582"/>
      <c r="CC728" s="582"/>
      <c r="CD728" s="582"/>
      <c r="CE728" s="582"/>
      <c r="CF728" s="582"/>
      <c r="CG728" s="582"/>
      <c r="CH728" s="16"/>
    </row>
    <row r="729" spans="2:86" ht="141" hidden="1" customHeight="1">
      <c r="B729" s="23"/>
      <c r="C729" s="23"/>
      <c r="D729" s="23"/>
      <c r="E729" s="1051">
        <v>45170</v>
      </c>
      <c r="F729" s="1051"/>
      <c r="G729" s="1055">
        <v>45279</v>
      </c>
      <c r="H729" s="365">
        <v>45138</v>
      </c>
      <c r="I729" s="182">
        <v>2023</v>
      </c>
      <c r="J729" s="1678"/>
      <c r="K729" s="183" t="s">
        <v>166</v>
      </c>
      <c r="L729" s="191" t="s">
        <v>5443</v>
      </c>
      <c r="M729" s="185" t="s">
        <v>79</v>
      </c>
      <c r="N729" s="494" t="s">
        <v>5464</v>
      </c>
      <c r="O729" s="186" t="s">
        <v>1979</v>
      </c>
      <c r="P729" s="1376">
        <v>584259.75</v>
      </c>
      <c r="Q729" s="598">
        <v>45042</v>
      </c>
      <c r="R729" s="1146">
        <v>45048</v>
      </c>
      <c r="S729" s="1147">
        <v>45168</v>
      </c>
      <c r="T729" s="1148">
        <v>45040</v>
      </c>
      <c r="U729" s="1231" t="s">
        <v>4499</v>
      </c>
      <c r="V729" s="1232" t="s">
        <v>213</v>
      </c>
      <c r="W729" s="1997" t="s">
        <v>68</v>
      </c>
      <c r="X729" s="1638" t="s">
        <v>68</v>
      </c>
      <c r="Y729" s="266" t="s">
        <v>6005</v>
      </c>
      <c r="Z729" s="9">
        <v>44966</v>
      </c>
      <c r="AA729" s="4">
        <v>1000000</v>
      </c>
      <c r="AB729" s="4"/>
      <c r="AC729" s="34"/>
      <c r="AD729" s="36" t="s">
        <v>68</v>
      </c>
      <c r="AE729" s="119" t="s">
        <v>68</v>
      </c>
      <c r="AF729" s="119" t="s">
        <v>68</v>
      </c>
      <c r="AG729" s="7" t="s">
        <v>68</v>
      </c>
      <c r="AH729" s="116" t="s">
        <v>68</v>
      </c>
      <c r="AI729" s="180" t="s">
        <v>6034</v>
      </c>
      <c r="AJ729" s="239"/>
      <c r="AK729" s="5"/>
      <c r="AL729" s="139" t="s">
        <v>74</v>
      </c>
      <c r="AM729" s="5"/>
      <c r="AN729" s="71" t="s">
        <v>6035</v>
      </c>
      <c r="AO729" s="5">
        <v>45135</v>
      </c>
      <c r="AP729" s="590">
        <f>77410.84</f>
        <v>77410.84</v>
      </c>
      <c r="AQ729" s="37">
        <v>0</v>
      </c>
      <c r="AR729" s="1040"/>
      <c r="AS729" s="1027"/>
      <c r="AT729" s="253"/>
      <c r="AU729" s="12"/>
      <c r="AV729" s="243" t="s">
        <v>68</v>
      </c>
      <c r="AW729" s="54" t="s">
        <v>68</v>
      </c>
      <c r="AX729" s="253">
        <v>45136</v>
      </c>
      <c r="AY729" s="5">
        <v>45048</v>
      </c>
      <c r="AZ729" s="5">
        <v>45168</v>
      </c>
      <c r="BA729" s="12">
        <v>45135</v>
      </c>
      <c r="BB729" s="253">
        <v>45136</v>
      </c>
      <c r="BC729" s="591" t="s">
        <v>5443</v>
      </c>
      <c r="BD729" s="5">
        <v>45048</v>
      </c>
      <c r="BE729" s="5">
        <v>45168</v>
      </c>
      <c r="BF729" s="5">
        <v>45135</v>
      </c>
      <c r="BG729" s="66">
        <v>774108.4</v>
      </c>
      <c r="BH729" s="2064">
        <v>45136</v>
      </c>
      <c r="BI729" s="1212">
        <v>45044</v>
      </c>
      <c r="BJ729" s="793" t="s">
        <v>74</v>
      </c>
      <c r="BK729" s="360">
        <v>45044</v>
      </c>
      <c r="BL729" s="1480" t="s">
        <v>74</v>
      </c>
      <c r="BM729" s="1480" t="s">
        <v>74</v>
      </c>
      <c r="BN729" s="1480" t="s">
        <v>74</v>
      </c>
      <c r="BO729" s="1480" t="s">
        <v>74</v>
      </c>
      <c r="BP729" s="1480" t="s">
        <v>74</v>
      </c>
      <c r="BQ729" s="1480" t="s">
        <v>74</v>
      </c>
      <c r="BR729" s="2080" t="s">
        <v>6006</v>
      </c>
      <c r="BS729" s="1053"/>
      <c r="BT729" s="14"/>
      <c r="BU729" s="23"/>
      <c r="BV729" s="23" t="s">
        <v>1295</v>
      </c>
      <c r="BW729" s="23" t="s">
        <v>1295</v>
      </c>
      <c r="BX729" s="23" t="s">
        <v>1295</v>
      </c>
      <c r="BY729" s="1433" t="s">
        <v>3989</v>
      </c>
      <c r="BZ729" s="987"/>
      <c r="CA729" s="582"/>
      <c r="CB729" s="582"/>
      <c r="CC729" s="582"/>
      <c r="CD729" s="582"/>
      <c r="CE729" s="582"/>
      <c r="CF729" s="582"/>
      <c r="CG729" s="582"/>
      <c r="CH729" s="16"/>
    </row>
    <row r="730" spans="2:86" ht="98.25" hidden="1" customHeight="1">
      <c r="B730" s="23"/>
      <c r="C730" s="23"/>
      <c r="D730" s="23"/>
      <c r="E730" s="1051">
        <v>45170</v>
      </c>
      <c r="F730" s="1051"/>
      <c r="G730" s="1055">
        <v>45302</v>
      </c>
      <c r="H730" s="365">
        <v>45302</v>
      </c>
      <c r="I730" s="182">
        <v>2023</v>
      </c>
      <c r="J730" s="1678"/>
      <c r="K730" s="183" t="s">
        <v>166</v>
      </c>
      <c r="L730" s="191" t="s">
        <v>5444</v>
      </c>
      <c r="M730" s="185" t="s">
        <v>79</v>
      </c>
      <c r="N730" s="494" t="s">
        <v>5549</v>
      </c>
      <c r="O730" s="494" t="s">
        <v>1979</v>
      </c>
      <c r="P730" s="1376">
        <v>387303.55</v>
      </c>
      <c r="Q730" s="598">
        <v>45056</v>
      </c>
      <c r="R730" s="1146">
        <v>45061</v>
      </c>
      <c r="S730" s="1147">
        <v>45090</v>
      </c>
      <c r="T730" s="1148">
        <v>45055</v>
      </c>
      <c r="U730" s="1231" t="s">
        <v>5457</v>
      </c>
      <c r="V730" s="716" t="s">
        <v>70</v>
      </c>
      <c r="W730" s="1998" t="s">
        <v>68</v>
      </c>
      <c r="X730" s="1629" t="s">
        <v>6007</v>
      </c>
      <c r="Y730" s="180" t="s">
        <v>6037</v>
      </c>
      <c r="Z730" s="9">
        <v>44995</v>
      </c>
      <c r="AA730" s="4">
        <v>387303.55</v>
      </c>
      <c r="AB730" s="4"/>
      <c r="AC730" s="34"/>
      <c r="AD730" s="36" t="s">
        <v>68</v>
      </c>
      <c r="AE730" s="119" t="s">
        <v>68</v>
      </c>
      <c r="AF730" s="119" t="s">
        <v>68</v>
      </c>
      <c r="AG730" s="7" t="s">
        <v>68</v>
      </c>
      <c r="AH730" s="116" t="s">
        <v>68</v>
      </c>
      <c r="AI730" s="180" t="s">
        <v>6038</v>
      </c>
      <c r="AJ730" s="71" t="s">
        <v>68</v>
      </c>
      <c r="AK730" s="255"/>
      <c r="AL730" s="71">
        <v>2794490</v>
      </c>
      <c r="AM730" s="255">
        <v>45056</v>
      </c>
      <c r="AN730" s="71">
        <v>2826782</v>
      </c>
      <c r="AO730" s="255">
        <v>45092</v>
      </c>
      <c r="AP730" s="601">
        <f>38730.35*2</f>
        <v>77460.7</v>
      </c>
      <c r="AQ730" s="37">
        <v>0</v>
      </c>
      <c r="AR730" s="1032">
        <f>299013.58+84656.63</f>
        <v>383670.21</v>
      </c>
      <c r="AS730" s="1027"/>
      <c r="AT730" s="253"/>
      <c r="AU730" s="12"/>
      <c r="AV730" s="243" t="s">
        <v>68</v>
      </c>
      <c r="AW730" s="54" t="s">
        <v>68</v>
      </c>
      <c r="AX730" s="78">
        <v>45092</v>
      </c>
      <c r="AY730" s="255">
        <v>45061</v>
      </c>
      <c r="AZ730" s="255">
        <v>45090</v>
      </c>
      <c r="BA730" s="245">
        <v>45090</v>
      </c>
      <c r="BB730" s="78">
        <v>45093</v>
      </c>
      <c r="BC730" s="349" t="s">
        <v>6039</v>
      </c>
      <c r="BD730" s="255">
        <v>45061</v>
      </c>
      <c r="BE730" s="255">
        <v>45090</v>
      </c>
      <c r="BF730" s="255">
        <v>45090</v>
      </c>
      <c r="BG730" s="72">
        <v>383670.21</v>
      </c>
      <c r="BH730" s="685">
        <v>45093</v>
      </c>
      <c r="BI730" s="372">
        <v>45058</v>
      </c>
      <c r="BJ730" s="793" t="s">
        <v>74</v>
      </c>
      <c r="BK730" s="793" t="s">
        <v>74</v>
      </c>
      <c r="BL730" s="1480" t="s">
        <v>74</v>
      </c>
      <c r="BM730" s="1480" t="s">
        <v>74</v>
      </c>
      <c r="BN730" s="1480" t="s">
        <v>74</v>
      </c>
      <c r="BO730" s="1480" t="s">
        <v>74</v>
      </c>
      <c r="BP730" s="1480" t="s">
        <v>74</v>
      </c>
      <c r="BQ730" s="1480" t="s">
        <v>74</v>
      </c>
      <c r="BR730" s="1649"/>
      <c r="BS730" s="1053"/>
      <c r="BT730" s="14"/>
      <c r="BU730" s="23" t="s">
        <v>551</v>
      </c>
      <c r="BV730" s="23" t="s">
        <v>551</v>
      </c>
      <c r="BW730" s="23" t="s">
        <v>551</v>
      </c>
      <c r="BX730" s="23" t="s">
        <v>551</v>
      </c>
      <c r="BY730" s="1433" t="s">
        <v>3989</v>
      </c>
      <c r="BZ730" s="987"/>
      <c r="CA730" s="582"/>
      <c r="CB730" s="582"/>
      <c r="CC730" s="582"/>
      <c r="CD730" s="582"/>
      <c r="CE730" s="582"/>
      <c r="CF730" s="582"/>
      <c r="CG730" s="582"/>
      <c r="CH730" s="16"/>
    </row>
    <row r="731" spans="2:86" ht="79.5" hidden="1" customHeight="1">
      <c r="B731" s="23"/>
      <c r="C731" s="23"/>
      <c r="D731" s="23"/>
      <c r="E731" s="1051">
        <v>45170</v>
      </c>
      <c r="F731" s="1051"/>
      <c r="G731" s="1055">
        <v>45279</v>
      </c>
      <c r="H731" s="365">
        <v>45138</v>
      </c>
      <c r="I731" s="182">
        <v>2023</v>
      </c>
      <c r="J731" s="1678"/>
      <c r="K731" s="183" t="s">
        <v>166</v>
      </c>
      <c r="L731" s="191" t="s">
        <v>5445</v>
      </c>
      <c r="M731" s="185" t="s">
        <v>79</v>
      </c>
      <c r="N731" s="494" t="s">
        <v>5469</v>
      </c>
      <c r="O731" s="494" t="s">
        <v>1979</v>
      </c>
      <c r="P731" s="1376">
        <v>374761.47</v>
      </c>
      <c r="Q731" s="598">
        <v>45056</v>
      </c>
      <c r="R731" s="1146">
        <v>45061</v>
      </c>
      <c r="S731" s="1147">
        <v>45086</v>
      </c>
      <c r="T731" s="1148">
        <v>45055</v>
      </c>
      <c r="U731" s="1231" t="s">
        <v>4499</v>
      </c>
      <c r="V731" s="1232" t="s">
        <v>449</v>
      </c>
      <c r="W731" s="1998" t="s">
        <v>68</v>
      </c>
      <c r="X731" s="1629" t="s">
        <v>68</v>
      </c>
      <c r="Y731" s="180" t="s">
        <v>6040</v>
      </c>
      <c r="Z731" s="9">
        <v>44995</v>
      </c>
      <c r="AA731" s="4">
        <v>587456.75</v>
      </c>
      <c r="AB731" s="4"/>
      <c r="AC731" s="34"/>
      <c r="AD731" s="36" t="s">
        <v>68</v>
      </c>
      <c r="AE731" s="119" t="s">
        <v>68</v>
      </c>
      <c r="AF731" s="119" t="s">
        <v>68</v>
      </c>
      <c r="AG731" s="7" t="s">
        <v>68</v>
      </c>
      <c r="AH731" s="116" t="s">
        <v>68</v>
      </c>
      <c r="AI731" s="180" t="s">
        <v>6034</v>
      </c>
      <c r="AJ731" s="71" t="s">
        <v>68</v>
      </c>
      <c r="AK731" s="255"/>
      <c r="AL731" s="202" t="s">
        <v>6041</v>
      </c>
      <c r="AM731" s="255">
        <v>45061</v>
      </c>
      <c r="AN731" s="71">
        <v>2778249</v>
      </c>
      <c r="AO731" s="255">
        <v>45076</v>
      </c>
      <c r="AP731" s="601">
        <f>37476.14+49075.11</f>
        <v>86551.25</v>
      </c>
      <c r="AQ731" s="37">
        <v>0</v>
      </c>
      <c r="AR731" s="1032">
        <v>490751.18</v>
      </c>
      <c r="AS731" s="1027"/>
      <c r="AT731" s="253"/>
      <c r="AU731" s="12"/>
      <c r="AV731" s="243" t="s">
        <v>68</v>
      </c>
      <c r="AW731" s="54" t="s">
        <v>68</v>
      </c>
      <c r="AX731" s="78">
        <v>45075</v>
      </c>
      <c r="AY731" s="255">
        <v>45061</v>
      </c>
      <c r="AZ731" s="255">
        <v>45086</v>
      </c>
      <c r="BA731" s="245">
        <v>45075</v>
      </c>
      <c r="BB731" s="78">
        <v>45075</v>
      </c>
      <c r="BC731" s="349" t="s">
        <v>5445</v>
      </c>
      <c r="BD731" s="255">
        <v>45061</v>
      </c>
      <c r="BE731" s="255">
        <v>45086</v>
      </c>
      <c r="BF731" s="255">
        <v>45075</v>
      </c>
      <c r="BG731" s="72">
        <f>AQ731+AR731</f>
        <v>490751.18</v>
      </c>
      <c r="BH731" s="685">
        <v>45075</v>
      </c>
      <c r="BI731" s="372">
        <v>45058</v>
      </c>
      <c r="BJ731" s="793" t="s">
        <v>74</v>
      </c>
      <c r="BK731" s="793" t="s">
        <v>74</v>
      </c>
      <c r="BL731" s="1480"/>
      <c r="BM731" s="1480" t="s">
        <v>74</v>
      </c>
      <c r="BN731" s="1480" t="s">
        <v>74</v>
      </c>
      <c r="BO731" s="1480" t="s">
        <v>74</v>
      </c>
      <c r="BP731" s="1480" t="s">
        <v>74</v>
      </c>
      <c r="BQ731" s="1480" t="s">
        <v>74</v>
      </c>
      <c r="BR731" s="1649"/>
      <c r="BS731" s="1053"/>
      <c r="BT731" s="14"/>
      <c r="BU731" s="23"/>
      <c r="BV731" s="23"/>
      <c r="BW731" s="23"/>
      <c r="BX731" s="23"/>
      <c r="BY731" s="1433" t="s">
        <v>3989</v>
      </c>
      <c r="BZ731" s="987"/>
      <c r="CA731" s="582"/>
      <c r="CB731" s="582"/>
      <c r="CC731" s="582"/>
      <c r="CD731" s="582"/>
      <c r="CE731" s="582"/>
      <c r="CF731" s="582"/>
      <c r="CG731" s="582"/>
      <c r="CH731" s="16"/>
    </row>
    <row r="732" spans="2:86" ht="97.5" hidden="1" customHeight="1">
      <c r="B732" s="23"/>
      <c r="C732" s="23"/>
      <c r="D732" s="23"/>
      <c r="E732" s="1051">
        <v>45170</v>
      </c>
      <c r="F732" s="1051"/>
      <c r="G732" s="1055">
        <v>45302</v>
      </c>
      <c r="H732" s="365">
        <v>44937</v>
      </c>
      <c r="I732" s="182">
        <v>2023</v>
      </c>
      <c r="J732" s="1678"/>
      <c r="K732" s="183" t="s">
        <v>166</v>
      </c>
      <c r="L732" s="191" t="s">
        <v>5446</v>
      </c>
      <c r="M732" s="185" t="s">
        <v>79</v>
      </c>
      <c r="N732" s="494" t="s">
        <v>5550</v>
      </c>
      <c r="O732" s="2065" t="s">
        <v>1979</v>
      </c>
      <c r="P732" s="1376">
        <v>835320.31999999995</v>
      </c>
      <c r="Q732" s="598">
        <v>45056</v>
      </c>
      <c r="R732" s="1146">
        <v>45061</v>
      </c>
      <c r="S732" s="1147">
        <v>45090</v>
      </c>
      <c r="T732" s="1148">
        <v>45055</v>
      </c>
      <c r="U732" s="1231" t="s">
        <v>5457</v>
      </c>
      <c r="V732" s="716" t="s">
        <v>70</v>
      </c>
      <c r="W732" s="1998" t="s">
        <v>68</v>
      </c>
      <c r="X732" s="1629" t="s">
        <v>5997</v>
      </c>
      <c r="Y732" s="180" t="s">
        <v>6043</v>
      </c>
      <c r="Z732" s="9">
        <v>44995</v>
      </c>
      <c r="AA732" s="4">
        <v>835320.31999999995</v>
      </c>
      <c r="AB732" s="4"/>
      <c r="AC732" s="34"/>
      <c r="AD732" s="36" t="s">
        <v>68</v>
      </c>
      <c r="AE732" s="119" t="s">
        <v>68</v>
      </c>
      <c r="AF732" s="119" t="s">
        <v>68</v>
      </c>
      <c r="AG732" s="7" t="s">
        <v>68</v>
      </c>
      <c r="AH732" s="116" t="s">
        <v>68</v>
      </c>
      <c r="AI732" s="280"/>
      <c r="AJ732" s="239"/>
      <c r="AK732" s="5"/>
      <c r="AL732" s="239"/>
      <c r="AM732" s="5"/>
      <c r="AN732" s="239"/>
      <c r="AO732" s="5"/>
      <c r="AP732" s="590"/>
      <c r="AQ732" s="37">
        <v>0</v>
      </c>
      <c r="AR732" s="1040"/>
      <c r="AS732" s="1027"/>
      <c r="AT732" s="253"/>
      <c r="AU732" s="12"/>
      <c r="AV732" s="243" t="s">
        <v>68</v>
      </c>
      <c r="AW732" s="54" t="s">
        <v>68</v>
      </c>
      <c r="AX732" s="253"/>
      <c r="AY732" s="5"/>
      <c r="AZ732" s="5"/>
      <c r="BA732" s="12"/>
      <c r="BB732" s="253"/>
      <c r="BC732" s="558"/>
      <c r="BD732" s="5"/>
      <c r="BE732" s="5"/>
      <c r="BF732" s="5"/>
      <c r="BG732" s="66">
        <f>AQ732+AR732</f>
        <v>0</v>
      </c>
      <c r="BH732" s="2064"/>
      <c r="BI732" s="1646"/>
      <c r="BJ732" s="793" t="s">
        <v>74</v>
      </c>
      <c r="BK732" s="793" t="s">
        <v>74</v>
      </c>
      <c r="BL732" s="1480"/>
      <c r="BM732" s="1480" t="s">
        <v>74</v>
      </c>
      <c r="BN732" s="1480" t="s">
        <v>74</v>
      </c>
      <c r="BO732" s="1480" t="s">
        <v>74</v>
      </c>
      <c r="BP732" s="1480" t="s">
        <v>74</v>
      </c>
      <c r="BQ732" s="1480" t="s">
        <v>74</v>
      </c>
      <c r="BR732" s="1649"/>
      <c r="BS732" s="1053"/>
      <c r="BT732" s="14"/>
      <c r="BU732" s="23"/>
      <c r="BV732" s="23"/>
      <c r="BW732" s="23"/>
      <c r="BX732" s="23"/>
      <c r="BY732" s="1433" t="s">
        <v>3989</v>
      </c>
      <c r="BZ732" s="987"/>
      <c r="CA732" s="582"/>
      <c r="CB732" s="582"/>
      <c r="CC732" s="582"/>
      <c r="CD732" s="582"/>
      <c r="CE732" s="582"/>
      <c r="CF732" s="582"/>
      <c r="CG732" s="582"/>
      <c r="CH732" s="16"/>
    </row>
    <row r="733" spans="2:86" ht="76.5" hidden="1" customHeight="1">
      <c r="B733" s="23"/>
      <c r="C733" s="23"/>
      <c r="D733" s="23"/>
      <c r="E733" s="1051">
        <v>45170</v>
      </c>
      <c r="F733" s="1051"/>
      <c r="G733" s="1055">
        <v>45183</v>
      </c>
      <c r="H733" s="365">
        <v>45138</v>
      </c>
      <c r="I733" s="182">
        <v>2023</v>
      </c>
      <c r="J733" s="1678"/>
      <c r="K733" s="183" t="s">
        <v>166</v>
      </c>
      <c r="L733" s="191" t="s">
        <v>5448</v>
      </c>
      <c r="M733" s="185" t="s">
        <v>79</v>
      </c>
      <c r="N733" s="495" t="s">
        <v>5470</v>
      </c>
      <c r="O733" s="495" t="s">
        <v>4877</v>
      </c>
      <c r="P733" s="661">
        <v>168796.66</v>
      </c>
      <c r="Q733" s="657">
        <v>45059</v>
      </c>
      <c r="R733" s="664">
        <v>45075</v>
      </c>
      <c r="S733" s="665">
        <v>45094</v>
      </c>
      <c r="T733" s="578">
        <v>45061</v>
      </c>
      <c r="U733" s="739" t="s">
        <v>4499</v>
      </c>
      <c r="V733" s="716" t="s">
        <v>449</v>
      </c>
      <c r="W733" s="1998" t="s">
        <v>68</v>
      </c>
      <c r="X733" s="1629" t="s">
        <v>68</v>
      </c>
      <c r="Y733" s="180" t="s">
        <v>5841</v>
      </c>
      <c r="Z733" s="9">
        <v>44995</v>
      </c>
      <c r="AA733" s="4">
        <v>245535.85</v>
      </c>
      <c r="AB733" s="4"/>
      <c r="AC733" s="34"/>
      <c r="AD733" s="36" t="s">
        <v>68</v>
      </c>
      <c r="AE733" s="119" t="s">
        <v>68</v>
      </c>
      <c r="AF733" s="119" t="s">
        <v>68</v>
      </c>
      <c r="AG733" s="7" t="s">
        <v>68</v>
      </c>
      <c r="AH733" s="116" t="s">
        <v>68</v>
      </c>
      <c r="AI733" s="180" t="s">
        <v>876</v>
      </c>
      <c r="AJ733" s="71" t="s">
        <v>68</v>
      </c>
      <c r="AK733" s="255"/>
      <c r="AL733" s="202" t="s">
        <v>6044</v>
      </c>
      <c r="AM733" s="255">
        <v>45075</v>
      </c>
      <c r="AN733" s="71" t="s">
        <v>6045</v>
      </c>
      <c r="AO733" s="255">
        <v>45085</v>
      </c>
      <c r="AP733" s="601">
        <f>16879.66+25415.8</f>
        <v>42295.46</v>
      </c>
      <c r="AQ733" s="74">
        <v>0</v>
      </c>
      <c r="AR733" s="1032">
        <f>254158.03</f>
        <v>254158.03</v>
      </c>
      <c r="AS733" s="1027"/>
      <c r="AT733" s="253"/>
      <c r="AU733" s="12"/>
      <c r="AV733" s="243" t="s">
        <v>68</v>
      </c>
      <c r="AW733" s="54" t="s">
        <v>68</v>
      </c>
      <c r="AX733" s="78">
        <v>45085</v>
      </c>
      <c r="AY733" s="255">
        <v>45075</v>
      </c>
      <c r="AZ733" s="255">
        <v>45094</v>
      </c>
      <c r="BA733" s="245">
        <v>45085</v>
      </c>
      <c r="BB733" s="78">
        <v>45085</v>
      </c>
      <c r="BC733" s="349" t="s">
        <v>5448</v>
      </c>
      <c r="BD733" s="255">
        <v>45075</v>
      </c>
      <c r="BE733" s="255">
        <v>45094</v>
      </c>
      <c r="BF733" s="255">
        <v>45085</v>
      </c>
      <c r="BG733" s="72">
        <f>AQ733+AR733</f>
        <v>254158.03</v>
      </c>
      <c r="BH733" s="685">
        <v>45085</v>
      </c>
      <c r="BI733" s="372">
        <v>45072</v>
      </c>
      <c r="BJ733" s="793" t="s">
        <v>74</v>
      </c>
      <c r="BK733" s="793" t="s">
        <v>74</v>
      </c>
      <c r="BL733" s="1480"/>
      <c r="BM733" s="1480" t="s">
        <v>74</v>
      </c>
      <c r="BN733" s="1480" t="s">
        <v>74</v>
      </c>
      <c r="BO733" s="1480" t="s">
        <v>74</v>
      </c>
      <c r="BP733" s="1480" t="s">
        <v>74</v>
      </c>
      <c r="BQ733" s="1480" t="s">
        <v>74</v>
      </c>
      <c r="BR733" s="1649"/>
      <c r="BS733" s="1053"/>
      <c r="BT733" s="14"/>
      <c r="BU733" s="23"/>
      <c r="BV733" s="23"/>
      <c r="BW733" s="23"/>
      <c r="BX733" s="23"/>
      <c r="BY733" s="1433" t="s">
        <v>3989</v>
      </c>
      <c r="BZ733" s="987"/>
      <c r="CA733" s="582"/>
      <c r="CB733" s="582"/>
      <c r="CC733" s="582"/>
      <c r="CD733" s="582"/>
      <c r="CE733" s="582"/>
      <c r="CF733" s="582"/>
      <c r="CG733" s="582"/>
      <c r="CH733" s="16"/>
    </row>
    <row r="734" spans="2:86" ht="95.25" hidden="1" customHeight="1">
      <c r="B734" s="23"/>
      <c r="C734" s="23"/>
      <c r="D734" s="23"/>
      <c r="E734" s="1051"/>
      <c r="F734" s="1051"/>
      <c r="G734" s="1055">
        <v>45202</v>
      </c>
      <c r="H734" s="365">
        <v>45302</v>
      </c>
      <c r="I734" s="182">
        <v>2023</v>
      </c>
      <c r="J734" s="1678"/>
      <c r="K734" s="183" t="s">
        <v>166</v>
      </c>
      <c r="L734" s="191" t="s">
        <v>5449</v>
      </c>
      <c r="M734" s="185" t="s">
        <v>79</v>
      </c>
      <c r="N734" s="495" t="s">
        <v>5551</v>
      </c>
      <c r="O734" s="186" t="s">
        <v>1979</v>
      </c>
      <c r="P734" s="661">
        <v>254339.78</v>
      </c>
      <c r="Q734" s="188">
        <v>45141</v>
      </c>
      <c r="R734" s="189">
        <v>45187</v>
      </c>
      <c r="S734" s="190">
        <v>45219</v>
      </c>
      <c r="T734" s="578">
        <v>45071</v>
      </c>
      <c r="U734" s="739" t="s">
        <v>5824</v>
      </c>
      <c r="V734" s="716" t="s">
        <v>70</v>
      </c>
      <c r="W734" s="1997" t="s">
        <v>68</v>
      </c>
      <c r="X734" s="1638" t="s">
        <v>5997</v>
      </c>
      <c r="Y734" s="266" t="s">
        <v>5830</v>
      </c>
      <c r="Z734" s="9">
        <v>44995</v>
      </c>
      <c r="AA734" s="4">
        <v>254339.78</v>
      </c>
      <c r="AB734" s="4"/>
      <c r="AC734" s="34"/>
      <c r="AD734" s="36" t="s">
        <v>68</v>
      </c>
      <c r="AE734" s="119" t="s">
        <v>68</v>
      </c>
      <c r="AF734" s="119" t="s">
        <v>68</v>
      </c>
      <c r="AG734" s="7" t="s">
        <v>68</v>
      </c>
      <c r="AH734" s="116" t="s">
        <v>68</v>
      </c>
      <c r="AI734" s="180" t="s">
        <v>5831</v>
      </c>
      <c r="AJ734" s="71">
        <v>2822737</v>
      </c>
      <c r="AK734" s="255">
        <v>45176</v>
      </c>
      <c r="AL734" s="71">
        <v>2818634</v>
      </c>
      <c r="AM734" s="5">
        <v>45176</v>
      </c>
      <c r="AN734" s="267">
        <v>2841302</v>
      </c>
      <c r="AO734" s="60">
        <v>45238</v>
      </c>
      <c r="AP734" s="729">
        <f>76301.93+25433.97+34131.85</f>
        <v>135867.75</v>
      </c>
      <c r="AQ734" s="37">
        <v>0</v>
      </c>
      <c r="AR734" s="1038">
        <f>(190714.73*1.16)+(103525.35*1.16)</f>
        <v>341318.49280000001</v>
      </c>
      <c r="AS734" s="1027"/>
      <c r="AT734" s="253"/>
      <c r="AU734" s="12"/>
      <c r="AV734" s="243" t="s">
        <v>68</v>
      </c>
      <c r="AW734" s="54" t="s">
        <v>68</v>
      </c>
      <c r="AX734" s="247">
        <v>45222</v>
      </c>
      <c r="AY734" s="60">
        <v>45187</v>
      </c>
      <c r="AZ734" s="60">
        <v>45219</v>
      </c>
      <c r="BA734" s="61">
        <v>45219</v>
      </c>
      <c r="BB734" s="247">
        <v>45238</v>
      </c>
      <c r="BC734" s="1005" t="s">
        <v>5449</v>
      </c>
      <c r="BD734" s="60">
        <v>45187</v>
      </c>
      <c r="BE734" s="60">
        <v>45219</v>
      </c>
      <c r="BF734" s="60">
        <v>45219</v>
      </c>
      <c r="BG734" s="1222">
        <f>AQ734+AR734</f>
        <v>341318.49280000001</v>
      </c>
      <c r="BH734" s="688">
        <v>45238</v>
      </c>
      <c r="BI734" s="1212">
        <v>45079</v>
      </c>
      <c r="BJ734" s="360">
        <v>45161</v>
      </c>
      <c r="BK734" s="360">
        <v>45161</v>
      </c>
      <c r="BL734" s="1282"/>
      <c r="BM734" s="1282">
        <v>45161</v>
      </c>
      <c r="BN734" s="1282">
        <v>45161</v>
      </c>
      <c r="BO734" s="1282">
        <v>45161</v>
      </c>
      <c r="BP734" s="1480" t="s">
        <v>74</v>
      </c>
      <c r="BQ734" s="1480" t="s">
        <v>74</v>
      </c>
      <c r="BR734" s="1054" t="s">
        <v>6047</v>
      </c>
      <c r="BS734" s="2084" t="s">
        <v>6048</v>
      </c>
      <c r="BT734" s="14"/>
      <c r="BU734" s="23"/>
      <c r="BV734" s="23"/>
      <c r="BW734" s="23"/>
      <c r="BX734" s="23"/>
      <c r="BY734" s="1433" t="s">
        <v>3989</v>
      </c>
      <c r="BZ734" s="987"/>
      <c r="CA734" s="582"/>
      <c r="CB734" s="582"/>
      <c r="CC734" s="582"/>
      <c r="CD734" s="582"/>
      <c r="CE734" s="582"/>
      <c r="CF734" s="582"/>
      <c r="CG734" s="582"/>
      <c r="CH734" s="16"/>
    </row>
    <row r="735" spans="2:86" ht="105.75" hidden="1" customHeight="1">
      <c r="B735" s="23"/>
      <c r="C735" s="23"/>
      <c r="D735" s="23"/>
      <c r="E735" s="1051"/>
      <c r="F735" s="1051"/>
      <c r="G735" s="1055">
        <v>45202</v>
      </c>
      <c r="H735" s="365">
        <v>45302</v>
      </c>
      <c r="I735" s="182">
        <v>2023</v>
      </c>
      <c r="J735" s="1678"/>
      <c r="K735" s="183" t="s">
        <v>77</v>
      </c>
      <c r="L735" s="191" t="s">
        <v>5450</v>
      </c>
      <c r="M735" s="185" t="s">
        <v>79</v>
      </c>
      <c r="N735" s="495" t="s">
        <v>5552</v>
      </c>
      <c r="O735" s="495" t="s">
        <v>1979</v>
      </c>
      <c r="P735" s="661">
        <v>553159.56000000006</v>
      </c>
      <c r="Q735" s="657">
        <v>45141</v>
      </c>
      <c r="R735" s="664">
        <v>45148</v>
      </c>
      <c r="S735" s="665">
        <v>45170</v>
      </c>
      <c r="T735" s="578">
        <v>45140</v>
      </c>
      <c r="U735" s="739" t="s">
        <v>5824</v>
      </c>
      <c r="V735" s="716" t="s">
        <v>70</v>
      </c>
      <c r="W735" s="1997">
        <v>45139</v>
      </c>
      <c r="X735" s="1638" t="s">
        <v>5997</v>
      </c>
      <c r="Y735" s="180" t="s">
        <v>5832</v>
      </c>
      <c r="Z735" s="9">
        <v>44995</v>
      </c>
      <c r="AA735" s="4">
        <v>553159.56000000006</v>
      </c>
      <c r="AB735" s="4"/>
      <c r="AC735" s="34"/>
      <c r="AD735" s="36" t="s">
        <v>68</v>
      </c>
      <c r="AE735" s="119" t="s">
        <v>68</v>
      </c>
      <c r="AF735" s="119" t="s">
        <v>68</v>
      </c>
      <c r="AG735" s="7" t="s">
        <v>68</v>
      </c>
      <c r="AH735" s="116" t="s">
        <v>68</v>
      </c>
      <c r="AI735" s="180" t="s">
        <v>3965</v>
      </c>
      <c r="AJ735" s="71">
        <v>2818637</v>
      </c>
      <c r="AK735" s="255">
        <v>45148</v>
      </c>
      <c r="AL735" s="71">
        <v>2818643</v>
      </c>
      <c r="AM735" s="5">
        <v>45148</v>
      </c>
      <c r="AN735" s="267">
        <v>2841290</v>
      </c>
      <c r="AO735" s="60">
        <v>45204</v>
      </c>
      <c r="AP735" s="729">
        <f>165947.85+55315.95+70762.05</f>
        <v>292025.84999999998</v>
      </c>
      <c r="AQ735" s="37">
        <v>0</v>
      </c>
      <c r="AR735" s="1040"/>
      <c r="AS735" s="1027"/>
      <c r="AT735" s="253"/>
      <c r="AU735" s="12"/>
      <c r="AV735" s="243" t="s">
        <v>68</v>
      </c>
      <c r="AW735" s="54" t="s">
        <v>68</v>
      </c>
      <c r="AX735" s="247">
        <v>45184</v>
      </c>
      <c r="AY735" s="60">
        <v>45148</v>
      </c>
      <c r="AZ735" s="60">
        <v>45183</v>
      </c>
      <c r="BA735" s="61">
        <v>45183</v>
      </c>
      <c r="BB735" s="247">
        <v>45187</v>
      </c>
      <c r="BC735" s="591" t="s">
        <v>6050</v>
      </c>
      <c r="BD735" s="5">
        <v>45148</v>
      </c>
      <c r="BE735" s="5">
        <v>45161</v>
      </c>
      <c r="BF735" s="5">
        <v>45183</v>
      </c>
      <c r="BG735" s="66">
        <v>707620.5</v>
      </c>
      <c r="BH735" s="688">
        <v>45187</v>
      </c>
      <c r="BI735" s="1212">
        <v>45079</v>
      </c>
      <c r="BJ735" s="360">
        <v>45161</v>
      </c>
      <c r="BK735" s="360">
        <v>45161</v>
      </c>
      <c r="BL735" s="1716"/>
      <c r="BM735" s="1282">
        <v>45161</v>
      </c>
      <c r="BN735" s="1282">
        <v>45161</v>
      </c>
      <c r="BO735" s="1282">
        <v>45161</v>
      </c>
      <c r="BP735" s="1555" t="s">
        <v>74</v>
      </c>
      <c r="BQ735" s="1555" t="s">
        <v>74</v>
      </c>
      <c r="BR735" s="2080" t="s">
        <v>6051</v>
      </c>
      <c r="BS735" s="1053"/>
      <c r="BT735" s="14"/>
      <c r="BU735" s="23"/>
      <c r="BV735" s="23"/>
      <c r="BW735" s="23"/>
      <c r="BX735" s="23"/>
      <c r="BY735" s="1433" t="s">
        <v>3989</v>
      </c>
      <c r="BZ735" s="987"/>
      <c r="CA735" s="582"/>
      <c r="CB735" s="582"/>
      <c r="CC735" s="582"/>
      <c r="CD735" s="582"/>
      <c r="CE735" s="582"/>
      <c r="CF735" s="582"/>
      <c r="CG735" s="582"/>
      <c r="CH735" s="16"/>
    </row>
    <row r="736" spans="2:86" ht="81" hidden="1" customHeight="1">
      <c r="B736" s="23"/>
      <c r="C736" s="23"/>
      <c r="D736" s="23"/>
      <c r="E736" s="1051">
        <v>45170</v>
      </c>
      <c r="F736" s="1051"/>
      <c r="G736" s="1055">
        <v>45202</v>
      </c>
      <c r="H736" s="365">
        <v>45203</v>
      </c>
      <c r="I736" s="182">
        <v>2023</v>
      </c>
      <c r="J736" s="1678"/>
      <c r="K736" s="183" t="s">
        <v>77</v>
      </c>
      <c r="L736" s="191" t="s">
        <v>5447</v>
      </c>
      <c r="M736" s="185" t="s">
        <v>79</v>
      </c>
      <c r="N736" s="495" t="s">
        <v>5833</v>
      </c>
      <c r="O736" s="495" t="s">
        <v>2574</v>
      </c>
      <c r="P736" s="661">
        <v>724743.66</v>
      </c>
      <c r="Q736" s="657">
        <v>45105</v>
      </c>
      <c r="R736" s="664">
        <v>45110</v>
      </c>
      <c r="S736" s="665">
        <v>45141</v>
      </c>
      <c r="T736" s="578">
        <v>45104</v>
      </c>
      <c r="U736" s="739" t="s">
        <v>5457</v>
      </c>
      <c r="V736" s="716" t="s">
        <v>70</v>
      </c>
      <c r="W736" s="1997">
        <v>45103</v>
      </c>
      <c r="X736" s="1638" t="s">
        <v>5997</v>
      </c>
      <c r="Y736" s="266" t="s">
        <v>5829</v>
      </c>
      <c r="Z736" s="9">
        <v>45103</v>
      </c>
      <c r="AA736" s="4">
        <v>724743.66</v>
      </c>
      <c r="AB736" s="4"/>
      <c r="AC736" s="34"/>
      <c r="AD736" s="36" t="s">
        <v>68</v>
      </c>
      <c r="AE736" s="119" t="s">
        <v>68</v>
      </c>
      <c r="AF736" s="119" t="s">
        <v>68</v>
      </c>
      <c r="AG736" s="7" t="s">
        <v>68</v>
      </c>
      <c r="AH736" s="116" t="s">
        <v>68</v>
      </c>
      <c r="AI736" s="180" t="s">
        <v>3965</v>
      </c>
      <c r="AJ736" s="71">
        <v>2807983</v>
      </c>
      <c r="AK736" s="255">
        <v>45105</v>
      </c>
      <c r="AL736" s="71">
        <v>2807987</v>
      </c>
      <c r="AM736" s="255">
        <v>45105</v>
      </c>
      <c r="AN736" s="71">
        <v>2822527</v>
      </c>
      <c r="AO736" s="255">
        <v>45140</v>
      </c>
      <c r="AP736" s="601">
        <f>217423.09+72474.36+72474.36</f>
        <v>362371.81</v>
      </c>
      <c r="AQ736" s="37">
        <v>0</v>
      </c>
      <c r="AR736" s="1032">
        <v>683930.4</v>
      </c>
      <c r="AS736" s="1027"/>
      <c r="AT736" s="253"/>
      <c r="AU736" s="12"/>
      <c r="AV736" s="243" t="s">
        <v>68</v>
      </c>
      <c r="AW736" s="54" t="s">
        <v>68</v>
      </c>
      <c r="AX736" s="78">
        <v>45143</v>
      </c>
      <c r="AY736" s="255">
        <v>45110</v>
      </c>
      <c r="AZ736" s="255">
        <v>45141</v>
      </c>
      <c r="BA736" s="245">
        <v>45141</v>
      </c>
      <c r="BB736" s="78">
        <v>45146</v>
      </c>
      <c r="BC736" s="591" t="s">
        <v>5834</v>
      </c>
      <c r="BD736" s="5">
        <v>45110</v>
      </c>
      <c r="BE736" s="5">
        <v>45141</v>
      </c>
      <c r="BF736" s="5">
        <v>45141</v>
      </c>
      <c r="BG736" s="72">
        <f>AQ736+AR736</f>
        <v>683930.4</v>
      </c>
      <c r="BH736" s="685">
        <v>45146</v>
      </c>
      <c r="BI736" s="372">
        <v>45107</v>
      </c>
      <c r="BJ736" s="793" t="s">
        <v>74</v>
      </c>
      <c r="BK736" s="793" t="s">
        <v>74</v>
      </c>
      <c r="BL736" s="1648"/>
      <c r="BM736" s="1480" t="s">
        <v>74</v>
      </c>
      <c r="BN736" s="1480" t="s">
        <v>74</v>
      </c>
      <c r="BO736" s="1480" t="s">
        <v>74</v>
      </c>
      <c r="BP736" s="1480" t="s">
        <v>74</v>
      </c>
      <c r="BQ736" s="1480" t="s">
        <v>74</v>
      </c>
      <c r="BR736" s="1054">
        <v>45124</v>
      </c>
      <c r="BS736" s="1053"/>
      <c r="BT736" s="14"/>
      <c r="BU736" s="23"/>
      <c r="BV736" s="23"/>
      <c r="BW736" s="23"/>
      <c r="BX736" s="23"/>
      <c r="BY736" s="1433" t="s">
        <v>3989</v>
      </c>
      <c r="BZ736" s="987"/>
      <c r="CA736" s="582"/>
      <c r="CB736" s="582"/>
      <c r="CC736" s="582"/>
      <c r="CD736" s="582"/>
      <c r="CE736" s="582"/>
      <c r="CF736" s="582"/>
      <c r="CG736" s="582"/>
      <c r="CH736" s="16"/>
    </row>
    <row r="737" spans="2:86" ht="71.25" hidden="1" customHeight="1">
      <c r="B737" s="23"/>
      <c r="C737" s="23"/>
      <c r="D737" s="23"/>
      <c r="E737" s="1051">
        <v>45170</v>
      </c>
      <c r="F737" s="1051"/>
      <c r="G737" s="1055">
        <v>45202</v>
      </c>
      <c r="H737" s="365">
        <v>45203</v>
      </c>
      <c r="I737" s="182">
        <v>2023</v>
      </c>
      <c r="J737" s="1678"/>
      <c r="K737" s="183" t="s">
        <v>77</v>
      </c>
      <c r="L737" s="1231" t="s">
        <v>5451</v>
      </c>
      <c r="M737" s="185" t="s">
        <v>79</v>
      </c>
      <c r="N737" s="495" t="s">
        <v>5835</v>
      </c>
      <c r="O737" s="495" t="s">
        <v>2574</v>
      </c>
      <c r="P737" s="661">
        <v>543995.47</v>
      </c>
      <c r="Q737" s="188">
        <v>45105</v>
      </c>
      <c r="R737" s="189">
        <v>45110</v>
      </c>
      <c r="S737" s="190">
        <v>45141</v>
      </c>
      <c r="T737" s="578">
        <v>45104</v>
      </c>
      <c r="U737" s="739" t="s">
        <v>5457</v>
      </c>
      <c r="V737" s="716" t="s">
        <v>70</v>
      </c>
      <c r="W737" s="1997">
        <v>45134</v>
      </c>
      <c r="X737" s="1638" t="s">
        <v>5997</v>
      </c>
      <c r="Y737" s="266" t="s">
        <v>5836</v>
      </c>
      <c r="Z737" s="9">
        <v>45103</v>
      </c>
      <c r="AA737" s="4">
        <v>543995.47</v>
      </c>
      <c r="AB737" s="4"/>
      <c r="AC737" s="34"/>
      <c r="AD737" s="36" t="s">
        <v>68</v>
      </c>
      <c r="AE737" s="119" t="s">
        <v>68</v>
      </c>
      <c r="AF737" s="119" t="s">
        <v>68</v>
      </c>
      <c r="AG737" s="7" t="s">
        <v>68</v>
      </c>
      <c r="AH737" s="116" t="s">
        <v>68</v>
      </c>
      <c r="AI737" s="180" t="s">
        <v>3965</v>
      </c>
      <c r="AJ737" s="71">
        <v>2829470</v>
      </c>
      <c r="AK737" s="255">
        <v>45140</v>
      </c>
      <c r="AL737" s="71">
        <v>2829470</v>
      </c>
      <c r="AM737" s="5">
        <v>45140</v>
      </c>
      <c r="AN737" s="267">
        <v>2832990</v>
      </c>
      <c r="AO737" s="60">
        <v>45174</v>
      </c>
      <c r="AP737" s="729">
        <f>54399.54+54399.54+54399.54</f>
        <v>163198.62</v>
      </c>
      <c r="AQ737" s="37">
        <v>0</v>
      </c>
      <c r="AR737" s="1038">
        <f>576591.7+289.18</f>
        <v>576880.88</v>
      </c>
      <c r="AS737" s="1027"/>
      <c r="AT737" s="253"/>
      <c r="AU737" s="12"/>
      <c r="AV737" s="243" t="s">
        <v>68</v>
      </c>
      <c r="AW737" s="54" t="s">
        <v>68</v>
      </c>
      <c r="AX737" s="247">
        <v>45174</v>
      </c>
      <c r="AY737" s="60">
        <v>45142</v>
      </c>
      <c r="AZ737" s="60">
        <v>45173</v>
      </c>
      <c r="BA737" s="61">
        <v>45173</v>
      </c>
      <c r="BB737" s="247">
        <v>45175</v>
      </c>
      <c r="BC737" s="591" t="s">
        <v>6053</v>
      </c>
      <c r="BD737" s="5">
        <v>45142</v>
      </c>
      <c r="BE737" s="5">
        <v>45173</v>
      </c>
      <c r="BF737" s="5">
        <v>45173</v>
      </c>
      <c r="BG737" s="66">
        <f>AQ737+AR737</f>
        <v>576880.88</v>
      </c>
      <c r="BH737" s="2064">
        <v>45175</v>
      </c>
      <c r="BI737" s="1476">
        <v>45107</v>
      </c>
      <c r="BJ737" s="793" t="s">
        <v>74</v>
      </c>
      <c r="BK737" s="793" t="s">
        <v>74</v>
      </c>
      <c r="BL737" s="1648"/>
      <c r="BM737" s="1480" t="s">
        <v>74</v>
      </c>
      <c r="BN737" s="1480" t="s">
        <v>74</v>
      </c>
      <c r="BO737" s="1480" t="s">
        <v>74</v>
      </c>
      <c r="BP737" s="1480" t="s">
        <v>74</v>
      </c>
      <c r="BQ737" s="1480" t="s">
        <v>74</v>
      </c>
      <c r="BR737" s="1054" t="s">
        <v>6054</v>
      </c>
      <c r="BS737" s="1053" t="s">
        <v>6055</v>
      </c>
      <c r="BT737" s="14"/>
      <c r="BU737" s="23"/>
      <c r="BV737" s="23"/>
      <c r="BW737" s="23"/>
      <c r="BX737" s="23"/>
      <c r="BY737" s="1433" t="s">
        <v>3989</v>
      </c>
      <c r="BZ737" s="987" t="s">
        <v>5837</v>
      </c>
      <c r="CA737" s="582"/>
      <c r="CB737" s="582"/>
      <c r="CC737" s="582"/>
      <c r="CD737" s="582"/>
      <c r="CE737" s="582"/>
      <c r="CF737" s="582"/>
      <c r="CG737" s="582"/>
      <c r="CH737" s="16"/>
    </row>
    <row r="738" spans="2:86" ht="93.75" hidden="1" customHeight="1">
      <c r="B738" s="23"/>
      <c r="C738" s="23"/>
      <c r="D738" s="23"/>
      <c r="E738" s="1051">
        <v>45170</v>
      </c>
      <c r="F738" s="1051"/>
      <c r="G738" s="1055">
        <v>45202</v>
      </c>
      <c r="H738" s="365">
        <v>45203</v>
      </c>
      <c r="I738" s="182">
        <v>2023</v>
      </c>
      <c r="J738" s="1678"/>
      <c r="K738" s="183" t="s">
        <v>166</v>
      </c>
      <c r="L738" s="191" t="s">
        <v>5452</v>
      </c>
      <c r="M738" s="185" t="s">
        <v>79</v>
      </c>
      <c r="N738" s="495" t="s">
        <v>5558</v>
      </c>
      <c r="O738" s="495" t="s">
        <v>5559</v>
      </c>
      <c r="P738" s="661">
        <v>703136.32</v>
      </c>
      <c r="Q738" s="657">
        <v>45105</v>
      </c>
      <c r="R738" s="664">
        <v>45113</v>
      </c>
      <c r="S738" s="665">
        <v>45168</v>
      </c>
      <c r="T738" s="578">
        <v>45104</v>
      </c>
      <c r="U738" s="739" t="s">
        <v>1319</v>
      </c>
      <c r="V738" s="716" t="s">
        <v>70</v>
      </c>
      <c r="W738" s="1997" t="s">
        <v>68</v>
      </c>
      <c r="X738" s="1638" t="s">
        <v>68</v>
      </c>
      <c r="Y738" s="180" t="s">
        <v>5838</v>
      </c>
      <c r="Z738" s="9">
        <v>45103</v>
      </c>
      <c r="AA738" s="4">
        <v>703136.32</v>
      </c>
      <c r="AB738" s="4"/>
      <c r="AC738" s="34"/>
      <c r="AD738" s="36" t="s">
        <v>68</v>
      </c>
      <c r="AE738" s="119" t="s">
        <v>68</v>
      </c>
      <c r="AF738" s="119" t="s">
        <v>68</v>
      </c>
      <c r="AG738" s="7" t="s">
        <v>68</v>
      </c>
      <c r="AH738" s="116" t="s">
        <v>68</v>
      </c>
      <c r="AI738" s="266" t="s">
        <v>1294</v>
      </c>
      <c r="AJ738" s="426" t="s">
        <v>6056</v>
      </c>
      <c r="AK738" s="60">
        <v>45105</v>
      </c>
      <c r="AL738" s="426" t="s">
        <v>6057</v>
      </c>
      <c r="AM738" s="60">
        <v>45105</v>
      </c>
      <c r="AN738" s="267" t="s">
        <v>6058</v>
      </c>
      <c r="AO738" s="60">
        <v>45168</v>
      </c>
      <c r="AP738" s="729">
        <f>210940.9+70313.63+87126.27</f>
        <v>368380.80000000005</v>
      </c>
      <c r="AQ738" s="37">
        <v>0</v>
      </c>
      <c r="AR738" s="1032">
        <f>(139745.74*1.16)+(207299.39*1.16)+(404043.38*1.16)</f>
        <v>871262.6716</v>
      </c>
      <c r="AS738" s="1027"/>
      <c r="AT738" s="253"/>
      <c r="AU738" s="12"/>
      <c r="AV738" s="243" t="s">
        <v>68</v>
      </c>
      <c r="AW738" s="54" t="s">
        <v>68</v>
      </c>
      <c r="AX738" s="68" t="s">
        <v>74</v>
      </c>
      <c r="AY738" s="5"/>
      <c r="AZ738" s="5"/>
      <c r="BA738" s="12"/>
      <c r="BB738" s="68" t="s">
        <v>74</v>
      </c>
      <c r="BC738" s="558"/>
      <c r="BD738" s="5"/>
      <c r="BE738" s="5"/>
      <c r="BF738" s="5"/>
      <c r="BG738" s="66">
        <f>AQ738+AR738</f>
        <v>871262.6716</v>
      </c>
      <c r="BH738" s="2064" t="s">
        <v>74</v>
      </c>
      <c r="BI738" s="372">
        <v>45112</v>
      </c>
      <c r="BJ738" s="793" t="s">
        <v>74</v>
      </c>
      <c r="BK738" s="793" t="s">
        <v>74</v>
      </c>
      <c r="BL738" s="1480" t="s">
        <v>74</v>
      </c>
      <c r="BM738" s="1480" t="s">
        <v>74</v>
      </c>
      <c r="BN738" s="1480" t="s">
        <v>74</v>
      </c>
      <c r="BO738" s="1480" t="s">
        <v>74</v>
      </c>
      <c r="BP738" s="1480" t="s">
        <v>74</v>
      </c>
      <c r="BQ738" s="1480" t="s">
        <v>74</v>
      </c>
      <c r="BR738" s="1649"/>
      <c r="BS738" s="1053"/>
      <c r="BT738" s="14"/>
      <c r="BU738" s="23"/>
      <c r="BV738" s="23"/>
      <c r="BW738" s="23"/>
      <c r="BX738" s="23"/>
      <c r="BY738" s="1433" t="s">
        <v>3989</v>
      </c>
      <c r="BZ738" s="987" t="s">
        <v>6059</v>
      </c>
      <c r="CA738" s="582"/>
      <c r="CB738" s="582"/>
      <c r="CC738" s="582"/>
      <c r="CD738" s="582"/>
      <c r="CE738" s="582"/>
      <c r="CF738" s="582"/>
      <c r="CG738" s="582"/>
      <c r="CH738" s="16"/>
    </row>
    <row r="739" spans="2:86" ht="75.75" hidden="1" customHeight="1">
      <c r="B739" s="23"/>
      <c r="C739" s="23"/>
      <c r="D739" s="23"/>
      <c r="E739" s="1051"/>
      <c r="F739" s="1051"/>
      <c r="G739" s="1055">
        <v>45202</v>
      </c>
      <c r="H739" s="365">
        <v>45203</v>
      </c>
      <c r="I739" s="182">
        <v>2023</v>
      </c>
      <c r="J739" s="1678"/>
      <c r="K739" s="183" t="s">
        <v>166</v>
      </c>
      <c r="L739" s="191" t="s">
        <v>5809</v>
      </c>
      <c r="M739" s="185" t="s">
        <v>79</v>
      </c>
      <c r="N739" s="494" t="s">
        <v>5816</v>
      </c>
      <c r="O739" s="494" t="s">
        <v>1979</v>
      </c>
      <c r="P739" s="1376">
        <v>821212.44</v>
      </c>
      <c r="Q739" s="598">
        <v>45134</v>
      </c>
      <c r="R739" s="1146">
        <v>45145</v>
      </c>
      <c r="S739" s="1147">
        <v>45169</v>
      </c>
      <c r="T739" s="1148">
        <v>45131</v>
      </c>
      <c r="U739" s="1231" t="s">
        <v>5817</v>
      </c>
      <c r="V739" s="716" t="s">
        <v>213</v>
      </c>
      <c r="W739" s="1998" t="s">
        <v>68</v>
      </c>
      <c r="X739" s="1629" t="s">
        <v>68</v>
      </c>
      <c r="Y739" s="180" t="s">
        <v>6060</v>
      </c>
      <c r="Z739" s="9">
        <v>45113</v>
      </c>
      <c r="AA739" s="4">
        <v>821212.44</v>
      </c>
      <c r="AB739" s="4"/>
      <c r="AC739" s="34"/>
      <c r="AD739" s="36" t="s">
        <v>68</v>
      </c>
      <c r="AE739" s="119" t="s">
        <v>68</v>
      </c>
      <c r="AF739" s="119" t="s">
        <v>68</v>
      </c>
      <c r="AG739" s="7" t="s">
        <v>68</v>
      </c>
      <c r="AH739" s="116" t="s">
        <v>68</v>
      </c>
      <c r="AI739" s="180" t="s">
        <v>876</v>
      </c>
      <c r="AJ739" s="202" t="s">
        <v>6061</v>
      </c>
      <c r="AK739" s="1512">
        <v>45134</v>
      </c>
      <c r="AL739" s="202" t="s">
        <v>6062</v>
      </c>
      <c r="AM739" s="5">
        <v>45134</v>
      </c>
      <c r="AN739" s="239"/>
      <c r="AO739" s="5"/>
      <c r="AP739" s="590">
        <f>246363.73+82121.24</f>
        <v>328484.97000000003</v>
      </c>
      <c r="AQ739" s="37">
        <v>0</v>
      </c>
      <c r="AR739" s="1040"/>
      <c r="AS739" s="1027"/>
      <c r="AT739" s="253"/>
      <c r="AU739" s="12"/>
      <c r="AV739" s="243"/>
      <c r="AW739" s="54"/>
      <c r="AX739" s="253"/>
      <c r="AY739" s="5"/>
      <c r="AZ739" s="5"/>
      <c r="BA739" s="12"/>
      <c r="BB739" s="253"/>
      <c r="BC739" s="558"/>
      <c r="BD739" s="5"/>
      <c r="BE739" s="5"/>
      <c r="BF739" s="5"/>
      <c r="BG739" s="66">
        <f>AQ739+AR739</f>
        <v>0</v>
      </c>
      <c r="BH739" s="2064"/>
      <c r="BI739" s="372">
        <v>45138</v>
      </c>
      <c r="BJ739" s="793" t="s">
        <v>74</v>
      </c>
      <c r="BK739" s="793" t="s">
        <v>74</v>
      </c>
      <c r="BL739" s="1480"/>
      <c r="BM739" s="1480" t="s">
        <v>74</v>
      </c>
      <c r="BN739" s="1480" t="s">
        <v>74</v>
      </c>
      <c r="BO739" s="1480" t="s">
        <v>74</v>
      </c>
      <c r="BP739" s="1648"/>
      <c r="BQ739" s="1648"/>
      <c r="BR739" s="1649"/>
      <c r="BS739" s="1053"/>
      <c r="BT739" s="14"/>
      <c r="BU739" s="23"/>
      <c r="BV739" s="23"/>
      <c r="BW739" s="23"/>
      <c r="BX739" s="23"/>
      <c r="BY739" s="1433"/>
      <c r="BZ739" s="987"/>
      <c r="CA739" s="582"/>
      <c r="CB739" s="582"/>
      <c r="CC739" s="582"/>
      <c r="CD739" s="582"/>
      <c r="CE739" s="582"/>
      <c r="CF739" s="582"/>
      <c r="CG739" s="582"/>
      <c r="CH739" s="16"/>
    </row>
    <row r="740" spans="2:86" ht="67.5" customHeight="1">
      <c r="B740" s="23"/>
      <c r="C740" s="23"/>
      <c r="D740" s="23"/>
      <c r="E740" s="1051"/>
      <c r="F740" s="1051"/>
      <c r="G740" s="1055">
        <v>45201</v>
      </c>
      <c r="H740" s="365">
        <v>45201</v>
      </c>
      <c r="I740" s="182">
        <v>2023</v>
      </c>
      <c r="J740" s="1678"/>
      <c r="K740" s="183" t="s">
        <v>867</v>
      </c>
      <c r="L740" s="191" t="s">
        <v>5818</v>
      </c>
      <c r="M740" s="185" t="s">
        <v>3252</v>
      </c>
      <c r="N740" s="494" t="s">
        <v>5819</v>
      </c>
      <c r="O740" s="494" t="s">
        <v>4458</v>
      </c>
      <c r="P740" s="1376">
        <v>4998360.84</v>
      </c>
      <c r="Q740" s="188">
        <v>45152</v>
      </c>
      <c r="R740" s="189">
        <v>45155</v>
      </c>
      <c r="S740" s="190">
        <v>45274</v>
      </c>
      <c r="T740" s="578" t="s">
        <v>68</v>
      </c>
      <c r="U740" s="739" t="s">
        <v>4085</v>
      </c>
      <c r="V740" s="716" t="s">
        <v>70</v>
      </c>
      <c r="W740" s="2030"/>
      <c r="X740" s="1637"/>
      <c r="Y740" s="266" t="s">
        <v>6089</v>
      </c>
      <c r="Z740" s="9">
        <v>45070</v>
      </c>
      <c r="AA740" s="4">
        <v>5000000</v>
      </c>
      <c r="AB740" s="4"/>
      <c r="AC740" s="34"/>
      <c r="AD740" s="1650"/>
      <c r="AE740" s="646">
        <v>45139</v>
      </c>
      <c r="AF740" s="646">
        <v>45139</v>
      </c>
      <c r="AG740" s="647">
        <v>45142</v>
      </c>
      <c r="AH740" s="644">
        <v>45148</v>
      </c>
      <c r="AI740" s="280"/>
      <c r="AJ740" s="239"/>
      <c r="AK740" s="5"/>
      <c r="AL740" s="239"/>
      <c r="AM740" s="5"/>
      <c r="AN740" s="239"/>
      <c r="AO740" s="5"/>
      <c r="AP740" s="590"/>
      <c r="AQ740" s="37"/>
      <c r="AR740" s="1040"/>
      <c r="AS740" s="1027"/>
      <c r="AT740" s="253"/>
      <c r="AU740" s="12"/>
      <c r="AV740" s="243"/>
      <c r="AW740" s="54"/>
      <c r="AX740" s="253"/>
      <c r="AY740" s="5"/>
      <c r="AZ740" s="5"/>
      <c r="BA740" s="12"/>
      <c r="BB740" s="253"/>
      <c r="BC740" s="558"/>
      <c r="BD740" s="5"/>
      <c r="BE740" s="5"/>
      <c r="BF740" s="5"/>
      <c r="BG740" s="66"/>
      <c r="BH740" s="222"/>
      <c r="BI740" s="1646"/>
      <c r="BJ740" s="1647"/>
      <c r="BK740" s="1647"/>
      <c r="BL740" s="1648"/>
      <c r="BM740" s="1648"/>
      <c r="BN740" s="1648"/>
      <c r="BO740" s="1648"/>
      <c r="BP740" s="1648"/>
      <c r="BQ740" s="1648"/>
      <c r="BR740" s="1649"/>
      <c r="BS740" s="1053"/>
      <c r="BT740" s="14"/>
      <c r="BU740" s="23"/>
      <c r="BV740" s="23"/>
      <c r="BW740" s="23"/>
      <c r="BX740" s="23"/>
      <c r="BY740" s="1433"/>
      <c r="BZ740" s="987"/>
      <c r="CA740" s="582"/>
      <c r="CB740" s="582"/>
      <c r="CC740" s="582"/>
      <c r="CD740" s="582"/>
      <c r="CE740" s="582"/>
      <c r="CF740" s="582"/>
      <c r="CG740" s="582"/>
      <c r="CH740" s="16"/>
    </row>
    <row r="741" spans="2:86" ht="69.75" customHeight="1">
      <c r="B741" s="23"/>
      <c r="C741" s="23"/>
      <c r="D741" s="23"/>
      <c r="E741" s="1051"/>
      <c r="F741" s="1051"/>
      <c r="G741" s="1055">
        <v>45299</v>
      </c>
      <c r="H741" s="365">
        <v>45216</v>
      </c>
      <c r="I741" s="182">
        <v>2023</v>
      </c>
      <c r="J741" s="1678"/>
      <c r="K741" s="183" t="s">
        <v>77</v>
      </c>
      <c r="L741" s="191" t="s">
        <v>5814</v>
      </c>
      <c r="M741" s="185" t="s">
        <v>3252</v>
      </c>
      <c r="N741" s="494" t="s">
        <v>5813</v>
      </c>
      <c r="O741" s="494" t="s">
        <v>2574</v>
      </c>
      <c r="P741" s="1376">
        <v>2808816.17</v>
      </c>
      <c r="Q741" s="188">
        <v>45168</v>
      </c>
      <c r="R741" s="189">
        <v>45173</v>
      </c>
      <c r="S741" s="190">
        <v>45237</v>
      </c>
      <c r="T741" s="578" t="s">
        <v>68</v>
      </c>
      <c r="U741" s="739" t="s">
        <v>1319</v>
      </c>
      <c r="V741" s="716" t="s">
        <v>70</v>
      </c>
      <c r="W741" s="2030"/>
      <c r="X741" s="1637"/>
      <c r="Y741" s="280"/>
      <c r="Z741" s="9"/>
      <c r="AA741" s="4"/>
      <c r="AB741" s="4"/>
      <c r="AC741" s="34"/>
      <c r="AD741" s="645">
        <v>45154</v>
      </c>
      <c r="AE741" s="646">
        <v>45156</v>
      </c>
      <c r="AF741" s="696"/>
      <c r="AG741" s="647">
        <v>45162</v>
      </c>
      <c r="AH741" s="644">
        <v>45167</v>
      </c>
      <c r="AI741" s="280"/>
      <c r="AJ741" s="239"/>
      <c r="AK741" s="5"/>
      <c r="AL741" s="239"/>
      <c r="AM741" s="5"/>
      <c r="AN741" s="239"/>
      <c r="AO741" s="5"/>
      <c r="AP741" s="590"/>
      <c r="AQ741" s="37"/>
      <c r="AR741" s="1040"/>
      <c r="AS741" s="1027"/>
      <c r="AT741" s="253"/>
      <c r="AU741" s="12"/>
      <c r="AV741" s="243"/>
      <c r="AW741" s="54"/>
      <c r="AX741" s="253"/>
      <c r="AY741" s="5"/>
      <c r="AZ741" s="5"/>
      <c r="BA741" s="12"/>
      <c r="BB741" s="253"/>
      <c r="BC741" s="558"/>
      <c r="BD741" s="5"/>
      <c r="BE741" s="5"/>
      <c r="BF741" s="5"/>
      <c r="BG741" s="66"/>
      <c r="BH741" s="222"/>
      <c r="BI741" s="1646"/>
      <c r="BJ741" s="1647"/>
      <c r="BK741" s="1647"/>
      <c r="BL741" s="1648"/>
      <c r="BM741" s="1648"/>
      <c r="BN741" s="1648"/>
      <c r="BO741" s="1648"/>
      <c r="BP741" s="1648"/>
      <c r="BQ741" s="1648"/>
      <c r="BR741" s="1649"/>
      <c r="BS741" s="1053"/>
      <c r="BT741" s="14"/>
      <c r="BU741" s="23"/>
      <c r="BV741" s="23"/>
      <c r="BW741" s="23"/>
      <c r="BX741" s="23"/>
      <c r="BY741" s="1433"/>
      <c r="BZ741" s="987"/>
      <c r="CA741" s="582"/>
      <c r="CB741" s="582"/>
      <c r="CC741" s="582"/>
      <c r="CD741" s="582"/>
      <c r="CE741" s="582"/>
      <c r="CF741" s="582"/>
      <c r="CG741" s="582"/>
      <c r="CH741" s="16"/>
    </row>
    <row r="742" spans="2:86" ht="78" hidden="1" customHeight="1">
      <c r="B742" s="23"/>
      <c r="C742" s="23"/>
      <c r="D742" s="23"/>
      <c r="E742" s="1051"/>
      <c r="F742" s="1051"/>
      <c r="G742" s="1055">
        <v>45301</v>
      </c>
      <c r="H742" s="365">
        <v>45302</v>
      </c>
      <c r="I742" s="182">
        <v>2023</v>
      </c>
      <c r="J742" s="1678"/>
      <c r="K742" s="183" t="s">
        <v>77</v>
      </c>
      <c r="L742" s="191" t="s">
        <v>5810</v>
      </c>
      <c r="M742" s="185" t="s">
        <v>79</v>
      </c>
      <c r="N742" s="494" t="s">
        <v>5815</v>
      </c>
      <c r="O742" s="494" t="s">
        <v>2574</v>
      </c>
      <c r="P742" s="1376">
        <v>2049615.46</v>
      </c>
      <c r="Q742" s="188">
        <v>45168</v>
      </c>
      <c r="R742" s="189">
        <v>45180</v>
      </c>
      <c r="S742" s="190">
        <v>45230</v>
      </c>
      <c r="T742" s="1148">
        <v>45163</v>
      </c>
      <c r="U742" s="739" t="s">
        <v>4567</v>
      </c>
      <c r="V742" s="716" t="s">
        <v>70</v>
      </c>
      <c r="W742" s="1998">
        <v>45173</v>
      </c>
      <c r="X742" s="1629" t="s">
        <v>5997</v>
      </c>
      <c r="Y742" s="180" t="s">
        <v>6063</v>
      </c>
      <c r="Z742" s="9">
        <v>45103</v>
      </c>
      <c r="AA742" s="4">
        <v>2049521.95</v>
      </c>
      <c r="AB742" s="4"/>
      <c r="AC742" s="34"/>
      <c r="AD742" s="36" t="s">
        <v>68</v>
      </c>
      <c r="AE742" s="119" t="s">
        <v>68</v>
      </c>
      <c r="AF742" s="119" t="s">
        <v>68</v>
      </c>
      <c r="AG742" s="7" t="s">
        <v>68</v>
      </c>
      <c r="AH742" s="116" t="s">
        <v>68</v>
      </c>
      <c r="AI742" s="180" t="s">
        <v>6064</v>
      </c>
      <c r="AJ742" s="71">
        <v>2832801</v>
      </c>
      <c r="AK742" s="255">
        <v>45180</v>
      </c>
      <c r="AL742" s="71">
        <v>2832804</v>
      </c>
      <c r="AM742" s="5">
        <v>45180</v>
      </c>
      <c r="AN742" s="239"/>
      <c r="AO742" s="5"/>
      <c r="AP742" s="590">
        <f>614884.64+204961.55</f>
        <v>819846.19</v>
      </c>
      <c r="AQ742" s="37">
        <v>0</v>
      </c>
      <c r="AR742" s="1040"/>
      <c r="AS742" s="1027"/>
      <c r="AT742" s="253"/>
      <c r="AU742" s="12"/>
      <c r="AV742" s="243"/>
      <c r="AW742" s="54"/>
      <c r="AX742" s="253"/>
      <c r="AY742" s="5"/>
      <c r="AZ742" s="5"/>
      <c r="BA742" s="12"/>
      <c r="BB742" s="253"/>
      <c r="BC742" s="558"/>
      <c r="BD742" s="5"/>
      <c r="BE742" s="5"/>
      <c r="BF742" s="5"/>
      <c r="BG742" s="66">
        <f t="shared" ref="BG742:BG746" si="23">AQ742+AR742</f>
        <v>0</v>
      </c>
      <c r="BH742" s="1652"/>
      <c r="BI742" s="372">
        <v>45177</v>
      </c>
      <c r="BJ742" s="76">
        <v>45177</v>
      </c>
      <c r="BK742" s="76">
        <v>45177</v>
      </c>
      <c r="BL742" s="1648"/>
      <c r="BM742" s="1054">
        <v>45177</v>
      </c>
      <c r="BN742" s="1054">
        <v>45180</v>
      </c>
      <c r="BO742" s="1054">
        <v>45177</v>
      </c>
      <c r="BP742" s="1648"/>
      <c r="BQ742" s="1648"/>
      <c r="BR742" s="1054" t="s">
        <v>6065</v>
      </c>
      <c r="BS742" s="1053"/>
      <c r="BT742" s="14"/>
      <c r="BU742" s="23"/>
      <c r="BV742" s="23"/>
      <c r="BW742" s="23"/>
      <c r="BX742" s="23"/>
      <c r="BY742" s="1433"/>
      <c r="BZ742" s="987"/>
      <c r="CA742" s="582"/>
      <c r="CB742" s="582"/>
      <c r="CC742" s="582"/>
      <c r="CD742" s="582"/>
      <c r="CE742" s="582"/>
      <c r="CF742" s="582"/>
      <c r="CG742" s="582"/>
      <c r="CH742" s="16"/>
    </row>
    <row r="743" spans="2:86" ht="72" hidden="1" customHeight="1">
      <c r="B743" s="23"/>
      <c r="C743" s="23"/>
      <c r="D743" s="23"/>
      <c r="E743" s="1051"/>
      <c r="F743" s="1051"/>
      <c r="G743" s="1055">
        <v>45279</v>
      </c>
      <c r="H743" s="365">
        <v>45302</v>
      </c>
      <c r="I743" s="182">
        <v>2023</v>
      </c>
      <c r="J743" s="1678"/>
      <c r="K743" s="183" t="s">
        <v>166</v>
      </c>
      <c r="L743" s="191" t="s">
        <v>5811</v>
      </c>
      <c r="M743" s="185" t="s">
        <v>79</v>
      </c>
      <c r="N743" s="494" t="s">
        <v>5820</v>
      </c>
      <c r="O743" s="186" t="s">
        <v>4459</v>
      </c>
      <c r="P743" s="1376">
        <v>304838.93</v>
      </c>
      <c r="Q743" s="188">
        <v>45166</v>
      </c>
      <c r="R743" s="189">
        <v>45168</v>
      </c>
      <c r="S743" s="190">
        <v>45199</v>
      </c>
      <c r="T743" s="578">
        <v>45167</v>
      </c>
      <c r="U743" s="739" t="s">
        <v>4407</v>
      </c>
      <c r="V743" s="716" t="s">
        <v>213</v>
      </c>
      <c r="W743" s="1998" t="s">
        <v>68</v>
      </c>
      <c r="X743" s="1629" t="s">
        <v>68</v>
      </c>
      <c r="Y743" s="180" t="s">
        <v>6067</v>
      </c>
      <c r="Z743" s="9">
        <v>44932</v>
      </c>
      <c r="AA743" s="4">
        <v>898000</v>
      </c>
      <c r="AB743" s="4"/>
      <c r="AC743" s="34"/>
      <c r="AD743" s="36" t="s">
        <v>68</v>
      </c>
      <c r="AE743" s="119" t="s">
        <v>68</v>
      </c>
      <c r="AF743" s="119" t="s">
        <v>68</v>
      </c>
      <c r="AG743" s="7" t="s">
        <v>68</v>
      </c>
      <c r="AH743" s="116" t="s">
        <v>68</v>
      </c>
      <c r="AI743" s="280"/>
      <c r="AJ743" s="239"/>
      <c r="AK743" s="5"/>
      <c r="AL743" s="239"/>
      <c r="AM743" s="5"/>
      <c r="AN743" s="239"/>
      <c r="AO743" s="5"/>
      <c r="AP743" s="590"/>
      <c r="AQ743" s="37">
        <v>0</v>
      </c>
      <c r="AR743" s="1040"/>
      <c r="AS743" s="1027"/>
      <c r="AT743" s="253"/>
      <c r="AU743" s="12"/>
      <c r="AV743" s="243"/>
      <c r="AW743" s="54"/>
      <c r="AX743" s="253"/>
      <c r="AY743" s="5"/>
      <c r="AZ743" s="5"/>
      <c r="BA743" s="12"/>
      <c r="BB743" s="253"/>
      <c r="BC743" s="558"/>
      <c r="BD743" s="5"/>
      <c r="BE743" s="5"/>
      <c r="BF743" s="5"/>
      <c r="BG743" s="66">
        <f t="shared" si="23"/>
        <v>0</v>
      </c>
      <c r="BH743" s="2064"/>
      <c r="BI743" s="1291" t="s">
        <v>74</v>
      </c>
      <c r="BJ743" s="793" t="s">
        <v>74</v>
      </c>
      <c r="BK743" s="793" t="s">
        <v>74</v>
      </c>
      <c r="BL743" s="1480"/>
      <c r="BM743" s="1480" t="s">
        <v>74</v>
      </c>
      <c r="BN743" s="1480" t="s">
        <v>74</v>
      </c>
      <c r="BO743" s="1480" t="s">
        <v>74</v>
      </c>
      <c r="BP743" s="1648"/>
      <c r="BQ743" s="1648"/>
      <c r="BR743" s="1649"/>
      <c r="BS743" s="1053"/>
      <c r="BT743" s="14"/>
      <c r="BU743" s="23"/>
      <c r="BV743" s="23"/>
      <c r="BW743" s="23"/>
      <c r="BX743" s="23"/>
      <c r="BY743" s="1433"/>
      <c r="BZ743" s="987"/>
      <c r="CA743" s="582"/>
      <c r="CB743" s="582"/>
      <c r="CC743" s="582"/>
      <c r="CD743" s="582"/>
      <c r="CE743" s="582"/>
      <c r="CF743" s="582"/>
      <c r="CG743" s="582"/>
      <c r="CH743" s="16"/>
    </row>
    <row r="744" spans="2:86" ht="111.75" hidden="1" customHeight="1">
      <c r="B744" s="23"/>
      <c r="C744" s="23"/>
      <c r="D744" s="23"/>
      <c r="E744" s="1051"/>
      <c r="F744" s="1051"/>
      <c r="G744" s="1055">
        <v>45279</v>
      </c>
      <c r="H744" s="365">
        <v>45302</v>
      </c>
      <c r="I744" s="182">
        <v>2023</v>
      </c>
      <c r="J744" s="1678"/>
      <c r="K744" s="183" t="s">
        <v>77</v>
      </c>
      <c r="L744" s="191" t="s">
        <v>5966</v>
      </c>
      <c r="M744" s="185" t="s">
        <v>79</v>
      </c>
      <c r="N744" s="494" t="s">
        <v>5967</v>
      </c>
      <c r="O744" s="186" t="s">
        <v>4458</v>
      </c>
      <c r="P744" s="1376">
        <v>853249.52</v>
      </c>
      <c r="Q744" s="188">
        <v>45203</v>
      </c>
      <c r="R744" s="189">
        <v>45209</v>
      </c>
      <c r="S744" s="190">
        <v>45222</v>
      </c>
      <c r="T744" s="1148">
        <v>45202</v>
      </c>
      <c r="U744" s="739" t="s">
        <v>739</v>
      </c>
      <c r="V744" s="716" t="s">
        <v>70</v>
      </c>
      <c r="W744" s="1998">
        <v>45201</v>
      </c>
      <c r="X744" s="1637"/>
      <c r="Y744" s="180" t="s">
        <v>6069</v>
      </c>
      <c r="Z744" s="9">
        <v>45070</v>
      </c>
      <c r="AA744" s="4">
        <v>853249.52</v>
      </c>
      <c r="AB744" s="4"/>
      <c r="AC744" s="34"/>
      <c r="AD744" s="36" t="s">
        <v>68</v>
      </c>
      <c r="AE744" s="119" t="s">
        <v>68</v>
      </c>
      <c r="AF744" s="119" t="s">
        <v>68</v>
      </c>
      <c r="AG744" s="7" t="s">
        <v>68</v>
      </c>
      <c r="AH744" s="116" t="s">
        <v>68</v>
      </c>
      <c r="AI744" s="180" t="s">
        <v>5999</v>
      </c>
      <c r="AJ744" s="202" t="s">
        <v>6070</v>
      </c>
      <c r="AK744" s="255">
        <v>45203</v>
      </c>
      <c r="AL744" s="202" t="s">
        <v>6071</v>
      </c>
      <c r="AM744" s="263">
        <v>45203</v>
      </c>
      <c r="AN744" s="560"/>
      <c r="AO744" s="5"/>
      <c r="AP744" s="590">
        <f>255974.85+85324.95</f>
        <v>341299.8</v>
      </c>
      <c r="AQ744" s="37">
        <v>0</v>
      </c>
      <c r="AR744" s="1032">
        <f>(378172.08+493613.42)*1.16</f>
        <v>1011271.1799999999</v>
      </c>
      <c r="AS744" s="1027"/>
      <c r="AT744" s="253"/>
      <c r="AU744" s="12"/>
      <c r="AV744" s="243"/>
      <c r="AW744" s="54"/>
      <c r="AX744" s="253" t="s">
        <v>74</v>
      </c>
      <c r="AY744" s="5"/>
      <c r="AZ744" s="5"/>
      <c r="BA744" s="12"/>
      <c r="BB744" s="78">
        <v>45226</v>
      </c>
      <c r="BC744" s="1838" t="s">
        <v>6072</v>
      </c>
      <c r="BD744" s="5">
        <v>45209</v>
      </c>
      <c r="BE744" s="5">
        <v>45222</v>
      </c>
      <c r="BF744" s="5">
        <v>45222</v>
      </c>
      <c r="BG744" s="270">
        <f>AQ744+AR744-1.15</f>
        <v>1011270.0299999999</v>
      </c>
      <c r="BH744" s="222" t="s">
        <v>74</v>
      </c>
      <c r="BI744" s="1291" t="s">
        <v>74</v>
      </c>
      <c r="BJ744" s="793" t="s">
        <v>74</v>
      </c>
      <c r="BK744" s="793" t="s">
        <v>74</v>
      </c>
      <c r="BL744" s="1480"/>
      <c r="BM744" s="1480" t="s">
        <v>74</v>
      </c>
      <c r="BN744" s="1480" t="s">
        <v>74</v>
      </c>
      <c r="BO744" s="1480" t="s">
        <v>74</v>
      </c>
      <c r="BP744" s="1480" t="s">
        <v>74</v>
      </c>
      <c r="BQ744" s="1480" t="s">
        <v>74</v>
      </c>
      <c r="BR744" s="1649"/>
      <c r="BS744" s="1053"/>
      <c r="BT744" s="14"/>
      <c r="BU744" s="23"/>
      <c r="BV744" s="23"/>
      <c r="BW744" s="23"/>
      <c r="BX744" s="23"/>
      <c r="BY744" s="1433"/>
      <c r="BZ744" s="987"/>
      <c r="CA744" s="582"/>
      <c r="CB744" s="582"/>
      <c r="CC744" s="582"/>
      <c r="CD744" s="582"/>
      <c r="CE744" s="582"/>
      <c r="CF744" s="582"/>
      <c r="CG744" s="582"/>
      <c r="CH744" s="16"/>
    </row>
    <row r="745" spans="2:86" ht="67.5" hidden="1" customHeight="1">
      <c r="B745" s="23"/>
      <c r="C745" s="23"/>
      <c r="D745" s="23"/>
      <c r="E745" s="1051"/>
      <c r="F745" s="1051"/>
      <c r="G745" s="1055">
        <v>45301</v>
      </c>
      <c r="H745" s="365"/>
      <c r="I745" s="182">
        <v>2023</v>
      </c>
      <c r="J745" s="1678"/>
      <c r="K745" s="183" t="s">
        <v>166</v>
      </c>
      <c r="L745" s="191" t="s">
        <v>5970</v>
      </c>
      <c r="M745" s="185" t="s">
        <v>79</v>
      </c>
      <c r="N745" s="495" t="s">
        <v>5971</v>
      </c>
      <c r="O745" s="186" t="s">
        <v>1979</v>
      </c>
      <c r="P745" s="1376">
        <v>247646.07999999999</v>
      </c>
      <c r="Q745" s="188">
        <v>45212</v>
      </c>
      <c r="R745" s="189">
        <v>45215</v>
      </c>
      <c r="S745" s="190">
        <v>45258</v>
      </c>
      <c r="T745" s="1148">
        <v>45212</v>
      </c>
      <c r="U745" s="739" t="s">
        <v>4502</v>
      </c>
      <c r="V745" s="716" t="s">
        <v>70</v>
      </c>
      <c r="W745" s="1998" t="s">
        <v>68</v>
      </c>
      <c r="X745" s="1629" t="s">
        <v>68</v>
      </c>
      <c r="Y745" s="280"/>
      <c r="Z745" s="9"/>
      <c r="AA745" s="4"/>
      <c r="AB745" s="4"/>
      <c r="AC745" s="34"/>
      <c r="AD745" s="36" t="s">
        <v>68</v>
      </c>
      <c r="AE745" s="119" t="s">
        <v>68</v>
      </c>
      <c r="AF745" s="119" t="s">
        <v>68</v>
      </c>
      <c r="AG745" s="7" t="s">
        <v>68</v>
      </c>
      <c r="AH745" s="116" t="s">
        <v>68</v>
      </c>
      <c r="AI745" s="280"/>
      <c r="AJ745" s="560"/>
      <c r="AK745" s="5"/>
      <c r="AL745" s="560"/>
      <c r="AM745" s="263"/>
      <c r="AN745" s="560"/>
      <c r="AO745" s="5"/>
      <c r="AP745" s="590"/>
      <c r="AQ745" s="37">
        <v>0</v>
      </c>
      <c r="AR745" s="1040"/>
      <c r="AS745" s="1027"/>
      <c r="AT745" s="253"/>
      <c r="AU745" s="12"/>
      <c r="AV745" s="243"/>
      <c r="AW745" s="54"/>
      <c r="AX745" s="253"/>
      <c r="AY745" s="5"/>
      <c r="AZ745" s="5"/>
      <c r="BA745" s="12"/>
      <c r="BB745" s="253"/>
      <c r="BC745" s="558"/>
      <c r="BD745" s="5"/>
      <c r="BE745" s="5"/>
      <c r="BF745" s="5"/>
      <c r="BG745" s="66">
        <f t="shared" si="23"/>
        <v>0</v>
      </c>
      <c r="BH745" s="222"/>
      <c r="BI745" s="1646"/>
      <c r="BJ745" s="1647"/>
      <c r="BK745" s="1647"/>
      <c r="BL745" s="1648"/>
      <c r="BM745" s="1648"/>
      <c r="BN745" s="1648"/>
      <c r="BO745" s="1648"/>
      <c r="BP745" s="1648"/>
      <c r="BQ745" s="1648"/>
      <c r="BR745" s="1649"/>
      <c r="BS745" s="1053"/>
      <c r="BT745" s="14"/>
      <c r="BU745" s="23"/>
      <c r="BV745" s="23"/>
      <c r="BW745" s="23"/>
      <c r="BX745" s="23"/>
      <c r="BY745" s="1433"/>
      <c r="BZ745" s="987"/>
      <c r="CA745" s="582"/>
      <c r="CB745" s="582"/>
      <c r="CC745" s="582"/>
      <c r="CD745" s="582"/>
      <c r="CE745" s="582"/>
      <c r="CF745" s="582"/>
      <c r="CG745" s="582"/>
      <c r="CH745" s="16"/>
    </row>
    <row r="746" spans="2:86" ht="69.75" hidden="1" customHeight="1">
      <c r="B746" s="23"/>
      <c r="C746" s="23"/>
      <c r="D746" s="23"/>
      <c r="E746" s="1051"/>
      <c r="F746" s="1051"/>
      <c r="G746" s="1055">
        <v>45233</v>
      </c>
      <c r="H746" s="365"/>
      <c r="I746" s="182">
        <v>2023</v>
      </c>
      <c r="J746" s="1678"/>
      <c r="K746" s="183" t="s">
        <v>166</v>
      </c>
      <c r="L746" s="191" t="s">
        <v>5973</v>
      </c>
      <c r="M746" s="185" t="s">
        <v>79</v>
      </c>
      <c r="N746" s="495" t="s">
        <v>5974</v>
      </c>
      <c r="O746" s="186" t="s">
        <v>4458</v>
      </c>
      <c r="P746" s="1376">
        <v>330252</v>
      </c>
      <c r="Q746" s="188">
        <v>45212</v>
      </c>
      <c r="R746" s="189">
        <v>45222</v>
      </c>
      <c r="S746" s="190">
        <v>45282</v>
      </c>
      <c r="T746" s="1148">
        <v>45212</v>
      </c>
      <c r="U746" s="739" t="s">
        <v>4502</v>
      </c>
      <c r="V746" s="716" t="s">
        <v>70</v>
      </c>
      <c r="W746" s="1998" t="s">
        <v>68</v>
      </c>
      <c r="X746" s="1629" t="s">
        <v>68</v>
      </c>
      <c r="Y746" s="280"/>
      <c r="Z746" s="9"/>
      <c r="AA746" s="4"/>
      <c r="AB746" s="4"/>
      <c r="AC746" s="34"/>
      <c r="AD746" s="36" t="s">
        <v>68</v>
      </c>
      <c r="AE746" s="119" t="s">
        <v>68</v>
      </c>
      <c r="AF746" s="119" t="s">
        <v>68</v>
      </c>
      <c r="AG746" s="7" t="s">
        <v>68</v>
      </c>
      <c r="AH746" s="116" t="s">
        <v>68</v>
      </c>
      <c r="AI746" s="280"/>
      <c r="AJ746" s="560"/>
      <c r="AK746" s="5"/>
      <c r="AL746" s="560"/>
      <c r="AM746" s="263"/>
      <c r="AN746" s="560"/>
      <c r="AO746" s="5"/>
      <c r="AP746" s="590"/>
      <c r="AQ746" s="37">
        <v>0</v>
      </c>
      <c r="AR746" s="1040"/>
      <c r="AS746" s="1027"/>
      <c r="AT746" s="253"/>
      <c r="AU746" s="12"/>
      <c r="AV746" s="243"/>
      <c r="AW746" s="54"/>
      <c r="AX746" s="253"/>
      <c r="AY746" s="5"/>
      <c r="AZ746" s="5"/>
      <c r="BA746" s="12"/>
      <c r="BB746" s="253"/>
      <c r="BC746" s="558"/>
      <c r="BD746" s="5"/>
      <c r="BE746" s="5"/>
      <c r="BF746" s="5"/>
      <c r="BG746" s="66">
        <f t="shared" si="23"/>
        <v>0</v>
      </c>
      <c r="BH746" s="222"/>
      <c r="BI746" s="1646"/>
      <c r="BJ746" s="1647"/>
      <c r="BK746" s="1647"/>
      <c r="BL746" s="1648"/>
      <c r="BM746" s="1648"/>
      <c r="BN746" s="1648"/>
      <c r="BO746" s="1648"/>
      <c r="BP746" s="1648"/>
      <c r="BQ746" s="1648"/>
      <c r="BR746" s="1649"/>
      <c r="BS746" s="1053"/>
      <c r="BT746" s="14"/>
      <c r="BU746" s="23"/>
      <c r="BV746" s="23"/>
      <c r="BW746" s="23"/>
      <c r="BX746" s="23"/>
      <c r="BY746" s="1433"/>
      <c r="BZ746" s="987"/>
      <c r="CA746" s="582"/>
      <c r="CB746" s="582"/>
      <c r="CC746" s="582"/>
      <c r="CD746" s="582"/>
      <c r="CE746" s="582"/>
      <c r="CF746" s="582"/>
      <c r="CG746" s="582"/>
      <c r="CH746" s="16"/>
    </row>
    <row r="747" spans="2:86" ht="67.5" customHeight="1">
      <c r="B747" s="23"/>
      <c r="C747" s="23"/>
      <c r="D747" s="23"/>
      <c r="E747" s="1051"/>
      <c r="F747" s="1051"/>
      <c r="G747" s="1055">
        <v>45268</v>
      </c>
      <c r="H747" s="365">
        <v>45268</v>
      </c>
      <c r="I747" s="182">
        <v>2023</v>
      </c>
      <c r="J747" s="1678"/>
      <c r="K747" s="183" t="s">
        <v>166</v>
      </c>
      <c r="L747" s="191" t="s">
        <v>5981</v>
      </c>
      <c r="M747" s="185" t="s">
        <v>3252</v>
      </c>
      <c r="N747" s="494" t="s">
        <v>5979</v>
      </c>
      <c r="O747" s="186" t="s">
        <v>2574</v>
      </c>
      <c r="P747" s="1376">
        <v>5281923.58</v>
      </c>
      <c r="Q747" s="188">
        <v>45245</v>
      </c>
      <c r="R747" s="189">
        <v>45251</v>
      </c>
      <c r="S747" s="190">
        <v>45004</v>
      </c>
      <c r="T747" s="1148" t="s">
        <v>68</v>
      </c>
      <c r="U747" s="1231" t="s">
        <v>5984</v>
      </c>
      <c r="V747" s="716" t="s">
        <v>449</v>
      </c>
      <c r="W747" s="2030"/>
      <c r="X747" s="1637"/>
      <c r="Y747" s="280"/>
      <c r="Z747" s="9"/>
      <c r="AA747" s="4"/>
      <c r="AB747" s="4"/>
      <c r="AC747" s="34"/>
      <c r="AD747" s="645">
        <v>45231</v>
      </c>
      <c r="AE747" s="646">
        <v>45233</v>
      </c>
      <c r="AF747" s="646">
        <v>45233</v>
      </c>
      <c r="AG747" s="647">
        <v>45240</v>
      </c>
      <c r="AH747" s="644">
        <v>45244</v>
      </c>
      <c r="AI747" s="280"/>
      <c r="AJ747" s="239"/>
      <c r="AK747" s="5"/>
      <c r="AL747" s="239"/>
      <c r="AM747" s="5"/>
      <c r="AN747" s="239"/>
      <c r="AO747" s="5"/>
      <c r="AP747" s="590"/>
      <c r="AQ747" s="37"/>
      <c r="AR747" s="1040"/>
      <c r="AS747" s="1027"/>
      <c r="AT747" s="253"/>
      <c r="AU747" s="12"/>
      <c r="AV747" s="243"/>
      <c r="AW747" s="54"/>
      <c r="AX747" s="253"/>
      <c r="AY747" s="5"/>
      <c r="AZ747" s="5"/>
      <c r="BA747" s="12"/>
      <c r="BB747" s="253"/>
      <c r="BC747" s="558"/>
      <c r="BD747" s="5"/>
      <c r="BE747" s="5"/>
      <c r="BF747" s="5"/>
      <c r="BG747" s="66"/>
      <c r="BH747" s="222"/>
      <c r="BI747" s="1646"/>
      <c r="BJ747" s="1647"/>
      <c r="BK747" s="1647"/>
      <c r="BL747" s="1648"/>
      <c r="BM747" s="1648"/>
      <c r="BN747" s="1648"/>
      <c r="BO747" s="1648"/>
      <c r="BP747" s="1648"/>
      <c r="BQ747" s="1648"/>
      <c r="BR747" s="1649"/>
      <c r="BS747" s="1053"/>
      <c r="BT747" s="14"/>
      <c r="BU747" s="23"/>
      <c r="BV747" s="23"/>
      <c r="BW747" s="23"/>
      <c r="BX747" s="23"/>
      <c r="BY747" s="1433"/>
      <c r="BZ747" s="987"/>
      <c r="CA747" s="582"/>
      <c r="CB747" s="582"/>
      <c r="CC747" s="582"/>
      <c r="CD747" s="582"/>
      <c r="CE747" s="582"/>
      <c r="CF747" s="582"/>
      <c r="CG747" s="582"/>
      <c r="CH747" s="16"/>
    </row>
    <row r="748" spans="2:86" ht="74.25" hidden="1" customHeight="1">
      <c r="B748" s="23"/>
      <c r="C748" s="23"/>
      <c r="D748" s="23"/>
      <c r="E748" s="1051"/>
      <c r="F748" s="1051"/>
      <c r="G748" s="1055">
        <v>45299</v>
      </c>
      <c r="H748" s="365"/>
      <c r="I748" s="182">
        <v>2023</v>
      </c>
      <c r="J748" s="1678"/>
      <c r="K748" s="183" t="s">
        <v>166</v>
      </c>
      <c r="L748" s="191" t="s">
        <v>5812</v>
      </c>
      <c r="M748" s="185" t="s">
        <v>79</v>
      </c>
      <c r="N748" s="495" t="s">
        <v>6016</v>
      </c>
      <c r="O748" s="186" t="s">
        <v>4459</v>
      </c>
      <c r="P748" s="661">
        <v>441962.08</v>
      </c>
      <c r="Q748" s="188">
        <v>45247</v>
      </c>
      <c r="R748" s="189">
        <v>45245</v>
      </c>
      <c r="S748" s="190">
        <v>45290</v>
      </c>
      <c r="T748" s="578">
        <v>45245</v>
      </c>
      <c r="U748" s="739" t="s">
        <v>4407</v>
      </c>
      <c r="V748" s="716" t="s">
        <v>213</v>
      </c>
      <c r="W748" s="2030"/>
      <c r="X748" s="1637"/>
      <c r="Y748" s="280"/>
      <c r="Z748" s="9"/>
      <c r="AA748" s="4"/>
      <c r="AB748" s="4"/>
      <c r="AC748" s="34"/>
      <c r="AD748" s="36" t="s">
        <v>68</v>
      </c>
      <c r="AE748" s="119" t="s">
        <v>68</v>
      </c>
      <c r="AF748" s="119" t="s">
        <v>68</v>
      </c>
      <c r="AG748" s="7" t="s">
        <v>68</v>
      </c>
      <c r="AH748" s="116" t="s">
        <v>68</v>
      </c>
      <c r="AI748" s="280"/>
      <c r="AJ748" s="560"/>
      <c r="AK748" s="5"/>
      <c r="AL748" s="560"/>
      <c r="AM748" s="263"/>
      <c r="AN748" s="560"/>
      <c r="AO748" s="5"/>
      <c r="AP748" s="590"/>
      <c r="AQ748" s="37">
        <v>0</v>
      </c>
      <c r="AR748" s="1040"/>
      <c r="AS748" s="1027"/>
      <c r="AT748" s="253"/>
      <c r="AU748" s="12"/>
      <c r="AV748" s="243"/>
      <c r="AW748" s="54"/>
      <c r="AX748" s="253"/>
      <c r="AY748" s="5"/>
      <c r="AZ748" s="5"/>
      <c r="BA748" s="12"/>
      <c r="BB748" s="253"/>
      <c r="BC748" s="558"/>
      <c r="BD748" s="5"/>
      <c r="BE748" s="5"/>
      <c r="BF748" s="5"/>
      <c r="BG748" s="66">
        <f>AQ748+AR748</f>
        <v>0</v>
      </c>
      <c r="BH748" s="222"/>
      <c r="BI748" s="1646"/>
      <c r="BJ748" s="1647"/>
      <c r="BK748" s="1647"/>
      <c r="BL748" s="1648"/>
      <c r="BM748" s="1648"/>
      <c r="BN748" s="1648"/>
      <c r="BO748" s="1648"/>
      <c r="BP748" s="1648"/>
      <c r="BQ748" s="1648"/>
      <c r="BR748" s="1649"/>
      <c r="BS748" s="1053"/>
      <c r="BT748" s="14"/>
      <c r="BU748" s="23"/>
      <c r="BV748" s="23"/>
      <c r="BW748" s="23"/>
      <c r="BX748" s="23"/>
      <c r="BY748" s="1433"/>
      <c r="BZ748" s="987"/>
      <c r="CA748" s="582"/>
      <c r="CB748" s="582"/>
      <c r="CC748" s="582"/>
      <c r="CD748" s="582"/>
      <c r="CE748" s="582"/>
      <c r="CF748" s="582"/>
      <c r="CG748" s="582"/>
      <c r="CH748" s="16"/>
    </row>
    <row r="749" spans="2:86" ht="116.25" customHeight="1">
      <c r="B749" s="23"/>
      <c r="C749" s="23"/>
      <c r="D749" s="23"/>
      <c r="E749" s="1051"/>
      <c r="F749" s="1051"/>
      <c r="G749" s="1055">
        <v>45299</v>
      </c>
      <c r="H749" s="365">
        <v>45302</v>
      </c>
      <c r="I749" s="182">
        <v>2023</v>
      </c>
      <c r="J749" s="1678"/>
      <c r="K749" s="183" t="s">
        <v>6012</v>
      </c>
      <c r="L749" s="2081" t="s">
        <v>6013</v>
      </c>
      <c r="M749" s="185" t="s">
        <v>6014</v>
      </c>
      <c r="N749" s="495" t="s">
        <v>6015</v>
      </c>
      <c r="O749" s="186" t="s">
        <v>1979</v>
      </c>
      <c r="P749" s="2019">
        <v>2969939.23</v>
      </c>
      <c r="Q749" s="188">
        <v>45268</v>
      </c>
      <c r="R749" s="189">
        <v>45271</v>
      </c>
      <c r="S749" s="190">
        <v>45290</v>
      </c>
      <c r="T749" s="578" t="s">
        <v>68</v>
      </c>
      <c r="U749" s="739" t="s">
        <v>5457</v>
      </c>
      <c r="V749" s="716" t="s">
        <v>70</v>
      </c>
      <c r="W749" s="2030"/>
      <c r="X749" s="1637"/>
      <c r="Y749" s="266" t="s">
        <v>6093</v>
      </c>
      <c r="Z749" s="9">
        <v>45070</v>
      </c>
      <c r="AA749" s="4">
        <v>1504452.21</v>
      </c>
      <c r="AB749" s="4"/>
      <c r="AC749" s="34"/>
      <c r="AD749" s="645">
        <v>45254</v>
      </c>
      <c r="AE749" s="646">
        <v>45257</v>
      </c>
      <c r="AF749" s="646">
        <v>45257</v>
      </c>
      <c r="AG749" s="647">
        <v>45264</v>
      </c>
      <c r="AH749" s="644">
        <v>45267</v>
      </c>
      <c r="AI749" s="280"/>
      <c r="AJ749" s="239"/>
      <c r="AK749" s="5"/>
      <c r="AL749" s="239"/>
      <c r="AM749" s="5"/>
      <c r="AN749" s="239"/>
      <c r="AO749" s="5"/>
      <c r="AP749" s="590"/>
      <c r="AQ749" s="37"/>
      <c r="AR749" s="1040"/>
      <c r="AS749" s="1027"/>
      <c r="AT749" s="253"/>
      <c r="AU749" s="12"/>
      <c r="AV749" s="243"/>
      <c r="AW749" s="54"/>
      <c r="AX749" s="253"/>
      <c r="AY749" s="5"/>
      <c r="AZ749" s="5"/>
      <c r="BA749" s="12"/>
      <c r="BB749" s="253"/>
      <c r="BC749" s="558"/>
      <c r="BD749" s="5"/>
      <c r="BE749" s="5"/>
      <c r="BF749" s="5"/>
      <c r="BG749" s="66"/>
      <c r="BH749" s="222"/>
      <c r="BI749" s="1646"/>
      <c r="BJ749" s="1647"/>
      <c r="BK749" s="1647"/>
      <c r="BL749" s="1648"/>
      <c r="BM749" s="1648"/>
      <c r="BN749" s="1648"/>
      <c r="BO749" s="1648"/>
      <c r="BP749" s="1648"/>
      <c r="BQ749" s="1648"/>
      <c r="BR749" s="1649"/>
      <c r="BS749" s="1053"/>
      <c r="BT749" s="14"/>
      <c r="BU749" s="23"/>
      <c r="BV749" s="23"/>
      <c r="BW749" s="23"/>
      <c r="BX749" s="23"/>
      <c r="BY749" s="1433"/>
      <c r="BZ749" s="987"/>
      <c r="CA749" s="582"/>
      <c r="CB749" s="582"/>
      <c r="CC749" s="582"/>
      <c r="CD749" s="582"/>
      <c r="CE749" s="582"/>
      <c r="CF749" s="582"/>
      <c r="CG749" s="582"/>
      <c r="CH749" s="16"/>
    </row>
    <row r="750" spans="2:86" ht="76.5" hidden="1" customHeight="1">
      <c r="B750" s="23"/>
      <c r="C750" s="23"/>
      <c r="D750" s="23"/>
      <c r="E750" s="1051"/>
      <c r="F750" s="1051"/>
      <c r="G750" s="1055"/>
      <c r="H750" s="365"/>
      <c r="I750" s="182">
        <v>2023</v>
      </c>
      <c r="J750" s="1678"/>
      <c r="K750" s="183" t="s">
        <v>166</v>
      </c>
      <c r="L750" s="191" t="s">
        <v>6008</v>
      </c>
      <c r="M750" s="185" t="s">
        <v>79</v>
      </c>
      <c r="N750" s="495" t="s">
        <v>6017</v>
      </c>
      <c r="O750" s="186" t="s">
        <v>2574</v>
      </c>
      <c r="P750" s="2019">
        <v>1515153.08</v>
      </c>
      <c r="Q750" s="188">
        <v>45258</v>
      </c>
      <c r="R750" s="189">
        <v>45264</v>
      </c>
      <c r="S750" s="190">
        <v>45374</v>
      </c>
      <c r="T750" s="578">
        <v>45257</v>
      </c>
      <c r="U750" s="739" t="s">
        <v>6018</v>
      </c>
      <c r="V750" s="716" t="s">
        <v>70</v>
      </c>
      <c r="W750" s="2030"/>
      <c r="X750" s="1637"/>
      <c r="Y750" s="280"/>
      <c r="Z750" s="9"/>
      <c r="AA750" s="4"/>
      <c r="AB750" s="4"/>
      <c r="AC750" s="34"/>
      <c r="AD750" s="36" t="s">
        <v>68</v>
      </c>
      <c r="AE750" s="119" t="s">
        <v>68</v>
      </c>
      <c r="AF750" s="119" t="s">
        <v>68</v>
      </c>
      <c r="AG750" s="7" t="s">
        <v>68</v>
      </c>
      <c r="AH750" s="116" t="s">
        <v>68</v>
      </c>
      <c r="AI750" s="280"/>
      <c r="AJ750" s="560"/>
      <c r="AK750" s="5"/>
      <c r="AL750" s="560"/>
      <c r="AM750" s="263"/>
      <c r="AN750" s="560"/>
      <c r="AO750" s="5"/>
      <c r="AP750" s="590"/>
      <c r="AQ750" s="37">
        <v>0</v>
      </c>
      <c r="AR750" s="1040"/>
      <c r="AS750" s="1027"/>
      <c r="AT750" s="253"/>
      <c r="AU750" s="12"/>
      <c r="AV750" s="243"/>
      <c r="AW750" s="54"/>
      <c r="AX750" s="253"/>
      <c r="AY750" s="5"/>
      <c r="AZ750" s="5"/>
      <c r="BA750" s="12"/>
      <c r="BB750" s="253"/>
      <c r="BC750" s="558"/>
      <c r="BD750" s="5"/>
      <c r="BE750" s="5"/>
      <c r="BF750" s="5"/>
      <c r="BG750" s="66">
        <f t="shared" ref="BG750:BG753" si="24">AQ750+AR750</f>
        <v>0</v>
      </c>
      <c r="BH750" s="222"/>
      <c r="BI750" s="1646"/>
      <c r="BJ750" s="1647"/>
      <c r="BK750" s="1647"/>
      <c r="BL750" s="1648"/>
      <c r="BM750" s="1648"/>
      <c r="BN750" s="1648"/>
      <c r="BO750" s="1648"/>
      <c r="BP750" s="1648"/>
      <c r="BQ750" s="1648"/>
      <c r="BR750" s="1649"/>
      <c r="BS750" s="1053"/>
      <c r="BT750" s="14"/>
      <c r="BU750" s="23"/>
      <c r="BV750" s="23"/>
      <c r="BW750" s="23"/>
      <c r="BX750" s="23"/>
      <c r="BY750" s="1433"/>
      <c r="BZ750" s="987"/>
      <c r="CA750" s="582"/>
      <c r="CB750" s="582"/>
      <c r="CC750" s="582"/>
      <c r="CD750" s="582"/>
      <c r="CE750" s="582"/>
      <c r="CF750" s="582"/>
      <c r="CG750" s="582"/>
      <c r="CH750" s="16"/>
    </row>
    <row r="751" spans="2:86" ht="100.5" hidden="1" customHeight="1">
      <c r="B751" s="23"/>
      <c r="C751" s="23"/>
      <c r="D751" s="23"/>
      <c r="E751" s="1051"/>
      <c r="F751" s="1051"/>
      <c r="G751" s="1055"/>
      <c r="H751" s="365"/>
      <c r="I751" s="182">
        <v>2023</v>
      </c>
      <c r="J751" s="1678"/>
      <c r="K751" s="183" t="s">
        <v>166</v>
      </c>
      <c r="L751" s="191" t="s">
        <v>6009</v>
      </c>
      <c r="M751" s="185" t="s">
        <v>79</v>
      </c>
      <c r="N751" s="495" t="s">
        <v>6019</v>
      </c>
      <c r="O751" s="186" t="s">
        <v>2574</v>
      </c>
      <c r="P751" s="2019">
        <v>1777367.51</v>
      </c>
      <c r="Q751" s="188">
        <v>45258</v>
      </c>
      <c r="R751" s="189">
        <v>45264</v>
      </c>
      <c r="S751" s="190">
        <v>45374</v>
      </c>
      <c r="T751" s="578">
        <v>45257</v>
      </c>
      <c r="U751" s="739" t="s">
        <v>6020</v>
      </c>
      <c r="V751" s="716" t="s">
        <v>70</v>
      </c>
      <c r="W751" s="2030"/>
      <c r="X751" s="1637"/>
      <c r="Y751" s="280"/>
      <c r="Z751" s="9"/>
      <c r="AA751" s="4"/>
      <c r="AB751" s="4"/>
      <c r="AC751" s="34"/>
      <c r="AD751" s="36" t="s">
        <v>68</v>
      </c>
      <c r="AE751" s="119" t="s">
        <v>68</v>
      </c>
      <c r="AF751" s="119" t="s">
        <v>68</v>
      </c>
      <c r="AG751" s="7" t="s">
        <v>68</v>
      </c>
      <c r="AH751" s="116" t="s">
        <v>68</v>
      </c>
      <c r="AI751" s="280"/>
      <c r="AJ751" s="560"/>
      <c r="AK751" s="5"/>
      <c r="AL751" s="560"/>
      <c r="AM751" s="263"/>
      <c r="AN751" s="560"/>
      <c r="AO751" s="5"/>
      <c r="AP751" s="590"/>
      <c r="AQ751" s="37">
        <v>0</v>
      </c>
      <c r="AR751" s="1040"/>
      <c r="AS751" s="1027"/>
      <c r="AT751" s="253"/>
      <c r="AU751" s="12"/>
      <c r="AV751" s="243"/>
      <c r="AW751" s="54"/>
      <c r="AX751" s="253"/>
      <c r="AY751" s="5"/>
      <c r="AZ751" s="5"/>
      <c r="BA751" s="12"/>
      <c r="BB751" s="253"/>
      <c r="BC751" s="558"/>
      <c r="BD751" s="5"/>
      <c r="BE751" s="5"/>
      <c r="BF751" s="5"/>
      <c r="BG751" s="66">
        <f t="shared" si="24"/>
        <v>0</v>
      </c>
      <c r="BH751" s="222"/>
      <c r="BI751" s="1646"/>
      <c r="BJ751" s="1647"/>
      <c r="BK751" s="1647"/>
      <c r="BL751" s="1648"/>
      <c r="BM751" s="1648"/>
      <c r="BN751" s="1648"/>
      <c r="BO751" s="1648"/>
      <c r="BP751" s="1648"/>
      <c r="BQ751" s="1648"/>
      <c r="BR751" s="1649"/>
      <c r="BS751" s="1053"/>
      <c r="BT751" s="14"/>
      <c r="BU751" s="23"/>
      <c r="BV751" s="23"/>
      <c r="BW751" s="23"/>
      <c r="BX751" s="23"/>
      <c r="BY751" s="1433"/>
      <c r="BZ751" s="987"/>
      <c r="CA751" s="582"/>
      <c r="CB751" s="582"/>
      <c r="CC751" s="582"/>
      <c r="CD751" s="582"/>
      <c r="CE751" s="582"/>
      <c r="CF751" s="582"/>
      <c r="CG751" s="582"/>
      <c r="CH751" s="16"/>
    </row>
    <row r="752" spans="2:86" ht="118.5" hidden="1" customHeight="1">
      <c r="B752" s="23"/>
      <c r="C752" s="23"/>
      <c r="D752" s="23"/>
      <c r="E752" s="1051"/>
      <c r="F752" s="1051"/>
      <c r="G752" s="1055">
        <v>45300</v>
      </c>
      <c r="H752" s="365"/>
      <c r="I752" s="182">
        <v>2023</v>
      </c>
      <c r="J752" s="1678"/>
      <c r="K752" s="183" t="s">
        <v>77</v>
      </c>
      <c r="L752" s="191" t="s">
        <v>6010</v>
      </c>
      <c r="M752" s="185" t="s">
        <v>79</v>
      </c>
      <c r="N752" s="495" t="s">
        <v>6021</v>
      </c>
      <c r="O752" s="186" t="s">
        <v>1979</v>
      </c>
      <c r="P752" s="2019">
        <v>521271.1</v>
      </c>
      <c r="Q752" s="188">
        <v>45257</v>
      </c>
      <c r="R752" s="189">
        <v>45258</v>
      </c>
      <c r="S752" s="190">
        <v>45276</v>
      </c>
      <c r="T752" s="578">
        <v>45257</v>
      </c>
      <c r="U752" s="739" t="s">
        <v>3510</v>
      </c>
      <c r="V752" s="716" t="s">
        <v>70</v>
      </c>
      <c r="W752" s="2030"/>
      <c r="X752" s="1637"/>
      <c r="Y752" s="180" t="s">
        <v>6076</v>
      </c>
      <c r="Z752" s="9">
        <v>45027</v>
      </c>
      <c r="AA752" s="4">
        <v>600000</v>
      </c>
      <c r="AB752" s="4"/>
      <c r="AC752" s="34"/>
      <c r="AD752" s="36" t="s">
        <v>68</v>
      </c>
      <c r="AE752" s="119" t="s">
        <v>68</v>
      </c>
      <c r="AF752" s="119" t="s">
        <v>68</v>
      </c>
      <c r="AG752" s="7" t="s">
        <v>68</v>
      </c>
      <c r="AH752" s="116" t="s">
        <v>68</v>
      </c>
      <c r="AI752" s="180" t="s">
        <v>5999</v>
      </c>
      <c r="AJ752" s="560"/>
      <c r="AK752" s="5"/>
      <c r="AL752" s="202" t="s">
        <v>6077</v>
      </c>
      <c r="AM752" s="263">
        <v>45257</v>
      </c>
      <c r="AN752" s="560"/>
      <c r="AO752" s="5"/>
      <c r="AP752" s="590">
        <f>52127.11</f>
        <v>52127.11</v>
      </c>
      <c r="AQ752" s="37">
        <v>0</v>
      </c>
      <c r="AR752" s="1040"/>
      <c r="AS752" s="1027"/>
      <c r="AT752" s="253"/>
      <c r="AU752" s="12"/>
      <c r="AV752" s="243"/>
      <c r="AW752" s="54"/>
      <c r="AX752" s="253"/>
      <c r="AY752" s="5"/>
      <c r="AZ752" s="5"/>
      <c r="BA752" s="12"/>
      <c r="BB752" s="253"/>
      <c r="BC752" s="558"/>
      <c r="BD752" s="5"/>
      <c r="BE752" s="5"/>
      <c r="BF752" s="5"/>
      <c r="BG752" s="66">
        <f t="shared" si="24"/>
        <v>0</v>
      </c>
      <c r="BH752" s="222"/>
      <c r="BI752" s="372">
        <v>45257</v>
      </c>
      <c r="BJ752" s="76">
        <v>45258</v>
      </c>
      <c r="BK752" s="76">
        <v>45258</v>
      </c>
      <c r="BL752" s="1648"/>
      <c r="BM752" s="1054">
        <v>45258</v>
      </c>
      <c r="BN752" s="1054">
        <v>45258</v>
      </c>
      <c r="BO752" s="1054">
        <v>45258</v>
      </c>
      <c r="BP752" s="1648"/>
      <c r="BQ752" s="1648"/>
      <c r="BR752" s="1649"/>
      <c r="BS752" s="1053"/>
      <c r="BT752" s="14"/>
      <c r="BU752" s="23"/>
      <c r="BV752" s="23"/>
      <c r="BW752" s="23"/>
      <c r="BX752" s="23"/>
      <c r="BY752" s="1433"/>
      <c r="BZ752" s="987"/>
      <c r="CA752" s="582"/>
      <c r="CB752" s="582"/>
      <c r="CC752" s="582"/>
      <c r="CD752" s="582"/>
      <c r="CE752" s="582"/>
      <c r="CF752" s="582"/>
      <c r="CG752" s="582"/>
      <c r="CH752" s="16"/>
    </row>
    <row r="753" spans="2:86" ht="105" hidden="1" customHeight="1">
      <c r="B753" s="23"/>
      <c r="C753" s="23"/>
      <c r="D753" s="23"/>
      <c r="E753" s="1051"/>
      <c r="F753" s="1051"/>
      <c r="G753" s="1055"/>
      <c r="H753" s="365"/>
      <c r="I753" s="182">
        <v>2023</v>
      </c>
      <c r="J753" s="1678"/>
      <c r="K753" s="183" t="s">
        <v>6022</v>
      </c>
      <c r="L753" s="191" t="s">
        <v>6011</v>
      </c>
      <c r="M753" s="185" t="s">
        <v>79</v>
      </c>
      <c r="N753" s="495" t="s">
        <v>6023</v>
      </c>
      <c r="O753" s="186" t="s">
        <v>4458</v>
      </c>
      <c r="P753" s="2019">
        <v>810268.98</v>
      </c>
      <c r="Q753" s="188">
        <v>45269</v>
      </c>
      <c r="R753" s="189">
        <v>45271</v>
      </c>
      <c r="S753" s="190">
        <v>45290</v>
      </c>
      <c r="T753" s="578">
        <v>45268</v>
      </c>
      <c r="U753" s="739" t="s">
        <v>4499</v>
      </c>
      <c r="V753" s="716" t="s">
        <v>70</v>
      </c>
      <c r="W753" s="2030"/>
      <c r="X753" s="1637"/>
      <c r="Y753" s="280"/>
      <c r="Z753" s="9"/>
      <c r="AA753" s="4"/>
      <c r="AB753" s="4"/>
      <c r="AC753" s="34"/>
      <c r="AD753" s="36" t="s">
        <v>68</v>
      </c>
      <c r="AE753" s="119" t="s">
        <v>68</v>
      </c>
      <c r="AF753" s="119" t="s">
        <v>68</v>
      </c>
      <c r="AG753" s="7" t="s">
        <v>68</v>
      </c>
      <c r="AH753" s="116" t="s">
        <v>68</v>
      </c>
      <c r="AI753" s="280"/>
      <c r="AJ753" s="560"/>
      <c r="AK753" s="5"/>
      <c r="AL753" s="560"/>
      <c r="AM753" s="263"/>
      <c r="AN753" s="560"/>
      <c r="AO753" s="5"/>
      <c r="AP753" s="590"/>
      <c r="AQ753" s="37">
        <v>0</v>
      </c>
      <c r="AR753" s="1040"/>
      <c r="AS753" s="1027"/>
      <c r="AT753" s="253"/>
      <c r="AU753" s="12"/>
      <c r="AV753" s="243"/>
      <c r="AW753" s="54"/>
      <c r="AX753" s="253"/>
      <c r="AY753" s="5"/>
      <c r="AZ753" s="5"/>
      <c r="BA753" s="12"/>
      <c r="BB753" s="253"/>
      <c r="BC753" s="558"/>
      <c r="BD753" s="5"/>
      <c r="BE753" s="5"/>
      <c r="BF753" s="5"/>
      <c r="BG753" s="66">
        <f t="shared" si="24"/>
        <v>0</v>
      </c>
      <c r="BH753" s="222"/>
      <c r="BI753" s="1646"/>
      <c r="BJ753" s="1647"/>
      <c r="BK753" s="1647"/>
      <c r="BL753" s="1648"/>
      <c r="BM753" s="1648"/>
      <c r="BN753" s="1648"/>
      <c r="BO753" s="1648"/>
      <c r="BP753" s="1648"/>
      <c r="BQ753" s="1648"/>
      <c r="BR753" s="1649"/>
      <c r="BS753" s="1053"/>
      <c r="BT753" s="14"/>
      <c r="BU753" s="23"/>
      <c r="BV753" s="23"/>
      <c r="BW753" s="23"/>
      <c r="BX753" s="23"/>
      <c r="BY753" s="1433"/>
      <c r="BZ753" s="987"/>
      <c r="CA753" s="582"/>
      <c r="CB753" s="582"/>
      <c r="CC753" s="582"/>
      <c r="CD753" s="582"/>
      <c r="CE753" s="582"/>
      <c r="CF753" s="582"/>
      <c r="CG753" s="582"/>
      <c r="CH753" s="16"/>
    </row>
    <row r="754" spans="2:86" ht="34.5" hidden="1" customHeight="1">
      <c r="B754" s="23"/>
      <c r="C754" s="23"/>
      <c r="D754" s="23"/>
      <c r="E754" s="1051"/>
      <c r="F754" s="1051"/>
      <c r="G754" s="1055"/>
      <c r="H754" s="365"/>
      <c r="I754" s="182"/>
      <c r="J754" s="1678"/>
      <c r="K754" s="183"/>
      <c r="L754" s="191"/>
      <c r="M754" s="185"/>
      <c r="N754" s="1401"/>
      <c r="O754" s="186"/>
      <c r="P754" s="2019"/>
      <c r="Q754" s="188"/>
      <c r="R754" s="189"/>
      <c r="S754" s="190"/>
      <c r="T754" s="773"/>
      <c r="U754" s="1229"/>
      <c r="V754" s="1064"/>
      <c r="W754" s="2030"/>
      <c r="X754" s="1637"/>
      <c r="Y754" s="280"/>
      <c r="Z754" s="9"/>
      <c r="AA754" s="4"/>
      <c r="AB754" s="4"/>
      <c r="AC754" s="34"/>
      <c r="AD754" s="1650"/>
      <c r="AE754" s="696"/>
      <c r="AF754" s="696"/>
      <c r="AG754" s="1651"/>
      <c r="AH754" s="1613"/>
      <c r="AI754" s="280"/>
      <c r="AJ754" s="239"/>
      <c r="AK754" s="5"/>
      <c r="AL754" s="239"/>
      <c r="AM754" s="5"/>
      <c r="AN754" s="239"/>
      <c r="AO754" s="5"/>
      <c r="AP754" s="590"/>
      <c r="AQ754" s="37"/>
      <c r="AR754" s="1040"/>
      <c r="AS754" s="1027"/>
      <c r="AT754" s="253"/>
      <c r="AU754" s="12"/>
      <c r="AV754" s="243"/>
      <c r="AW754" s="54"/>
      <c r="AX754" s="253"/>
      <c r="AY754" s="5"/>
      <c r="AZ754" s="5"/>
      <c r="BA754" s="12"/>
      <c r="BB754" s="253"/>
      <c r="BC754" s="558"/>
      <c r="BD754" s="5"/>
      <c r="BE754" s="5"/>
      <c r="BF754" s="5"/>
      <c r="BG754" s="66"/>
      <c r="BH754" s="222"/>
      <c r="BI754" s="1646"/>
      <c r="BJ754" s="1647"/>
      <c r="BK754" s="1647"/>
      <c r="BL754" s="1648"/>
      <c r="BM754" s="1648"/>
      <c r="BN754" s="1648"/>
      <c r="BO754" s="1648"/>
      <c r="BP754" s="1648"/>
      <c r="BQ754" s="1648"/>
      <c r="BR754" s="1649"/>
      <c r="BS754" s="1053"/>
      <c r="BT754" s="14"/>
      <c r="BU754" s="23"/>
      <c r="BV754" s="23"/>
      <c r="BW754" s="23"/>
      <c r="BX754" s="23"/>
      <c r="BY754" s="1433"/>
      <c r="BZ754" s="987"/>
      <c r="CA754" s="582"/>
      <c r="CB754" s="582"/>
      <c r="CC754" s="582"/>
      <c r="CD754" s="582"/>
      <c r="CE754" s="582"/>
      <c r="CF754" s="582"/>
      <c r="CG754" s="582"/>
      <c r="CH754" s="16"/>
    </row>
    <row r="755" spans="2:86" ht="34.5" hidden="1" customHeight="1">
      <c r="B755" s="23"/>
      <c r="C755" s="23"/>
      <c r="D755" s="23"/>
      <c r="E755" s="1051"/>
      <c r="F755" s="1051"/>
      <c r="G755" s="1055"/>
      <c r="H755" s="365"/>
      <c r="I755" s="182"/>
      <c r="J755" s="1678"/>
      <c r="K755" s="183"/>
      <c r="L755" s="191"/>
      <c r="M755" s="185"/>
      <c r="N755" s="1401"/>
      <c r="O755" s="186"/>
      <c r="P755" s="2019"/>
      <c r="Q755" s="188"/>
      <c r="R755" s="189"/>
      <c r="S755" s="190"/>
      <c r="T755" s="773"/>
      <c r="U755" s="1229"/>
      <c r="V755" s="1064"/>
      <c r="W755" s="2030"/>
      <c r="X755" s="1637"/>
      <c r="Y755" s="280"/>
      <c r="Z755" s="9"/>
      <c r="AA755" s="4"/>
      <c r="AB755" s="4"/>
      <c r="AC755" s="34"/>
      <c r="AD755" s="1650"/>
      <c r="AE755" s="696"/>
      <c r="AF755" s="696"/>
      <c r="AG755" s="1651"/>
      <c r="AH755" s="1613"/>
      <c r="AI755" s="280"/>
      <c r="AJ755" s="239"/>
      <c r="AK755" s="5"/>
      <c r="AL755" s="239"/>
      <c r="AM755" s="5"/>
      <c r="AN755" s="239"/>
      <c r="AO755" s="5"/>
      <c r="AP755" s="590"/>
      <c r="AQ755" s="37"/>
      <c r="AR755" s="1040"/>
      <c r="AS755" s="1027"/>
      <c r="AT755" s="253"/>
      <c r="AU755" s="12"/>
      <c r="AV755" s="243"/>
      <c r="AW755" s="54"/>
      <c r="AX755" s="253"/>
      <c r="AY755" s="5"/>
      <c r="AZ755" s="5"/>
      <c r="BA755" s="12"/>
      <c r="BB755" s="253"/>
      <c r="BC755" s="558"/>
      <c r="BD755" s="5"/>
      <c r="BE755" s="5"/>
      <c r="BF755" s="5"/>
      <c r="BG755" s="66"/>
      <c r="BH755" s="222"/>
      <c r="BI755" s="1646"/>
      <c r="BJ755" s="1647"/>
      <c r="BK755" s="1647"/>
      <c r="BL755" s="1648"/>
      <c r="BM755" s="1648"/>
      <c r="BN755" s="1648"/>
      <c r="BO755" s="1648"/>
      <c r="BP755" s="1648"/>
      <c r="BQ755" s="1648"/>
      <c r="BR755" s="1649"/>
      <c r="BS755" s="1053"/>
      <c r="BT755" s="14"/>
      <c r="BU755" s="23"/>
      <c r="BV755" s="23"/>
      <c r="BW755" s="23"/>
      <c r="BX755" s="23"/>
      <c r="BY755" s="1433"/>
      <c r="BZ755" s="987"/>
      <c r="CA755" s="582"/>
      <c r="CB755" s="582"/>
      <c r="CC755" s="582"/>
      <c r="CD755" s="582"/>
      <c r="CE755" s="582"/>
      <c r="CF755" s="582"/>
      <c r="CG755" s="582"/>
      <c r="CH755" s="16"/>
    </row>
    <row r="756" spans="2:86" ht="34.5" hidden="1" customHeight="1">
      <c r="B756" s="23"/>
      <c r="C756" s="23"/>
      <c r="D756" s="23"/>
      <c r="E756" s="1051"/>
      <c r="F756" s="1051"/>
      <c r="G756" s="1055"/>
      <c r="H756" s="365"/>
      <c r="I756" s="182"/>
      <c r="J756" s="1678"/>
      <c r="K756" s="183"/>
      <c r="L756" s="191"/>
      <c r="M756" s="185"/>
      <c r="N756" s="1401"/>
      <c r="O756" s="186"/>
      <c r="P756" s="2019"/>
      <c r="Q756" s="188"/>
      <c r="R756" s="189"/>
      <c r="S756" s="190"/>
      <c r="T756" s="773"/>
      <c r="U756" s="1229"/>
      <c r="V756" s="1064"/>
      <c r="W756" s="2030"/>
      <c r="X756" s="1637"/>
      <c r="Y756" s="280"/>
      <c r="Z756" s="9"/>
      <c r="AA756" s="4"/>
      <c r="AB756" s="4"/>
      <c r="AC756" s="34"/>
      <c r="AD756" s="1650"/>
      <c r="AE756" s="696"/>
      <c r="AF756" s="696"/>
      <c r="AG756" s="1651"/>
      <c r="AH756" s="1613"/>
      <c r="AI756" s="280"/>
      <c r="AJ756" s="239"/>
      <c r="AK756" s="5"/>
      <c r="AL756" s="239"/>
      <c r="AM756" s="5"/>
      <c r="AN756" s="239"/>
      <c r="AO756" s="5"/>
      <c r="AP756" s="590"/>
      <c r="AQ756" s="37"/>
      <c r="AR756" s="1040"/>
      <c r="AS756" s="1027"/>
      <c r="AT756" s="253"/>
      <c r="AU756" s="12"/>
      <c r="AV756" s="243"/>
      <c r="AW756" s="54"/>
      <c r="AX756" s="253"/>
      <c r="AY756" s="5"/>
      <c r="AZ756" s="5"/>
      <c r="BA756" s="12"/>
      <c r="BB756" s="253"/>
      <c r="BC756" s="558"/>
      <c r="BD756" s="5"/>
      <c r="BE756" s="5"/>
      <c r="BF756" s="5"/>
      <c r="BG756" s="66"/>
      <c r="BH756" s="222"/>
      <c r="BI756" s="1646"/>
      <c r="BJ756" s="1647"/>
      <c r="BK756" s="1647"/>
      <c r="BL756" s="1648"/>
      <c r="BM756" s="1648"/>
      <c r="BN756" s="1648"/>
      <c r="BO756" s="1648"/>
      <c r="BP756" s="1648"/>
      <c r="BQ756" s="1648"/>
      <c r="BR756" s="1649"/>
      <c r="BS756" s="1053"/>
      <c r="BT756" s="14"/>
      <c r="BU756" s="23"/>
      <c r="BV756" s="23"/>
      <c r="BW756" s="23"/>
      <c r="BX756" s="23"/>
      <c r="BY756" s="1433"/>
      <c r="BZ756" s="987"/>
      <c r="CA756" s="582"/>
      <c r="CB756" s="582"/>
      <c r="CC756" s="582"/>
      <c r="CD756" s="582"/>
      <c r="CE756" s="582"/>
      <c r="CF756" s="582"/>
      <c r="CG756" s="582"/>
      <c r="CH756" s="16"/>
    </row>
    <row r="757" spans="2:86" ht="34.5" hidden="1" customHeight="1">
      <c r="B757" s="23"/>
      <c r="C757" s="23"/>
      <c r="D757" s="23"/>
      <c r="E757" s="1051"/>
      <c r="F757" s="1051"/>
      <c r="G757" s="1055"/>
      <c r="H757" s="365"/>
      <c r="I757" s="182"/>
      <c r="J757" s="1678"/>
      <c r="K757" s="183"/>
      <c r="L757" s="191"/>
      <c r="M757" s="185"/>
      <c r="N757" s="1401"/>
      <c r="O757" s="186"/>
      <c r="P757" s="2019"/>
      <c r="Q757" s="188"/>
      <c r="R757" s="189"/>
      <c r="S757" s="190"/>
      <c r="T757" s="773"/>
      <c r="U757" s="1229"/>
      <c r="V757" s="1064"/>
      <c r="W757" s="2030"/>
      <c r="X757" s="1637"/>
      <c r="Y757" s="280"/>
      <c r="Z757" s="9"/>
      <c r="AA757" s="4"/>
      <c r="AB757" s="4"/>
      <c r="AC757" s="34"/>
      <c r="AD757" s="1650"/>
      <c r="AE757" s="696"/>
      <c r="AF757" s="696"/>
      <c r="AG757" s="1651"/>
      <c r="AH757" s="1613"/>
      <c r="AI757" s="280"/>
      <c r="AJ757" s="239"/>
      <c r="AK757" s="5"/>
      <c r="AL757" s="239"/>
      <c r="AM757" s="5"/>
      <c r="AN757" s="239"/>
      <c r="AO757" s="5"/>
      <c r="AP757" s="590"/>
      <c r="AQ757" s="37"/>
      <c r="AR757" s="1040"/>
      <c r="AS757" s="1027"/>
      <c r="AT757" s="253"/>
      <c r="AU757" s="12"/>
      <c r="AV757" s="243"/>
      <c r="AW757" s="54"/>
      <c r="AX757" s="253"/>
      <c r="AY757" s="5"/>
      <c r="AZ757" s="5"/>
      <c r="BA757" s="12"/>
      <c r="BB757" s="253"/>
      <c r="BC757" s="558"/>
      <c r="BD757" s="5"/>
      <c r="BE757" s="5"/>
      <c r="BF757" s="5"/>
      <c r="BG757" s="66"/>
      <c r="BH757" s="222"/>
      <c r="BI757" s="1646"/>
      <c r="BJ757" s="1647"/>
      <c r="BK757" s="1647"/>
      <c r="BL757" s="1648"/>
      <c r="BM757" s="1648"/>
      <c r="BN757" s="1648"/>
      <c r="BO757" s="1648"/>
      <c r="BP757" s="1648"/>
      <c r="BQ757" s="1648"/>
      <c r="BR757" s="1649"/>
      <c r="BS757" s="1053"/>
      <c r="BT757" s="14"/>
      <c r="BU757" s="23"/>
      <c r="BV757" s="23"/>
      <c r="BW757" s="23"/>
      <c r="BX757" s="23"/>
      <c r="BY757" s="1433"/>
      <c r="BZ757" s="987"/>
      <c r="CA757" s="582"/>
      <c r="CB757" s="582"/>
      <c r="CC757" s="582"/>
      <c r="CD757" s="582"/>
      <c r="CE757" s="582"/>
      <c r="CF757" s="582"/>
      <c r="CG757" s="582"/>
      <c r="CH757" s="16"/>
    </row>
    <row r="758" spans="2:86" ht="34.5" hidden="1" customHeight="1">
      <c r="B758" s="23"/>
      <c r="C758" s="23"/>
      <c r="D758" s="23"/>
      <c r="E758" s="1051"/>
      <c r="F758" s="1051"/>
      <c r="G758" s="1055"/>
      <c r="H758" s="365"/>
      <c r="I758" s="182"/>
      <c r="J758" s="1678"/>
      <c r="K758" s="183"/>
      <c r="L758" s="191"/>
      <c r="M758" s="185"/>
      <c r="N758" s="1401"/>
      <c r="O758" s="186"/>
      <c r="P758" s="2019"/>
      <c r="Q758" s="188"/>
      <c r="R758" s="189"/>
      <c r="S758" s="190"/>
      <c r="T758" s="773"/>
      <c r="U758" s="1229"/>
      <c r="V758" s="1064"/>
      <c r="W758" s="2030"/>
      <c r="X758" s="1637"/>
      <c r="Y758" s="280"/>
      <c r="Z758" s="9"/>
      <c r="AA758" s="4"/>
      <c r="AB758" s="4"/>
      <c r="AC758" s="34"/>
      <c r="AD758" s="1650"/>
      <c r="AE758" s="696"/>
      <c r="AF758" s="696"/>
      <c r="AG758" s="1651"/>
      <c r="AH758" s="1613"/>
      <c r="AI758" s="280"/>
      <c r="AJ758" s="239"/>
      <c r="AK758" s="5"/>
      <c r="AL758" s="239"/>
      <c r="AM758" s="5"/>
      <c r="AN758" s="239"/>
      <c r="AO758" s="5"/>
      <c r="AP758" s="590"/>
      <c r="AQ758" s="37"/>
      <c r="AR758" s="1040"/>
      <c r="AS758" s="1027"/>
      <c r="AT758" s="253"/>
      <c r="AU758" s="12"/>
      <c r="AV758" s="243"/>
      <c r="AW758" s="54"/>
      <c r="AX758" s="253"/>
      <c r="AY758" s="5"/>
      <c r="AZ758" s="5"/>
      <c r="BA758" s="12"/>
      <c r="BB758" s="253"/>
      <c r="BC758" s="558"/>
      <c r="BD758" s="5"/>
      <c r="BE758" s="5"/>
      <c r="BF758" s="5"/>
      <c r="BG758" s="66"/>
      <c r="BH758" s="222"/>
      <c r="BI758" s="1646"/>
      <c r="BJ758" s="1647"/>
      <c r="BK758" s="1647"/>
      <c r="BL758" s="1648"/>
      <c r="BM758" s="1648"/>
      <c r="BN758" s="1648"/>
      <c r="BO758" s="1648"/>
      <c r="BP758" s="1648"/>
      <c r="BQ758" s="1648"/>
      <c r="BR758" s="1649"/>
      <c r="BS758" s="1053"/>
      <c r="BT758" s="14"/>
      <c r="BU758" s="23"/>
      <c r="BV758" s="23"/>
      <c r="BW758" s="23"/>
      <c r="BX758" s="23"/>
      <c r="BY758" s="1433"/>
      <c r="BZ758" s="987"/>
      <c r="CA758" s="582"/>
      <c r="CB758" s="582"/>
      <c r="CC758" s="582"/>
      <c r="CD758" s="582"/>
      <c r="CE758" s="582"/>
      <c r="CF758" s="582"/>
      <c r="CG758" s="582"/>
      <c r="CH758" s="16"/>
    </row>
    <row r="759" spans="2:86" ht="34.5" hidden="1" customHeight="1">
      <c r="B759" s="23"/>
      <c r="C759" s="23"/>
      <c r="D759" s="23"/>
      <c r="E759" s="1051"/>
      <c r="F759" s="1051"/>
      <c r="G759" s="1055"/>
      <c r="H759" s="365"/>
      <c r="I759" s="182"/>
      <c r="J759" s="1678"/>
      <c r="K759" s="183"/>
      <c r="L759" s="191"/>
      <c r="M759" s="185"/>
      <c r="N759" s="1401"/>
      <c r="O759" s="186"/>
      <c r="P759" s="2019"/>
      <c r="Q759" s="188"/>
      <c r="R759" s="189"/>
      <c r="S759" s="190"/>
      <c r="T759" s="773"/>
      <c r="U759" s="1229"/>
      <c r="V759" s="1064"/>
      <c r="W759" s="2030"/>
      <c r="X759" s="1637"/>
      <c r="Y759" s="280"/>
      <c r="Z759" s="9"/>
      <c r="AA759" s="4"/>
      <c r="AB759" s="4"/>
      <c r="AC759" s="34"/>
      <c r="AD759" s="1650"/>
      <c r="AE759" s="696"/>
      <c r="AF759" s="696"/>
      <c r="AG759" s="1651"/>
      <c r="AH759" s="1613"/>
      <c r="AI759" s="280"/>
      <c r="AJ759" s="239"/>
      <c r="AK759" s="5"/>
      <c r="AL759" s="239"/>
      <c r="AM759" s="5"/>
      <c r="AN759" s="239"/>
      <c r="AO759" s="5"/>
      <c r="AP759" s="590"/>
      <c r="AQ759" s="37"/>
      <c r="AR759" s="1040"/>
      <c r="AS759" s="1027"/>
      <c r="AT759" s="253"/>
      <c r="AU759" s="12"/>
      <c r="AV759" s="243"/>
      <c r="AW759" s="54"/>
      <c r="AX759" s="253"/>
      <c r="AY759" s="5"/>
      <c r="AZ759" s="5"/>
      <c r="BA759" s="12"/>
      <c r="BB759" s="253"/>
      <c r="BC759" s="558"/>
      <c r="BD759" s="5"/>
      <c r="BE759" s="5"/>
      <c r="BF759" s="5"/>
      <c r="BG759" s="66"/>
      <c r="BH759" s="222"/>
      <c r="BI759" s="1646"/>
      <c r="BJ759" s="1647"/>
      <c r="BK759" s="1647"/>
      <c r="BL759" s="1648"/>
      <c r="BM759" s="1648"/>
      <c r="BN759" s="1648"/>
      <c r="BO759" s="1648"/>
      <c r="BP759" s="1648"/>
      <c r="BQ759" s="1648"/>
      <c r="BR759" s="1649"/>
      <c r="BS759" s="1053"/>
      <c r="BT759" s="14"/>
      <c r="BU759" s="23"/>
      <c r="BV759" s="23"/>
      <c r="BW759" s="23"/>
      <c r="BX759" s="23"/>
      <c r="BY759" s="1433"/>
      <c r="BZ759" s="987"/>
      <c r="CA759" s="582"/>
      <c r="CB759" s="582"/>
      <c r="CC759" s="582"/>
      <c r="CD759" s="582"/>
      <c r="CE759" s="582"/>
      <c r="CF759" s="582"/>
      <c r="CG759" s="582"/>
      <c r="CH759" s="16"/>
    </row>
    <row r="760" spans="2:86" ht="34.5" hidden="1" customHeight="1">
      <c r="B760" s="23"/>
      <c r="C760" s="23"/>
      <c r="D760" s="23"/>
      <c r="E760" s="1051"/>
      <c r="F760" s="1051"/>
      <c r="G760" s="1055"/>
      <c r="H760" s="365"/>
      <c r="I760" s="182"/>
      <c r="J760" s="1678"/>
      <c r="K760" s="183"/>
      <c r="L760" s="191"/>
      <c r="M760" s="185"/>
      <c r="N760" s="1401"/>
      <c r="O760" s="186"/>
      <c r="P760" s="2019"/>
      <c r="Q760" s="188"/>
      <c r="R760" s="189"/>
      <c r="S760" s="190"/>
      <c r="T760" s="773"/>
      <c r="U760" s="1229"/>
      <c r="V760" s="1064"/>
      <c r="W760" s="2030"/>
      <c r="X760" s="1637"/>
      <c r="Y760" s="280"/>
      <c r="Z760" s="9"/>
      <c r="AA760" s="4"/>
      <c r="AB760" s="4"/>
      <c r="AC760" s="34"/>
      <c r="AD760" s="1650"/>
      <c r="AE760" s="696"/>
      <c r="AF760" s="696"/>
      <c r="AG760" s="1651"/>
      <c r="AH760" s="1613"/>
      <c r="AI760" s="280"/>
      <c r="AJ760" s="239"/>
      <c r="AK760" s="5"/>
      <c r="AL760" s="239"/>
      <c r="AM760" s="5"/>
      <c r="AN760" s="239"/>
      <c r="AO760" s="5"/>
      <c r="AP760" s="590"/>
      <c r="AQ760" s="37"/>
      <c r="AR760" s="1040"/>
      <c r="AS760" s="1027"/>
      <c r="AT760" s="253"/>
      <c r="AU760" s="12"/>
      <c r="AV760" s="243"/>
      <c r="AW760" s="54"/>
      <c r="AX760" s="253"/>
      <c r="AY760" s="5"/>
      <c r="AZ760" s="5"/>
      <c r="BA760" s="12"/>
      <c r="BB760" s="253"/>
      <c r="BC760" s="558"/>
      <c r="BD760" s="5"/>
      <c r="BE760" s="5"/>
      <c r="BF760" s="5"/>
      <c r="BG760" s="66"/>
      <c r="BH760" s="222"/>
      <c r="BI760" s="1646"/>
      <c r="BJ760" s="1647"/>
      <c r="BK760" s="1647"/>
      <c r="BL760" s="1648"/>
      <c r="BM760" s="1648"/>
      <c r="BN760" s="1648"/>
      <c r="BO760" s="1648"/>
      <c r="BP760" s="1648"/>
      <c r="BQ760" s="1648"/>
      <c r="BR760" s="1649"/>
      <c r="BS760" s="1053"/>
      <c r="BT760" s="14"/>
      <c r="BU760" s="23"/>
      <c r="BV760" s="23"/>
      <c r="BW760" s="23"/>
      <c r="BX760" s="23"/>
      <c r="BY760" s="1433"/>
      <c r="BZ760" s="987"/>
      <c r="CA760" s="582"/>
      <c r="CB760" s="582"/>
      <c r="CC760" s="582"/>
      <c r="CD760" s="582"/>
      <c r="CE760" s="582"/>
      <c r="CF760" s="582"/>
      <c r="CG760" s="582"/>
      <c r="CH760" s="16"/>
    </row>
    <row r="761" spans="2:86" ht="34.5" hidden="1" customHeight="1">
      <c r="B761" s="23"/>
      <c r="C761" s="23"/>
      <c r="D761" s="23"/>
      <c r="E761" s="1051"/>
      <c r="F761" s="1051"/>
      <c r="G761" s="1055"/>
      <c r="H761" s="365"/>
      <c r="I761" s="182"/>
      <c r="J761" s="1678"/>
      <c r="K761" s="183"/>
      <c r="L761" s="191"/>
      <c r="M761" s="185"/>
      <c r="N761" s="1401"/>
      <c r="O761" s="186"/>
      <c r="P761" s="2019"/>
      <c r="Q761" s="188"/>
      <c r="R761" s="189"/>
      <c r="S761" s="190"/>
      <c r="T761" s="773"/>
      <c r="U761" s="1229"/>
      <c r="V761" s="1064"/>
      <c r="W761" s="2030"/>
      <c r="X761" s="1637"/>
      <c r="Y761" s="280"/>
      <c r="Z761" s="9"/>
      <c r="AA761" s="4"/>
      <c r="AB761" s="4"/>
      <c r="AC761" s="34"/>
      <c r="AD761" s="1650"/>
      <c r="AE761" s="696"/>
      <c r="AF761" s="696"/>
      <c r="AG761" s="1651"/>
      <c r="AH761" s="1613"/>
      <c r="AI761" s="280"/>
      <c r="AJ761" s="239"/>
      <c r="AK761" s="5"/>
      <c r="AL761" s="239"/>
      <c r="AM761" s="5"/>
      <c r="AN761" s="239"/>
      <c r="AO761" s="5"/>
      <c r="AP761" s="590"/>
      <c r="AQ761" s="37"/>
      <c r="AR761" s="1040"/>
      <c r="AS761" s="1027"/>
      <c r="AT761" s="253"/>
      <c r="AU761" s="12"/>
      <c r="AV761" s="243"/>
      <c r="AW761" s="54"/>
      <c r="AX761" s="253"/>
      <c r="AY761" s="5"/>
      <c r="AZ761" s="5"/>
      <c r="BA761" s="12"/>
      <c r="BB761" s="253"/>
      <c r="BC761" s="558"/>
      <c r="BD761" s="5"/>
      <c r="BE761" s="5"/>
      <c r="BF761" s="5"/>
      <c r="BG761" s="66"/>
      <c r="BH761" s="222"/>
      <c r="BI761" s="1646"/>
      <c r="BJ761" s="1647"/>
      <c r="BK761" s="1647"/>
      <c r="BL761" s="1648"/>
      <c r="BM761" s="1648"/>
      <c r="BN761" s="1648"/>
      <c r="BO761" s="1648"/>
      <c r="BP761" s="1648"/>
      <c r="BQ761" s="1648"/>
      <c r="BR761" s="1649"/>
      <c r="BS761" s="1053"/>
      <c r="BT761" s="14"/>
      <c r="BU761" s="23"/>
      <c r="BV761" s="23"/>
      <c r="BW761" s="23"/>
      <c r="BX761" s="23"/>
      <c r="BY761" s="1433"/>
      <c r="BZ761" s="987"/>
      <c r="CA761" s="582"/>
      <c r="CB761" s="582"/>
      <c r="CC761" s="582"/>
      <c r="CD761" s="582"/>
      <c r="CE761" s="582"/>
      <c r="CF761" s="582"/>
      <c r="CG761" s="582"/>
      <c r="CH761" s="16"/>
    </row>
    <row r="762" spans="2:86" ht="34.5" hidden="1" customHeight="1">
      <c r="B762" s="23"/>
      <c r="C762" s="23"/>
      <c r="D762" s="23"/>
      <c r="E762" s="1051"/>
      <c r="F762" s="1051"/>
      <c r="G762" s="1055"/>
      <c r="H762" s="365"/>
      <c r="I762" s="182"/>
      <c r="J762" s="1678"/>
      <c r="K762" s="183"/>
      <c r="L762" s="191"/>
      <c r="M762" s="185"/>
      <c r="N762" s="1401"/>
      <c r="O762" s="186"/>
      <c r="P762" s="2019"/>
      <c r="Q762" s="188"/>
      <c r="R762" s="189"/>
      <c r="S762" s="190"/>
      <c r="T762" s="773"/>
      <c r="U762" s="1229"/>
      <c r="V762" s="1064"/>
      <c r="W762" s="2030"/>
      <c r="X762" s="1637"/>
      <c r="Y762" s="280"/>
      <c r="Z762" s="9"/>
      <c r="AA762" s="4"/>
      <c r="AB762" s="4"/>
      <c r="AC762" s="34"/>
      <c r="AD762" s="1650"/>
      <c r="AE762" s="696"/>
      <c r="AF762" s="696"/>
      <c r="AG762" s="1651"/>
      <c r="AH762" s="1613"/>
      <c r="AI762" s="280"/>
      <c r="AJ762" s="239"/>
      <c r="AK762" s="5"/>
      <c r="AL762" s="239"/>
      <c r="AM762" s="5"/>
      <c r="AN762" s="239"/>
      <c r="AO762" s="5"/>
      <c r="AP762" s="590"/>
      <c r="AQ762" s="37"/>
      <c r="AR762" s="1040"/>
      <c r="AS762" s="1027"/>
      <c r="AT762" s="253"/>
      <c r="AU762" s="12"/>
      <c r="AV762" s="243"/>
      <c r="AW762" s="54"/>
      <c r="AX762" s="253"/>
      <c r="AY762" s="5"/>
      <c r="AZ762" s="5"/>
      <c r="BA762" s="12"/>
      <c r="BB762" s="253"/>
      <c r="BC762" s="558"/>
      <c r="BD762" s="5"/>
      <c r="BE762" s="5"/>
      <c r="BF762" s="5"/>
      <c r="BG762" s="66"/>
      <c r="BH762" s="222"/>
      <c r="BI762" s="1646"/>
      <c r="BJ762" s="1647"/>
      <c r="BK762" s="1647"/>
      <c r="BL762" s="1648"/>
      <c r="BM762" s="1648"/>
      <c r="BN762" s="1648"/>
      <c r="BO762" s="1648"/>
      <c r="BP762" s="1648"/>
      <c r="BQ762" s="1648"/>
      <c r="BR762" s="1649"/>
      <c r="BS762" s="1053"/>
      <c r="BT762" s="14"/>
      <c r="BU762" s="23"/>
      <c r="BV762" s="23"/>
      <c r="BW762" s="23"/>
      <c r="BX762" s="23"/>
      <c r="BY762" s="1433"/>
      <c r="BZ762" s="987"/>
      <c r="CA762" s="582"/>
      <c r="CB762" s="582"/>
      <c r="CC762" s="582"/>
      <c r="CD762" s="582"/>
      <c r="CE762" s="582"/>
      <c r="CF762" s="582"/>
      <c r="CG762" s="582"/>
      <c r="CH762" s="16"/>
    </row>
    <row r="763" spans="2:86" ht="34.5" hidden="1" customHeight="1">
      <c r="B763" s="23"/>
      <c r="C763" s="23"/>
      <c r="D763" s="23"/>
      <c r="E763" s="1051"/>
      <c r="F763" s="1051"/>
      <c r="G763" s="1055"/>
      <c r="H763" s="365"/>
      <c r="I763" s="182"/>
      <c r="J763" s="1678"/>
      <c r="K763" s="183"/>
      <c r="L763" s="191"/>
      <c r="M763" s="185"/>
      <c r="N763" s="1401"/>
      <c r="O763" s="186"/>
      <c r="P763" s="2019"/>
      <c r="Q763" s="188"/>
      <c r="R763" s="189"/>
      <c r="S763" s="190"/>
      <c r="T763" s="773"/>
      <c r="U763" s="1229"/>
      <c r="V763" s="1064"/>
      <c r="W763" s="2030"/>
      <c r="X763" s="1637"/>
      <c r="Y763" s="280"/>
      <c r="Z763" s="9"/>
      <c r="AA763" s="4"/>
      <c r="AB763" s="4"/>
      <c r="AC763" s="34"/>
      <c r="AD763" s="1650"/>
      <c r="AE763" s="696"/>
      <c r="AF763" s="696"/>
      <c r="AG763" s="1651"/>
      <c r="AH763" s="1613"/>
      <c r="AI763" s="280"/>
      <c r="AJ763" s="239"/>
      <c r="AK763" s="5"/>
      <c r="AL763" s="239"/>
      <c r="AM763" s="5"/>
      <c r="AN763" s="239"/>
      <c r="AO763" s="5"/>
      <c r="AP763" s="590"/>
      <c r="AQ763" s="37"/>
      <c r="AR763" s="1040"/>
      <c r="AS763" s="1027"/>
      <c r="AT763" s="253"/>
      <c r="AU763" s="12"/>
      <c r="AV763" s="243"/>
      <c r="AW763" s="54"/>
      <c r="AX763" s="253"/>
      <c r="AY763" s="5"/>
      <c r="AZ763" s="5"/>
      <c r="BA763" s="12"/>
      <c r="BB763" s="253"/>
      <c r="BC763" s="558"/>
      <c r="BD763" s="5"/>
      <c r="BE763" s="5"/>
      <c r="BF763" s="5"/>
      <c r="BG763" s="66"/>
      <c r="BH763" s="222"/>
      <c r="BI763" s="1646"/>
      <c r="BJ763" s="1647"/>
      <c r="BK763" s="1647"/>
      <c r="BL763" s="1648"/>
      <c r="BM763" s="1648"/>
      <c r="BN763" s="1648"/>
      <c r="BO763" s="1648"/>
      <c r="BP763" s="1648"/>
      <c r="BQ763" s="1648"/>
      <c r="BR763" s="1649"/>
      <c r="BS763" s="1053"/>
      <c r="BT763" s="14"/>
      <c r="BU763" s="23"/>
      <c r="BV763" s="23"/>
      <c r="BW763" s="23"/>
      <c r="BX763" s="23"/>
      <c r="BY763" s="1433"/>
      <c r="BZ763" s="987"/>
      <c r="CA763" s="582"/>
      <c r="CB763" s="582"/>
      <c r="CC763" s="582"/>
      <c r="CD763" s="582"/>
      <c r="CE763" s="582"/>
      <c r="CF763" s="582"/>
      <c r="CG763" s="582"/>
      <c r="CH763" s="16"/>
    </row>
    <row r="764" spans="2:86" ht="34.5" hidden="1" customHeight="1">
      <c r="B764" s="23"/>
      <c r="C764" s="23"/>
      <c r="D764" s="23"/>
      <c r="E764" s="1051"/>
      <c r="F764" s="1051"/>
      <c r="G764" s="1055"/>
      <c r="H764" s="365"/>
      <c r="I764" s="182"/>
      <c r="J764" s="1678"/>
      <c r="K764" s="183"/>
      <c r="L764" s="191"/>
      <c r="M764" s="185"/>
      <c r="N764" s="1401"/>
      <c r="O764" s="186"/>
      <c r="P764" s="2019"/>
      <c r="Q764" s="188"/>
      <c r="R764" s="189"/>
      <c r="S764" s="190"/>
      <c r="T764" s="773"/>
      <c r="U764" s="1229"/>
      <c r="V764" s="1064"/>
      <c r="W764" s="2030"/>
      <c r="X764" s="1637"/>
      <c r="Y764" s="280"/>
      <c r="Z764" s="9"/>
      <c r="AA764" s="4"/>
      <c r="AB764" s="4"/>
      <c r="AC764" s="34"/>
      <c r="AD764" s="1650"/>
      <c r="AE764" s="696"/>
      <c r="AF764" s="696"/>
      <c r="AG764" s="1651"/>
      <c r="AH764" s="1613"/>
      <c r="AI764" s="280"/>
      <c r="AJ764" s="239"/>
      <c r="AK764" s="5"/>
      <c r="AL764" s="239"/>
      <c r="AM764" s="5"/>
      <c r="AN764" s="239"/>
      <c r="AO764" s="5"/>
      <c r="AP764" s="590"/>
      <c r="AQ764" s="37"/>
      <c r="AR764" s="1040"/>
      <c r="AS764" s="1027"/>
      <c r="AT764" s="253"/>
      <c r="AU764" s="12"/>
      <c r="AV764" s="243"/>
      <c r="AW764" s="54"/>
      <c r="AX764" s="253"/>
      <c r="AY764" s="5"/>
      <c r="AZ764" s="5"/>
      <c r="BA764" s="12"/>
      <c r="BB764" s="253"/>
      <c r="BC764" s="558"/>
      <c r="BD764" s="5"/>
      <c r="BE764" s="5"/>
      <c r="BF764" s="5"/>
      <c r="BG764" s="66"/>
      <c r="BH764" s="222"/>
      <c r="BI764" s="1646"/>
      <c r="BJ764" s="1647"/>
      <c r="BK764" s="1647"/>
      <c r="BL764" s="1648"/>
      <c r="BM764" s="1648"/>
      <c r="BN764" s="1648"/>
      <c r="BO764" s="1648"/>
      <c r="BP764" s="1648"/>
      <c r="BQ764" s="1648"/>
      <c r="BR764" s="1649"/>
      <c r="BS764" s="1053"/>
      <c r="BT764" s="14"/>
      <c r="BU764" s="23"/>
      <c r="BV764" s="23"/>
      <c r="BW764" s="23"/>
      <c r="BX764" s="23"/>
      <c r="BY764" s="1433"/>
      <c r="BZ764" s="987"/>
      <c r="CA764" s="582"/>
      <c r="CB764" s="582"/>
      <c r="CC764" s="582"/>
      <c r="CD764" s="582"/>
      <c r="CE764" s="582"/>
      <c r="CF764" s="582"/>
      <c r="CG764" s="582"/>
      <c r="CH764" s="16"/>
    </row>
    <row r="765" spans="2:86" ht="34.5" hidden="1" customHeight="1">
      <c r="B765" s="23"/>
      <c r="C765" s="23"/>
      <c r="D765" s="23"/>
      <c r="E765" s="1051"/>
      <c r="F765" s="1051"/>
      <c r="G765" s="1055"/>
      <c r="H765" s="365"/>
      <c r="I765" s="182"/>
      <c r="J765" s="1678"/>
      <c r="K765" s="183"/>
      <c r="L765" s="191"/>
      <c r="M765" s="185"/>
      <c r="N765" s="1401"/>
      <c r="O765" s="186"/>
      <c r="P765" s="2019"/>
      <c r="Q765" s="188"/>
      <c r="R765" s="189"/>
      <c r="S765" s="190"/>
      <c r="T765" s="773"/>
      <c r="U765" s="1229"/>
      <c r="V765" s="1064"/>
      <c r="W765" s="2030"/>
      <c r="X765" s="1637"/>
      <c r="Y765" s="280"/>
      <c r="Z765" s="9"/>
      <c r="AA765" s="4"/>
      <c r="AB765" s="4"/>
      <c r="AC765" s="34"/>
      <c r="AD765" s="1650"/>
      <c r="AE765" s="696"/>
      <c r="AF765" s="696"/>
      <c r="AG765" s="1651"/>
      <c r="AH765" s="1613"/>
      <c r="AI765" s="280"/>
      <c r="AJ765" s="239"/>
      <c r="AK765" s="5"/>
      <c r="AL765" s="239"/>
      <c r="AM765" s="5"/>
      <c r="AN765" s="239"/>
      <c r="AO765" s="5"/>
      <c r="AP765" s="590"/>
      <c r="AQ765" s="37"/>
      <c r="AR765" s="1040"/>
      <c r="AS765" s="1027"/>
      <c r="AT765" s="253"/>
      <c r="AU765" s="12"/>
      <c r="AV765" s="243"/>
      <c r="AW765" s="54"/>
      <c r="AX765" s="253"/>
      <c r="AY765" s="5"/>
      <c r="AZ765" s="5"/>
      <c r="BA765" s="12"/>
      <c r="BB765" s="253"/>
      <c r="BC765" s="558"/>
      <c r="BD765" s="5"/>
      <c r="BE765" s="5"/>
      <c r="BF765" s="5"/>
      <c r="BG765" s="66"/>
      <c r="BH765" s="222"/>
      <c r="BI765" s="1646"/>
      <c r="BJ765" s="1647"/>
      <c r="BK765" s="1647"/>
      <c r="BL765" s="1648"/>
      <c r="BM765" s="1648"/>
      <c r="BN765" s="1648"/>
      <c r="BO765" s="1648"/>
      <c r="BP765" s="1648"/>
      <c r="BQ765" s="1648"/>
      <c r="BR765" s="1649"/>
      <c r="BS765" s="1053"/>
      <c r="BT765" s="14"/>
      <c r="BU765" s="23"/>
      <c r="BV765" s="23"/>
      <c r="BW765" s="23"/>
      <c r="BX765" s="23"/>
      <c r="BY765" s="1433"/>
      <c r="BZ765" s="987"/>
      <c r="CA765" s="582"/>
      <c r="CB765" s="582"/>
      <c r="CC765" s="582"/>
      <c r="CD765" s="582"/>
      <c r="CE765" s="582"/>
      <c r="CF765" s="582"/>
      <c r="CG765" s="582"/>
      <c r="CH765" s="16"/>
    </row>
    <row r="766" spans="2:86" ht="34.5" hidden="1" customHeight="1">
      <c r="B766" s="23"/>
      <c r="C766" s="23"/>
      <c r="D766" s="23"/>
      <c r="E766" s="1051"/>
      <c r="F766" s="1051"/>
      <c r="G766" s="1055"/>
      <c r="H766" s="365"/>
      <c r="I766" s="182"/>
      <c r="J766" s="1678"/>
      <c r="K766" s="183"/>
      <c r="L766" s="191"/>
      <c r="M766" s="185"/>
      <c r="N766" s="1401"/>
      <c r="O766" s="186"/>
      <c r="P766" s="2019"/>
      <c r="Q766" s="188"/>
      <c r="R766" s="189"/>
      <c r="S766" s="190"/>
      <c r="T766" s="773"/>
      <c r="U766" s="1229"/>
      <c r="V766" s="1064"/>
      <c r="W766" s="2030"/>
      <c r="X766" s="1637"/>
      <c r="Y766" s="280"/>
      <c r="Z766" s="9"/>
      <c r="AA766" s="4"/>
      <c r="AB766" s="4"/>
      <c r="AC766" s="34"/>
      <c r="AD766" s="1650"/>
      <c r="AE766" s="696"/>
      <c r="AF766" s="696"/>
      <c r="AG766" s="1651"/>
      <c r="AH766" s="1613"/>
      <c r="AI766" s="280"/>
      <c r="AJ766" s="239"/>
      <c r="AK766" s="5"/>
      <c r="AL766" s="239"/>
      <c r="AM766" s="5"/>
      <c r="AN766" s="239"/>
      <c r="AO766" s="5"/>
      <c r="AP766" s="590"/>
      <c r="AQ766" s="37"/>
      <c r="AR766" s="1040"/>
      <c r="AS766" s="1027"/>
      <c r="AT766" s="253"/>
      <c r="AU766" s="12"/>
      <c r="AV766" s="243"/>
      <c r="AW766" s="54"/>
      <c r="AX766" s="253"/>
      <c r="AY766" s="5"/>
      <c r="AZ766" s="5"/>
      <c r="BA766" s="12"/>
      <c r="BB766" s="253"/>
      <c r="BC766" s="558"/>
      <c r="BD766" s="5"/>
      <c r="BE766" s="5"/>
      <c r="BF766" s="5"/>
      <c r="BG766" s="66"/>
      <c r="BH766" s="222"/>
      <c r="BI766" s="1646"/>
      <c r="BJ766" s="1647"/>
      <c r="BK766" s="1647"/>
      <c r="BL766" s="1648"/>
      <c r="BM766" s="1648"/>
      <c r="BN766" s="1648"/>
      <c r="BO766" s="1648"/>
      <c r="BP766" s="1648"/>
      <c r="BQ766" s="1648"/>
      <c r="BR766" s="1649"/>
      <c r="BS766" s="1053"/>
      <c r="BT766" s="14"/>
      <c r="BU766" s="23"/>
      <c r="BV766" s="23"/>
      <c r="BW766" s="23"/>
      <c r="BX766" s="23"/>
      <c r="BY766" s="1433"/>
      <c r="BZ766" s="987"/>
      <c r="CA766" s="582"/>
      <c r="CB766" s="582"/>
      <c r="CC766" s="582"/>
      <c r="CD766" s="582"/>
      <c r="CE766" s="582"/>
      <c r="CF766" s="582"/>
      <c r="CG766" s="582"/>
      <c r="CH766" s="16"/>
    </row>
    <row r="767" spans="2:86" ht="34.5" hidden="1" customHeight="1">
      <c r="B767" s="23"/>
      <c r="C767" s="23"/>
      <c r="D767" s="23"/>
      <c r="E767" s="1051"/>
      <c r="F767" s="1051"/>
      <c r="G767" s="1055"/>
      <c r="H767" s="365"/>
      <c r="I767" s="182"/>
      <c r="J767" s="1678"/>
      <c r="K767" s="183"/>
      <c r="L767" s="191"/>
      <c r="M767" s="185"/>
      <c r="N767" s="1401"/>
      <c r="O767" s="186"/>
      <c r="P767" s="2019"/>
      <c r="Q767" s="188"/>
      <c r="R767" s="189"/>
      <c r="S767" s="190"/>
      <c r="T767" s="773"/>
      <c r="U767" s="1229"/>
      <c r="V767" s="1064"/>
      <c r="W767" s="2030"/>
      <c r="X767" s="1637"/>
      <c r="Y767" s="280"/>
      <c r="Z767" s="9"/>
      <c r="AA767" s="4"/>
      <c r="AB767" s="4"/>
      <c r="AC767" s="34"/>
      <c r="AD767" s="1650"/>
      <c r="AE767" s="696"/>
      <c r="AF767" s="696"/>
      <c r="AG767" s="1651"/>
      <c r="AH767" s="1613"/>
      <c r="AI767" s="280"/>
      <c r="AJ767" s="239"/>
      <c r="AK767" s="5"/>
      <c r="AL767" s="239"/>
      <c r="AM767" s="5"/>
      <c r="AN767" s="239"/>
      <c r="AO767" s="5"/>
      <c r="AP767" s="590"/>
      <c r="AQ767" s="37"/>
      <c r="AR767" s="1040"/>
      <c r="AS767" s="1027"/>
      <c r="AT767" s="253"/>
      <c r="AU767" s="12"/>
      <c r="AV767" s="243"/>
      <c r="AW767" s="54"/>
      <c r="AX767" s="253"/>
      <c r="AY767" s="5"/>
      <c r="AZ767" s="5"/>
      <c r="BA767" s="12"/>
      <c r="BB767" s="253"/>
      <c r="BC767" s="558"/>
      <c r="BD767" s="5"/>
      <c r="BE767" s="5"/>
      <c r="BF767" s="5"/>
      <c r="BG767" s="66"/>
      <c r="BH767" s="222"/>
      <c r="BI767" s="1646"/>
      <c r="BJ767" s="1647"/>
      <c r="BK767" s="1647"/>
      <c r="BL767" s="1648"/>
      <c r="BM767" s="1648"/>
      <c r="BN767" s="1648"/>
      <c r="BO767" s="1648"/>
      <c r="BP767" s="1648"/>
      <c r="BQ767" s="1648"/>
      <c r="BR767" s="1649"/>
      <c r="BS767" s="1053"/>
      <c r="BT767" s="14"/>
      <c r="BU767" s="23"/>
      <c r="BV767" s="23"/>
      <c r="BW767" s="23"/>
      <c r="BX767" s="23"/>
      <c r="BY767" s="1433"/>
      <c r="BZ767" s="987"/>
      <c r="CA767" s="582"/>
      <c r="CB767" s="582"/>
      <c r="CC767" s="582"/>
      <c r="CD767" s="582"/>
      <c r="CE767" s="582"/>
      <c r="CF767" s="582"/>
      <c r="CG767" s="582"/>
      <c r="CH767" s="16"/>
    </row>
    <row r="768" spans="2:86" ht="34.5" hidden="1" customHeight="1">
      <c r="B768" s="23"/>
      <c r="C768" s="23"/>
      <c r="D768" s="23"/>
      <c r="E768" s="1051"/>
      <c r="F768" s="1051"/>
      <c r="G768" s="1055"/>
      <c r="H768" s="365"/>
      <c r="I768" s="182"/>
      <c r="J768" s="1678"/>
      <c r="K768" s="183"/>
      <c r="L768" s="191"/>
      <c r="M768" s="185"/>
      <c r="N768" s="1401"/>
      <c r="O768" s="186"/>
      <c r="P768" s="2019"/>
      <c r="Q768" s="188"/>
      <c r="R768" s="189"/>
      <c r="S768" s="190"/>
      <c r="T768" s="773"/>
      <c r="U768" s="1229"/>
      <c r="V768" s="1064"/>
      <c r="W768" s="2030"/>
      <c r="X768" s="1637"/>
      <c r="Y768" s="280"/>
      <c r="Z768" s="9"/>
      <c r="AA768" s="4"/>
      <c r="AB768" s="4"/>
      <c r="AC768" s="34"/>
      <c r="AD768" s="1650"/>
      <c r="AE768" s="696"/>
      <c r="AF768" s="696"/>
      <c r="AG768" s="1651"/>
      <c r="AH768" s="1613"/>
      <c r="AI768" s="280"/>
      <c r="AJ768" s="239"/>
      <c r="AK768" s="5"/>
      <c r="AL768" s="239"/>
      <c r="AM768" s="5"/>
      <c r="AN768" s="239"/>
      <c r="AO768" s="5"/>
      <c r="AP768" s="590"/>
      <c r="AQ768" s="37"/>
      <c r="AR768" s="1040"/>
      <c r="AS768" s="1027"/>
      <c r="AT768" s="253"/>
      <c r="AU768" s="12"/>
      <c r="AV768" s="243"/>
      <c r="AW768" s="54"/>
      <c r="AX768" s="253"/>
      <c r="AY768" s="5"/>
      <c r="AZ768" s="5"/>
      <c r="BA768" s="12"/>
      <c r="BB768" s="253"/>
      <c r="BC768" s="558"/>
      <c r="BD768" s="5"/>
      <c r="BE768" s="5"/>
      <c r="BF768" s="5"/>
      <c r="BG768" s="66"/>
      <c r="BH768" s="222"/>
      <c r="BI768" s="1646"/>
      <c r="BJ768" s="1647"/>
      <c r="BK768" s="1647"/>
      <c r="BL768" s="1648"/>
      <c r="BM768" s="1648"/>
      <c r="BN768" s="1648"/>
      <c r="BO768" s="1648"/>
      <c r="BP768" s="1648"/>
      <c r="BQ768" s="1648"/>
      <c r="BR768" s="1649"/>
      <c r="BS768" s="1053"/>
      <c r="BT768" s="14"/>
      <c r="BU768" s="23"/>
      <c r="BV768" s="23"/>
      <c r="BW768" s="23"/>
      <c r="BX768" s="23"/>
      <c r="BY768" s="1433"/>
      <c r="BZ768" s="987"/>
      <c r="CA768" s="582"/>
      <c r="CB768" s="582"/>
      <c r="CC768" s="582"/>
      <c r="CD768" s="582"/>
      <c r="CE768" s="582"/>
      <c r="CF768" s="582"/>
      <c r="CG768" s="582"/>
      <c r="CH768" s="16"/>
    </row>
    <row r="769" spans="2:86" ht="34.5" hidden="1" customHeight="1">
      <c r="B769" s="23"/>
      <c r="C769" s="23"/>
      <c r="D769" s="23"/>
      <c r="E769" s="1051"/>
      <c r="F769" s="1051"/>
      <c r="G769" s="1055"/>
      <c r="H769" s="365"/>
      <c r="I769" s="182"/>
      <c r="J769" s="1678"/>
      <c r="K769" s="183"/>
      <c r="L769" s="191"/>
      <c r="M769" s="185"/>
      <c r="N769" s="1401"/>
      <c r="O769" s="186"/>
      <c r="P769" s="2019"/>
      <c r="Q769" s="188"/>
      <c r="R769" s="189"/>
      <c r="S769" s="190"/>
      <c r="T769" s="773"/>
      <c r="U769" s="1229"/>
      <c r="V769" s="1064"/>
      <c r="W769" s="2030"/>
      <c r="X769" s="1637"/>
      <c r="Y769" s="280"/>
      <c r="Z769" s="9"/>
      <c r="AA769" s="4"/>
      <c r="AB769" s="4"/>
      <c r="AC769" s="34"/>
      <c r="AD769" s="1650"/>
      <c r="AE769" s="696"/>
      <c r="AF769" s="696"/>
      <c r="AG769" s="1651"/>
      <c r="AH769" s="1613"/>
      <c r="AI769" s="280"/>
      <c r="AJ769" s="239"/>
      <c r="AK769" s="5"/>
      <c r="AL769" s="239"/>
      <c r="AM769" s="5"/>
      <c r="AN769" s="239"/>
      <c r="AO769" s="5"/>
      <c r="AP769" s="590"/>
      <c r="AQ769" s="37"/>
      <c r="AR769" s="1040"/>
      <c r="AS769" s="1027"/>
      <c r="AT769" s="253"/>
      <c r="AU769" s="12"/>
      <c r="AV769" s="243"/>
      <c r="AW769" s="54"/>
      <c r="AX769" s="253"/>
      <c r="AY769" s="5"/>
      <c r="AZ769" s="5"/>
      <c r="BA769" s="12"/>
      <c r="BB769" s="253"/>
      <c r="BC769" s="558"/>
      <c r="BD769" s="5"/>
      <c r="BE769" s="5"/>
      <c r="BF769" s="5"/>
      <c r="BG769" s="66"/>
      <c r="BH769" s="222"/>
      <c r="BI769" s="1646"/>
      <c r="BJ769" s="1647"/>
      <c r="BK769" s="1647"/>
      <c r="BL769" s="1648"/>
      <c r="BM769" s="1648"/>
      <c r="BN769" s="1648"/>
      <c r="BO769" s="1648"/>
      <c r="BP769" s="1648"/>
      <c r="BQ769" s="1648"/>
      <c r="BR769" s="1649"/>
      <c r="BS769" s="1053"/>
      <c r="BT769" s="14"/>
      <c r="BU769" s="23"/>
      <c r="BV769" s="23"/>
      <c r="BW769" s="23"/>
      <c r="BX769" s="23"/>
      <c r="BY769" s="1433"/>
      <c r="BZ769" s="987"/>
      <c r="CA769" s="582"/>
      <c r="CB769" s="582"/>
      <c r="CC769" s="582"/>
      <c r="CD769" s="582"/>
      <c r="CE769" s="582"/>
      <c r="CF769" s="582"/>
      <c r="CG769" s="582"/>
      <c r="CH769" s="16"/>
    </row>
    <row r="770" spans="2:86" ht="34.5" hidden="1" customHeight="1">
      <c r="B770" s="23"/>
      <c r="C770" s="23"/>
      <c r="D770" s="23"/>
      <c r="E770" s="1051"/>
      <c r="F770" s="1051"/>
      <c r="G770" s="1055"/>
      <c r="H770" s="365"/>
      <c r="I770" s="182"/>
      <c r="J770" s="1678"/>
      <c r="K770" s="183"/>
      <c r="L770" s="191"/>
      <c r="M770" s="185"/>
      <c r="N770" s="1401"/>
      <c r="O770" s="186"/>
      <c r="P770" s="2019"/>
      <c r="Q770" s="188"/>
      <c r="R770" s="189"/>
      <c r="S770" s="190"/>
      <c r="T770" s="773"/>
      <c r="U770" s="1229"/>
      <c r="V770" s="1064"/>
      <c r="W770" s="2030"/>
      <c r="X770" s="1637"/>
      <c r="Y770" s="280"/>
      <c r="Z770" s="9"/>
      <c r="AA770" s="4"/>
      <c r="AB770" s="4"/>
      <c r="AC770" s="34"/>
      <c r="AD770" s="1650"/>
      <c r="AE770" s="696"/>
      <c r="AF770" s="696"/>
      <c r="AG770" s="1651"/>
      <c r="AH770" s="1613"/>
      <c r="AI770" s="280"/>
      <c r="AJ770" s="239"/>
      <c r="AK770" s="5"/>
      <c r="AL770" s="239"/>
      <c r="AM770" s="5"/>
      <c r="AN770" s="239"/>
      <c r="AO770" s="5"/>
      <c r="AP770" s="590"/>
      <c r="AQ770" s="37"/>
      <c r="AR770" s="1040"/>
      <c r="AS770" s="1027"/>
      <c r="AT770" s="253"/>
      <c r="AU770" s="12"/>
      <c r="AV770" s="243"/>
      <c r="AW770" s="54"/>
      <c r="AX770" s="253"/>
      <c r="AY770" s="5"/>
      <c r="AZ770" s="5"/>
      <c r="BA770" s="12"/>
      <c r="BB770" s="253"/>
      <c r="BC770" s="558"/>
      <c r="BD770" s="5"/>
      <c r="BE770" s="5"/>
      <c r="BF770" s="5"/>
      <c r="BG770" s="66"/>
      <c r="BH770" s="222"/>
      <c r="BI770" s="1646"/>
      <c r="BJ770" s="1647"/>
      <c r="BK770" s="1647"/>
      <c r="BL770" s="1648"/>
      <c r="BM770" s="1648"/>
      <c r="BN770" s="1648"/>
      <c r="BO770" s="1648"/>
      <c r="BP770" s="1648"/>
      <c r="BQ770" s="1648"/>
      <c r="BR770" s="1649"/>
      <c r="BS770" s="1053"/>
      <c r="BT770" s="14"/>
      <c r="BU770" s="23"/>
      <c r="BV770" s="23"/>
      <c r="BW770" s="23"/>
      <c r="BX770" s="23"/>
      <c r="BY770" s="1433"/>
      <c r="BZ770" s="987"/>
      <c r="CA770" s="582"/>
      <c r="CB770" s="582"/>
      <c r="CC770" s="582"/>
      <c r="CD770" s="582"/>
      <c r="CE770" s="582"/>
      <c r="CF770" s="582"/>
      <c r="CG770" s="582"/>
      <c r="CH770" s="16"/>
    </row>
    <row r="771" spans="2:86" ht="34.5" hidden="1" customHeight="1">
      <c r="B771" s="23"/>
      <c r="C771" s="23"/>
      <c r="D771" s="23"/>
      <c r="E771" s="1051"/>
      <c r="F771" s="1051"/>
      <c r="G771" s="1055"/>
      <c r="H771" s="365"/>
      <c r="I771" s="182"/>
      <c r="J771" s="1678"/>
      <c r="K771" s="183"/>
      <c r="L771" s="191"/>
      <c r="M771" s="185"/>
      <c r="N771" s="1401"/>
      <c r="O771" s="186"/>
      <c r="P771" s="2019"/>
      <c r="Q771" s="188"/>
      <c r="R771" s="189"/>
      <c r="S771" s="190"/>
      <c r="T771" s="773"/>
      <c r="U771" s="1229"/>
      <c r="V771" s="1064"/>
      <c r="W771" s="2030"/>
      <c r="X771" s="1637"/>
      <c r="Y771" s="280"/>
      <c r="Z771" s="9"/>
      <c r="AA771" s="4"/>
      <c r="AB771" s="4"/>
      <c r="AC771" s="34"/>
      <c r="AD771" s="1650"/>
      <c r="AE771" s="696"/>
      <c r="AF771" s="696"/>
      <c r="AG771" s="1651"/>
      <c r="AH771" s="1613"/>
      <c r="AI771" s="280"/>
      <c r="AJ771" s="239"/>
      <c r="AK771" s="5"/>
      <c r="AL771" s="239"/>
      <c r="AM771" s="5"/>
      <c r="AN771" s="239"/>
      <c r="AO771" s="5"/>
      <c r="AP771" s="590"/>
      <c r="AQ771" s="37"/>
      <c r="AR771" s="1040"/>
      <c r="AS771" s="1027"/>
      <c r="AT771" s="253"/>
      <c r="AU771" s="12"/>
      <c r="AV771" s="243"/>
      <c r="AW771" s="54"/>
      <c r="AX771" s="253"/>
      <c r="AY771" s="5"/>
      <c r="AZ771" s="5"/>
      <c r="BA771" s="12"/>
      <c r="BB771" s="253"/>
      <c r="BC771" s="558"/>
      <c r="BD771" s="5"/>
      <c r="BE771" s="5"/>
      <c r="BF771" s="5"/>
      <c r="BG771" s="66"/>
      <c r="BH771" s="222"/>
      <c r="BI771" s="1646"/>
      <c r="BJ771" s="1647"/>
      <c r="BK771" s="1647"/>
      <c r="BL771" s="1648"/>
      <c r="BM771" s="1648"/>
      <c r="BN771" s="1648"/>
      <c r="BO771" s="1648"/>
      <c r="BP771" s="1648"/>
      <c r="BQ771" s="1648"/>
      <c r="BR771" s="1649"/>
      <c r="BS771" s="1053"/>
      <c r="BT771" s="14"/>
      <c r="BU771" s="23"/>
      <c r="BV771" s="23"/>
      <c r="BW771" s="23"/>
      <c r="BX771" s="23"/>
      <c r="BY771" s="1433"/>
      <c r="BZ771" s="987"/>
      <c r="CA771" s="582"/>
      <c r="CB771" s="582"/>
      <c r="CC771" s="582"/>
      <c r="CD771" s="582"/>
      <c r="CE771" s="582"/>
      <c r="CF771" s="582"/>
      <c r="CG771" s="582"/>
      <c r="CH771" s="16"/>
    </row>
    <row r="772" spans="2:86" ht="34.5" hidden="1" customHeight="1">
      <c r="B772" s="23"/>
      <c r="C772" s="23"/>
      <c r="D772" s="23"/>
      <c r="E772" s="1051"/>
      <c r="F772" s="1051"/>
      <c r="G772" s="1055"/>
      <c r="H772" s="365"/>
      <c r="I772" s="182"/>
      <c r="J772" s="1678"/>
      <c r="K772" s="183"/>
      <c r="L772" s="191"/>
      <c r="M772" s="185"/>
      <c r="N772" s="1401"/>
      <c r="O772" s="186"/>
      <c r="P772" s="2019"/>
      <c r="Q772" s="188"/>
      <c r="R772" s="189"/>
      <c r="S772" s="190"/>
      <c r="T772" s="773"/>
      <c r="U772" s="1229"/>
      <c r="V772" s="1064"/>
      <c r="W772" s="2030"/>
      <c r="X772" s="1637"/>
      <c r="Y772" s="280"/>
      <c r="Z772" s="9"/>
      <c r="AA772" s="4"/>
      <c r="AB772" s="4"/>
      <c r="AC772" s="34"/>
      <c r="AD772" s="1650"/>
      <c r="AE772" s="696"/>
      <c r="AF772" s="696"/>
      <c r="AG772" s="1651"/>
      <c r="AH772" s="1613"/>
      <c r="AI772" s="280"/>
      <c r="AJ772" s="239"/>
      <c r="AK772" s="5"/>
      <c r="AL772" s="239"/>
      <c r="AM772" s="5"/>
      <c r="AN772" s="239"/>
      <c r="AO772" s="5"/>
      <c r="AP772" s="590"/>
      <c r="AQ772" s="37"/>
      <c r="AR772" s="1040"/>
      <c r="AS772" s="1027"/>
      <c r="AT772" s="253"/>
      <c r="AU772" s="12"/>
      <c r="AV772" s="243"/>
      <c r="AW772" s="54"/>
      <c r="AX772" s="253"/>
      <c r="AY772" s="5"/>
      <c r="AZ772" s="5"/>
      <c r="BA772" s="12"/>
      <c r="BB772" s="253"/>
      <c r="BC772" s="558"/>
      <c r="BD772" s="5"/>
      <c r="BE772" s="5"/>
      <c r="BF772" s="5"/>
      <c r="BG772" s="66"/>
      <c r="BH772" s="222"/>
      <c r="BI772" s="1646"/>
      <c r="BJ772" s="1647"/>
      <c r="BK772" s="1647"/>
      <c r="BL772" s="1648"/>
      <c r="BM772" s="1648"/>
      <c r="BN772" s="1648"/>
      <c r="BO772" s="1648"/>
      <c r="BP772" s="1648"/>
      <c r="BQ772" s="1648"/>
      <c r="BR772" s="1649"/>
      <c r="BS772" s="1053"/>
      <c r="BT772" s="14"/>
      <c r="BU772" s="23"/>
      <c r="BV772" s="23"/>
      <c r="BW772" s="23"/>
      <c r="BX772" s="23"/>
      <c r="BY772" s="1433"/>
      <c r="BZ772" s="987"/>
      <c r="CA772" s="582"/>
      <c r="CB772" s="582"/>
      <c r="CC772" s="582"/>
      <c r="CD772" s="582"/>
      <c r="CE772" s="582"/>
      <c r="CF772" s="582"/>
      <c r="CG772" s="582"/>
      <c r="CH772" s="16"/>
    </row>
    <row r="773" spans="2:86" ht="34.5" hidden="1" customHeight="1">
      <c r="B773" s="23"/>
      <c r="C773" s="23"/>
      <c r="D773" s="23"/>
      <c r="E773" s="1051"/>
      <c r="F773" s="1051"/>
      <c r="G773" s="1055"/>
      <c r="H773" s="365"/>
      <c r="I773" s="182"/>
      <c r="J773" s="1678"/>
      <c r="K773" s="183"/>
      <c r="L773" s="191"/>
      <c r="M773" s="185"/>
      <c r="N773" s="1401"/>
      <c r="O773" s="186"/>
      <c r="P773" s="2019"/>
      <c r="Q773" s="188"/>
      <c r="R773" s="189"/>
      <c r="S773" s="190"/>
      <c r="T773" s="773"/>
      <c r="U773" s="1229"/>
      <c r="V773" s="1064"/>
      <c r="W773" s="2030"/>
      <c r="X773" s="1637"/>
      <c r="Y773" s="280"/>
      <c r="Z773" s="9"/>
      <c r="AA773" s="4"/>
      <c r="AB773" s="4"/>
      <c r="AC773" s="34"/>
      <c r="AD773" s="1650"/>
      <c r="AE773" s="696"/>
      <c r="AF773" s="696"/>
      <c r="AG773" s="1651"/>
      <c r="AH773" s="1613"/>
      <c r="AI773" s="280"/>
      <c r="AJ773" s="239"/>
      <c r="AK773" s="5"/>
      <c r="AL773" s="239"/>
      <c r="AM773" s="5"/>
      <c r="AN773" s="239"/>
      <c r="AO773" s="5"/>
      <c r="AP773" s="590"/>
      <c r="AQ773" s="37"/>
      <c r="AR773" s="1040"/>
      <c r="AS773" s="1027"/>
      <c r="AT773" s="253"/>
      <c r="AU773" s="12"/>
      <c r="AV773" s="243"/>
      <c r="AW773" s="54"/>
      <c r="AX773" s="253"/>
      <c r="AY773" s="5"/>
      <c r="AZ773" s="5"/>
      <c r="BA773" s="12"/>
      <c r="BB773" s="253"/>
      <c r="BC773" s="558"/>
      <c r="BD773" s="5"/>
      <c r="BE773" s="5"/>
      <c r="BF773" s="5"/>
      <c r="BG773" s="66"/>
      <c r="BH773" s="222"/>
      <c r="BI773" s="1646"/>
      <c r="BJ773" s="1647"/>
      <c r="BK773" s="1647"/>
      <c r="BL773" s="1648"/>
      <c r="BM773" s="1648"/>
      <c r="BN773" s="1648"/>
      <c r="BO773" s="1648"/>
      <c r="BP773" s="1648"/>
      <c r="BQ773" s="1648"/>
      <c r="BR773" s="1649"/>
      <c r="BS773" s="1053"/>
      <c r="BT773" s="14"/>
      <c r="BU773" s="23"/>
      <c r="BV773" s="23"/>
      <c r="BW773" s="23"/>
      <c r="BX773" s="23"/>
      <c r="BY773" s="1433"/>
      <c r="BZ773" s="987"/>
      <c r="CA773" s="582"/>
      <c r="CB773" s="582"/>
      <c r="CC773" s="582"/>
      <c r="CD773" s="582"/>
      <c r="CE773" s="582"/>
      <c r="CF773" s="582"/>
      <c r="CG773" s="582"/>
      <c r="CH773" s="16"/>
    </row>
    <row r="774" spans="2:86" ht="34.5" hidden="1" customHeight="1">
      <c r="B774" s="23"/>
      <c r="C774" s="23"/>
      <c r="D774" s="23"/>
      <c r="E774" s="1051"/>
      <c r="F774" s="1051"/>
      <c r="G774" s="1055"/>
      <c r="H774" s="365"/>
      <c r="I774" s="182"/>
      <c r="J774" s="1678"/>
      <c r="K774" s="183"/>
      <c r="L774" s="191"/>
      <c r="M774" s="185"/>
      <c r="N774" s="1401"/>
      <c r="O774" s="186"/>
      <c r="P774" s="2019"/>
      <c r="Q774" s="188"/>
      <c r="R774" s="189"/>
      <c r="S774" s="190"/>
      <c r="T774" s="773"/>
      <c r="U774" s="1229"/>
      <c r="V774" s="1064"/>
      <c r="W774" s="2030"/>
      <c r="X774" s="1637"/>
      <c r="Y774" s="280"/>
      <c r="Z774" s="9"/>
      <c r="AA774" s="4"/>
      <c r="AB774" s="4"/>
      <c r="AC774" s="34"/>
      <c r="AD774" s="1650"/>
      <c r="AE774" s="696"/>
      <c r="AF774" s="696"/>
      <c r="AG774" s="1651"/>
      <c r="AH774" s="1613"/>
      <c r="AI774" s="280"/>
      <c r="AJ774" s="239"/>
      <c r="AK774" s="5"/>
      <c r="AL774" s="239"/>
      <c r="AM774" s="5"/>
      <c r="AN774" s="239"/>
      <c r="AO774" s="5"/>
      <c r="AP774" s="590"/>
      <c r="AQ774" s="37"/>
      <c r="AR774" s="1040"/>
      <c r="AS774" s="1027"/>
      <c r="AT774" s="253"/>
      <c r="AU774" s="12"/>
      <c r="AV774" s="243"/>
      <c r="AW774" s="54"/>
      <c r="AX774" s="253"/>
      <c r="AY774" s="5"/>
      <c r="AZ774" s="5"/>
      <c r="BA774" s="12"/>
      <c r="BB774" s="253"/>
      <c r="BC774" s="558"/>
      <c r="BD774" s="5"/>
      <c r="BE774" s="5"/>
      <c r="BF774" s="5"/>
      <c r="BG774" s="66"/>
      <c r="BH774" s="222"/>
      <c r="BI774" s="1646"/>
      <c r="BJ774" s="1647"/>
      <c r="BK774" s="1647"/>
      <c r="BL774" s="1648"/>
      <c r="BM774" s="1648"/>
      <c r="BN774" s="1648"/>
      <c r="BO774" s="1648"/>
      <c r="BP774" s="1648"/>
      <c r="BQ774" s="1648"/>
      <c r="BR774" s="1649"/>
      <c r="BS774" s="1053"/>
      <c r="BT774" s="14"/>
      <c r="BU774" s="23"/>
      <c r="BV774" s="23"/>
      <c r="BW774" s="23"/>
      <c r="BX774" s="23"/>
      <c r="BY774" s="1433"/>
      <c r="BZ774" s="987"/>
      <c r="CA774" s="582"/>
      <c r="CB774" s="582"/>
      <c r="CC774" s="582"/>
      <c r="CD774" s="582"/>
      <c r="CE774" s="582"/>
      <c r="CF774" s="582"/>
      <c r="CG774" s="582"/>
      <c r="CH774" s="16"/>
    </row>
    <row r="775" spans="2:86" ht="34.5" hidden="1" customHeight="1">
      <c r="B775" s="23"/>
      <c r="C775" s="23"/>
      <c r="D775" s="23"/>
      <c r="E775" s="1051"/>
      <c r="F775" s="1051"/>
      <c r="G775" s="1055"/>
      <c r="H775" s="365"/>
      <c r="I775" s="182"/>
      <c r="J775" s="1678"/>
      <c r="K775" s="183"/>
      <c r="L775" s="191"/>
      <c r="M775" s="185"/>
      <c r="N775" s="1401"/>
      <c r="O775" s="186"/>
      <c r="P775" s="2019"/>
      <c r="Q775" s="188"/>
      <c r="R775" s="189"/>
      <c r="S775" s="190"/>
      <c r="T775" s="773"/>
      <c r="U775" s="1229"/>
      <c r="V775" s="1064"/>
      <c r="W775" s="2030"/>
      <c r="X775" s="1637"/>
      <c r="Y775" s="280"/>
      <c r="Z775" s="9"/>
      <c r="AA775" s="4"/>
      <c r="AB775" s="4"/>
      <c r="AC775" s="34"/>
      <c r="AD775" s="1650"/>
      <c r="AE775" s="696"/>
      <c r="AF775" s="696"/>
      <c r="AG775" s="1651"/>
      <c r="AH775" s="1613"/>
      <c r="AI775" s="280"/>
      <c r="AJ775" s="239"/>
      <c r="AK775" s="5"/>
      <c r="AL775" s="239"/>
      <c r="AM775" s="5"/>
      <c r="AN775" s="239"/>
      <c r="AO775" s="5"/>
      <c r="AP775" s="590"/>
      <c r="AQ775" s="37"/>
      <c r="AR775" s="1040"/>
      <c r="AS775" s="1027"/>
      <c r="AT775" s="253"/>
      <c r="AU775" s="12"/>
      <c r="AV775" s="243"/>
      <c r="AW775" s="54"/>
      <c r="AX775" s="253"/>
      <c r="AY775" s="5"/>
      <c r="AZ775" s="5"/>
      <c r="BA775" s="12"/>
      <c r="BB775" s="253"/>
      <c r="BC775" s="558"/>
      <c r="BD775" s="5"/>
      <c r="BE775" s="5"/>
      <c r="BF775" s="5"/>
      <c r="BG775" s="66"/>
      <c r="BH775" s="222"/>
      <c r="BI775" s="1646"/>
      <c r="BJ775" s="1647"/>
      <c r="BK775" s="1647"/>
      <c r="BL775" s="1648"/>
      <c r="BM775" s="1648"/>
      <c r="BN775" s="1648"/>
      <c r="BO775" s="1648"/>
      <c r="BP775" s="1648"/>
      <c r="BQ775" s="1648"/>
      <c r="BR775" s="1649"/>
      <c r="BS775" s="1053"/>
      <c r="BT775" s="14"/>
      <c r="BU775" s="23"/>
      <c r="BV775" s="23"/>
      <c r="BW775" s="23"/>
      <c r="BX775" s="23"/>
      <c r="BY775" s="1433"/>
      <c r="BZ775" s="987"/>
      <c r="CA775" s="582"/>
      <c r="CB775" s="582"/>
      <c r="CC775" s="582"/>
      <c r="CD775" s="582"/>
      <c r="CE775" s="582"/>
      <c r="CF775" s="582"/>
      <c r="CG775" s="582"/>
      <c r="CH775" s="16"/>
    </row>
    <row r="776" spans="2:86" ht="34.5" hidden="1" customHeight="1">
      <c r="B776" s="23"/>
      <c r="C776" s="23"/>
      <c r="D776" s="23"/>
      <c r="E776" s="1051"/>
      <c r="F776" s="1051"/>
      <c r="G776" s="1055"/>
      <c r="H776" s="365"/>
      <c r="I776" s="182"/>
      <c r="J776" s="1678"/>
      <c r="K776" s="183"/>
      <c r="L776" s="191"/>
      <c r="M776" s="185"/>
      <c r="N776" s="1401"/>
      <c r="O776" s="186"/>
      <c r="P776" s="2019"/>
      <c r="Q776" s="188"/>
      <c r="R776" s="189"/>
      <c r="S776" s="190"/>
      <c r="T776" s="773"/>
      <c r="U776" s="1229"/>
      <c r="V776" s="1064"/>
      <c r="W776" s="2030"/>
      <c r="X776" s="1637"/>
      <c r="Y776" s="280"/>
      <c r="Z776" s="9"/>
      <c r="AA776" s="4"/>
      <c r="AB776" s="4"/>
      <c r="AC776" s="34"/>
      <c r="AD776" s="1650"/>
      <c r="AE776" s="696"/>
      <c r="AF776" s="696"/>
      <c r="AG776" s="1651"/>
      <c r="AH776" s="1613"/>
      <c r="AI776" s="280"/>
      <c r="AJ776" s="239"/>
      <c r="AK776" s="5"/>
      <c r="AL776" s="239"/>
      <c r="AM776" s="5"/>
      <c r="AN776" s="239"/>
      <c r="AO776" s="5"/>
      <c r="AP776" s="590"/>
      <c r="AQ776" s="37"/>
      <c r="AR776" s="1040"/>
      <c r="AS776" s="1027"/>
      <c r="AT776" s="253"/>
      <c r="AU776" s="12"/>
      <c r="AV776" s="243"/>
      <c r="AW776" s="54"/>
      <c r="AX776" s="253"/>
      <c r="AY776" s="5"/>
      <c r="AZ776" s="5"/>
      <c r="BA776" s="12"/>
      <c r="BB776" s="253"/>
      <c r="BC776" s="558"/>
      <c r="BD776" s="5"/>
      <c r="BE776" s="5"/>
      <c r="BF776" s="5"/>
      <c r="BG776" s="66"/>
      <c r="BH776" s="222"/>
      <c r="BI776" s="1646"/>
      <c r="BJ776" s="1647"/>
      <c r="BK776" s="1647"/>
      <c r="BL776" s="1648"/>
      <c r="BM776" s="1648"/>
      <c r="BN776" s="1648"/>
      <c r="BO776" s="1648"/>
      <c r="BP776" s="1648"/>
      <c r="BQ776" s="1648"/>
      <c r="BR776" s="1649"/>
      <c r="BS776" s="1053"/>
      <c r="BT776" s="14"/>
      <c r="BU776" s="23"/>
      <c r="BV776" s="23"/>
      <c r="BW776" s="23"/>
      <c r="BX776" s="23"/>
      <c r="BY776" s="1433"/>
      <c r="BZ776" s="987"/>
      <c r="CA776" s="582"/>
      <c r="CB776" s="582"/>
      <c r="CC776" s="582"/>
      <c r="CD776" s="582"/>
      <c r="CE776" s="582"/>
      <c r="CF776" s="582"/>
      <c r="CG776" s="582"/>
      <c r="CH776" s="16"/>
    </row>
    <row r="777" spans="2:86" ht="34.5" hidden="1" customHeight="1">
      <c r="B777" s="23"/>
      <c r="C777" s="23"/>
      <c r="D777" s="23"/>
      <c r="E777" s="1051"/>
      <c r="F777" s="1051"/>
      <c r="G777" s="1055"/>
      <c r="H777" s="365"/>
      <c r="I777" s="182"/>
      <c r="J777" s="1678"/>
      <c r="K777" s="183"/>
      <c r="L777" s="191"/>
      <c r="M777" s="185"/>
      <c r="N777" s="1401"/>
      <c r="O777" s="186"/>
      <c r="P777" s="2019"/>
      <c r="Q777" s="188"/>
      <c r="R777" s="189"/>
      <c r="S777" s="190"/>
      <c r="T777" s="773"/>
      <c r="U777" s="1229"/>
      <c r="V777" s="1064"/>
      <c r="W777" s="2030"/>
      <c r="X777" s="1637"/>
      <c r="Y777" s="280"/>
      <c r="Z777" s="9"/>
      <c r="AA777" s="4"/>
      <c r="AB777" s="4"/>
      <c r="AC777" s="34"/>
      <c r="AD777" s="1650"/>
      <c r="AE777" s="696"/>
      <c r="AF777" s="696"/>
      <c r="AG777" s="1651"/>
      <c r="AH777" s="1613"/>
      <c r="AI777" s="280"/>
      <c r="AJ777" s="239"/>
      <c r="AK777" s="5"/>
      <c r="AL777" s="239"/>
      <c r="AM777" s="5"/>
      <c r="AN777" s="239"/>
      <c r="AO777" s="5"/>
      <c r="AP777" s="590"/>
      <c r="AQ777" s="37"/>
      <c r="AR777" s="1040"/>
      <c r="AS777" s="1027"/>
      <c r="AT777" s="253"/>
      <c r="AU777" s="12"/>
      <c r="AV777" s="243"/>
      <c r="AW777" s="54"/>
      <c r="AX777" s="253"/>
      <c r="AY777" s="5"/>
      <c r="AZ777" s="5"/>
      <c r="BA777" s="12"/>
      <c r="BB777" s="253"/>
      <c r="BC777" s="558"/>
      <c r="BD777" s="5"/>
      <c r="BE777" s="5"/>
      <c r="BF777" s="5"/>
      <c r="BG777" s="66"/>
      <c r="BH777" s="222"/>
      <c r="BI777" s="1646"/>
      <c r="BJ777" s="1647"/>
      <c r="BK777" s="1647"/>
      <c r="BL777" s="1648"/>
      <c r="BM777" s="1648"/>
      <c r="BN777" s="1648"/>
      <c r="BO777" s="1648"/>
      <c r="BP777" s="1648"/>
      <c r="BQ777" s="1648"/>
      <c r="BR777" s="1649"/>
      <c r="BS777" s="1053"/>
      <c r="BT777" s="14"/>
      <c r="BU777" s="23"/>
      <c r="BV777" s="23"/>
      <c r="BW777" s="23"/>
      <c r="BX777" s="23"/>
      <c r="BY777" s="1433"/>
      <c r="BZ777" s="987"/>
      <c r="CA777" s="582"/>
      <c r="CB777" s="582"/>
      <c r="CC777" s="582"/>
      <c r="CD777" s="582"/>
      <c r="CE777" s="582"/>
      <c r="CF777" s="582"/>
      <c r="CG777" s="582"/>
      <c r="CH777" s="16"/>
    </row>
    <row r="778" spans="2:86" ht="34.5" hidden="1" customHeight="1">
      <c r="B778" s="23"/>
      <c r="C778" s="23"/>
      <c r="D778" s="23"/>
      <c r="E778" s="1051"/>
      <c r="F778" s="1051"/>
      <c r="G778" s="1055"/>
      <c r="H778" s="365"/>
      <c r="I778" s="182"/>
      <c r="J778" s="1678"/>
      <c r="K778" s="183"/>
      <c r="L778" s="191"/>
      <c r="M778" s="185"/>
      <c r="N778" s="1401"/>
      <c r="O778" s="186"/>
      <c r="P778" s="2019"/>
      <c r="Q778" s="188"/>
      <c r="R778" s="189"/>
      <c r="S778" s="190"/>
      <c r="T778" s="773"/>
      <c r="U778" s="1229"/>
      <c r="V778" s="1064"/>
      <c r="W778" s="2030"/>
      <c r="X778" s="1637"/>
      <c r="Y778" s="280"/>
      <c r="Z778" s="9"/>
      <c r="AA778" s="4"/>
      <c r="AB778" s="4"/>
      <c r="AC778" s="34"/>
      <c r="AD778" s="1650"/>
      <c r="AE778" s="696"/>
      <c r="AF778" s="696"/>
      <c r="AG778" s="1651"/>
      <c r="AH778" s="1613"/>
      <c r="AI778" s="280"/>
      <c r="AJ778" s="239"/>
      <c r="AK778" s="5"/>
      <c r="AL778" s="239"/>
      <c r="AM778" s="5"/>
      <c r="AN778" s="239"/>
      <c r="AO778" s="5"/>
      <c r="AP778" s="590"/>
      <c r="AQ778" s="37"/>
      <c r="AR778" s="1040"/>
      <c r="AS778" s="1027"/>
      <c r="AT778" s="253"/>
      <c r="AU778" s="12"/>
      <c r="AV778" s="243"/>
      <c r="AW778" s="54"/>
      <c r="AX778" s="253"/>
      <c r="AY778" s="5"/>
      <c r="AZ778" s="5"/>
      <c r="BA778" s="12"/>
      <c r="BB778" s="253"/>
      <c r="BC778" s="558"/>
      <c r="BD778" s="5"/>
      <c r="BE778" s="5"/>
      <c r="BF778" s="5"/>
      <c r="BG778" s="66"/>
      <c r="BH778" s="222"/>
      <c r="BI778" s="1646"/>
      <c r="BJ778" s="1647"/>
      <c r="BK778" s="1647"/>
      <c r="BL778" s="1648"/>
      <c r="BM778" s="1648"/>
      <c r="BN778" s="1648"/>
      <c r="BO778" s="1648"/>
      <c r="BP778" s="1648"/>
      <c r="BQ778" s="1648"/>
      <c r="BR778" s="1649"/>
      <c r="BS778" s="1053"/>
      <c r="BT778" s="14"/>
      <c r="BU778" s="23"/>
      <c r="BV778" s="23"/>
      <c r="BW778" s="23"/>
      <c r="BX778" s="23"/>
      <c r="BY778" s="1433"/>
      <c r="BZ778" s="987"/>
      <c r="CA778" s="582"/>
      <c r="CB778" s="582"/>
      <c r="CC778" s="582"/>
      <c r="CD778" s="582"/>
      <c r="CE778" s="582"/>
      <c r="CF778" s="582"/>
      <c r="CG778" s="582"/>
      <c r="CH778" s="16"/>
    </row>
    <row r="779" spans="2:86" ht="34.5" hidden="1" customHeight="1">
      <c r="B779" s="23"/>
      <c r="C779" s="23"/>
      <c r="D779" s="23"/>
      <c r="E779" s="1051"/>
      <c r="F779" s="1051"/>
      <c r="G779" s="1055"/>
      <c r="H779" s="365"/>
      <c r="I779" s="182"/>
      <c r="J779" s="1678"/>
      <c r="K779" s="183"/>
      <c r="L779" s="191"/>
      <c r="M779" s="185"/>
      <c r="N779" s="1401"/>
      <c r="O779" s="186"/>
      <c r="P779" s="2019"/>
      <c r="Q779" s="188"/>
      <c r="R779" s="189"/>
      <c r="S779" s="190"/>
      <c r="T779" s="773"/>
      <c r="U779" s="1229"/>
      <c r="V779" s="1064"/>
      <c r="W779" s="2030"/>
      <c r="X779" s="1637"/>
      <c r="Y779" s="280"/>
      <c r="Z779" s="9"/>
      <c r="AA779" s="4"/>
      <c r="AB779" s="4"/>
      <c r="AC779" s="34"/>
      <c r="AD779" s="1650"/>
      <c r="AE779" s="696"/>
      <c r="AF779" s="696"/>
      <c r="AG779" s="1651"/>
      <c r="AH779" s="1613"/>
      <c r="AI779" s="280"/>
      <c r="AJ779" s="239"/>
      <c r="AK779" s="5"/>
      <c r="AL779" s="239"/>
      <c r="AM779" s="5"/>
      <c r="AN779" s="239"/>
      <c r="AO779" s="5"/>
      <c r="AP779" s="590"/>
      <c r="AQ779" s="37"/>
      <c r="AR779" s="1040"/>
      <c r="AS779" s="1027"/>
      <c r="AT779" s="253"/>
      <c r="AU779" s="12"/>
      <c r="AV779" s="243"/>
      <c r="AW779" s="54"/>
      <c r="AX779" s="253"/>
      <c r="AY779" s="5"/>
      <c r="AZ779" s="5"/>
      <c r="BA779" s="12"/>
      <c r="BB779" s="253"/>
      <c r="BC779" s="558"/>
      <c r="BD779" s="5"/>
      <c r="BE779" s="5"/>
      <c r="BF779" s="5"/>
      <c r="BG779" s="66"/>
      <c r="BH779" s="222"/>
      <c r="BI779" s="1646"/>
      <c r="BJ779" s="1647"/>
      <c r="BK779" s="1647"/>
      <c r="BL779" s="1648"/>
      <c r="BM779" s="1648"/>
      <c r="BN779" s="1648"/>
      <c r="BO779" s="1648"/>
      <c r="BP779" s="1648"/>
      <c r="BQ779" s="1648"/>
      <c r="BR779" s="1649"/>
      <c r="BS779" s="1053"/>
      <c r="BT779" s="14"/>
      <c r="BU779" s="23"/>
      <c r="BV779" s="23"/>
      <c r="BW779" s="23"/>
      <c r="BX779" s="23"/>
      <c r="BY779" s="1433"/>
      <c r="BZ779" s="987"/>
      <c r="CA779" s="582"/>
      <c r="CB779" s="582"/>
      <c r="CC779" s="582"/>
      <c r="CD779" s="582"/>
      <c r="CE779" s="582"/>
      <c r="CF779" s="582"/>
      <c r="CG779" s="582"/>
      <c r="CH779" s="16"/>
    </row>
    <row r="780" spans="2:86" ht="34.5" hidden="1" customHeight="1">
      <c r="B780" s="23"/>
      <c r="C780" s="23"/>
      <c r="D780" s="23"/>
      <c r="E780" s="1051"/>
      <c r="F780" s="1051"/>
      <c r="G780" s="1055"/>
      <c r="H780" s="365"/>
      <c r="I780" s="182"/>
      <c r="J780" s="1678"/>
      <c r="K780" s="183"/>
      <c r="L780" s="191"/>
      <c r="M780" s="185"/>
      <c r="N780" s="1401"/>
      <c r="O780" s="186"/>
      <c r="P780" s="2019"/>
      <c r="Q780" s="188"/>
      <c r="R780" s="189"/>
      <c r="S780" s="190"/>
      <c r="T780" s="773"/>
      <c r="U780" s="1229"/>
      <c r="V780" s="1064"/>
      <c r="W780" s="2030"/>
      <c r="X780" s="1637"/>
      <c r="Y780" s="280"/>
      <c r="Z780" s="9"/>
      <c r="AA780" s="4"/>
      <c r="AB780" s="4"/>
      <c r="AC780" s="34"/>
      <c r="AD780" s="1650"/>
      <c r="AE780" s="696"/>
      <c r="AF780" s="696"/>
      <c r="AG780" s="1651"/>
      <c r="AH780" s="1613"/>
      <c r="AI780" s="280"/>
      <c r="AJ780" s="239"/>
      <c r="AK780" s="5"/>
      <c r="AL780" s="239"/>
      <c r="AM780" s="5"/>
      <c r="AN780" s="239"/>
      <c r="AO780" s="5"/>
      <c r="AP780" s="590"/>
      <c r="AQ780" s="37"/>
      <c r="AR780" s="1040"/>
      <c r="AS780" s="1027"/>
      <c r="AT780" s="253"/>
      <c r="AU780" s="12"/>
      <c r="AV780" s="243"/>
      <c r="AW780" s="54"/>
      <c r="AX780" s="253"/>
      <c r="AY780" s="5"/>
      <c r="AZ780" s="5"/>
      <c r="BA780" s="12"/>
      <c r="BB780" s="253"/>
      <c r="BC780" s="558"/>
      <c r="BD780" s="5"/>
      <c r="BE780" s="5"/>
      <c r="BF780" s="5"/>
      <c r="BG780" s="66"/>
      <c r="BH780" s="222"/>
      <c r="BI780" s="1646"/>
      <c r="BJ780" s="1647"/>
      <c r="BK780" s="1647"/>
      <c r="BL780" s="1648"/>
      <c r="BM780" s="1648"/>
      <c r="BN780" s="1648"/>
      <c r="BO780" s="1648"/>
      <c r="BP780" s="1648"/>
      <c r="BQ780" s="1648"/>
      <c r="BR780" s="1649"/>
      <c r="BS780" s="1053"/>
      <c r="BT780" s="14"/>
      <c r="BU780" s="23"/>
      <c r="BV780" s="23"/>
      <c r="BW780" s="23"/>
      <c r="BX780" s="23"/>
      <c r="BY780" s="1433"/>
      <c r="BZ780" s="987"/>
      <c r="CA780" s="582"/>
      <c r="CB780" s="582"/>
      <c r="CC780" s="582"/>
      <c r="CD780" s="582"/>
      <c r="CE780" s="582"/>
      <c r="CF780" s="582"/>
      <c r="CG780" s="582"/>
      <c r="CH780" s="16"/>
    </row>
    <row r="781" spans="2:86" ht="34.5" hidden="1" customHeight="1">
      <c r="B781" s="23"/>
      <c r="C781" s="23"/>
      <c r="D781" s="23"/>
      <c r="E781" s="1051"/>
      <c r="F781" s="1051"/>
      <c r="G781" s="1055"/>
      <c r="H781" s="365"/>
      <c r="I781" s="182"/>
      <c r="J781" s="1678"/>
      <c r="K781" s="183"/>
      <c r="L781" s="191"/>
      <c r="M781" s="185"/>
      <c r="N781" s="1401"/>
      <c r="O781" s="186"/>
      <c r="P781" s="2019"/>
      <c r="Q781" s="188"/>
      <c r="R781" s="189"/>
      <c r="S781" s="190"/>
      <c r="T781" s="773"/>
      <c r="U781" s="1229"/>
      <c r="V781" s="1064"/>
      <c r="W781" s="2030"/>
      <c r="X781" s="1637"/>
      <c r="Y781" s="280"/>
      <c r="Z781" s="9"/>
      <c r="AA781" s="4"/>
      <c r="AB781" s="4"/>
      <c r="AC781" s="34"/>
      <c r="AD781" s="1650"/>
      <c r="AE781" s="696"/>
      <c r="AF781" s="696"/>
      <c r="AG781" s="1651"/>
      <c r="AH781" s="1613"/>
      <c r="AI781" s="280"/>
      <c r="AJ781" s="239"/>
      <c r="AK781" s="5"/>
      <c r="AL781" s="239"/>
      <c r="AM781" s="5"/>
      <c r="AN781" s="239"/>
      <c r="AO781" s="5"/>
      <c r="AP781" s="590"/>
      <c r="AQ781" s="37"/>
      <c r="AR781" s="1040"/>
      <c r="AS781" s="1027"/>
      <c r="AT781" s="253"/>
      <c r="AU781" s="12"/>
      <c r="AV781" s="243"/>
      <c r="AW781" s="54"/>
      <c r="AX781" s="253"/>
      <c r="AY781" s="5"/>
      <c r="AZ781" s="5"/>
      <c r="BA781" s="12"/>
      <c r="BB781" s="253"/>
      <c r="BC781" s="558"/>
      <c r="BD781" s="5"/>
      <c r="BE781" s="5"/>
      <c r="BF781" s="5"/>
      <c r="BG781" s="66"/>
      <c r="BH781" s="222"/>
      <c r="BI781" s="1646"/>
      <c r="BJ781" s="1647"/>
      <c r="BK781" s="1647"/>
      <c r="BL781" s="1648"/>
      <c r="BM781" s="1648"/>
      <c r="BN781" s="1648"/>
      <c r="BO781" s="1648"/>
      <c r="BP781" s="1648"/>
      <c r="BQ781" s="1648"/>
      <c r="BR781" s="1649"/>
      <c r="BS781" s="1053"/>
      <c r="BT781" s="14"/>
      <c r="BU781" s="23"/>
      <c r="BV781" s="23"/>
      <c r="BW781" s="23"/>
      <c r="BX781" s="23"/>
      <c r="BY781" s="1433"/>
      <c r="BZ781" s="987"/>
      <c r="CA781" s="582"/>
      <c r="CB781" s="582"/>
      <c r="CC781" s="582"/>
      <c r="CD781" s="582"/>
      <c r="CE781" s="582"/>
      <c r="CF781" s="582"/>
      <c r="CG781" s="582"/>
      <c r="CH781" s="16"/>
    </row>
    <row r="782" spans="2:86" ht="34.5" hidden="1" customHeight="1">
      <c r="B782" s="23"/>
      <c r="C782" s="23"/>
      <c r="D782" s="23"/>
      <c r="E782" s="1051"/>
      <c r="F782" s="1051"/>
      <c r="G782" s="1055"/>
      <c r="H782" s="365"/>
      <c r="I782" s="182"/>
      <c r="J782" s="1678"/>
      <c r="K782" s="183"/>
      <c r="L782" s="191"/>
      <c r="M782" s="185"/>
      <c r="N782" s="1401"/>
      <c r="O782" s="186"/>
      <c r="P782" s="2019"/>
      <c r="Q782" s="188"/>
      <c r="R782" s="189"/>
      <c r="S782" s="190"/>
      <c r="T782" s="773"/>
      <c r="U782" s="1229"/>
      <c r="V782" s="1064"/>
      <c r="W782" s="2030"/>
      <c r="X782" s="1637"/>
      <c r="Y782" s="280"/>
      <c r="Z782" s="9"/>
      <c r="AA782" s="4"/>
      <c r="AB782" s="4"/>
      <c r="AC782" s="34"/>
      <c r="AD782" s="1650"/>
      <c r="AE782" s="696"/>
      <c r="AF782" s="696"/>
      <c r="AG782" s="1651"/>
      <c r="AH782" s="1613"/>
      <c r="AI782" s="280"/>
      <c r="AJ782" s="239"/>
      <c r="AK782" s="5"/>
      <c r="AL782" s="239"/>
      <c r="AM782" s="5"/>
      <c r="AN782" s="239"/>
      <c r="AO782" s="5"/>
      <c r="AP782" s="590"/>
      <c r="AQ782" s="37"/>
      <c r="AR782" s="1040"/>
      <c r="AS782" s="1027"/>
      <c r="AT782" s="253"/>
      <c r="AU782" s="12"/>
      <c r="AV782" s="243"/>
      <c r="AW782" s="54"/>
      <c r="AX782" s="253"/>
      <c r="AY782" s="5"/>
      <c r="AZ782" s="5"/>
      <c r="BA782" s="12"/>
      <c r="BB782" s="253"/>
      <c r="BC782" s="558"/>
      <c r="BD782" s="5"/>
      <c r="BE782" s="5"/>
      <c r="BF782" s="5"/>
      <c r="BG782" s="66"/>
      <c r="BH782" s="222"/>
      <c r="BI782" s="1646"/>
      <c r="BJ782" s="1647"/>
      <c r="BK782" s="1647"/>
      <c r="BL782" s="1648"/>
      <c r="BM782" s="1648"/>
      <c r="BN782" s="1648"/>
      <c r="BO782" s="1648"/>
      <c r="BP782" s="1648"/>
      <c r="BQ782" s="1648"/>
      <c r="BR782" s="1649"/>
      <c r="BS782" s="1053"/>
      <c r="BT782" s="14"/>
      <c r="BU782" s="23"/>
      <c r="BV782" s="23"/>
      <c r="BW782" s="23"/>
      <c r="BX782" s="23"/>
      <c r="BY782" s="1433"/>
      <c r="BZ782" s="987"/>
      <c r="CA782" s="582"/>
      <c r="CB782" s="582"/>
      <c r="CC782" s="582"/>
      <c r="CD782" s="582"/>
      <c r="CE782" s="582"/>
      <c r="CF782" s="582"/>
      <c r="CG782" s="582"/>
      <c r="CH782" s="16"/>
    </row>
    <row r="783" spans="2:86" ht="34.5" hidden="1" customHeight="1">
      <c r="B783" s="23"/>
      <c r="C783" s="23"/>
      <c r="D783" s="23"/>
      <c r="E783" s="1051"/>
      <c r="F783" s="1051"/>
      <c r="G783" s="1055"/>
      <c r="H783" s="365"/>
      <c r="I783" s="17"/>
      <c r="J783" s="1676"/>
      <c r="K783" s="19"/>
      <c r="L783" s="35"/>
      <c r="M783" s="2"/>
      <c r="N783" s="3"/>
      <c r="O783" s="3"/>
      <c r="P783" s="4"/>
      <c r="Q783" s="6"/>
      <c r="R783" s="5"/>
      <c r="S783" s="12"/>
      <c r="T783" s="111"/>
      <c r="U783" s="35"/>
      <c r="V783" s="19"/>
      <c r="W783" s="2031"/>
      <c r="X783" s="406"/>
      <c r="Y783" s="35"/>
      <c r="Z783" s="9"/>
      <c r="AA783" s="4"/>
      <c r="AB783" s="4"/>
      <c r="AC783" s="34"/>
      <c r="AD783" s="36"/>
      <c r="AE783" s="119"/>
      <c r="AF783" s="119"/>
      <c r="AG783" s="7"/>
      <c r="AH783" s="116"/>
      <c r="AI783" s="35"/>
      <c r="AJ783" s="1"/>
      <c r="AK783" s="5"/>
      <c r="AL783" s="1"/>
      <c r="AM783" s="5"/>
      <c r="AN783" s="1"/>
      <c r="AO783" s="5"/>
      <c r="AP783" s="306"/>
      <c r="AQ783" s="37">
        <v>0</v>
      </c>
      <c r="AR783" s="1031"/>
      <c r="AS783" s="1018"/>
      <c r="AT783" s="32"/>
      <c r="AU783" s="12"/>
      <c r="AV783" s="243"/>
      <c r="AW783" s="54"/>
      <c r="AX783" s="32"/>
      <c r="AY783" s="5"/>
      <c r="AZ783" s="5"/>
      <c r="BA783" s="12"/>
      <c r="BB783" s="32"/>
      <c r="BC783" s="341"/>
      <c r="BD783" s="5"/>
      <c r="BE783" s="5"/>
      <c r="BF783" s="5"/>
      <c r="BG783" s="38">
        <f>AQ783+AR783</f>
        <v>0</v>
      </c>
      <c r="BH783" s="14"/>
      <c r="BI783" s="1053" t="s">
        <v>68</v>
      </c>
      <c r="BJ783" s="1052" t="s">
        <v>68</v>
      </c>
      <c r="BK783" s="1052" t="s">
        <v>68</v>
      </c>
      <c r="BL783" s="1649"/>
      <c r="BM783" s="1649"/>
      <c r="BN783" s="1649"/>
      <c r="BO783" s="1649"/>
      <c r="BP783" s="1649"/>
      <c r="BQ783" s="1649"/>
      <c r="BR783" s="1649"/>
      <c r="BS783" s="1053" t="s">
        <v>68</v>
      </c>
      <c r="BT783" s="14"/>
      <c r="BU783" s="23"/>
      <c r="BV783" s="23"/>
      <c r="BW783" s="23"/>
      <c r="BX783" s="23"/>
      <c r="BY783" s="1433" t="s">
        <v>3989</v>
      </c>
      <c r="BZ783" s="987"/>
      <c r="CA783" s="2"/>
      <c r="CB783" s="563"/>
      <c r="CC783" s="131"/>
      <c r="CD783" s="563"/>
      <c r="CE783" s="563"/>
      <c r="CF783" s="563"/>
      <c r="CG783" s="563"/>
      <c r="CH783" s="13"/>
    </row>
    <row r="784" spans="2:86" ht="18.75">
      <c r="B784" s="167"/>
      <c r="C784" s="167"/>
      <c r="D784" s="167"/>
      <c r="E784" s="1050"/>
      <c r="F784" s="1050"/>
      <c r="G784" s="167"/>
      <c r="H784" s="368"/>
      <c r="I784" s="206"/>
      <c r="J784" s="206"/>
      <c r="L784" s="149"/>
      <c r="N784" s="655"/>
      <c r="O784" s="655"/>
      <c r="P784" s="594"/>
      <c r="Q784" s="197"/>
      <c r="R784" s="197"/>
      <c r="S784" s="197"/>
      <c r="T784" s="197"/>
      <c r="U784" s="197"/>
      <c r="V784" s="197"/>
      <c r="W784" s="2032" t="s">
        <v>524</v>
      </c>
      <c r="X784" s="197"/>
      <c r="Y784" s="197"/>
      <c r="AI784" s="197"/>
      <c r="AP784" t="s">
        <v>524</v>
      </c>
      <c r="BN784">
        <v>3</v>
      </c>
      <c r="BZ784" s="1473"/>
    </row>
    <row r="785" spans="1:78" ht="15.75">
      <c r="G785" s="140"/>
      <c r="H785" s="369"/>
      <c r="I785" s="197"/>
      <c r="J785" s="197"/>
      <c r="AS785" s="77"/>
      <c r="BU785" s="1189" t="s">
        <v>1399</v>
      </c>
      <c r="BV785" s="1189"/>
      <c r="BW785" s="1189"/>
      <c r="BX785" s="1189"/>
      <c r="BY785" s="1189"/>
      <c r="BZ785" s="1189" t="s">
        <v>1400</v>
      </c>
    </row>
    <row r="786" spans="1:78" s="1165" customFormat="1" ht="33" customHeight="1">
      <c r="A786" s="1712"/>
      <c r="E786" s="1166"/>
      <c r="F786" s="1166"/>
      <c r="G786" s="1167"/>
      <c r="H786" s="1168"/>
      <c r="I786" s="1169"/>
      <c r="J786" s="1169"/>
      <c r="L786" s="1170" t="s">
        <v>1401</v>
      </c>
      <c r="N786" s="2134">
        <v>45302</v>
      </c>
      <c r="O786" s="2134"/>
      <c r="P786" s="2134"/>
      <c r="R786" s="1165" t="s">
        <v>524</v>
      </c>
      <c r="V786" s="1171"/>
      <c r="AO786" s="2095"/>
      <c r="AP786" s="2095"/>
      <c r="AS786" s="1656"/>
      <c r="BU786" s="1189" t="s">
        <v>1402</v>
      </c>
      <c r="BV786" s="1189"/>
      <c r="BW786" s="1189"/>
      <c r="BX786" s="1189"/>
      <c r="BY786" s="1189"/>
      <c r="BZ786" s="1189" t="s">
        <v>1403</v>
      </c>
    </row>
    <row r="787" spans="1:78" ht="15.75">
      <c r="G787" s="140"/>
      <c r="H787" s="369"/>
      <c r="I787" s="197"/>
      <c r="J787" s="197"/>
      <c r="P787" s="555"/>
      <c r="V787" s="113"/>
      <c r="AR787" s="77"/>
      <c r="BE787" s="589"/>
      <c r="BU787" s="1189" t="s">
        <v>1404</v>
      </c>
      <c r="BV787" s="1189"/>
      <c r="BW787" s="1189"/>
      <c r="BX787" s="1189"/>
      <c r="BY787" s="1189"/>
      <c r="BZ787" s="1189" t="s">
        <v>1405</v>
      </c>
    </row>
    <row r="788" spans="1:78" ht="15.75">
      <c r="G788" s="140"/>
      <c r="H788" s="369"/>
      <c r="I788" s="197"/>
      <c r="J788" s="197"/>
      <c r="P788" s="555"/>
      <c r="V788" s="113"/>
      <c r="AR788" s="77"/>
      <c r="BE788" s="589"/>
      <c r="BU788" s="1189" t="s">
        <v>1407</v>
      </c>
      <c r="BV788" s="1189"/>
      <c r="BW788" s="1189"/>
      <c r="BX788" s="1189"/>
      <c r="BY788" s="1189"/>
      <c r="BZ788" s="1189" t="s">
        <v>1406</v>
      </c>
    </row>
    <row r="789" spans="1:78" ht="35.25" customHeight="1">
      <c r="E789" s="2102"/>
      <c r="F789" s="2102"/>
      <c r="G789" s="2103"/>
      <c r="H789" s="2103"/>
      <c r="I789" s="850"/>
      <c r="J789" s="850"/>
      <c r="K789" s="1482"/>
      <c r="L789" s="850"/>
      <c r="M789" s="850"/>
      <c r="N789" s="850"/>
      <c r="O789" s="850"/>
      <c r="P789" s="2104">
        <f>P714+P724+P725+P727+P726+P728+P729+P730+P731+P732+P733+P734+P735+P736+P737+P738</f>
        <v>14577711.350000001</v>
      </c>
      <c r="Q789" s="2103"/>
      <c r="R789" s="2103"/>
      <c r="AR789" s="77">
        <f>AQ600+AR600+AQ601+AR601</f>
        <v>106348.8</v>
      </c>
      <c r="BG789" s="77"/>
      <c r="BU789" s="1189"/>
    </row>
    <row r="790" spans="1:78" ht="21">
      <c r="H790" s="366"/>
      <c r="I790" s="197"/>
      <c r="J790" s="197"/>
      <c r="K790" s="1482"/>
      <c r="P790" s="555"/>
    </row>
    <row r="791" spans="1:78" ht="15.75">
      <c r="H791" s="366"/>
      <c r="I791" s="197"/>
      <c r="J791" s="197"/>
      <c r="BY791" t="s">
        <v>1295</v>
      </c>
      <c r="BZ791" s="1189" t="s">
        <v>3248</v>
      </c>
    </row>
    <row r="792" spans="1:78" ht="15.75">
      <c r="H792" s="366"/>
      <c r="I792" s="197"/>
      <c r="J792" s="197"/>
      <c r="P792" s="113"/>
      <c r="BY792" t="s">
        <v>1404</v>
      </c>
      <c r="BZ792" s="1189" t="s">
        <v>3249</v>
      </c>
    </row>
    <row r="793" spans="1:78" ht="15.75">
      <c r="H793" s="366"/>
      <c r="I793" s="197"/>
      <c r="J793" s="197"/>
      <c r="BY793" t="s">
        <v>2282</v>
      </c>
      <c r="BZ793" s="1189" t="s">
        <v>3250</v>
      </c>
    </row>
    <row r="794" spans="1:78">
      <c r="H794" s="366"/>
      <c r="I794" s="197"/>
      <c r="J794" s="197"/>
    </row>
    <row r="795" spans="1:78">
      <c r="H795" s="366"/>
      <c r="I795" s="197"/>
      <c r="J795" s="197"/>
    </row>
    <row r="796" spans="1:78">
      <c r="H796" s="366"/>
      <c r="I796" s="197"/>
      <c r="J796" s="197"/>
    </row>
    <row r="797" spans="1:78">
      <c r="H797" s="366"/>
      <c r="I797" s="197"/>
      <c r="J797" s="197"/>
      <c r="P797" s="113"/>
      <c r="R797" s="592"/>
      <c r="S797" s="113"/>
      <c r="T797" s="113"/>
    </row>
    <row r="798" spans="1:78">
      <c r="N798" t="s">
        <v>5798</v>
      </c>
      <c r="O798" s="555">
        <f>P639+P649+P650+P727+P728</f>
        <v>11834221.85</v>
      </c>
      <c r="P798" t="s">
        <v>5553</v>
      </c>
      <c r="Q798" s="2135">
        <f>P714+P734</f>
        <v>561987.14</v>
      </c>
      <c r="R798" s="2135"/>
      <c r="AR798" s="77"/>
      <c r="AS798" s="77"/>
    </row>
    <row r="799" spans="1:78">
      <c r="O799" s="555"/>
      <c r="P799" t="s">
        <v>5554</v>
      </c>
      <c r="Q799" s="2135">
        <f>P735</f>
        <v>553159.56000000006</v>
      </c>
      <c r="R799" s="2136"/>
      <c r="AR799" s="77"/>
      <c r="AS799" s="77"/>
    </row>
    <row r="800" spans="1:78">
      <c r="N800" t="s">
        <v>5799</v>
      </c>
      <c r="O800" s="555">
        <f>P738+P731+P733</f>
        <v>1246694.45</v>
      </c>
      <c r="P800" t="s">
        <v>5553</v>
      </c>
      <c r="Q800" s="2129">
        <f>P726+P730+P732</f>
        <v>5601197.6200000001</v>
      </c>
      <c r="R800" s="2129"/>
    </row>
    <row r="801" spans="14:18">
      <c r="P801" t="s">
        <v>5554</v>
      </c>
      <c r="Q801" s="2129">
        <f>P724+P725</f>
        <v>3021237.36</v>
      </c>
      <c r="R801" s="2130"/>
    </row>
    <row r="802" spans="14:18" ht="15.75">
      <c r="P802" s="1016"/>
    </row>
    <row r="805" spans="14:18">
      <c r="N805" t="s">
        <v>5800</v>
      </c>
      <c r="O805" s="555">
        <f>P730+GESTIÓN!K22</f>
        <v>4387303.55</v>
      </c>
    </row>
    <row r="812" spans="14:18">
      <c r="O812" s="555">
        <f>O798+O800+O805</f>
        <v>17468219.849999998</v>
      </c>
    </row>
    <row r="813" spans="14:18" ht="23.25">
      <c r="O813" s="2049">
        <v>17468219.850000001</v>
      </c>
      <c r="P813" s="2098"/>
      <c r="Q813" s="2098"/>
    </row>
  </sheetData>
  <autoFilter ref="B5:BZ783">
    <filterColumn colId="7">
      <filters>
        <filter val="2023"/>
      </filters>
    </filterColumn>
    <filterColumn colId="11">
      <filters>
        <filter val="CONCURSO SIMPLIFICADO SUMARIO"/>
        <filter val="CONCURSO SIMPLIFICADO SUMARIO CON RECURSOS CONCURRIDOS"/>
      </filters>
    </filterColumn>
    <filterColumn colId="75">
      <filters blank="1">
        <filter val="2015-2018"/>
        <filter val="2018-2021"/>
        <filter val="2021-2024"/>
      </filters>
    </filterColumn>
    <sortState ref="B724:BZ753">
      <sortCondition descending="1" ref="M5:M783"/>
    </sortState>
  </autoFilter>
  <mergeCells count="22">
    <mergeCell ref="Q801:R801"/>
    <mergeCell ref="AQ3:AS3"/>
    <mergeCell ref="N786:P786"/>
    <mergeCell ref="Q798:R798"/>
    <mergeCell ref="Q799:R799"/>
    <mergeCell ref="Q800:R800"/>
    <mergeCell ref="C4:D4"/>
    <mergeCell ref="AO786:AP786"/>
    <mergeCell ref="B1:S1"/>
    <mergeCell ref="P813:Q813"/>
    <mergeCell ref="BI3:BS3"/>
    <mergeCell ref="E789:H789"/>
    <mergeCell ref="P789:R789"/>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row r="2" spans="1:24" ht="15.75" thickBot="1">
      <c r="A2" s="1043"/>
      <c r="B2" s="1044"/>
      <c r="C2" s="1046" t="s">
        <v>2758</v>
      </c>
      <c r="D2" s="1044"/>
      <c r="E2" s="1045"/>
      <c r="I2" s="1043" t="s">
        <v>2759</v>
      </c>
      <c r="J2" s="1044"/>
      <c r="K2" s="1045"/>
      <c r="O2" s="1043" t="s">
        <v>7</v>
      </c>
      <c r="P2" s="1044"/>
      <c r="Q2" s="1045"/>
      <c r="T2" s="1505" t="s">
        <v>3680</v>
      </c>
      <c r="U2" s="1506"/>
      <c r="W2" s="1505" t="s">
        <v>3681</v>
      </c>
      <c r="X2" s="1506"/>
    </row>
    <row r="4" spans="1:24">
      <c r="A4" s="1866">
        <f>OBRA!P636</f>
        <v>98067.87</v>
      </c>
      <c r="C4" s="113">
        <f>100*A4/116</f>
        <v>84541.267241379304</v>
      </c>
      <c r="E4">
        <v>84541.27</v>
      </c>
      <c r="I4" s="1031"/>
      <c r="O4" s="306">
        <f>OBRA!AP400</f>
        <v>392737.05000000005</v>
      </c>
      <c r="T4" t="s">
        <v>3682</v>
      </c>
      <c r="W4" t="s">
        <v>3682</v>
      </c>
    </row>
    <row r="5" spans="1:24">
      <c r="A5" s="1866">
        <f>OBRA!P637</f>
        <v>160513.82999999999</v>
      </c>
      <c r="C5" s="113">
        <f t="shared" ref="C5:C41" si="0">100*A5/116</f>
        <v>138373.99137931032</v>
      </c>
      <c r="E5">
        <v>138373.99</v>
      </c>
      <c r="I5" s="651"/>
      <c r="K5">
        <v>230583.34</v>
      </c>
      <c r="O5" s="306">
        <f>OBRA!AP401</f>
        <v>43579.32</v>
      </c>
      <c r="Q5">
        <v>43579.32</v>
      </c>
    </row>
    <row r="6" spans="1:24">
      <c r="A6" s="1866">
        <f>OBRA!P638</f>
        <v>236056.39</v>
      </c>
      <c r="C6" s="113">
        <f t="shared" si="0"/>
        <v>203496.88793103449</v>
      </c>
      <c r="E6">
        <v>203496.89</v>
      </c>
      <c r="I6" s="651"/>
      <c r="K6">
        <v>104942</v>
      </c>
      <c r="O6" s="306">
        <f>OBRA!AP403</f>
        <v>20988.400000000001</v>
      </c>
      <c r="Q6">
        <v>20988.400000000001</v>
      </c>
      <c r="T6">
        <v>389879</v>
      </c>
      <c r="U6" t="s">
        <v>3689</v>
      </c>
      <c r="W6">
        <v>389885</v>
      </c>
      <c r="X6" t="s">
        <v>3683</v>
      </c>
    </row>
    <row r="7" spans="1:24">
      <c r="A7" s="1866">
        <f>OBRA!P639</f>
        <v>2031883.8</v>
      </c>
      <c r="C7" s="113">
        <f t="shared" si="0"/>
        <v>1751623.9655172413</v>
      </c>
      <c r="E7">
        <v>1751623.97</v>
      </c>
      <c r="I7" s="651"/>
      <c r="K7">
        <v>132810.69</v>
      </c>
      <c r="O7" s="306">
        <f>OBRA!AP404</f>
        <v>52536.350000000006</v>
      </c>
      <c r="Q7">
        <v>52536.35</v>
      </c>
      <c r="T7">
        <v>389864</v>
      </c>
      <c r="U7" t="s">
        <v>3690</v>
      </c>
      <c r="W7">
        <v>389914</v>
      </c>
      <c r="X7" t="s">
        <v>3684</v>
      </c>
    </row>
    <row r="8" spans="1:24">
      <c r="A8" s="1866">
        <f>OBRA!P640</f>
        <v>793754.52</v>
      </c>
      <c r="C8" s="113">
        <f t="shared" si="0"/>
        <v>684271.13793103443</v>
      </c>
      <c r="E8">
        <v>684271.14</v>
      </c>
      <c r="I8" s="1031"/>
      <c r="O8" s="306"/>
      <c r="T8">
        <v>389876</v>
      </c>
      <c r="U8" t="s">
        <v>3691</v>
      </c>
      <c r="W8">
        <v>389915</v>
      </c>
      <c r="X8" t="s">
        <v>3685</v>
      </c>
    </row>
    <row r="9" spans="1:24">
      <c r="A9" s="1866">
        <f>OBRA!P641</f>
        <v>579637.71</v>
      </c>
      <c r="C9" s="113">
        <f t="shared" si="0"/>
        <v>499687.68103448278</v>
      </c>
      <c r="E9">
        <v>499687.67999999999</v>
      </c>
      <c r="I9" s="1031"/>
      <c r="O9" s="306"/>
      <c r="W9">
        <v>389916</v>
      </c>
      <c r="X9" t="s">
        <v>3686</v>
      </c>
    </row>
    <row r="10" spans="1:24">
      <c r="A10" s="1866">
        <f>OBRA!P642</f>
        <v>627108.43000000005</v>
      </c>
      <c r="C10" s="113">
        <f t="shared" si="0"/>
        <v>540610.71551724139</v>
      </c>
      <c r="I10" s="1031"/>
      <c r="O10" s="306"/>
      <c r="W10">
        <v>389917</v>
      </c>
      <c r="X10" t="s">
        <v>1415</v>
      </c>
    </row>
    <row r="11" spans="1:24">
      <c r="A11" s="1866">
        <f>OBRA!P643</f>
        <v>168470.35</v>
      </c>
      <c r="C11" s="113">
        <f t="shared" si="0"/>
        <v>145233.06034482759</v>
      </c>
      <c r="I11" s="1031"/>
      <c r="O11" s="306"/>
      <c r="W11">
        <v>389918</v>
      </c>
      <c r="X11" t="s">
        <v>3687</v>
      </c>
    </row>
    <row r="12" spans="1:24">
      <c r="A12" s="1866">
        <f>OBRA!P644</f>
        <v>809084.8</v>
      </c>
      <c r="C12" s="113">
        <f t="shared" si="0"/>
        <v>697486.89655172417</v>
      </c>
      <c r="I12" s="1031"/>
      <c r="O12" s="306"/>
    </row>
    <row r="13" spans="1:24">
      <c r="A13" s="1866">
        <f>OBRA!P645</f>
        <v>1697255.04</v>
      </c>
      <c r="C13" s="113">
        <f t="shared" si="0"/>
        <v>1463150.8965517241</v>
      </c>
      <c r="I13" s="187"/>
      <c r="N13" s="833"/>
      <c r="O13" s="306"/>
    </row>
    <row r="14" spans="1:24">
      <c r="A14" s="1866">
        <f>OBRA!P646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95"/>
  <sheetViews>
    <sheetView view="pageBreakPreview" topLeftCell="A3" zoomScale="55" zoomScaleSheetLayoutView="55" workbookViewId="0">
      <pane xSplit="8" ySplit="2" topLeftCell="I35" activePane="bottomRight" state="frozen"/>
      <selection activeCell="A3" sqref="A3"/>
      <selection pane="topRight" activeCell="I3" sqref="I3"/>
      <selection pane="bottomLeft" activeCell="A5" sqref="A5"/>
      <selection pane="bottomRight" activeCell="H43" sqref="H43"/>
    </sheetView>
  </sheetViews>
  <sheetFormatPr baseColWidth="10" defaultColWidth="11.42578125" defaultRowHeight="15"/>
  <cols>
    <col min="1" max="1" width="3.28515625" style="17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244" t="s">
        <v>5583</v>
      </c>
      <c r="C1" s="2244"/>
      <c r="D1" s="2244"/>
      <c r="E1" s="2244"/>
      <c r="F1" s="2244"/>
      <c r="G1" s="2244"/>
      <c r="H1" s="2244"/>
      <c r="I1" s="2244"/>
      <c r="J1" s="2244"/>
      <c r="K1" s="2244"/>
      <c r="L1" s="2244"/>
      <c r="M1" s="2244"/>
      <c r="N1" s="2244"/>
      <c r="O1" s="2244"/>
      <c r="P1" s="2244"/>
      <c r="Q1" s="2244"/>
    </row>
    <row r="2" spans="1:17" ht="19.5" customHeight="1" thickBot="1">
      <c r="A2"/>
      <c r="B2" s="11"/>
      <c r="C2" s="11"/>
      <c r="D2" s="11"/>
      <c r="E2" s="2024"/>
      <c r="F2" s="10"/>
      <c r="G2" s="10"/>
      <c r="H2" s="1062"/>
      <c r="I2" s="1062"/>
      <c r="J2" s="1062"/>
      <c r="K2" s="1063"/>
      <c r="L2" s="10"/>
      <c r="M2" s="10"/>
      <c r="N2" s="10"/>
      <c r="O2" s="10"/>
      <c r="P2" s="10"/>
      <c r="Q2" s="10"/>
    </row>
    <row r="3" spans="1:17" ht="74.25" customHeight="1" thickTop="1" thickBot="1">
      <c r="B3" s="2022" t="s">
        <v>19</v>
      </c>
      <c r="C3" s="2023" t="s">
        <v>5794</v>
      </c>
      <c r="D3" s="2023" t="s">
        <v>16</v>
      </c>
      <c r="E3" s="539" t="s">
        <v>20</v>
      </c>
      <c r="F3" s="43" t="s">
        <v>21</v>
      </c>
      <c r="G3" s="44" t="s">
        <v>22</v>
      </c>
      <c r="H3" s="45" t="s">
        <v>23</v>
      </c>
      <c r="I3" s="45" t="s">
        <v>2511</v>
      </c>
      <c r="J3" s="45" t="s">
        <v>4426</v>
      </c>
      <c r="K3" s="45" t="s">
        <v>24</v>
      </c>
      <c r="L3" s="45" t="s">
        <v>25</v>
      </c>
      <c r="M3" s="45" t="s">
        <v>26</v>
      </c>
      <c r="N3" s="46" t="s">
        <v>27</v>
      </c>
      <c r="O3" s="402" t="s">
        <v>28</v>
      </c>
      <c r="P3" s="402" t="s">
        <v>5501</v>
      </c>
      <c r="Q3" s="50" t="s">
        <v>5495</v>
      </c>
    </row>
    <row r="4" spans="1:17" s="833" customFormat="1" ht="20.25" customHeight="1" thickTop="1">
      <c r="A4" s="1711"/>
      <c r="B4" s="836"/>
      <c r="C4" s="827"/>
      <c r="D4" s="827"/>
      <c r="E4" s="815"/>
      <c r="F4" s="819"/>
      <c r="G4" s="838"/>
      <c r="H4" s="829"/>
      <c r="I4" s="829"/>
      <c r="J4" s="829"/>
      <c r="K4" s="829"/>
      <c r="L4" s="829"/>
      <c r="M4" s="829"/>
      <c r="N4" s="815"/>
      <c r="O4" s="826"/>
      <c r="P4" s="826"/>
      <c r="Q4" s="839"/>
    </row>
    <row r="5" spans="1:17" ht="68.25" customHeight="1">
      <c r="B5" s="2026">
        <v>2022</v>
      </c>
      <c r="C5" s="2028">
        <v>2022</v>
      </c>
      <c r="D5" s="2027">
        <v>45170</v>
      </c>
      <c r="E5" s="183"/>
      <c r="F5" s="191" t="s">
        <v>4490</v>
      </c>
      <c r="G5" s="185" t="s">
        <v>5488</v>
      </c>
      <c r="H5" s="186" t="s">
        <v>5483</v>
      </c>
      <c r="I5" s="186" t="s">
        <v>2532</v>
      </c>
      <c r="J5" s="186" t="s">
        <v>1979</v>
      </c>
      <c r="K5" s="187">
        <v>11570083.17</v>
      </c>
      <c r="L5" s="188"/>
      <c r="M5" s="189">
        <v>44652</v>
      </c>
      <c r="N5" s="190">
        <v>44756</v>
      </c>
      <c r="O5" s="2025" t="s">
        <v>5529</v>
      </c>
      <c r="P5" s="277"/>
      <c r="Q5" s="111" t="s">
        <v>1406</v>
      </c>
    </row>
    <row r="6" spans="1:17" ht="75" customHeight="1">
      <c r="B6" s="2026">
        <v>2022</v>
      </c>
      <c r="C6" s="2028">
        <v>2022</v>
      </c>
      <c r="D6" s="2027">
        <v>45170</v>
      </c>
      <c r="E6" s="183"/>
      <c r="F6" s="191" t="s">
        <v>4491</v>
      </c>
      <c r="G6" s="185" t="s">
        <v>5488</v>
      </c>
      <c r="H6" s="186" t="s">
        <v>5484</v>
      </c>
      <c r="I6" s="186" t="s">
        <v>2532</v>
      </c>
      <c r="J6" s="186" t="s">
        <v>1979</v>
      </c>
      <c r="K6" s="187">
        <v>10558908.779999999</v>
      </c>
      <c r="L6" s="188"/>
      <c r="M6" s="189">
        <v>44652</v>
      </c>
      <c r="N6" s="190">
        <v>44756</v>
      </c>
      <c r="O6" s="2025" t="s">
        <v>5530</v>
      </c>
      <c r="P6" s="277"/>
      <c r="Q6" s="111" t="s">
        <v>1406</v>
      </c>
    </row>
    <row r="7" spans="1:17" ht="75" customHeight="1">
      <c r="B7" s="2026">
        <v>2022</v>
      </c>
      <c r="C7" s="2028">
        <v>2022</v>
      </c>
      <c r="D7" s="2027">
        <v>45170</v>
      </c>
      <c r="E7" s="183"/>
      <c r="F7" s="191" t="s">
        <v>5526</v>
      </c>
      <c r="G7" s="185" t="s">
        <v>79</v>
      </c>
      <c r="H7" s="186" t="s">
        <v>5527</v>
      </c>
      <c r="I7" s="186" t="s">
        <v>2532</v>
      </c>
      <c r="J7" s="186" t="s">
        <v>1979</v>
      </c>
      <c r="K7" s="187">
        <v>1968754.16</v>
      </c>
      <c r="L7" s="188"/>
      <c r="M7" s="189">
        <v>44642</v>
      </c>
      <c r="N7" s="190">
        <v>44701</v>
      </c>
      <c r="O7" s="277" t="s">
        <v>5528</v>
      </c>
      <c r="P7" s="277"/>
      <c r="Q7" s="111" t="s">
        <v>1406</v>
      </c>
    </row>
    <row r="8" spans="1:17" ht="75" customHeight="1">
      <c r="B8" s="2026">
        <v>2022</v>
      </c>
      <c r="C8" s="2028">
        <v>2022</v>
      </c>
      <c r="D8" s="2027">
        <v>45170</v>
      </c>
      <c r="E8" s="183"/>
      <c r="F8" s="191" t="s">
        <v>5538</v>
      </c>
      <c r="G8" s="185" t="s">
        <v>5499</v>
      </c>
      <c r="H8" s="186" t="s">
        <v>5537</v>
      </c>
      <c r="I8" s="186" t="s">
        <v>2532</v>
      </c>
      <c r="J8" s="186" t="s">
        <v>1979</v>
      </c>
      <c r="K8" s="187">
        <v>5187836.45</v>
      </c>
      <c r="L8" s="188"/>
      <c r="M8" s="189">
        <v>44841</v>
      </c>
      <c r="N8" s="190">
        <v>44910</v>
      </c>
      <c r="O8" s="277" t="s">
        <v>5528</v>
      </c>
      <c r="P8" s="277"/>
      <c r="Q8" s="111" t="s">
        <v>1406</v>
      </c>
    </row>
    <row r="9" spans="1:17" ht="78.75" customHeight="1">
      <c r="B9" s="2026">
        <v>2022</v>
      </c>
      <c r="C9" s="2028">
        <v>2022</v>
      </c>
      <c r="D9" s="2027">
        <v>45170</v>
      </c>
      <c r="E9" s="183"/>
      <c r="F9" s="191" t="s">
        <v>5534</v>
      </c>
      <c r="G9" s="185" t="s">
        <v>5499</v>
      </c>
      <c r="H9" s="186" t="s">
        <v>5535</v>
      </c>
      <c r="I9" s="186" t="s">
        <v>5390</v>
      </c>
      <c r="J9" s="186" t="s">
        <v>2611</v>
      </c>
      <c r="K9" s="187">
        <v>10974507.92</v>
      </c>
      <c r="L9" s="188"/>
      <c r="M9" s="189">
        <v>44691</v>
      </c>
      <c r="N9" s="190">
        <v>44780</v>
      </c>
      <c r="O9" s="1399" t="s">
        <v>5536</v>
      </c>
      <c r="P9" s="277"/>
      <c r="Q9" s="111" t="s">
        <v>1406</v>
      </c>
    </row>
    <row r="10" spans="1:17" ht="78.75" customHeight="1">
      <c r="B10" s="2026">
        <v>2020</v>
      </c>
      <c r="C10" s="2028">
        <v>2022</v>
      </c>
      <c r="D10" s="2027">
        <v>45170</v>
      </c>
      <c r="E10" s="183"/>
      <c r="F10" s="191" t="s">
        <v>5563</v>
      </c>
      <c r="G10" s="185" t="s">
        <v>5488</v>
      </c>
      <c r="H10" s="186" t="s">
        <v>5564</v>
      </c>
      <c r="I10" s="186" t="s">
        <v>5390</v>
      </c>
      <c r="J10" s="186" t="s">
        <v>2611</v>
      </c>
      <c r="K10" s="187">
        <v>16316936.48</v>
      </c>
      <c r="L10" s="188"/>
      <c r="M10" s="189">
        <v>44226</v>
      </c>
      <c r="N10" s="190">
        <v>44345</v>
      </c>
      <c r="O10" s="1399" t="s">
        <v>5565</v>
      </c>
      <c r="P10" s="277"/>
      <c r="Q10" s="111" t="s">
        <v>1406</v>
      </c>
    </row>
    <row r="11" spans="1:17" ht="78.75" customHeight="1">
      <c r="B11" s="2026">
        <v>2021</v>
      </c>
      <c r="C11" s="2028">
        <v>2022</v>
      </c>
      <c r="D11" s="2027">
        <v>45170</v>
      </c>
      <c r="E11" s="183"/>
      <c r="F11" s="191" t="s">
        <v>5566</v>
      </c>
      <c r="G11" s="185" t="s">
        <v>5499</v>
      </c>
      <c r="H11" s="186" t="s">
        <v>5567</v>
      </c>
      <c r="I11" s="186" t="s">
        <v>5390</v>
      </c>
      <c r="J11" s="186" t="s">
        <v>2611</v>
      </c>
      <c r="K11" s="187">
        <v>5433339.2699999996</v>
      </c>
      <c r="L11" s="188"/>
      <c r="M11" s="189">
        <v>44490</v>
      </c>
      <c r="N11" s="190">
        <v>44549</v>
      </c>
      <c r="O11" s="1399" t="s">
        <v>5568</v>
      </c>
      <c r="P11" s="277"/>
      <c r="Q11" s="111" t="s">
        <v>1406</v>
      </c>
    </row>
    <row r="12" spans="1:17" ht="78.75" customHeight="1">
      <c r="B12" s="2026">
        <v>2021</v>
      </c>
      <c r="C12" s="2028">
        <v>2022</v>
      </c>
      <c r="D12" s="2027">
        <v>45170</v>
      </c>
      <c r="E12" s="183"/>
      <c r="F12" s="191" t="s">
        <v>5560</v>
      </c>
      <c r="G12" s="185" t="s">
        <v>5499</v>
      </c>
      <c r="H12" s="186" t="s">
        <v>5561</v>
      </c>
      <c r="I12" s="186" t="s">
        <v>5390</v>
      </c>
      <c r="J12" s="186" t="s">
        <v>2611</v>
      </c>
      <c r="K12" s="187">
        <v>9297941.1699999999</v>
      </c>
      <c r="L12" s="188"/>
      <c r="M12" s="189">
        <v>44488</v>
      </c>
      <c r="N12" s="190">
        <v>44547</v>
      </c>
      <c r="O12" s="1399" t="s">
        <v>5562</v>
      </c>
      <c r="P12" s="277"/>
      <c r="Q12" s="111" t="s">
        <v>1406</v>
      </c>
    </row>
    <row r="13" spans="1:17" ht="78.75" customHeight="1">
      <c r="B13" s="2026">
        <v>2021</v>
      </c>
      <c r="C13" s="2028">
        <v>2022</v>
      </c>
      <c r="D13" s="2027">
        <v>45170</v>
      </c>
      <c r="E13" s="183"/>
      <c r="F13" s="191" t="s">
        <v>5578</v>
      </c>
      <c r="G13" s="185" t="s">
        <v>5488</v>
      </c>
      <c r="H13" s="3" t="s">
        <v>5579</v>
      </c>
      <c r="I13" s="3" t="s">
        <v>5390</v>
      </c>
      <c r="J13" s="186" t="s">
        <v>2611</v>
      </c>
      <c r="K13" s="187">
        <v>11060111.4</v>
      </c>
      <c r="L13" s="188"/>
      <c r="M13" s="189">
        <v>44302</v>
      </c>
      <c r="N13" s="190">
        <v>44421</v>
      </c>
      <c r="O13" s="1399" t="s">
        <v>5580</v>
      </c>
      <c r="P13" s="277"/>
      <c r="Q13" s="111" t="s">
        <v>1406</v>
      </c>
    </row>
    <row r="14" spans="1:17" ht="78.75" customHeight="1">
      <c r="B14" s="2026">
        <v>2021</v>
      </c>
      <c r="C14" s="2028">
        <v>2022</v>
      </c>
      <c r="D14" s="2027">
        <v>45170</v>
      </c>
      <c r="E14" s="183"/>
      <c r="F14" s="191" t="s">
        <v>5575</v>
      </c>
      <c r="G14" s="185" t="s">
        <v>5488</v>
      </c>
      <c r="H14" s="186" t="s">
        <v>5576</v>
      </c>
      <c r="I14" s="186" t="s">
        <v>5390</v>
      </c>
      <c r="J14" s="186" t="s">
        <v>2611</v>
      </c>
      <c r="K14" s="187">
        <v>10663760.539999999</v>
      </c>
      <c r="L14" s="188"/>
      <c r="M14" s="189">
        <v>44302</v>
      </c>
      <c r="N14" s="190">
        <v>44421</v>
      </c>
      <c r="O14" s="1399" t="s">
        <v>5577</v>
      </c>
      <c r="P14" s="277"/>
      <c r="Q14" s="111" t="s">
        <v>1406</v>
      </c>
    </row>
    <row r="15" spans="1:17" ht="78.75" customHeight="1">
      <c r="B15" s="2026">
        <v>2021</v>
      </c>
      <c r="C15" s="2028">
        <v>2022</v>
      </c>
      <c r="D15" s="2027">
        <v>45170</v>
      </c>
      <c r="E15" s="183"/>
      <c r="F15" s="191" t="s">
        <v>5572</v>
      </c>
      <c r="G15" s="185" t="s">
        <v>5488</v>
      </c>
      <c r="H15" s="186" t="s">
        <v>5573</v>
      </c>
      <c r="I15" s="186" t="s">
        <v>5390</v>
      </c>
      <c r="J15" s="186" t="s">
        <v>2611</v>
      </c>
      <c r="K15" s="187">
        <v>12021285.439999999</v>
      </c>
      <c r="L15" s="188"/>
      <c r="M15" s="189">
        <v>44302</v>
      </c>
      <c r="N15" s="190">
        <v>44421</v>
      </c>
      <c r="O15" s="1399" t="s">
        <v>5574</v>
      </c>
      <c r="P15" s="277"/>
      <c r="Q15" s="111" t="s">
        <v>1406</v>
      </c>
    </row>
    <row r="16" spans="1:17" ht="78.75" customHeight="1">
      <c r="B16" s="2026">
        <v>2021</v>
      </c>
      <c r="C16" s="2028">
        <v>2022</v>
      </c>
      <c r="D16" s="2027">
        <v>45170</v>
      </c>
      <c r="E16" s="183"/>
      <c r="F16" s="191" t="s">
        <v>5569</v>
      </c>
      <c r="G16" s="185" t="s">
        <v>5488</v>
      </c>
      <c r="H16" s="186" t="s">
        <v>5570</v>
      </c>
      <c r="I16" s="186" t="s">
        <v>5390</v>
      </c>
      <c r="J16" s="186" t="s">
        <v>2611</v>
      </c>
      <c r="K16" s="187">
        <v>11491864.08</v>
      </c>
      <c r="L16" s="188"/>
      <c r="M16" s="189">
        <v>44302</v>
      </c>
      <c r="N16" s="190">
        <v>44421</v>
      </c>
      <c r="O16" s="1399" t="s">
        <v>5571</v>
      </c>
      <c r="P16" s="277"/>
      <c r="Q16" s="111" t="s">
        <v>1406</v>
      </c>
    </row>
    <row r="17" spans="2:17" ht="103.5" customHeight="1">
      <c r="B17" s="2026">
        <v>2022</v>
      </c>
      <c r="C17" s="2028">
        <v>2022</v>
      </c>
      <c r="D17" s="2027">
        <v>45170</v>
      </c>
      <c r="E17" s="183"/>
      <c r="F17" s="191" t="s">
        <v>5531</v>
      </c>
      <c r="G17" s="185" t="s">
        <v>5499</v>
      </c>
      <c r="H17" s="186" t="s">
        <v>5532</v>
      </c>
      <c r="I17" s="186" t="s">
        <v>5390</v>
      </c>
      <c r="J17" s="186" t="s">
        <v>2611</v>
      </c>
      <c r="K17" s="187">
        <v>2975907.18</v>
      </c>
      <c r="L17" s="188"/>
      <c r="M17" s="189">
        <v>44915</v>
      </c>
      <c r="N17" s="190">
        <v>44926</v>
      </c>
      <c r="O17" s="123" t="s">
        <v>5533</v>
      </c>
      <c r="P17" s="277"/>
      <c r="Q17" s="111" t="s">
        <v>1406</v>
      </c>
    </row>
    <row r="18" spans="2:17" ht="67.5" customHeight="1">
      <c r="B18" s="2026">
        <v>2020</v>
      </c>
      <c r="C18" s="2028">
        <v>2022</v>
      </c>
      <c r="D18" s="2027">
        <v>44805</v>
      </c>
      <c r="E18" s="183"/>
      <c r="F18" s="191" t="s">
        <v>5539</v>
      </c>
      <c r="G18" s="185" t="s">
        <v>5488</v>
      </c>
      <c r="H18" s="186" t="s">
        <v>5540</v>
      </c>
      <c r="I18" s="186" t="s">
        <v>2573</v>
      </c>
      <c r="J18" s="186" t="s">
        <v>4431</v>
      </c>
      <c r="K18" s="187">
        <v>2565012.7999999998</v>
      </c>
      <c r="L18" s="188"/>
      <c r="M18" s="189">
        <v>44217</v>
      </c>
      <c r="N18" s="190">
        <v>44336</v>
      </c>
      <c r="O18" s="2025" t="s">
        <v>5541</v>
      </c>
      <c r="P18" s="277"/>
      <c r="Q18" s="111" t="s">
        <v>1406</v>
      </c>
    </row>
    <row r="19" spans="2:17" ht="67.5" customHeight="1">
      <c r="B19" s="2026">
        <v>2020</v>
      </c>
      <c r="C19" s="2028">
        <v>2022</v>
      </c>
      <c r="D19" s="2027">
        <v>44805</v>
      </c>
      <c r="E19" s="183"/>
      <c r="F19" s="191" t="s">
        <v>5542</v>
      </c>
      <c r="G19" s="185" t="s">
        <v>5488</v>
      </c>
      <c r="H19" s="186" t="s">
        <v>5543</v>
      </c>
      <c r="I19" s="186" t="s">
        <v>2573</v>
      </c>
      <c r="J19" s="186" t="s">
        <v>4431</v>
      </c>
      <c r="K19" s="187">
        <v>3136819.35</v>
      </c>
      <c r="L19" s="188"/>
      <c r="M19" s="189">
        <v>44216</v>
      </c>
      <c r="N19" s="190">
        <v>44345</v>
      </c>
      <c r="O19" s="2025" t="s">
        <v>5544</v>
      </c>
      <c r="P19" s="277"/>
      <c r="Q19" s="111" t="s">
        <v>1406</v>
      </c>
    </row>
    <row r="20" spans="2:17" ht="83.25" customHeight="1">
      <c r="B20" s="2026">
        <v>2022</v>
      </c>
      <c r="C20" s="2028"/>
      <c r="D20" s="2027">
        <v>45170</v>
      </c>
      <c r="E20" s="183"/>
      <c r="F20" s="191" t="s">
        <v>5515</v>
      </c>
      <c r="G20" s="185" t="s">
        <v>5499</v>
      </c>
      <c r="H20" s="186" t="s">
        <v>5516</v>
      </c>
      <c r="I20" s="186" t="s">
        <v>5504</v>
      </c>
      <c r="J20" s="186" t="s">
        <v>2613</v>
      </c>
      <c r="K20" s="187">
        <v>7894555.1299999999</v>
      </c>
      <c r="L20" s="188"/>
      <c r="M20" s="189">
        <v>44723</v>
      </c>
      <c r="N20" s="190">
        <v>44822</v>
      </c>
      <c r="O20" s="2025" t="s">
        <v>5517</v>
      </c>
      <c r="P20" s="277"/>
      <c r="Q20" s="111" t="s">
        <v>1405</v>
      </c>
    </row>
    <row r="21" spans="2:17" ht="99.75" customHeight="1">
      <c r="B21" s="2026">
        <v>2022</v>
      </c>
      <c r="C21" s="2028">
        <v>2023</v>
      </c>
      <c r="D21" s="2028"/>
      <c r="E21" s="183" t="s">
        <v>3148</v>
      </c>
      <c r="F21" s="191" t="s">
        <v>5508</v>
      </c>
      <c r="G21" s="185" t="s">
        <v>4077</v>
      </c>
      <c r="H21" s="186" t="s">
        <v>5507</v>
      </c>
      <c r="I21" s="186" t="s">
        <v>4778</v>
      </c>
      <c r="J21" s="186" t="s">
        <v>4431</v>
      </c>
      <c r="K21" s="187">
        <v>4000000</v>
      </c>
      <c r="L21" s="188"/>
      <c r="M21" s="189">
        <v>44784</v>
      </c>
      <c r="N21" s="190">
        <v>44926</v>
      </c>
      <c r="O21" s="2025" t="s">
        <v>5509</v>
      </c>
      <c r="P21" s="277"/>
      <c r="Q21" s="111" t="s">
        <v>1406</v>
      </c>
    </row>
    <row r="22" spans="2:17" ht="103.5" customHeight="1">
      <c r="B22" s="2026">
        <v>2022</v>
      </c>
      <c r="C22" s="2028">
        <v>2023</v>
      </c>
      <c r="D22" s="2027">
        <v>45170</v>
      </c>
      <c r="E22" s="183" t="s">
        <v>3148</v>
      </c>
      <c r="F22" s="191" t="s">
        <v>5511</v>
      </c>
      <c r="G22" s="185" t="s">
        <v>4077</v>
      </c>
      <c r="H22" s="186" t="s">
        <v>5510</v>
      </c>
      <c r="I22" s="186" t="s">
        <v>2690</v>
      </c>
      <c r="J22" s="186" t="s">
        <v>1979</v>
      </c>
      <c r="K22" s="187">
        <v>4000000</v>
      </c>
      <c r="L22" s="188"/>
      <c r="M22" s="189">
        <v>44784</v>
      </c>
      <c r="N22" s="190">
        <v>44926</v>
      </c>
      <c r="O22" s="2025" t="s">
        <v>5509</v>
      </c>
      <c r="P22" s="277"/>
      <c r="Q22" s="111" t="s">
        <v>1406</v>
      </c>
    </row>
    <row r="23" spans="2:17" ht="81" customHeight="1">
      <c r="B23" s="2026">
        <v>2022</v>
      </c>
      <c r="C23" s="2028"/>
      <c r="D23" s="2027">
        <v>45170</v>
      </c>
      <c r="E23" s="183"/>
      <c r="F23" s="191" t="s">
        <v>5512</v>
      </c>
      <c r="G23" s="185" t="s">
        <v>5499</v>
      </c>
      <c r="H23" s="186" t="s">
        <v>5513</v>
      </c>
      <c r="I23" s="186" t="s">
        <v>5504</v>
      </c>
      <c r="J23" s="186" t="s">
        <v>2613</v>
      </c>
      <c r="K23" s="187">
        <v>7083722.9199999999</v>
      </c>
      <c r="L23" s="188"/>
      <c r="M23" s="189">
        <v>44915</v>
      </c>
      <c r="N23" s="190">
        <v>44926</v>
      </c>
      <c r="O23" s="2025" t="s">
        <v>5514</v>
      </c>
      <c r="P23" s="277"/>
      <c r="Q23" s="111" t="s">
        <v>1405</v>
      </c>
    </row>
    <row r="24" spans="2:17" ht="67.5" customHeight="1">
      <c r="B24" s="2026">
        <v>2022</v>
      </c>
      <c r="C24" s="2028">
        <v>2022</v>
      </c>
      <c r="D24" s="2028"/>
      <c r="E24" s="183" t="s">
        <v>5584</v>
      </c>
      <c r="F24" s="191" t="s">
        <v>5518</v>
      </c>
      <c r="G24" s="185" t="s">
        <v>5499</v>
      </c>
      <c r="H24" s="186" t="s">
        <v>5519</v>
      </c>
      <c r="I24" s="1401" t="s">
        <v>5520</v>
      </c>
      <c r="J24" s="1401" t="s">
        <v>3664</v>
      </c>
      <c r="K24" s="187">
        <v>2970236.09</v>
      </c>
      <c r="L24" s="188"/>
      <c r="M24" s="189">
        <v>44833</v>
      </c>
      <c r="N24" s="190">
        <v>44922</v>
      </c>
      <c r="O24" s="2025" t="s">
        <v>5521</v>
      </c>
      <c r="P24" s="277"/>
      <c r="Q24" s="111" t="s">
        <v>1406</v>
      </c>
    </row>
    <row r="25" spans="2:17" ht="87.75" customHeight="1">
      <c r="B25" s="2026">
        <v>2022</v>
      </c>
      <c r="C25" s="2028">
        <v>2023</v>
      </c>
      <c r="D25" s="2028"/>
      <c r="E25" s="183" t="s">
        <v>5584</v>
      </c>
      <c r="F25" s="191" t="s">
        <v>5522</v>
      </c>
      <c r="G25" s="185" t="s">
        <v>5488</v>
      </c>
      <c r="H25" s="186" t="s">
        <v>5523</v>
      </c>
      <c r="I25" s="186" t="s">
        <v>5524</v>
      </c>
      <c r="J25" s="186" t="s">
        <v>4431</v>
      </c>
      <c r="K25" s="187">
        <v>2104000</v>
      </c>
      <c r="L25" s="188"/>
      <c r="M25" s="189">
        <v>44741</v>
      </c>
      <c r="N25" s="190">
        <v>44865</v>
      </c>
      <c r="O25" s="2025" t="s">
        <v>5525</v>
      </c>
      <c r="P25" s="277"/>
      <c r="Q25" s="111" t="s">
        <v>1406</v>
      </c>
    </row>
    <row r="26" spans="2:17" ht="81" customHeight="1">
      <c r="B26" s="2026">
        <v>2023</v>
      </c>
      <c r="C26" s="2028"/>
      <c r="D26" s="2027">
        <v>45170</v>
      </c>
      <c r="E26" s="183" t="s">
        <v>5584</v>
      </c>
      <c r="F26" s="191" t="s">
        <v>5487</v>
      </c>
      <c r="G26" s="185" t="s">
        <v>5488</v>
      </c>
      <c r="H26" s="186" t="s">
        <v>5485</v>
      </c>
      <c r="I26" s="186" t="s">
        <v>5486</v>
      </c>
      <c r="J26" s="186" t="s">
        <v>1979</v>
      </c>
      <c r="K26" s="187">
        <v>7100796.75</v>
      </c>
      <c r="L26" s="188"/>
      <c r="M26" s="189">
        <v>45014</v>
      </c>
      <c r="N26" s="190">
        <v>45133</v>
      </c>
      <c r="O26" s="2025" t="s">
        <v>5489</v>
      </c>
      <c r="P26" s="2025"/>
      <c r="Q26" s="111" t="s">
        <v>1405</v>
      </c>
    </row>
    <row r="27" spans="2:17" ht="81" customHeight="1">
      <c r="B27" s="2026">
        <v>2023</v>
      </c>
      <c r="C27" s="2028"/>
      <c r="D27" s="2027">
        <v>45170</v>
      </c>
      <c r="E27" s="183" t="s">
        <v>5584</v>
      </c>
      <c r="F27" s="191" t="s">
        <v>5490</v>
      </c>
      <c r="G27" s="185" t="s">
        <v>5488</v>
      </c>
      <c r="H27" s="186" t="s">
        <v>5485</v>
      </c>
      <c r="I27" s="186" t="s">
        <v>5486</v>
      </c>
      <c r="J27" s="186" t="s">
        <v>1979</v>
      </c>
      <c r="K27" s="187">
        <v>4766220.6100000003</v>
      </c>
      <c r="L27" s="188"/>
      <c r="M27" s="189">
        <v>45014</v>
      </c>
      <c r="N27" s="190">
        <v>45133</v>
      </c>
      <c r="O27" s="2025" t="s">
        <v>5491</v>
      </c>
      <c r="P27" s="2025"/>
      <c r="Q27" s="111" t="s">
        <v>1405</v>
      </c>
    </row>
    <row r="28" spans="2:17" ht="66" customHeight="1">
      <c r="B28" s="2026">
        <v>2023</v>
      </c>
      <c r="C28" s="2028"/>
      <c r="D28" s="2028"/>
      <c r="E28" s="183" t="s">
        <v>867</v>
      </c>
      <c r="F28" s="191" t="s">
        <v>5492</v>
      </c>
      <c r="G28" s="185"/>
      <c r="H28" s="1401" t="s">
        <v>5493</v>
      </c>
      <c r="I28" s="186" t="s">
        <v>2672</v>
      </c>
      <c r="J28" s="186" t="s">
        <v>2560</v>
      </c>
      <c r="K28" s="187">
        <v>5000000</v>
      </c>
      <c r="L28" s="188"/>
      <c r="M28" s="189">
        <v>45085</v>
      </c>
      <c r="N28" s="190">
        <v>45291</v>
      </c>
      <c r="O28" s="2025" t="s">
        <v>5494</v>
      </c>
      <c r="P28" s="277"/>
      <c r="Q28" s="111" t="s">
        <v>5496</v>
      </c>
    </row>
    <row r="29" spans="2:17" ht="63" customHeight="1">
      <c r="B29" s="2026">
        <v>2023</v>
      </c>
      <c r="C29" s="2028"/>
      <c r="D29" s="2028"/>
      <c r="E29" s="183"/>
      <c r="F29" s="191" t="s">
        <v>5498</v>
      </c>
      <c r="G29" s="185" t="s">
        <v>5499</v>
      </c>
      <c r="H29" s="186" t="s">
        <v>5497</v>
      </c>
      <c r="I29" s="186" t="s">
        <v>5500</v>
      </c>
      <c r="J29" s="186" t="s">
        <v>4459</v>
      </c>
      <c r="K29" s="187">
        <v>8964901.75</v>
      </c>
      <c r="L29" s="188"/>
      <c r="M29" s="189">
        <v>45010</v>
      </c>
      <c r="N29" s="190">
        <v>45099</v>
      </c>
      <c r="O29" s="2025" t="s">
        <v>5502</v>
      </c>
      <c r="P29" s="277"/>
      <c r="Q29" s="111" t="s">
        <v>5496</v>
      </c>
    </row>
    <row r="30" spans="2:17" ht="78.75" customHeight="1">
      <c r="B30" s="2026">
        <v>2023</v>
      </c>
      <c r="C30" s="2028"/>
      <c r="D30" s="2027">
        <v>45170</v>
      </c>
      <c r="E30" s="183"/>
      <c r="F30" s="191" t="s">
        <v>5505</v>
      </c>
      <c r="G30" s="185" t="s">
        <v>5499</v>
      </c>
      <c r="H30" s="186" t="s">
        <v>5506</v>
      </c>
      <c r="I30" s="186" t="s">
        <v>5503</v>
      </c>
      <c r="J30" s="186" t="s">
        <v>2611</v>
      </c>
      <c r="K30" s="187">
        <v>7589100.9800000004</v>
      </c>
      <c r="L30" s="188"/>
      <c r="M30" s="189">
        <v>45055</v>
      </c>
      <c r="N30" s="190">
        <v>45055</v>
      </c>
      <c r="O30" s="123" t="s">
        <v>5494</v>
      </c>
      <c r="P30" s="277"/>
      <c r="Q30" s="111" t="s">
        <v>5496</v>
      </c>
    </row>
    <row r="31" spans="2:17" ht="109.5" customHeight="1">
      <c r="B31" s="2026">
        <v>2023</v>
      </c>
      <c r="C31" s="2028"/>
      <c r="D31" s="2027">
        <v>45170</v>
      </c>
      <c r="E31" s="1064"/>
      <c r="F31" s="1229"/>
      <c r="G31" s="2046"/>
      <c r="H31" s="186" t="s">
        <v>5581</v>
      </c>
      <c r="I31" s="186" t="s">
        <v>5545</v>
      </c>
      <c r="J31" s="186" t="s">
        <v>2613</v>
      </c>
      <c r="K31" s="187">
        <v>33000000</v>
      </c>
      <c r="L31" s="188"/>
      <c r="M31" s="779"/>
      <c r="N31" s="2047"/>
      <c r="O31" s="2048"/>
      <c r="P31" s="277"/>
      <c r="Q31" s="111" t="s">
        <v>1405</v>
      </c>
    </row>
    <row r="32" spans="2:17" ht="34.5" customHeight="1">
      <c r="B32" s="2026">
        <v>2023</v>
      </c>
      <c r="C32" s="2028"/>
      <c r="D32" s="2028"/>
      <c r="E32" s="183" t="s">
        <v>247</v>
      </c>
      <c r="F32" s="1229"/>
      <c r="G32" s="2046"/>
      <c r="H32" s="186" t="s">
        <v>5776</v>
      </c>
      <c r="I32" s="1401"/>
      <c r="J32" s="186" t="s">
        <v>1979</v>
      </c>
      <c r="K32" s="2019"/>
      <c r="L32" s="188"/>
      <c r="M32" s="779"/>
      <c r="N32" s="2047"/>
      <c r="O32" s="2025"/>
      <c r="P32" s="277"/>
      <c r="Q32" s="111" t="s">
        <v>5496</v>
      </c>
    </row>
    <row r="33" spans="2:17" ht="34.5" customHeight="1">
      <c r="B33" s="2026">
        <v>2023</v>
      </c>
      <c r="C33" s="2028"/>
      <c r="D33" s="2028"/>
      <c r="E33" s="183" t="s">
        <v>247</v>
      </c>
      <c r="F33" s="1229"/>
      <c r="G33" s="2046"/>
      <c r="H33" s="186" t="s">
        <v>5776</v>
      </c>
      <c r="I33" s="1401"/>
      <c r="J33" s="186" t="s">
        <v>2560</v>
      </c>
      <c r="K33" s="2019"/>
      <c r="L33" s="188"/>
      <c r="M33" s="779"/>
      <c r="N33" s="2047"/>
      <c r="O33" s="2025"/>
      <c r="P33" s="277"/>
      <c r="Q33" s="111" t="s">
        <v>5496</v>
      </c>
    </row>
    <row r="34" spans="2:17" ht="99" customHeight="1">
      <c r="B34" s="2026">
        <v>2023</v>
      </c>
      <c r="C34" s="2028"/>
      <c r="D34" s="2028"/>
      <c r="E34" s="183" t="s">
        <v>247</v>
      </c>
      <c r="F34" s="1229"/>
      <c r="G34" s="2046"/>
      <c r="H34" s="186" t="s">
        <v>5777</v>
      </c>
      <c r="I34" s="186" t="s">
        <v>5778</v>
      </c>
      <c r="J34" s="186" t="s">
        <v>1979</v>
      </c>
      <c r="K34" s="2019">
        <v>5524959.4699999997</v>
      </c>
      <c r="L34" s="188"/>
      <c r="M34" s="779"/>
      <c r="N34" s="2047"/>
      <c r="O34" s="2025"/>
      <c r="P34" s="277"/>
      <c r="Q34" s="111" t="s">
        <v>5496</v>
      </c>
    </row>
    <row r="35" spans="2:17" ht="94.5" customHeight="1">
      <c r="B35" s="2026">
        <v>2023</v>
      </c>
      <c r="C35" s="2028"/>
      <c r="D35" s="2028"/>
      <c r="E35" s="183" t="s">
        <v>247</v>
      </c>
      <c r="F35" s="1229"/>
      <c r="G35" s="2046"/>
      <c r="H35" s="186" t="s">
        <v>5779</v>
      </c>
      <c r="I35" s="186" t="s">
        <v>5780</v>
      </c>
      <c r="J35" s="186" t="s">
        <v>1979</v>
      </c>
      <c r="K35" s="2019">
        <v>8621791.0099999998</v>
      </c>
      <c r="L35" s="188"/>
      <c r="M35" s="664">
        <v>45166</v>
      </c>
      <c r="N35" s="2047"/>
      <c r="O35" s="2025"/>
      <c r="P35" s="277"/>
      <c r="Q35" s="111" t="s">
        <v>5496</v>
      </c>
    </row>
    <row r="36" spans="2:17" ht="94.5" customHeight="1">
      <c r="B36" s="2026">
        <v>2023</v>
      </c>
      <c r="C36" s="2028"/>
      <c r="D36" s="2028"/>
      <c r="E36" s="183" t="s">
        <v>247</v>
      </c>
      <c r="F36" s="1229"/>
      <c r="G36" s="2046"/>
      <c r="H36" s="186" t="s">
        <v>5797</v>
      </c>
      <c r="I36" s="186" t="s">
        <v>4824</v>
      </c>
      <c r="J36" s="186" t="s">
        <v>2560</v>
      </c>
      <c r="K36" s="2019">
        <v>5853249.5199999996</v>
      </c>
      <c r="L36" s="188"/>
      <c r="M36" s="664">
        <v>45166</v>
      </c>
      <c r="N36" s="2047"/>
      <c r="O36" s="2025"/>
      <c r="P36" s="277"/>
      <c r="Q36" s="111" t="s">
        <v>5496</v>
      </c>
    </row>
    <row r="37" spans="2:17" ht="48" customHeight="1">
      <c r="B37" s="2026">
        <v>2023</v>
      </c>
      <c r="C37" s="2028"/>
      <c r="D37" s="2028"/>
      <c r="E37" s="1064"/>
      <c r="F37" s="739" t="s">
        <v>5782</v>
      </c>
      <c r="G37" s="663" t="s">
        <v>5488</v>
      </c>
      <c r="H37" s="186" t="s">
        <v>5781</v>
      </c>
      <c r="I37" s="186" t="s">
        <v>3459</v>
      </c>
      <c r="J37" s="186" t="s">
        <v>3664</v>
      </c>
      <c r="K37" s="661">
        <v>20833765.649999999</v>
      </c>
      <c r="L37" s="657"/>
      <c r="M37" s="664">
        <v>45122</v>
      </c>
      <c r="N37" s="665">
        <v>45275</v>
      </c>
      <c r="O37" s="2025" t="s">
        <v>5783</v>
      </c>
      <c r="P37" s="277"/>
      <c r="Q37" s="111" t="s">
        <v>5496</v>
      </c>
    </row>
    <row r="38" spans="2:17" ht="34.5" customHeight="1">
      <c r="B38" s="2026">
        <v>2023</v>
      </c>
      <c r="C38" s="2028"/>
      <c r="D38" s="2028"/>
      <c r="E38" s="183"/>
      <c r="F38" s="191"/>
      <c r="G38" s="185"/>
      <c r="H38" s="186"/>
      <c r="I38" s="186"/>
      <c r="J38" s="186"/>
      <c r="K38" s="187"/>
      <c r="L38" s="188"/>
      <c r="M38" s="189"/>
      <c r="N38" s="190"/>
      <c r="O38" s="2025"/>
      <c r="P38" s="277"/>
      <c r="Q38" s="111"/>
    </row>
    <row r="39" spans="2:17" ht="34.5" customHeight="1">
      <c r="B39" s="2026">
        <v>2023</v>
      </c>
      <c r="C39" s="2028"/>
      <c r="D39" s="2028"/>
      <c r="E39" s="183"/>
      <c r="F39" s="191"/>
      <c r="G39" s="185"/>
      <c r="H39" s="186"/>
      <c r="I39" s="186"/>
      <c r="J39" s="186"/>
      <c r="K39" s="187"/>
      <c r="L39" s="188"/>
      <c r="M39" s="189"/>
      <c r="N39" s="190"/>
      <c r="O39" s="2025"/>
      <c r="P39" s="277"/>
      <c r="Q39" s="111"/>
    </row>
    <row r="40" spans="2:17" ht="34.5" customHeight="1">
      <c r="B40" s="2026">
        <v>2023</v>
      </c>
      <c r="C40" s="2028"/>
      <c r="D40" s="2028"/>
      <c r="E40" s="183"/>
      <c r="F40" s="191"/>
      <c r="G40" s="185"/>
      <c r="H40" s="186"/>
      <c r="I40" s="186"/>
      <c r="J40" s="186"/>
      <c r="K40" s="187"/>
      <c r="L40" s="188"/>
      <c r="M40" s="189"/>
      <c r="N40" s="190"/>
      <c r="O40" s="2025"/>
      <c r="P40" s="277"/>
      <c r="Q40" s="111"/>
    </row>
    <row r="41" spans="2:17" ht="34.5" customHeight="1">
      <c r="B41" s="2026">
        <v>2023</v>
      </c>
      <c r="C41" s="2028"/>
      <c r="D41" s="2028"/>
      <c r="E41" s="183"/>
      <c r="F41" s="191"/>
      <c r="G41" s="185"/>
      <c r="H41" s="186"/>
      <c r="I41" s="186"/>
      <c r="J41" s="186"/>
      <c r="K41" s="187"/>
      <c r="L41" s="188"/>
      <c r="M41" s="189"/>
      <c r="N41" s="190"/>
      <c r="O41" s="2025"/>
      <c r="P41" s="277"/>
      <c r="Q41" s="111"/>
    </row>
    <row r="42" spans="2:17" ht="34.5" customHeight="1">
      <c r="B42" s="2026">
        <v>2023</v>
      </c>
      <c r="C42" s="2028"/>
      <c r="D42" s="2028"/>
      <c r="E42" s="183"/>
      <c r="F42" s="191"/>
      <c r="G42" s="185"/>
      <c r="H42" s="186"/>
      <c r="I42" s="186"/>
      <c r="J42" s="186"/>
      <c r="K42" s="187"/>
      <c r="L42" s="188"/>
      <c r="M42" s="189"/>
      <c r="N42" s="190"/>
      <c r="O42" s="2025"/>
      <c r="P42" s="277"/>
      <c r="Q42" s="111"/>
    </row>
    <row r="43" spans="2:17" ht="34.5" customHeight="1">
      <c r="B43" s="2026">
        <v>2023</v>
      </c>
      <c r="C43" s="2028"/>
      <c r="D43" s="2028"/>
      <c r="E43" s="183"/>
      <c r="F43" s="191"/>
      <c r="G43" s="185"/>
      <c r="H43" s="186"/>
      <c r="I43" s="186"/>
      <c r="J43" s="186"/>
      <c r="K43" s="187"/>
      <c r="L43" s="188"/>
      <c r="M43" s="189"/>
      <c r="N43" s="190"/>
      <c r="O43" s="2025"/>
      <c r="P43" s="277"/>
      <c r="Q43" s="111"/>
    </row>
    <row r="44" spans="2:17" ht="34.5" customHeight="1">
      <c r="B44" s="2026">
        <v>2023</v>
      </c>
      <c r="C44" s="2028"/>
      <c r="D44" s="2028"/>
      <c r="E44" s="183"/>
      <c r="F44" s="191"/>
      <c r="G44" s="185"/>
      <c r="H44" s="186"/>
      <c r="I44" s="186"/>
      <c r="J44" s="186"/>
      <c r="K44" s="187"/>
      <c r="L44" s="188"/>
      <c r="M44" s="189"/>
      <c r="N44" s="190"/>
      <c r="O44" s="2025"/>
      <c r="P44" s="277"/>
      <c r="Q44" s="111"/>
    </row>
    <row r="45" spans="2:17" ht="34.5" customHeight="1">
      <c r="B45" s="2026">
        <v>2023</v>
      </c>
      <c r="C45" s="2028"/>
      <c r="D45" s="2028"/>
      <c r="E45" s="183"/>
      <c r="F45" s="191"/>
      <c r="G45" s="185"/>
      <c r="H45" s="186"/>
      <c r="I45" s="186"/>
      <c r="J45" s="186"/>
      <c r="K45" s="187"/>
      <c r="L45" s="188"/>
      <c r="M45" s="189"/>
      <c r="N45" s="190"/>
      <c r="O45" s="2025"/>
      <c r="P45" s="277"/>
      <c r="Q45" s="111"/>
    </row>
    <row r="46" spans="2:17" ht="34.5" customHeight="1">
      <c r="B46" s="2026">
        <v>2023</v>
      </c>
      <c r="C46" s="2028"/>
      <c r="D46" s="2028"/>
      <c r="E46" s="183"/>
      <c r="F46" s="191"/>
      <c r="G46" s="185"/>
      <c r="H46" s="186"/>
      <c r="I46" s="186"/>
      <c r="J46" s="186"/>
      <c r="K46" s="187"/>
      <c r="L46" s="188"/>
      <c r="M46" s="189"/>
      <c r="N46" s="190"/>
      <c r="O46" s="2025"/>
      <c r="P46" s="277"/>
      <c r="Q46" s="111"/>
    </row>
    <row r="47" spans="2:17" ht="34.5" customHeight="1">
      <c r="B47" s="2026">
        <v>2023</v>
      </c>
      <c r="C47" s="2028"/>
      <c r="D47" s="2028"/>
      <c r="E47" s="183"/>
      <c r="F47" s="191"/>
      <c r="G47" s="185"/>
      <c r="H47" s="186"/>
      <c r="I47" s="186"/>
      <c r="J47" s="186"/>
      <c r="K47" s="187"/>
      <c r="L47" s="188"/>
      <c r="M47" s="189"/>
      <c r="N47" s="190"/>
      <c r="O47" s="2025"/>
      <c r="P47" s="277"/>
      <c r="Q47" s="111"/>
    </row>
    <row r="48" spans="2:17" ht="34.5" customHeight="1">
      <c r="B48" s="2026">
        <v>2023</v>
      </c>
      <c r="C48" s="2028"/>
      <c r="D48" s="2028"/>
      <c r="E48" s="183"/>
      <c r="F48" s="191"/>
      <c r="G48" s="185"/>
      <c r="H48" s="186"/>
      <c r="I48" s="186"/>
      <c r="J48" s="186"/>
      <c r="K48" s="187"/>
      <c r="L48" s="188"/>
      <c r="M48" s="189"/>
      <c r="N48" s="190"/>
      <c r="O48" s="2025"/>
      <c r="P48" s="277"/>
      <c r="Q48" s="111"/>
    </row>
    <row r="49" spans="2:17" ht="34.5" customHeight="1">
      <c r="B49" s="2026">
        <v>2023</v>
      </c>
      <c r="C49" s="2028"/>
      <c r="D49" s="2028"/>
      <c r="E49" s="183"/>
      <c r="F49" s="191"/>
      <c r="G49" s="185"/>
      <c r="H49" s="186"/>
      <c r="I49" s="186"/>
      <c r="J49" s="186"/>
      <c r="K49" s="187"/>
      <c r="L49" s="188"/>
      <c r="M49" s="189"/>
      <c r="N49" s="190"/>
      <c r="O49" s="2025"/>
      <c r="P49" s="277"/>
      <c r="Q49" s="111"/>
    </row>
    <row r="50" spans="2:17" ht="34.5" customHeight="1">
      <c r="B50" s="2026">
        <v>2023</v>
      </c>
      <c r="C50" s="2028"/>
      <c r="D50" s="2028"/>
      <c r="E50" s="183"/>
      <c r="F50" s="191"/>
      <c r="G50" s="185"/>
      <c r="H50" s="186"/>
      <c r="I50" s="186"/>
      <c r="J50" s="186"/>
      <c r="K50" s="187"/>
      <c r="L50" s="188"/>
      <c r="M50" s="189"/>
      <c r="N50" s="190"/>
      <c r="O50" s="2025"/>
      <c r="P50" s="277"/>
      <c r="Q50" s="111"/>
    </row>
    <row r="51" spans="2:17" ht="34.5" customHeight="1">
      <c r="B51" s="2026">
        <v>2023</v>
      </c>
      <c r="C51" s="2028"/>
      <c r="D51" s="2028"/>
      <c r="E51" s="183"/>
      <c r="F51" s="191"/>
      <c r="G51" s="185"/>
      <c r="H51" s="186"/>
      <c r="I51" s="186"/>
      <c r="J51" s="186"/>
      <c r="K51" s="187"/>
      <c r="L51" s="188"/>
      <c r="M51" s="189"/>
      <c r="N51" s="190"/>
      <c r="O51" s="2025"/>
      <c r="P51" s="277"/>
      <c r="Q51" s="111"/>
    </row>
    <row r="52" spans="2:17" ht="34.5" customHeight="1">
      <c r="B52" s="2026">
        <v>2023</v>
      </c>
      <c r="C52" s="2028"/>
      <c r="D52" s="2028"/>
      <c r="E52" s="183"/>
      <c r="F52" s="191"/>
      <c r="G52" s="185"/>
      <c r="H52" s="186"/>
      <c r="I52" s="186"/>
      <c r="J52" s="186"/>
      <c r="K52" s="187"/>
      <c r="L52" s="188"/>
      <c r="M52" s="189"/>
      <c r="N52" s="190"/>
      <c r="O52" s="2025"/>
      <c r="P52" s="277"/>
      <c r="Q52" s="111"/>
    </row>
    <row r="53" spans="2:17" ht="34.5" customHeight="1">
      <c r="B53" s="2026">
        <v>2023</v>
      </c>
      <c r="C53" s="2028"/>
      <c r="D53" s="2028"/>
      <c r="E53" s="183"/>
      <c r="F53" s="191"/>
      <c r="G53" s="185"/>
      <c r="H53" s="186"/>
      <c r="I53" s="186"/>
      <c r="J53" s="186"/>
      <c r="K53" s="187"/>
      <c r="L53" s="188"/>
      <c r="M53" s="189"/>
      <c r="N53" s="190"/>
      <c r="O53" s="2025"/>
      <c r="P53" s="277"/>
      <c r="Q53" s="111"/>
    </row>
    <row r="54" spans="2:17" ht="34.5" customHeight="1">
      <c r="B54" s="2026">
        <v>2023</v>
      </c>
      <c r="C54" s="2028"/>
      <c r="D54" s="2028"/>
      <c r="E54" s="183"/>
      <c r="F54" s="191"/>
      <c r="G54" s="185"/>
      <c r="H54" s="186"/>
      <c r="I54" s="186"/>
      <c r="J54" s="186"/>
      <c r="K54" s="187"/>
      <c r="L54" s="188"/>
      <c r="M54" s="189"/>
      <c r="N54" s="190"/>
      <c r="O54" s="2025"/>
      <c r="P54" s="277"/>
      <c r="Q54" s="111"/>
    </row>
    <row r="55" spans="2:17" ht="34.5" customHeight="1">
      <c r="B55" s="2026">
        <v>2023</v>
      </c>
      <c r="C55" s="2028"/>
      <c r="D55" s="2028"/>
      <c r="E55" s="183"/>
      <c r="F55" s="191"/>
      <c r="G55" s="185"/>
      <c r="H55" s="186"/>
      <c r="I55" s="186"/>
      <c r="J55" s="186"/>
      <c r="K55" s="187"/>
      <c r="L55" s="188"/>
      <c r="M55" s="189"/>
      <c r="N55" s="190"/>
      <c r="O55" s="2025"/>
      <c r="P55" s="277"/>
      <c r="Q55" s="111"/>
    </row>
    <row r="56" spans="2:17" ht="34.5" customHeight="1">
      <c r="B56" s="2026">
        <v>2023</v>
      </c>
      <c r="C56" s="2028"/>
      <c r="D56" s="2028"/>
      <c r="E56" s="183"/>
      <c r="F56" s="191"/>
      <c r="G56" s="185"/>
      <c r="H56" s="186"/>
      <c r="I56" s="186"/>
      <c r="J56" s="186"/>
      <c r="K56" s="187"/>
      <c r="L56" s="188"/>
      <c r="M56" s="189"/>
      <c r="N56" s="190"/>
      <c r="O56" s="2025"/>
      <c r="P56" s="277"/>
      <c r="Q56" s="111"/>
    </row>
    <row r="57" spans="2:17" ht="34.5" customHeight="1">
      <c r="B57" s="2026">
        <v>2023</v>
      </c>
      <c r="C57" s="2028"/>
      <c r="D57" s="2028"/>
      <c r="E57" s="183"/>
      <c r="F57" s="191"/>
      <c r="G57" s="185"/>
      <c r="H57" s="186"/>
      <c r="I57" s="186"/>
      <c r="J57" s="186"/>
      <c r="K57" s="187"/>
      <c r="L57" s="188"/>
      <c r="M57" s="189"/>
      <c r="N57" s="190"/>
      <c r="O57" s="2025"/>
      <c r="P57" s="277"/>
      <c r="Q57" s="111"/>
    </row>
    <row r="58" spans="2:17" ht="34.5" customHeight="1">
      <c r="B58" s="2026">
        <v>2023</v>
      </c>
      <c r="C58" s="2028"/>
      <c r="D58" s="2028"/>
      <c r="E58" s="183"/>
      <c r="F58" s="191"/>
      <c r="G58" s="185"/>
      <c r="H58" s="186"/>
      <c r="I58" s="186"/>
      <c r="J58" s="186"/>
      <c r="K58" s="187"/>
      <c r="L58" s="188"/>
      <c r="M58" s="189"/>
      <c r="N58" s="190"/>
      <c r="O58" s="2025"/>
      <c r="P58" s="277"/>
      <c r="Q58" s="111"/>
    </row>
    <row r="59" spans="2:17" ht="34.5" customHeight="1">
      <c r="B59" s="2026">
        <v>2023</v>
      </c>
      <c r="C59" s="2028"/>
      <c r="D59" s="2028"/>
      <c r="E59" s="183"/>
      <c r="F59" s="191"/>
      <c r="G59" s="185"/>
      <c r="H59" s="186"/>
      <c r="I59" s="186"/>
      <c r="J59" s="186"/>
      <c r="K59" s="187"/>
      <c r="L59" s="188"/>
      <c r="M59" s="189"/>
      <c r="N59" s="190"/>
      <c r="O59" s="2025"/>
      <c r="P59" s="277"/>
      <c r="Q59" s="111"/>
    </row>
    <row r="60" spans="2:17" ht="34.5" customHeight="1">
      <c r="B60" s="2026">
        <v>2023</v>
      </c>
      <c r="C60" s="2028"/>
      <c r="D60" s="2028"/>
      <c r="E60" s="183"/>
      <c r="F60" s="191"/>
      <c r="G60" s="185"/>
      <c r="H60" s="186"/>
      <c r="I60" s="186"/>
      <c r="J60" s="186"/>
      <c r="K60" s="187"/>
      <c r="L60" s="188"/>
      <c r="M60" s="189"/>
      <c r="N60" s="190"/>
      <c r="O60" s="2025"/>
      <c r="P60" s="277"/>
      <c r="Q60" s="111"/>
    </row>
    <row r="61" spans="2:17" ht="34.5" customHeight="1">
      <c r="B61" s="2026">
        <v>2023</v>
      </c>
      <c r="C61" s="2028"/>
      <c r="D61" s="2028"/>
      <c r="E61" s="183"/>
      <c r="F61" s="191"/>
      <c r="G61" s="185"/>
      <c r="H61" s="186"/>
      <c r="I61" s="186"/>
      <c r="J61" s="186"/>
      <c r="K61" s="187"/>
      <c r="L61" s="188"/>
      <c r="M61" s="189"/>
      <c r="N61" s="190"/>
      <c r="O61" s="2025"/>
      <c r="P61" s="277"/>
      <c r="Q61" s="111"/>
    </row>
    <row r="62" spans="2:17" ht="34.5" customHeight="1">
      <c r="B62" s="2026">
        <v>2023</v>
      </c>
      <c r="C62" s="2028"/>
      <c r="D62" s="2028"/>
      <c r="E62" s="183"/>
      <c r="F62" s="191"/>
      <c r="G62" s="185"/>
      <c r="H62" s="186"/>
      <c r="I62" s="186"/>
      <c r="J62" s="186"/>
      <c r="K62" s="187"/>
      <c r="L62" s="188"/>
      <c r="M62" s="189"/>
      <c r="N62" s="190"/>
      <c r="O62" s="2025"/>
      <c r="P62" s="277"/>
      <c r="Q62" s="111"/>
    </row>
    <row r="63" spans="2:17" ht="34.5" customHeight="1">
      <c r="B63" s="2026">
        <v>2023</v>
      </c>
      <c r="C63" s="2028"/>
      <c r="D63" s="2028"/>
      <c r="E63" s="183"/>
      <c r="F63" s="191"/>
      <c r="G63" s="185"/>
      <c r="H63" s="186"/>
      <c r="I63" s="186"/>
      <c r="J63" s="186"/>
      <c r="K63" s="187"/>
      <c r="L63" s="188"/>
      <c r="M63" s="189"/>
      <c r="N63" s="190"/>
      <c r="O63" s="2025"/>
      <c r="P63" s="277"/>
      <c r="Q63" s="111"/>
    </row>
    <row r="64" spans="2:17" ht="34.5" customHeight="1">
      <c r="B64" s="2026">
        <v>2023</v>
      </c>
      <c r="C64" s="2028"/>
      <c r="D64" s="2028"/>
      <c r="E64" s="183"/>
      <c r="F64" s="191"/>
      <c r="G64" s="185"/>
      <c r="H64" s="186"/>
      <c r="I64" s="186"/>
      <c r="J64" s="186"/>
      <c r="K64" s="187"/>
      <c r="L64" s="188"/>
      <c r="M64" s="189"/>
      <c r="N64" s="190"/>
      <c r="O64" s="2025"/>
      <c r="P64" s="277"/>
      <c r="Q64" s="111"/>
    </row>
    <row r="65" spans="1:17" ht="34.5" customHeight="1">
      <c r="B65" s="2026">
        <v>2023</v>
      </c>
      <c r="C65" s="2028"/>
      <c r="D65" s="2028"/>
      <c r="E65" s="183"/>
      <c r="F65" s="191"/>
      <c r="G65" s="185"/>
      <c r="H65" s="186"/>
      <c r="I65" s="186"/>
      <c r="J65" s="186"/>
      <c r="K65" s="187"/>
      <c r="L65" s="188"/>
      <c r="M65" s="189"/>
      <c r="N65" s="190"/>
      <c r="O65" s="2025"/>
      <c r="P65" s="277"/>
      <c r="Q65" s="111"/>
    </row>
    <row r="66" spans="1:17" ht="34.5" customHeight="1">
      <c r="B66" s="2026">
        <v>2023</v>
      </c>
      <c r="C66" s="2029"/>
      <c r="D66" s="2029"/>
      <c r="E66" s="19"/>
      <c r="F66" s="35"/>
      <c r="G66" s="2"/>
      <c r="H66" s="3"/>
      <c r="I66" s="3"/>
      <c r="J66" s="3"/>
      <c r="K66" s="4"/>
      <c r="L66" s="6"/>
      <c r="M66" s="5"/>
      <c r="N66" s="12"/>
      <c r="O66" s="58"/>
      <c r="P66" s="54"/>
      <c r="Q66" s="111"/>
    </row>
    <row r="67" spans="1:17" ht="18.75">
      <c r="B67" s="167"/>
      <c r="C67" s="167"/>
      <c r="D67" s="167"/>
      <c r="F67" s="149"/>
      <c r="H67" s="655"/>
      <c r="I67" s="655"/>
      <c r="J67" s="655"/>
      <c r="K67" s="594"/>
      <c r="L67" s="197"/>
      <c r="M67" s="197"/>
      <c r="N67" s="197"/>
      <c r="O67" s="197"/>
      <c r="P67" s="197"/>
      <c r="Q67" s="197"/>
    </row>
    <row r="69" spans="1:17" s="1165" customFormat="1" ht="33" customHeight="1">
      <c r="A69" s="1712"/>
      <c r="F69" s="1170" t="s">
        <v>1401</v>
      </c>
      <c r="H69" s="2134">
        <v>44741</v>
      </c>
      <c r="I69" s="2134"/>
      <c r="J69" s="2134"/>
      <c r="K69" s="2134"/>
      <c r="M69" s="1165" t="s">
        <v>524</v>
      </c>
    </row>
    <row r="70" spans="1:17">
      <c r="K70" s="555"/>
    </row>
    <row r="71" spans="1:17">
      <c r="K71" s="555"/>
    </row>
    <row r="72" spans="1:17" ht="35.25" customHeight="1">
      <c r="E72" s="1482" t="s">
        <v>3811</v>
      </c>
      <c r="F72" s="850"/>
      <c r="G72" s="850"/>
      <c r="H72" s="850"/>
      <c r="I72" s="850"/>
      <c r="J72" s="850"/>
      <c r="K72" s="2104"/>
      <c r="L72" s="2103"/>
      <c r="M72" s="2103"/>
    </row>
    <row r="73" spans="1:17" ht="21">
      <c r="E73" s="1482" t="s">
        <v>3670</v>
      </c>
      <c r="K73" s="555"/>
    </row>
    <row r="75" spans="1:17">
      <c r="K75" s="113"/>
    </row>
    <row r="77" spans="1:17">
      <c r="I77" t="s">
        <v>5795</v>
      </c>
      <c r="K77" s="555">
        <f>K5+K6+K7+K8+K9+K10+K11+K12+K13+K14+K15+K16+K17+K18+K19+K24</f>
        <v>128193304.28</v>
      </c>
      <c r="P77" s="555">
        <f>K77+28799726.37</f>
        <v>156993030.65000001</v>
      </c>
    </row>
    <row r="78" spans="1:17">
      <c r="I78" t="s">
        <v>5796</v>
      </c>
      <c r="K78" s="555">
        <f>K20+K21+K22+K23+K25+K26+K27+K28+K29+K30+K31+K34+K35+K36+K37</f>
        <v>132337063.78999999</v>
      </c>
      <c r="P78" s="555">
        <f>K78+13991374.48</f>
        <v>146328438.26999998</v>
      </c>
    </row>
    <row r="80" spans="1:17">
      <c r="K80" s="113"/>
      <c r="M80" s="592"/>
      <c r="N80" s="113"/>
      <c r="O80" s="113"/>
      <c r="P80" s="113"/>
      <c r="Q80" s="113"/>
    </row>
    <row r="84" spans="11:12" ht="15.75">
      <c r="K84" s="1016"/>
    </row>
    <row r="95" spans="11:12" ht="23.25">
      <c r="K95" s="2098"/>
      <c r="L95" s="2098"/>
    </row>
  </sheetData>
  <autoFilter ref="B4:Q66">
    <sortState ref="B534:BX535">
      <sortCondition ref="H5:H601"/>
    </sortState>
  </autoFilter>
  <mergeCells count="4">
    <mergeCell ref="K72:M72"/>
    <mergeCell ref="K95:L95"/>
    <mergeCell ref="H69:K69"/>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X802"/>
  <sheetViews>
    <sheetView view="pageBreakPreview" zoomScale="55" zoomScaleNormal="85" zoomScaleSheetLayoutView="55" workbookViewId="0">
      <selection activeCell="J742" sqref="J742"/>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1.570312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customWidth="1"/>
    <col min="25" max="26" width="22.5703125" style="676" customWidth="1"/>
    <col min="27" max="27" width="20.7109375" customWidth="1"/>
    <col min="28" max="28" width="19.42578125" style="676" customWidth="1"/>
    <col min="29" max="29" width="28.42578125" style="676" customWidth="1"/>
    <col min="30" max="30" width="16.7109375" customWidth="1"/>
    <col min="31" max="31" width="12.42578125" style="197"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customWidth="1"/>
    <col min="48" max="48" width="5.140625" customWidth="1"/>
    <col min="49" max="49" width="5.28515625" customWidth="1"/>
    <col min="50" max="50" width="43.42578125" customWidth="1"/>
  </cols>
  <sheetData>
    <row r="1" spans="1:49" ht="43.5" customHeight="1">
      <c r="A1" s="2137" t="s">
        <v>4350</v>
      </c>
      <c r="B1" s="2138"/>
      <c r="C1" s="2138"/>
      <c r="D1" s="2138"/>
      <c r="E1" s="2138"/>
      <c r="F1" s="2138"/>
      <c r="G1" s="2138"/>
      <c r="H1" s="2138"/>
      <c r="I1" s="2139"/>
      <c r="J1" s="2138"/>
      <c r="K1" s="2138"/>
      <c r="L1" s="2139"/>
      <c r="M1" s="2139"/>
      <c r="N1" s="2138"/>
      <c r="O1" s="2138"/>
      <c r="P1" s="2138"/>
      <c r="Q1" s="2138"/>
      <c r="R1" s="2138"/>
      <c r="S1" s="2138"/>
      <c r="T1" s="2138"/>
      <c r="U1" s="2138"/>
      <c r="V1" s="2138"/>
      <c r="W1" s="2138"/>
      <c r="X1" s="2138"/>
      <c r="Y1" s="2140"/>
      <c r="Z1" s="2140"/>
      <c r="AA1" s="2138"/>
      <c r="AB1" s="2140"/>
      <c r="AC1" s="2140"/>
      <c r="AD1" s="2138"/>
      <c r="AE1" s="2141"/>
      <c r="AF1" s="2138"/>
      <c r="AG1" s="2138"/>
      <c r="AH1" s="2138"/>
      <c r="AI1" s="2138"/>
      <c r="AJ1" s="2138"/>
      <c r="AK1" s="2138"/>
      <c r="AL1" s="2138"/>
      <c r="AM1" s="2138"/>
      <c r="AN1" s="2138"/>
      <c r="AO1" s="2138"/>
      <c r="AP1" s="2138"/>
      <c r="AQ1" s="2138"/>
      <c r="AR1" s="2138"/>
      <c r="AS1" s="2138"/>
      <c r="AT1" s="2138"/>
      <c r="AU1" s="2138"/>
      <c r="AV1" s="2138"/>
      <c r="AW1" s="2142"/>
    </row>
    <row r="2" spans="1:49" ht="23.25" customHeight="1">
      <c r="A2" s="2143" t="s">
        <v>6097</v>
      </c>
      <c r="B2" s="2144"/>
      <c r="C2" s="2144"/>
      <c r="D2" s="2144"/>
      <c r="E2" s="2144"/>
      <c r="F2" s="2144"/>
      <c r="G2" s="2144"/>
      <c r="H2" s="2144"/>
      <c r="I2" s="2145"/>
      <c r="J2" s="2144"/>
      <c r="K2" s="2144"/>
      <c r="L2" s="2145"/>
      <c r="M2" s="2145"/>
      <c r="N2" s="2144"/>
      <c r="O2" s="2144"/>
      <c r="P2" s="2144"/>
      <c r="Q2" s="2144"/>
      <c r="R2" s="2144"/>
      <c r="S2" s="2144"/>
      <c r="T2" s="2144"/>
      <c r="U2" s="2144"/>
      <c r="V2" s="2144"/>
      <c r="W2" s="2144"/>
      <c r="X2" s="2144"/>
      <c r="Y2" s="2146"/>
      <c r="Z2" s="2146"/>
      <c r="AA2" s="2144"/>
      <c r="AB2" s="2146"/>
      <c r="AC2" s="2146"/>
      <c r="AD2" s="2144"/>
      <c r="AE2" s="2147"/>
      <c r="AF2" s="2144"/>
      <c r="AG2" s="2144"/>
      <c r="AH2" s="2144"/>
      <c r="AI2" s="2144"/>
      <c r="AJ2" s="2144"/>
      <c r="AK2" s="2144"/>
      <c r="AL2" s="2144"/>
      <c r="AM2" s="2144"/>
      <c r="AN2" s="2144"/>
      <c r="AO2" s="2144"/>
      <c r="AP2" s="2144"/>
      <c r="AQ2" s="2144"/>
      <c r="AR2" s="2144"/>
      <c r="AS2" s="2144"/>
      <c r="AT2" s="2144"/>
      <c r="AU2" s="2144"/>
      <c r="AV2" s="2144"/>
      <c r="AW2" s="2148"/>
    </row>
    <row r="3" spans="1:49" s="197" customFormat="1" ht="33.75" customHeight="1" thickBot="1">
      <c r="A3" s="1337"/>
      <c r="B3" s="1306"/>
      <c r="C3" s="1672"/>
      <c r="D3" s="1717"/>
      <c r="E3" s="1338" t="s">
        <v>3000</v>
      </c>
      <c r="F3" s="2149">
        <f>E793</f>
        <v>45302</v>
      </c>
      <c r="G3" s="2150"/>
      <c r="H3" s="2150"/>
      <c r="I3" s="2150"/>
      <c r="J3" s="2150"/>
      <c r="K3" s="1306"/>
      <c r="L3" s="1306"/>
      <c r="M3" s="1367"/>
      <c r="N3" s="1424"/>
      <c r="O3" s="1306"/>
      <c r="P3" s="1306"/>
      <c r="Q3" s="2039"/>
      <c r="R3" s="1306"/>
      <c r="S3" s="1306"/>
      <c r="T3" s="1306"/>
      <c r="U3" s="1306"/>
      <c r="V3" s="1306"/>
      <c r="W3" s="1306"/>
      <c r="X3" s="1306"/>
      <c r="Y3" s="1306"/>
      <c r="Z3" s="2057"/>
      <c r="AA3" s="1306"/>
      <c r="AB3" s="1306"/>
      <c r="AC3" s="1306"/>
      <c r="AD3" s="1306"/>
      <c r="AE3" s="1306"/>
      <c r="AF3" s="1306"/>
      <c r="AG3" s="1306"/>
      <c r="AH3" s="1306"/>
      <c r="AI3" s="1306"/>
      <c r="AJ3" s="2061"/>
      <c r="AK3" s="1794"/>
      <c r="AL3" s="1794"/>
      <c r="AM3" s="1424"/>
      <c r="AN3" s="1306"/>
      <c r="AO3" s="1306"/>
      <c r="AP3" s="1306"/>
      <c r="AQ3" s="1306"/>
      <c r="AR3" s="1306"/>
      <c r="AS3" s="1306"/>
      <c r="AT3" s="1306"/>
      <c r="AU3" s="1306"/>
      <c r="AV3" s="1306"/>
      <c r="AW3" s="1339"/>
    </row>
    <row r="4" spans="1:49" ht="33" customHeight="1" thickTop="1">
      <c r="A4" s="2154"/>
      <c r="B4" s="2155"/>
      <c r="C4" s="2155"/>
      <c r="D4" s="2155"/>
      <c r="E4" s="2155"/>
      <c r="F4" s="2155"/>
      <c r="G4" s="2151" t="s">
        <v>2</v>
      </c>
      <c r="H4" s="2152"/>
      <c r="I4" s="2152"/>
      <c r="J4" s="2152"/>
      <c r="K4" s="2152"/>
      <c r="L4" s="2152"/>
      <c r="M4" s="2152"/>
      <c r="N4" s="2152"/>
      <c r="O4" s="2152"/>
      <c r="P4" s="2152"/>
      <c r="Q4" s="2152"/>
      <c r="R4" s="2152"/>
      <c r="S4" s="2152"/>
      <c r="T4" s="2152"/>
      <c r="U4" s="2153"/>
      <c r="V4" s="2165" t="s">
        <v>2985</v>
      </c>
      <c r="W4" s="2165"/>
      <c r="X4" s="2167"/>
      <c r="Y4" s="2169" t="s">
        <v>1408</v>
      </c>
      <c r="Z4" s="2170"/>
      <c r="AA4" s="2170"/>
      <c r="AB4" s="2170"/>
      <c r="AC4" s="2170"/>
      <c r="AD4" s="2170"/>
      <c r="AE4" s="2175" t="s">
        <v>3001</v>
      </c>
      <c r="AF4" s="2176"/>
      <c r="AG4" s="2176"/>
      <c r="AH4" s="2176"/>
      <c r="AI4" s="2176"/>
      <c r="AJ4" s="2176"/>
      <c r="AK4" s="2176"/>
      <c r="AL4" s="2177"/>
      <c r="AM4" s="2180"/>
      <c r="AN4" s="2180"/>
      <c r="AO4" s="2180"/>
      <c r="AP4" s="2180"/>
      <c r="AQ4" s="2181"/>
      <c r="AR4" s="2184" t="s">
        <v>1409</v>
      </c>
      <c r="AS4" s="2185"/>
      <c r="AT4" s="2185"/>
      <c r="AU4" s="2186"/>
      <c r="AV4" s="800"/>
      <c r="AW4" s="1340"/>
    </row>
    <row r="5" spans="1:49" s="1308" customFormat="1" ht="30" customHeight="1" thickBot="1">
      <c r="A5" s="2156"/>
      <c r="B5" s="2157"/>
      <c r="C5" s="2157"/>
      <c r="D5" s="2157"/>
      <c r="E5" s="2157"/>
      <c r="F5" s="2157"/>
      <c r="G5" s="2161"/>
      <c r="H5" s="2162"/>
      <c r="I5" s="2162"/>
      <c r="J5" s="2162"/>
      <c r="K5" s="2162"/>
      <c r="L5" s="2162"/>
      <c r="M5" s="2162"/>
      <c r="N5" s="1425"/>
      <c r="O5" s="2163" t="s">
        <v>2993</v>
      </c>
      <c r="P5" s="2164"/>
      <c r="Q5" s="2044"/>
      <c r="R5" s="2158" t="s">
        <v>2988</v>
      </c>
      <c r="S5" s="2159"/>
      <c r="T5" s="2159"/>
      <c r="U5" s="2160"/>
      <c r="V5" s="2166"/>
      <c r="W5" s="2166"/>
      <c r="X5" s="2168"/>
      <c r="Y5" s="2171"/>
      <c r="Z5" s="2172"/>
      <c r="AA5" s="2172"/>
      <c r="AB5" s="2172"/>
      <c r="AC5" s="2172"/>
      <c r="AD5" s="2172"/>
      <c r="AE5" s="1362"/>
      <c r="AF5" s="1363"/>
      <c r="AG5" s="1364"/>
      <c r="AH5" s="2178" t="s">
        <v>3002</v>
      </c>
      <c r="AI5" s="2179"/>
      <c r="AJ5" s="2062"/>
      <c r="AK5" s="2173" t="s">
        <v>4203</v>
      </c>
      <c r="AL5" s="2174"/>
      <c r="AM5" s="2182"/>
      <c r="AN5" s="2182"/>
      <c r="AO5" s="2182"/>
      <c r="AP5" s="2182"/>
      <c r="AQ5" s="2183"/>
      <c r="AR5" s="2187"/>
      <c r="AS5" s="2188"/>
      <c r="AT5" s="2188"/>
      <c r="AU5" s="2189"/>
      <c r="AV5" s="1307"/>
      <c r="AW5" s="1341"/>
    </row>
    <row r="6" spans="1:49" s="724" customFormat="1" ht="43.5" customHeight="1" thickTop="1" thickBot="1">
      <c r="A6" s="1342" t="s">
        <v>19</v>
      </c>
      <c r="B6" s="892" t="s">
        <v>1410</v>
      </c>
      <c r="C6" s="892" t="s">
        <v>4013</v>
      </c>
      <c r="D6" s="892"/>
      <c r="E6" s="576" t="s">
        <v>20</v>
      </c>
      <c r="F6" s="1309" t="s">
        <v>467</v>
      </c>
      <c r="G6" s="1365" t="s">
        <v>2892</v>
      </c>
      <c r="H6" s="1320" t="s">
        <v>21</v>
      </c>
      <c r="I6" s="1321" t="s">
        <v>1411</v>
      </c>
      <c r="J6" s="1320" t="s">
        <v>23</v>
      </c>
      <c r="K6" s="1320" t="s">
        <v>1412</v>
      </c>
      <c r="L6" s="1322" t="s">
        <v>3007</v>
      </c>
      <c r="M6" s="1322" t="s">
        <v>2998</v>
      </c>
      <c r="N6" s="1323" t="s">
        <v>1413</v>
      </c>
      <c r="O6" s="1324" t="s">
        <v>2986</v>
      </c>
      <c r="P6" s="1324" t="s">
        <v>2987</v>
      </c>
      <c r="Q6" s="2043" t="s">
        <v>5664</v>
      </c>
      <c r="R6" s="1325" t="s">
        <v>2989</v>
      </c>
      <c r="S6" s="1325" t="s">
        <v>2992</v>
      </c>
      <c r="T6" s="1326" t="s">
        <v>2990</v>
      </c>
      <c r="U6" s="1349" t="s">
        <v>2991</v>
      </c>
      <c r="V6" s="118" t="s">
        <v>1414</v>
      </c>
      <c r="W6" s="402" t="s">
        <v>2994</v>
      </c>
      <c r="X6" s="1328" t="s">
        <v>1415</v>
      </c>
      <c r="Y6" s="53" t="s">
        <v>28</v>
      </c>
      <c r="Z6" s="53" t="s">
        <v>5821</v>
      </c>
      <c r="AA6" s="45" t="s">
        <v>1416</v>
      </c>
      <c r="AB6" s="53" t="s">
        <v>1417</v>
      </c>
      <c r="AC6" s="45" t="s">
        <v>2783</v>
      </c>
      <c r="AD6" s="115" t="s">
        <v>29</v>
      </c>
      <c r="AE6" s="1359" t="s">
        <v>1418</v>
      </c>
      <c r="AF6" s="1360" t="s">
        <v>1419</v>
      </c>
      <c r="AG6" s="1361" t="s">
        <v>1420</v>
      </c>
      <c r="AH6" s="1360" t="s">
        <v>3003</v>
      </c>
      <c r="AI6" s="1795" t="s">
        <v>3004</v>
      </c>
      <c r="AJ6" s="2063" t="s">
        <v>5988</v>
      </c>
      <c r="AK6" s="1799" t="s">
        <v>4204</v>
      </c>
      <c r="AL6" s="1800" t="s">
        <v>4205</v>
      </c>
      <c r="AM6" s="809" t="s">
        <v>4446</v>
      </c>
      <c r="AN6" s="808" t="s">
        <v>1422</v>
      </c>
      <c r="AO6" s="808" t="s">
        <v>1423</v>
      </c>
      <c r="AP6" s="416" t="s">
        <v>1424</v>
      </c>
      <c r="AQ6" s="1065" t="s">
        <v>1425</v>
      </c>
      <c r="AR6" s="1130" t="s">
        <v>1426</v>
      </c>
      <c r="AS6" s="1131" t="s">
        <v>1427</v>
      </c>
      <c r="AT6" s="1131" t="s">
        <v>1428</v>
      </c>
      <c r="AU6" s="1132" t="s">
        <v>63</v>
      </c>
      <c r="AV6" s="799" t="s">
        <v>1429</v>
      </c>
      <c r="AW6" s="15"/>
    </row>
    <row r="7" spans="1:49" s="833" customFormat="1" ht="27" customHeight="1" thickTop="1" thickBot="1">
      <c r="A7" s="1343"/>
      <c r="B7" s="834"/>
      <c r="C7" s="834"/>
      <c r="D7" s="834"/>
      <c r="E7" s="843"/>
      <c r="F7" s="1310"/>
      <c r="G7" s="1315"/>
      <c r="H7" s="1316"/>
      <c r="I7" s="1317"/>
      <c r="J7" s="1316"/>
      <c r="K7" s="1316"/>
      <c r="L7" s="1318"/>
      <c r="M7" s="1318"/>
      <c r="N7" s="1319"/>
      <c r="O7" s="1316"/>
      <c r="P7" s="1316"/>
      <c r="Q7" s="1316"/>
      <c r="R7" s="1316"/>
      <c r="S7" s="1316"/>
      <c r="T7" s="1316"/>
      <c r="U7" s="1350"/>
      <c r="V7" s="828"/>
      <c r="W7" s="826"/>
      <c r="X7" s="827"/>
      <c r="Y7" s="827"/>
      <c r="Z7" s="827"/>
      <c r="AA7" s="829"/>
      <c r="AB7" s="827"/>
      <c r="AC7" s="1233"/>
      <c r="AD7" s="843"/>
      <c r="AE7" s="851"/>
      <c r="AF7" s="852"/>
      <c r="AG7" s="853"/>
      <c r="AH7" s="852"/>
      <c r="AI7" s="855"/>
      <c r="AJ7" s="855"/>
      <c r="AK7" s="1798"/>
      <c r="AL7" s="1801"/>
      <c r="AM7" s="818"/>
      <c r="AN7" s="854"/>
      <c r="AO7" s="854"/>
      <c r="AP7" s="855"/>
      <c r="AQ7" s="855"/>
      <c r="AR7" s="855"/>
      <c r="AS7" s="855"/>
      <c r="AT7" s="855"/>
      <c r="AU7" s="855"/>
      <c r="AV7" s="856"/>
      <c r="AW7" s="849"/>
    </row>
    <row r="8" spans="1:49" s="326" customFormat="1" ht="75.75" hidden="1" customHeight="1" thickTop="1">
      <c r="A8" s="1344">
        <f>OBRA!I6</f>
        <v>2013</v>
      </c>
      <c r="B8" s="894" t="s">
        <v>1430</v>
      </c>
      <c r="C8" s="894"/>
      <c r="D8" s="894"/>
      <c r="E8" s="318" t="str">
        <f>OBRA!K6</f>
        <v>FONDEREG</v>
      </c>
      <c r="F8" s="316"/>
      <c r="G8" s="331"/>
      <c r="H8" s="907" t="str">
        <f>OBRA!L6</f>
        <v>GMJ 015C OP/2013</v>
      </c>
      <c r="I8" s="332" t="str">
        <f>OBRA!M6</f>
        <v>INVITACIÓN</v>
      </c>
      <c r="J8" s="1311" t="str">
        <f>OBRA!N6</f>
        <v>RED DE AGUA POTABLE, DRENAJE Y EMPEDRADO EN CEMENTO, EN PROLONGACIÓN MORELOS, EN LA LOCALIDAD DE CHANTEPEC</v>
      </c>
      <c r="K8" s="1311"/>
      <c r="L8" s="1311"/>
      <c r="M8" s="1311"/>
      <c r="N8" s="1311"/>
      <c r="O8" s="1312">
        <f>OBRA!P6</f>
        <v>2564102.67</v>
      </c>
      <c r="P8" s="1312"/>
      <c r="Q8" s="1312"/>
      <c r="R8" s="1313">
        <f>OBRA!Q6</f>
        <v>41501</v>
      </c>
      <c r="S8" s="1327" t="str">
        <f>OBRA!T6</f>
        <v>-</v>
      </c>
      <c r="T8" s="1314">
        <f>OBRA!R6</f>
        <v>41518</v>
      </c>
      <c r="U8" s="1351">
        <f>OBRA!S6</f>
        <v>41608</v>
      </c>
      <c r="V8" s="1352"/>
      <c r="W8" s="1334">
        <f>OBRA!AQ6+OBRA!AR6</f>
        <v>2564102.67</v>
      </c>
      <c r="X8" s="927"/>
      <c r="Y8" s="1336" t="str">
        <f>OBRA!U6</f>
        <v>C. URIEL PALOS CUEVAS</v>
      </c>
      <c r="Z8" s="881"/>
      <c r="AA8" s="881" t="str">
        <f>Y8</f>
        <v>C. URIEL PALOS CUEVAS</v>
      </c>
      <c r="AB8" s="881" t="s">
        <v>2995</v>
      </c>
      <c r="AC8" s="906" t="s">
        <v>2995</v>
      </c>
      <c r="AD8" s="324" t="str">
        <f>OBRA!V6</f>
        <v>C. DANIEL RODRIGUEZ VALENZUELA</v>
      </c>
      <c r="AE8" s="907"/>
      <c r="AF8" s="332"/>
      <c r="AG8" s="908" t="e">
        <f t="shared" ref="AG8:AG71" si="0">W8/AE8</f>
        <v>#DIV/0!</v>
      </c>
      <c r="AH8" s="1329"/>
      <c r="AI8" s="909"/>
      <c r="AJ8" s="331"/>
      <c r="AK8" s="331"/>
      <c r="AL8" s="331"/>
      <c r="AM8" s="331"/>
      <c r="AN8" s="318"/>
      <c r="AO8" s="318"/>
      <c r="AP8" s="318"/>
      <c r="AQ8" s="910"/>
      <c r="AR8" s="331"/>
      <c r="AS8" s="331"/>
      <c r="AT8" s="331"/>
      <c r="AU8" s="331"/>
      <c r="AV8" s="911"/>
      <c r="AW8" s="325"/>
    </row>
    <row r="9" spans="1:49" s="326" customFormat="1" ht="75.75" hidden="1" customHeight="1">
      <c r="A9" s="1344">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0"/>
      <c r="R9" s="321">
        <f>OBRA!Q7</f>
        <v>41610</v>
      </c>
      <c r="S9" s="1327">
        <f>OBRA!T7</f>
        <v>41610</v>
      </c>
      <c r="T9" s="322">
        <f>OBRA!R7</f>
        <v>41612</v>
      </c>
      <c r="U9" s="323">
        <f>OBRA!S7</f>
        <v>41638</v>
      </c>
      <c r="V9" s="1352"/>
      <c r="W9" s="912">
        <f>OBRA!AQ7+OBRA!AR7</f>
        <v>636723.75</v>
      </c>
      <c r="X9" s="927"/>
      <c r="Y9" s="906" t="str">
        <f>OBRA!U7</f>
        <v>CONSTRUCTORA TGV, S.A. DE C.V.</v>
      </c>
      <c r="Z9" s="906"/>
      <c r="AA9" s="881" t="str">
        <f t="shared" ref="AA9:AA72" si="1">Y9</f>
        <v>CONSTRUCTORA TGV, S.A. DE C.V.</v>
      </c>
      <c r="AB9" s="906" t="e">
        <f>#REF!</f>
        <v>#REF!</v>
      </c>
      <c r="AC9" s="906"/>
      <c r="AD9" s="324" t="str">
        <f>OBRA!V7</f>
        <v>C. DANIEL RODRIGUEZ VALENZUELA</v>
      </c>
      <c r="AE9" s="317"/>
      <c r="AF9" s="318"/>
      <c r="AG9" s="908" t="e">
        <f t="shared" si="0"/>
        <v>#DIV/0!</v>
      </c>
      <c r="AH9" s="318"/>
      <c r="AI9" s="630"/>
      <c r="AJ9" s="565"/>
      <c r="AK9" s="565"/>
      <c r="AL9" s="565"/>
      <c r="AM9" s="565"/>
      <c r="AN9" s="318"/>
      <c r="AO9" s="318"/>
      <c r="AP9" s="318"/>
      <c r="AQ9" s="630"/>
      <c r="AR9" s="565"/>
      <c r="AS9" s="565"/>
      <c r="AT9" s="565"/>
      <c r="AU9" s="565"/>
      <c r="AV9" s="481"/>
      <c r="AW9" s="325"/>
    </row>
    <row r="10" spans="1:49" s="326" customFormat="1" ht="75.75" hidden="1" customHeight="1">
      <c r="A10" s="1344">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0"/>
      <c r="R10" s="321">
        <f>OBRA!Q8</f>
        <v>41610</v>
      </c>
      <c r="S10" s="1327">
        <f>OBRA!T8</f>
        <v>41610</v>
      </c>
      <c r="T10" s="322">
        <f>OBRA!R8</f>
        <v>41617</v>
      </c>
      <c r="U10" s="323">
        <f>OBRA!S8</f>
        <v>41638</v>
      </c>
      <c r="V10" s="1352"/>
      <c r="W10" s="912">
        <f>OBRA!AQ8+OBRA!AR8</f>
        <v>152401.41</v>
      </c>
      <c r="X10" s="927"/>
      <c r="Y10" s="906" t="str">
        <f>OBRA!U8</f>
        <v>CONSTRUCTORA TGV, S.A. DE C.V.</v>
      </c>
      <c r="Z10" s="906"/>
      <c r="AA10" s="881" t="str">
        <f t="shared" si="1"/>
        <v>CONSTRUCTORA TGV, S.A. DE C.V.</v>
      </c>
      <c r="AB10" s="906" t="e">
        <f>#REF!</f>
        <v>#REF!</v>
      </c>
      <c r="AC10" s="906"/>
      <c r="AD10" s="324" t="str">
        <f>OBRA!V8</f>
        <v>C. DANIEL RODRIGUEZ VALENZUELA</v>
      </c>
      <c r="AE10" s="317"/>
      <c r="AF10" s="318"/>
      <c r="AG10" s="908" t="e">
        <f t="shared" si="0"/>
        <v>#DIV/0!</v>
      </c>
      <c r="AH10" s="318"/>
      <c r="AI10" s="630"/>
      <c r="AJ10" s="565"/>
      <c r="AK10" s="565"/>
      <c r="AL10" s="565"/>
      <c r="AM10" s="565"/>
      <c r="AN10" s="318"/>
      <c r="AO10" s="318"/>
      <c r="AP10" s="318"/>
      <c r="AQ10" s="630"/>
      <c r="AR10" s="565"/>
      <c r="AS10" s="565"/>
      <c r="AT10" s="565"/>
      <c r="AU10" s="565"/>
      <c r="AV10" s="481"/>
      <c r="AW10" s="325"/>
    </row>
    <row r="11" spans="1:49" s="110" customFormat="1" ht="75.75" hidden="1" customHeight="1">
      <c r="A11" s="1345">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2"/>
      <c r="R11" s="93" t="s">
        <v>68</v>
      </c>
      <c r="S11" s="1327" t="str">
        <f>OBRA!T9</f>
        <v>-</v>
      </c>
      <c r="T11" s="94" t="s">
        <v>68</v>
      </c>
      <c r="U11" s="95" t="s">
        <v>68</v>
      </c>
      <c r="V11" s="374"/>
      <c r="W11" s="934">
        <f>OBRA!AQ9+OBRA!AR9</f>
        <v>0</v>
      </c>
      <c r="X11" s="947"/>
      <c r="Y11" s="935" t="str">
        <f>OBRA!U9</f>
        <v>-</v>
      </c>
      <c r="Z11" s="935"/>
      <c r="AA11" s="460" t="str">
        <f t="shared" si="1"/>
        <v>-</v>
      </c>
      <c r="AB11" s="935" t="e">
        <f>#REF!</f>
        <v>#REF!</v>
      </c>
      <c r="AC11" s="935"/>
      <c r="AD11" s="302" t="s">
        <v>251</v>
      </c>
      <c r="AE11" s="90"/>
      <c r="AF11" s="91"/>
      <c r="AG11" s="936" t="e">
        <f t="shared" si="0"/>
        <v>#DIV/0!</v>
      </c>
      <c r="AH11" s="91"/>
      <c r="AI11" s="634"/>
      <c r="AJ11" s="564"/>
      <c r="AK11" s="564"/>
      <c r="AL11" s="564"/>
      <c r="AM11" s="564"/>
      <c r="AN11" s="564"/>
      <c r="AO11" s="564"/>
      <c r="AP11" s="564"/>
      <c r="AQ11" s="564"/>
      <c r="AR11" s="564"/>
      <c r="AS11" s="564"/>
      <c r="AT11" s="564"/>
      <c r="AU11" s="564"/>
      <c r="AV11" s="564"/>
      <c r="AW11" s="109"/>
    </row>
    <row r="12" spans="1:49" s="326" customFormat="1" ht="75.75" hidden="1" customHeight="1">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0"/>
      <c r="R12" s="321">
        <f>OBRA!Q10</f>
        <v>41479</v>
      </c>
      <c r="S12" s="1327" t="str">
        <f>OBRA!T10</f>
        <v>-</v>
      </c>
      <c r="T12" s="322">
        <f>OBRA!R10</f>
        <v>41479</v>
      </c>
      <c r="U12" s="323">
        <f>OBRA!S10</f>
        <v>41486</v>
      </c>
      <c r="V12" s="1356"/>
      <c r="W12" s="912">
        <f>OBRA!AQ10+OBRA!AR10</f>
        <v>234538.08000000002</v>
      </c>
      <c r="X12" s="927"/>
      <c r="Y12" s="906" t="str">
        <f>OBRA!U10</f>
        <v>-</v>
      </c>
      <c r="Z12" s="906"/>
      <c r="AA12" s="881" t="str">
        <f t="shared" si="1"/>
        <v>-</v>
      </c>
      <c r="AB12" s="906" t="e">
        <f>#REF!</f>
        <v>#REF!</v>
      </c>
      <c r="AC12" s="906"/>
      <c r="AD12" s="324">
        <f>OBRA!V10</f>
        <v>0</v>
      </c>
      <c r="AE12" s="317"/>
      <c r="AF12" s="318"/>
      <c r="AG12" s="908" t="e">
        <f t="shared" si="0"/>
        <v>#DIV/0!</v>
      </c>
      <c r="AH12" s="318"/>
      <c r="AI12" s="630"/>
      <c r="AJ12" s="565"/>
      <c r="AK12" s="565"/>
      <c r="AL12" s="565"/>
      <c r="AM12" s="565"/>
      <c r="AN12" s="318"/>
      <c r="AO12" s="318"/>
      <c r="AP12" s="318"/>
      <c r="AQ12" s="630"/>
      <c r="AR12" s="565"/>
      <c r="AS12" s="565"/>
      <c r="AT12" s="565"/>
      <c r="AU12" s="565"/>
      <c r="AV12" s="481"/>
      <c r="AW12" s="325"/>
    </row>
    <row r="13" spans="1:49" s="326" customFormat="1" ht="75.75" hidden="1" customHeight="1">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0"/>
      <c r="R13" s="321">
        <f>OBRA!Q11</f>
        <v>41484</v>
      </c>
      <c r="S13" s="1327" t="str">
        <f>OBRA!T11</f>
        <v>-</v>
      </c>
      <c r="T13" s="322">
        <f>OBRA!R11</f>
        <v>41479</v>
      </c>
      <c r="U13" s="323">
        <f>OBRA!S11</f>
        <v>41510</v>
      </c>
      <c r="V13" s="1352"/>
      <c r="W13" s="912">
        <f>OBRA!AQ11+OBRA!AR11</f>
        <v>269982.81</v>
      </c>
      <c r="X13" s="927"/>
      <c r="Y13" s="906" t="str">
        <f>OBRA!U11</f>
        <v>-</v>
      </c>
      <c r="Z13" s="906"/>
      <c r="AA13" s="881" t="str">
        <f t="shared" si="1"/>
        <v>-</v>
      </c>
      <c r="AB13" s="906" t="e">
        <f>#REF!</f>
        <v>#REF!</v>
      </c>
      <c r="AC13" s="906"/>
      <c r="AD13" s="324">
        <f>OBRA!V11</f>
        <v>0</v>
      </c>
      <c r="AE13" s="317"/>
      <c r="AF13" s="318"/>
      <c r="AG13" s="908" t="e">
        <f t="shared" si="0"/>
        <v>#DIV/0!</v>
      </c>
      <c r="AH13" s="318"/>
      <c r="AI13" s="630"/>
      <c r="AJ13" s="565"/>
      <c r="AK13" s="565"/>
      <c r="AL13" s="565"/>
      <c r="AM13" s="565"/>
      <c r="AN13" s="318"/>
      <c r="AO13" s="318"/>
      <c r="AP13" s="318"/>
      <c r="AQ13" s="630"/>
      <c r="AR13" s="565"/>
      <c r="AS13" s="565"/>
      <c r="AT13" s="565"/>
      <c r="AU13" s="565"/>
      <c r="AV13" s="481"/>
      <c r="AW13" s="325"/>
    </row>
    <row r="14" spans="1:49" s="326" customFormat="1" ht="75.75" hidden="1" customHeight="1">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0"/>
      <c r="R14" s="321">
        <f>OBRA!Q12</f>
        <v>41479</v>
      </c>
      <c r="S14" s="1327" t="str">
        <f>OBRA!T12</f>
        <v>-</v>
      </c>
      <c r="T14" s="322">
        <f>OBRA!R12</f>
        <v>41479</v>
      </c>
      <c r="U14" s="323">
        <f>OBRA!S12</f>
        <v>41501</v>
      </c>
      <c r="V14" s="1352"/>
      <c r="W14" s="912">
        <f>OBRA!AQ12+OBRA!AR12</f>
        <v>294351.64</v>
      </c>
      <c r="X14" s="927"/>
      <c r="Y14" s="906" t="str">
        <f>OBRA!U12</f>
        <v>-</v>
      </c>
      <c r="Z14" s="906"/>
      <c r="AA14" s="881" t="str">
        <f t="shared" si="1"/>
        <v>-</v>
      </c>
      <c r="AB14" s="906" t="e">
        <f>#REF!</f>
        <v>#REF!</v>
      </c>
      <c r="AC14" s="906"/>
      <c r="AD14" s="324">
        <f>OBRA!V12</f>
        <v>0</v>
      </c>
      <c r="AE14" s="317"/>
      <c r="AF14" s="318"/>
      <c r="AG14" s="908" t="e">
        <f t="shared" si="0"/>
        <v>#DIV/0!</v>
      </c>
      <c r="AH14" s="318"/>
      <c r="AI14" s="630"/>
      <c r="AJ14" s="565"/>
      <c r="AK14" s="565"/>
      <c r="AL14" s="565"/>
      <c r="AM14" s="565"/>
      <c r="AN14" s="318"/>
      <c r="AO14" s="318"/>
      <c r="AP14" s="318"/>
      <c r="AQ14" s="630"/>
      <c r="AR14" s="565"/>
      <c r="AS14" s="565"/>
      <c r="AT14" s="565"/>
      <c r="AU14" s="565"/>
      <c r="AV14" s="481"/>
      <c r="AW14" s="325"/>
    </row>
    <row r="15" spans="1:49" s="326" customFormat="1" ht="75.75" hidden="1" customHeight="1">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0"/>
      <c r="R15" s="321">
        <f>OBRA!Q13</f>
        <v>41502</v>
      </c>
      <c r="S15" s="1327" t="str">
        <f>OBRA!T13</f>
        <v>-</v>
      </c>
      <c r="T15" s="322">
        <f>OBRA!R13</f>
        <v>41507</v>
      </c>
      <c r="U15" s="323">
        <f>OBRA!S13</f>
        <v>41538</v>
      </c>
      <c r="V15" s="1352"/>
      <c r="W15" s="912">
        <f>OBRA!AQ13+OBRA!AR13</f>
        <v>187724.11</v>
      </c>
      <c r="X15" s="927"/>
      <c r="Y15" s="906" t="str">
        <f>OBRA!U13</f>
        <v>-</v>
      </c>
      <c r="Z15" s="906"/>
      <c r="AA15" s="881" t="str">
        <f t="shared" si="1"/>
        <v>-</v>
      </c>
      <c r="AB15" s="906" t="e">
        <f>#REF!</f>
        <v>#REF!</v>
      </c>
      <c r="AC15" s="906"/>
      <c r="AD15" s="324">
        <f>OBRA!V13</f>
        <v>0</v>
      </c>
      <c r="AE15" s="317"/>
      <c r="AF15" s="318"/>
      <c r="AG15" s="908" t="e">
        <f t="shared" si="0"/>
        <v>#DIV/0!</v>
      </c>
      <c r="AH15" s="318"/>
      <c r="AI15" s="630"/>
      <c r="AJ15" s="565"/>
      <c r="AK15" s="565"/>
      <c r="AL15" s="565"/>
      <c r="AM15" s="565"/>
      <c r="AN15" s="318"/>
      <c r="AO15" s="318"/>
      <c r="AP15" s="318"/>
      <c r="AQ15" s="630"/>
      <c r="AR15" s="565"/>
      <c r="AS15" s="565"/>
      <c r="AT15" s="565"/>
      <c r="AU15" s="565"/>
      <c r="AV15" s="481"/>
      <c r="AW15" s="325"/>
    </row>
    <row r="16" spans="1:49" s="326" customFormat="1" ht="75.75" hidden="1" customHeight="1">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0"/>
      <c r="R16" s="321">
        <f>OBRA!Q14</f>
        <v>41479</v>
      </c>
      <c r="S16" s="1327" t="str">
        <f>OBRA!T14</f>
        <v>-</v>
      </c>
      <c r="T16" s="322">
        <f>OBRA!R14</f>
        <v>41479</v>
      </c>
      <c r="U16" s="323">
        <f>OBRA!S14</f>
        <v>41493</v>
      </c>
      <c r="V16" s="1352"/>
      <c r="W16" s="912">
        <f>OBRA!AQ14+OBRA!AR14</f>
        <v>312401.74</v>
      </c>
      <c r="X16" s="927"/>
      <c r="Y16" s="906" t="str">
        <f>OBRA!U14</f>
        <v>-</v>
      </c>
      <c r="Z16" s="906"/>
      <c r="AA16" s="881" t="str">
        <f t="shared" si="1"/>
        <v>-</v>
      </c>
      <c r="AB16" s="906" t="e">
        <f>#REF!</f>
        <v>#REF!</v>
      </c>
      <c r="AC16" s="906"/>
      <c r="AD16" s="324">
        <f>OBRA!V14</f>
        <v>0</v>
      </c>
      <c r="AE16" s="317"/>
      <c r="AF16" s="318"/>
      <c r="AG16" s="908" t="e">
        <f t="shared" si="0"/>
        <v>#DIV/0!</v>
      </c>
      <c r="AH16" s="318"/>
      <c r="AI16" s="630"/>
      <c r="AJ16" s="565"/>
      <c r="AK16" s="565"/>
      <c r="AL16" s="565"/>
      <c r="AM16" s="565"/>
      <c r="AN16" s="318"/>
      <c r="AO16" s="318"/>
      <c r="AP16" s="318"/>
      <c r="AQ16" s="630"/>
      <c r="AR16" s="565"/>
      <c r="AS16" s="565"/>
      <c r="AT16" s="565"/>
      <c r="AU16" s="565"/>
      <c r="AV16" s="481"/>
      <c r="AW16" s="325"/>
    </row>
    <row r="17" spans="1:49" s="326" customFormat="1" ht="75.75" hidden="1" customHeight="1">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0"/>
      <c r="R17" s="321">
        <f>OBRA!Q15</f>
        <v>41488</v>
      </c>
      <c r="S17" s="1327" t="str">
        <f>OBRA!T15</f>
        <v>-</v>
      </c>
      <c r="T17" s="322">
        <f>OBRA!R15</f>
        <v>41507</v>
      </c>
      <c r="U17" s="323">
        <f>OBRA!S15</f>
        <v>41538</v>
      </c>
      <c r="V17" s="1352"/>
      <c r="W17" s="912">
        <f>OBRA!AQ15+OBRA!AR15</f>
        <v>42421</v>
      </c>
      <c r="X17" s="927"/>
      <c r="Y17" s="906" t="str">
        <f>OBRA!U15</f>
        <v>-</v>
      </c>
      <c r="Z17" s="906"/>
      <c r="AA17" s="881" t="str">
        <f t="shared" si="1"/>
        <v>-</v>
      </c>
      <c r="AB17" s="906" t="e">
        <f>#REF!</f>
        <v>#REF!</v>
      </c>
      <c r="AC17" s="906"/>
      <c r="AD17" s="324">
        <f>OBRA!V15</f>
        <v>0</v>
      </c>
      <c r="AE17" s="317"/>
      <c r="AF17" s="318"/>
      <c r="AG17" s="908" t="e">
        <f t="shared" si="0"/>
        <v>#DIV/0!</v>
      </c>
      <c r="AH17" s="318"/>
      <c r="AI17" s="630"/>
      <c r="AJ17" s="565"/>
      <c r="AK17" s="565"/>
      <c r="AL17" s="565"/>
      <c r="AM17" s="565"/>
      <c r="AN17" s="318"/>
      <c r="AO17" s="318"/>
      <c r="AP17" s="318"/>
      <c r="AQ17" s="630"/>
      <c r="AR17" s="565"/>
      <c r="AS17" s="565"/>
      <c r="AT17" s="565"/>
      <c r="AU17" s="565"/>
      <c r="AV17" s="481"/>
      <c r="AW17" s="325"/>
    </row>
    <row r="18" spans="1:49" s="326" customFormat="1" ht="75.75" hidden="1" customHeight="1">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0"/>
      <c r="R18" s="321">
        <f>OBRA!Q16</f>
        <v>41488</v>
      </c>
      <c r="S18" s="1327" t="str">
        <f>OBRA!T16</f>
        <v>-</v>
      </c>
      <c r="T18" s="322">
        <f>OBRA!R16</f>
        <v>41493</v>
      </c>
      <c r="U18" s="323">
        <f>OBRA!S16</f>
        <v>41506</v>
      </c>
      <c r="V18" s="1352"/>
      <c r="W18" s="912">
        <f>OBRA!AQ16+OBRA!AR16</f>
        <v>170153.3</v>
      </c>
      <c r="X18" s="927"/>
      <c r="Y18" s="906" t="str">
        <f>OBRA!U16</f>
        <v>-</v>
      </c>
      <c r="Z18" s="906"/>
      <c r="AA18" s="881" t="str">
        <f t="shared" si="1"/>
        <v>-</v>
      </c>
      <c r="AB18" s="906" t="e">
        <f>#REF!</f>
        <v>#REF!</v>
      </c>
      <c r="AC18" s="906"/>
      <c r="AD18" s="324">
        <f>OBRA!V16</f>
        <v>0</v>
      </c>
      <c r="AE18" s="317"/>
      <c r="AF18" s="318"/>
      <c r="AG18" s="908" t="e">
        <f t="shared" si="0"/>
        <v>#DIV/0!</v>
      </c>
      <c r="AH18" s="318"/>
      <c r="AI18" s="630"/>
      <c r="AJ18" s="565"/>
      <c r="AK18" s="565"/>
      <c r="AL18" s="565"/>
      <c r="AM18" s="565"/>
      <c r="AN18" s="318"/>
      <c r="AO18" s="318"/>
      <c r="AP18" s="318"/>
      <c r="AQ18" s="630"/>
      <c r="AR18" s="565"/>
      <c r="AS18" s="565"/>
      <c r="AT18" s="565"/>
      <c r="AU18" s="565"/>
      <c r="AV18" s="481"/>
      <c r="AW18" s="325"/>
    </row>
    <row r="19" spans="1:49" s="326" customFormat="1" ht="75.75" hidden="1" customHeight="1">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0"/>
      <c r="R19" s="321">
        <f>OBRA!Q17</f>
        <v>41516</v>
      </c>
      <c r="S19" s="1327" t="str">
        <f>OBRA!T17</f>
        <v>-</v>
      </c>
      <c r="T19" s="322">
        <f>OBRA!R17</f>
        <v>41553</v>
      </c>
      <c r="U19" s="323">
        <f>OBRA!S17</f>
        <v>41623</v>
      </c>
      <c r="V19" s="1352"/>
      <c r="W19" s="912">
        <f>OBRA!AQ17+OBRA!AR17</f>
        <v>1084867.96</v>
      </c>
      <c r="X19" s="927"/>
      <c r="Y19" s="1335" t="str">
        <f>OBRA!U17</f>
        <v>EQUIPO MANTENIMIENTO Y PLANEACION ELECTRICA S.A. DE C.V.</v>
      </c>
      <c r="Z19" s="1335"/>
      <c r="AA19" s="881" t="str">
        <f t="shared" si="1"/>
        <v>EQUIPO MANTENIMIENTO Y PLANEACION ELECTRICA S.A. DE C.V.</v>
      </c>
      <c r="AB19" s="906" t="e">
        <f>#REF!</f>
        <v>#REF!</v>
      </c>
      <c r="AC19" s="906"/>
      <c r="AD19" s="324" t="str">
        <f>OBRA!V17</f>
        <v>C. DANIEL RODRIGUEZ VALENZUELA</v>
      </c>
      <c r="AE19" s="317"/>
      <c r="AF19" s="318"/>
      <c r="AG19" s="908" t="e">
        <f t="shared" si="0"/>
        <v>#DIV/0!</v>
      </c>
      <c r="AH19" s="318"/>
      <c r="AI19" s="630"/>
      <c r="AJ19" s="565"/>
      <c r="AK19" s="565"/>
      <c r="AL19" s="565"/>
      <c r="AM19" s="565"/>
      <c r="AN19" s="318"/>
      <c r="AO19" s="318"/>
      <c r="AP19" s="318"/>
      <c r="AQ19" s="630"/>
      <c r="AR19" s="565"/>
      <c r="AS19" s="565"/>
      <c r="AT19" s="565"/>
      <c r="AU19" s="565"/>
      <c r="AV19" s="481"/>
      <c r="AW19" s="325"/>
    </row>
    <row r="20" spans="1:49" s="326" customFormat="1" ht="75.75" hidden="1" customHeight="1">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0"/>
      <c r="R20" s="321">
        <f>OBRA!Q18</f>
        <v>41501</v>
      </c>
      <c r="S20" s="1327">
        <f>OBRA!T18</f>
        <v>41501</v>
      </c>
      <c r="T20" s="322">
        <f>OBRA!R18</f>
        <v>41505</v>
      </c>
      <c r="U20" s="323">
        <f>OBRA!S18</f>
        <v>41547</v>
      </c>
      <c r="V20" s="1356"/>
      <c r="W20" s="912">
        <f>OBRA!AQ18+OBRA!AR18</f>
        <v>223853.44</v>
      </c>
      <c r="X20" s="927"/>
      <c r="Y20" s="1336" t="str">
        <f>OBRA!U18</f>
        <v>C. JOSE LUIS VILLALPANDO GARCIA</v>
      </c>
      <c r="Z20" s="881"/>
      <c r="AA20" s="881" t="str">
        <f t="shared" si="1"/>
        <v>C. JOSE LUIS VILLALPANDO GARCIA</v>
      </c>
      <c r="AB20" s="881" t="s">
        <v>2995</v>
      </c>
      <c r="AC20" s="906" t="s">
        <v>2995</v>
      </c>
      <c r="AD20" s="324" t="str">
        <f>OBRA!V18</f>
        <v>ING. RIGOBERTO OLMEDO RAMOS</v>
      </c>
      <c r="AE20" s="317"/>
      <c r="AF20" s="318"/>
      <c r="AG20" s="908" t="e">
        <f t="shared" si="0"/>
        <v>#DIV/0!</v>
      </c>
      <c r="AH20" s="318"/>
      <c r="AI20" s="630"/>
      <c r="AJ20" s="565"/>
      <c r="AK20" s="565"/>
      <c r="AL20" s="565"/>
      <c r="AM20" s="565"/>
      <c r="AN20" s="318"/>
      <c r="AO20" s="318"/>
      <c r="AP20" s="318"/>
      <c r="AQ20" s="630"/>
      <c r="AR20" s="565"/>
      <c r="AS20" s="565"/>
      <c r="AT20" s="565"/>
      <c r="AU20" s="565"/>
      <c r="AV20" s="481"/>
      <c r="AW20" s="325"/>
    </row>
    <row r="21" spans="1:49" s="326" customFormat="1" ht="75.75" hidden="1" customHeight="1">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0"/>
      <c r="R21" s="321">
        <f>OBRA!Q19</f>
        <v>41501</v>
      </c>
      <c r="S21" s="1327">
        <f>OBRA!T19</f>
        <v>41501</v>
      </c>
      <c r="T21" s="322">
        <f>OBRA!R19</f>
        <v>41519</v>
      </c>
      <c r="U21" s="323">
        <f>OBRA!S19</f>
        <v>41573</v>
      </c>
      <c r="V21" s="1352"/>
      <c r="W21" s="912">
        <f>OBRA!AQ19+OBRA!AR19</f>
        <v>318370.37</v>
      </c>
      <c r="X21" s="927"/>
      <c r="Y21" s="1336" t="str">
        <f>OBRA!U19</f>
        <v>C. JOSE LUIS VILLALPANDO GARCIA</v>
      </c>
      <c r="Z21" s="881"/>
      <c r="AA21" s="881" t="str">
        <f t="shared" si="1"/>
        <v>C. JOSE LUIS VILLALPANDO GARCIA</v>
      </c>
      <c r="AB21" s="881" t="s">
        <v>2995</v>
      </c>
      <c r="AC21" s="906" t="s">
        <v>2995</v>
      </c>
      <c r="AD21" s="324" t="str">
        <f>OBRA!V19</f>
        <v>ING. RIGOBERTO OLMEDO RAMOS</v>
      </c>
      <c r="AE21" s="317"/>
      <c r="AF21" s="318"/>
      <c r="AG21" s="908" t="e">
        <f t="shared" si="0"/>
        <v>#DIV/0!</v>
      </c>
      <c r="AH21" s="318"/>
      <c r="AI21" s="630"/>
      <c r="AJ21" s="565"/>
      <c r="AK21" s="565"/>
      <c r="AL21" s="565"/>
      <c r="AM21" s="565"/>
      <c r="AN21" s="318"/>
      <c r="AO21" s="318"/>
      <c r="AP21" s="318"/>
      <c r="AQ21" s="630"/>
      <c r="AR21" s="565"/>
      <c r="AS21" s="565"/>
      <c r="AT21" s="565"/>
      <c r="AU21" s="565"/>
      <c r="AV21" s="481"/>
      <c r="AW21" s="325"/>
    </row>
    <row r="22" spans="1:49" s="326" customFormat="1" ht="75.75" hidden="1" customHeight="1">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0"/>
      <c r="R22" s="321">
        <f>OBRA!Q20</f>
        <v>41596</v>
      </c>
      <c r="S22" s="1327" t="str">
        <f>OBRA!T20</f>
        <v>-</v>
      </c>
      <c r="T22" s="322">
        <f>OBRA!R20</f>
        <v>41589</v>
      </c>
      <c r="U22" s="323">
        <f>OBRA!S20</f>
        <v>41638</v>
      </c>
      <c r="V22" s="1352"/>
      <c r="W22" s="912">
        <f>OBRA!AQ20+OBRA!AR20</f>
        <v>109432.73000000001</v>
      </c>
      <c r="X22" s="927"/>
      <c r="Y22" s="906" t="str">
        <f>OBRA!U20</f>
        <v>-</v>
      </c>
      <c r="Z22" s="906"/>
      <c r="AA22" s="881" t="str">
        <f t="shared" si="1"/>
        <v>-</v>
      </c>
      <c r="AB22" s="906" t="e">
        <f>#REF!</f>
        <v>#REF!</v>
      </c>
      <c r="AC22" s="906"/>
      <c r="AD22" s="324">
        <f>OBRA!V20</f>
        <v>0</v>
      </c>
      <c r="AE22" s="317"/>
      <c r="AF22" s="318"/>
      <c r="AG22" s="908" t="e">
        <f t="shared" si="0"/>
        <v>#DIV/0!</v>
      </c>
      <c r="AH22" s="318"/>
      <c r="AI22" s="630"/>
      <c r="AJ22" s="565"/>
      <c r="AK22" s="565"/>
      <c r="AL22" s="565"/>
      <c r="AM22" s="565"/>
      <c r="AN22" s="318"/>
      <c r="AO22" s="318"/>
      <c r="AP22" s="318"/>
      <c r="AQ22" s="630"/>
      <c r="AR22" s="565"/>
      <c r="AS22" s="565"/>
      <c r="AT22" s="565"/>
      <c r="AU22" s="565"/>
      <c r="AV22" s="481"/>
      <c r="AW22" s="325"/>
    </row>
    <row r="23" spans="1:49" s="110" customFormat="1" ht="75.75" hidden="1" customHeight="1">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2"/>
      <c r="R23" s="93" t="s">
        <v>68</v>
      </c>
      <c r="S23" s="1327" t="str">
        <f>OBRA!T21</f>
        <v>-</v>
      </c>
      <c r="T23" s="94" t="s">
        <v>68</v>
      </c>
      <c r="U23" s="95" t="s">
        <v>68</v>
      </c>
      <c r="V23" s="374"/>
      <c r="W23" s="934">
        <f>OBRA!AQ21+OBRA!AR21</f>
        <v>0</v>
      </c>
      <c r="X23" s="947"/>
      <c r="Y23" s="935" t="str">
        <f>OBRA!U21</f>
        <v>-</v>
      </c>
      <c r="Z23" s="935"/>
      <c r="AA23" s="460" t="str">
        <f t="shared" si="1"/>
        <v>-</v>
      </c>
      <c r="AB23" s="935" t="e">
        <f>#REF!</f>
        <v>#REF!</v>
      </c>
      <c r="AC23" s="935"/>
      <c r="AD23" s="302" t="s">
        <v>251</v>
      </c>
      <c r="AE23" s="90"/>
      <c r="AF23" s="91"/>
      <c r="AG23" s="936" t="e">
        <f t="shared" si="0"/>
        <v>#DIV/0!</v>
      </c>
      <c r="AH23" s="91"/>
      <c r="AI23" s="634"/>
      <c r="AJ23" s="583"/>
      <c r="AK23" s="583"/>
      <c r="AL23" s="583"/>
      <c r="AM23" s="583"/>
      <c r="AN23" s="583"/>
      <c r="AO23" s="583"/>
      <c r="AP23" s="583"/>
      <c r="AQ23" s="564"/>
      <c r="AR23" s="564"/>
      <c r="AS23" s="564"/>
      <c r="AT23" s="564"/>
      <c r="AU23" s="564"/>
      <c r="AV23" s="564"/>
      <c r="AW23" s="109"/>
    </row>
    <row r="24" spans="1:49" s="326" customFormat="1" ht="75.75" hidden="1" customHeight="1">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0"/>
      <c r="R24" s="321">
        <f>OBRA!Q22</f>
        <v>41547</v>
      </c>
      <c r="S24" s="1327">
        <f>OBRA!T22</f>
        <v>41547</v>
      </c>
      <c r="T24" s="322">
        <f>OBRA!R22</f>
        <v>41548</v>
      </c>
      <c r="U24" s="323">
        <f>OBRA!S22</f>
        <v>41580</v>
      </c>
      <c r="V24" s="1356"/>
      <c r="W24" s="912">
        <f>OBRA!AQ22+OBRA!AR22</f>
        <v>91694.8</v>
      </c>
      <c r="X24" s="927"/>
      <c r="Y24" s="906" t="str">
        <f>OBRA!U22</f>
        <v>C. JUAN MANUEL PALOS VACA</v>
      </c>
      <c r="Z24" s="906"/>
      <c r="AA24" s="881" t="str">
        <f t="shared" si="1"/>
        <v>C. JUAN MANUEL PALOS VACA</v>
      </c>
      <c r="AB24" s="881" t="s">
        <v>2995</v>
      </c>
      <c r="AC24" s="906" t="s">
        <v>2995</v>
      </c>
      <c r="AD24" s="324" t="str">
        <f>OBRA!V22</f>
        <v>ING. ISER RANGEL REVILLA</v>
      </c>
      <c r="AE24" s="317"/>
      <c r="AF24" s="318"/>
      <c r="AG24" s="908" t="e">
        <f t="shared" si="0"/>
        <v>#DIV/0!</v>
      </c>
      <c r="AH24" s="318"/>
      <c r="AI24" s="630"/>
      <c r="AJ24" s="565"/>
      <c r="AK24" s="565"/>
      <c r="AL24" s="565"/>
      <c r="AM24" s="565"/>
      <c r="AN24" s="318"/>
      <c r="AO24" s="318"/>
      <c r="AP24" s="318"/>
      <c r="AQ24" s="630"/>
      <c r="AR24" s="565"/>
      <c r="AS24" s="565"/>
      <c r="AT24" s="565"/>
      <c r="AU24" s="565"/>
      <c r="AV24" s="481"/>
      <c r="AW24" s="325"/>
    </row>
    <row r="25" spans="1:49" s="326" customFormat="1" ht="75.75" hidden="1" customHeight="1">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0"/>
      <c r="R25" s="321">
        <f>OBRA!Q23</f>
        <v>41547</v>
      </c>
      <c r="S25" s="1327">
        <f>OBRA!T23</f>
        <v>41547</v>
      </c>
      <c r="T25" s="322">
        <f>OBRA!R23</f>
        <v>41548</v>
      </c>
      <c r="U25" s="323">
        <f>OBRA!S23</f>
        <v>41580</v>
      </c>
      <c r="V25" s="1352"/>
      <c r="W25" s="912">
        <f>OBRA!AQ23+OBRA!AR23</f>
        <v>361775.26</v>
      </c>
      <c r="X25" s="927"/>
      <c r="Y25" s="906" t="str">
        <f>OBRA!U23</f>
        <v>C. JUAN MANUEL PALOS VACA</v>
      </c>
      <c r="Z25" s="906"/>
      <c r="AA25" s="881" t="str">
        <f t="shared" si="1"/>
        <v>C. JUAN MANUEL PALOS VACA</v>
      </c>
      <c r="AB25" s="881" t="s">
        <v>2995</v>
      </c>
      <c r="AC25" s="906" t="s">
        <v>2995</v>
      </c>
      <c r="AD25" s="324" t="str">
        <f>OBRA!V23</f>
        <v>ING. ISER RANGEL REVILLA</v>
      </c>
      <c r="AE25" s="317"/>
      <c r="AF25" s="318"/>
      <c r="AG25" s="908" t="e">
        <f t="shared" si="0"/>
        <v>#DIV/0!</v>
      </c>
      <c r="AH25" s="318"/>
      <c r="AI25" s="630"/>
      <c r="AJ25" s="565"/>
      <c r="AK25" s="565"/>
      <c r="AL25" s="565"/>
      <c r="AM25" s="565"/>
      <c r="AN25" s="318"/>
      <c r="AO25" s="318"/>
      <c r="AP25" s="318"/>
      <c r="AQ25" s="630"/>
      <c r="AR25" s="565"/>
      <c r="AS25" s="565"/>
      <c r="AT25" s="565"/>
      <c r="AU25" s="565"/>
      <c r="AV25" s="481"/>
      <c r="AW25" s="325"/>
    </row>
    <row r="26" spans="1:49" s="326" customFormat="1" ht="75.75" hidden="1" customHeight="1">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0"/>
      <c r="R26" s="321">
        <f>OBRA!Q24</f>
        <v>41599</v>
      </c>
      <c r="S26" s="1327" t="str">
        <f>OBRA!T24</f>
        <v>-</v>
      </c>
      <c r="T26" s="322">
        <f>OBRA!R24</f>
        <v>41600</v>
      </c>
      <c r="U26" s="323">
        <f>OBRA!S24</f>
        <v>41623</v>
      </c>
      <c r="V26" s="1352"/>
      <c r="W26" s="912">
        <f>OBRA!AQ24+OBRA!AR24</f>
        <v>327010.77</v>
      </c>
      <c r="X26" s="927"/>
      <c r="Y26" s="906" t="str">
        <f>OBRA!U24</f>
        <v>-</v>
      </c>
      <c r="Z26" s="906"/>
      <c r="AA26" s="881" t="str">
        <f t="shared" si="1"/>
        <v>-</v>
      </c>
      <c r="AB26" s="906" t="e">
        <f>#REF!</f>
        <v>#REF!</v>
      </c>
      <c r="AC26" s="906"/>
      <c r="AD26" s="324">
        <f>OBRA!V24</f>
        <v>0</v>
      </c>
      <c r="AE26" s="317"/>
      <c r="AF26" s="318"/>
      <c r="AG26" s="908" t="e">
        <f t="shared" si="0"/>
        <v>#DIV/0!</v>
      </c>
      <c r="AH26" s="318"/>
      <c r="AI26" s="630"/>
      <c r="AJ26" s="565"/>
      <c r="AK26" s="565"/>
      <c r="AL26" s="565"/>
      <c r="AM26" s="565"/>
      <c r="AN26" s="318"/>
      <c r="AO26" s="318"/>
      <c r="AP26" s="318"/>
      <c r="AQ26" s="630"/>
      <c r="AR26" s="565"/>
      <c r="AS26" s="565"/>
      <c r="AT26" s="565"/>
      <c r="AU26" s="565"/>
      <c r="AV26" s="481"/>
      <c r="AW26" s="325"/>
    </row>
    <row r="27" spans="1:49" s="326" customFormat="1" ht="75.75" hidden="1" customHeight="1">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0"/>
      <c r="R27" s="321">
        <f>OBRA!Q25</f>
        <v>41593</v>
      </c>
      <c r="S27" s="1327" t="str">
        <f>OBRA!T25</f>
        <v>-</v>
      </c>
      <c r="T27" s="322">
        <f>OBRA!R25</f>
        <v>41596</v>
      </c>
      <c r="U27" s="323">
        <f>OBRA!S25</f>
        <v>41610</v>
      </c>
      <c r="V27" s="1352"/>
      <c r="W27" s="912">
        <f>OBRA!AQ25+OBRA!AR25</f>
        <v>26940</v>
      </c>
      <c r="X27" s="927"/>
      <c r="Y27" s="906" t="str">
        <f>OBRA!U25</f>
        <v>-</v>
      </c>
      <c r="Z27" s="906"/>
      <c r="AA27" s="881" t="str">
        <f t="shared" si="1"/>
        <v>-</v>
      </c>
      <c r="AB27" s="906" t="e">
        <f>#REF!</f>
        <v>#REF!</v>
      </c>
      <c r="AC27" s="906"/>
      <c r="AD27" s="324">
        <f>OBRA!V25</f>
        <v>0</v>
      </c>
      <c r="AE27" s="317"/>
      <c r="AF27" s="318"/>
      <c r="AG27" s="908" t="e">
        <f t="shared" si="0"/>
        <v>#DIV/0!</v>
      </c>
      <c r="AH27" s="318"/>
      <c r="AI27" s="630"/>
      <c r="AJ27" s="565"/>
      <c r="AK27" s="565"/>
      <c r="AL27" s="565"/>
      <c r="AM27" s="565"/>
      <c r="AN27" s="318"/>
      <c r="AO27" s="318"/>
      <c r="AP27" s="318"/>
      <c r="AQ27" s="630"/>
      <c r="AR27" s="565"/>
      <c r="AS27" s="565"/>
      <c r="AT27" s="565"/>
      <c r="AU27" s="565"/>
      <c r="AV27" s="481"/>
      <c r="AW27" s="325"/>
    </row>
    <row r="28" spans="1:49" s="326" customFormat="1" ht="75.75" hidden="1" customHeight="1">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0"/>
      <c r="R28" s="321">
        <f>OBRA!Q26</f>
        <v>41593</v>
      </c>
      <c r="S28" s="1327" t="str">
        <f>OBRA!T26</f>
        <v>-</v>
      </c>
      <c r="T28" s="322">
        <f>OBRA!R26</f>
        <v>41596</v>
      </c>
      <c r="U28" s="323">
        <f>OBRA!S26</f>
        <v>41610</v>
      </c>
      <c r="V28" s="1352"/>
      <c r="W28" s="912">
        <f>OBRA!AQ26+OBRA!AR26</f>
        <v>42298</v>
      </c>
      <c r="X28" s="927"/>
      <c r="Y28" s="906" t="str">
        <f>OBRA!U26</f>
        <v>-</v>
      </c>
      <c r="Z28" s="906"/>
      <c r="AA28" s="881" t="str">
        <f t="shared" si="1"/>
        <v>-</v>
      </c>
      <c r="AB28" s="906" t="e">
        <f>#REF!</f>
        <v>#REF!</v>
      </c>
      <c r="AC28" s="906"/>
      <c r="AD28" s="324">
        <f>OBRA!V26</f>
        <v>0</v>
      </c>
      <c r="AE28" s="317"/>
      <c r="AF28" s="318"/>
      <c r="AG28" s="908" t="e">
        <f t="shared" si="0"/>
        <v>#DIV/0!</v>
      </c>
      <c r="AH28" s="318"/>
      <c r="AI28" s="630"/>
      <c r="AJ28" s="565"/>
      <c r="AK28" s="565"/>
      <c r="AL28" s="565"/>
      <c r="AM28" s="565"/>
      <c r="AN28" s="318"/>
      <c r="AO28" s="318"/>
      <c r="AP28" s="318"/>
      <c r="AQ28" s="630"/>
      <c r="AR28" s="565"/>
      <c r="AS28" s="565"/>
      <c r="AT28" s="565"/>
      <c r="AU28" s="565"/>
      <c r="AV28" s="481"/>
      <c r="AW28" s="325"/>
    </row>
    <row r="29" spans="1:49" s="326" customFormat="1" ht="75.75" hidden="1" customHeight="1">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0"/>
      <c r="R29" s="321">
        <f>OBRA!Q27</f>
        <v>41588</v>
      </c>
      <c r="S29" s="1327" t="str">
        <f>OBRA!T27</f>
        <v>-</v>
      </c>
      <c r="T29" s="322">
        <f>OBRA!R27</f>
        <v>41589</v>
      </c>
      <c r="U29" s="323">
        <f>OBRA!S27</f>
        <v>41608</v>
      </c>
      <c r="V29" s="1352"/>
      <c r="W29" s="912">
        <f>OBRA!AQ27+OBRA!AR27</f>
        <v>121970.39</v>
      </c>
      <c r="X29" s="927"/>
      <c r="Y29" s="906" t="str">
        <f>OBRA!U27</f>
        <v>-</v>
      </c>
      <c r="Z29" s="906"/>
      <c r="AA29" s="881" t="str">
        <f t="shared" si="1"/>
        <v>-</v>
      </c>
      <c r="AB29" s="906" t="e">
        <f>#REF!</f>
        <v>#REF!</v>
      </c>
      <c r="AC29" s="906"/>
      <c r="AD29" s="324">
        <f>OBRA!V27</f>
        <v>0</v>
      </c>
      <c r="AE29" s="317"/>
      <c r="AF29" s="318"/>
      <c r="AG29" s="908" t="e">
        <f t="shared" si="0"/>
        <v>#DIV/0!</v>
      </c>
      <c r="AH29" s="318"/>
      <c r="AI29" s="630"/>
      <c r="AJ29" s="565"/>
      <c r="AK29" s="565"/>
      <c r="AL29" s="565"/>
      <c r="AM29" s="565"/>
      <c r="AN29" s="318"/>
      <c r="AO29" s="318"/>
      <c r="AP29" s="318"/>
      <c r="AQ29" s="630"/>
      <c r="AR29" s="565"/>
      <c r="AS29" s="565"/>
      <c r="AT29" s="565"/>
      <c r="AU29" s="565"/>
      <c r="AV29" s="481"/>
      <c r="AW29" s="325"/>
    </row>
    <row r="30" spans="1:49" s="326" customFormat="1" ht="75.75" hidden="1" customHeight="1">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0"/>
      <c r="R30" s="321">
        <f>OBRA!Q28</f>
        <v>41502</v>
      </c>
      <c r="S30" s="1327" t="str">
        <f>OBRA!T28</f>
        <v>-</v>
      </c>
      <c r="T30" s="322">
        <f>OBRA!R28</f>
        <v>41507</v>
      </c>
      <c r="U30" s="323">
        <f>OBRA!S28</f>
        <v>41545</v>
      </c>
      <c r="V30" s="1352"/>
      <c r="W30" s="912">
        <f>OBRA!AQ28+OBRA!AR28</f>
        <v>105062.06</v>
      </c>
      <c r="X30" s="927"/>
      <c r="Y30" s="906" t="str">
        <f>OBRA!U28</f>
        <v>-</v>
      </c>
      <c r="Z30" s="906"/>
      <c r="AA30" s="881" t="str">
        <f t="shared" si="1"/>
        <v>-</v>
      </c>
      <c r="AB30" s="906" t="e">
        <f>#REF!</f>
        <v>#REF!</v>
      </c>
      <c r="AC30" s="906"/>
      <c r="AD30" s="324">
        <f>OBRA!V28</f>
        <v>0</v>
      </c>
      <c r="AE30" s="317"/>
      <c r="AF30" s="318"/>
      <c r="AG30" s="908" t="e">
        <f t="shared" si="0"/>
        <v>#DIV/0!</v>
      </c>
      <c r="AH30" s="318"/>
      <c r="AI30" s="630"/>
      <c r="AJ30" s="565"/>
      <c r="AK30" s="565"/>
      <c r="AL30" s="565"/>
      <c r="AM30" s="565"/>
      <c r="AN30" s="318"/>
      <c r="AO30" s="318"/>
      <c r="AP30" s="318"/>
      <c r="AQ30" s="630"/>
      <c r="AR30" s="565"/>
      <c r="AS30" s="565"/>
      <c r="AT30" s="565"/>
      <c r="AU30" s="565"/>
      <c r="AV30" s="481"/>
      <c r="AW30" s="325"/>
    </row>
    <row r="31" spans="1:49" s="326" customFormat="1" ht="75.75" hidden="1" customHeight="1">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0"/>
      <c r="R31" s="321">
        <f>OBRA!Q29</f>
        <v>41614</v>
      </c>
      <c r="S31" s="1327" t="str">
        <f>OBRA!T29</f>
        <v>-</v>
      </c>
      <c r="T31" s="322">
        <f>OBRA!R29</f>
        <v>41617</v>
      </c>
      <c r="U31" s="323">
        <f>OBRA!S29</f>
        <v>41638</v>
      </c>
      <c r="V31" s="1352"/>
      <c r="W31" s="912">
        <f>OBRA!AQ29+OBRA!AR29</f>
        <v>276090.09999999998</v>
      </c>
      <c r="X31" s="927"/>
      <c r="Y31" s="906" t="str">
        <f>OBRA!U29</f>
        <v>-</v>
      </c>
      <c r="Z31" s="906"/>
      <c r="AA31" s="881" t="str">
        <f t="shared" si="1"/>
        <v>-</v>
      </c>
      <c r="AB31" s="906" t="e">
        <f>#REF!</f>
        <v>#REF!</v>
      </c>
      <c r="AC31" s="906"/>
      <c r="AD31" s="324">
        <f>OBRA!V29</f>
        <v>0</v>
      </c>
      <c r="AE31" s="317"/>
      <c r="AF31" s="318"/>
      <c r="AG31" s="908" t="e">
        <f t="shared" si="0"/>
        <v>#DIV/0!</v>
      </c>
      <c r="AH31" s="318"/>
      <c r="AI31" s="630"/>
      <c r="AJ31" s="565"/>
      <c r="AK31" s="565"/>
      <c r="AL31" s="565"/>
      <c r="AM31" s="565"/>
      <c r="AN31" s="318"/>
      <c r="AO31" s="318"/>
      <c r="AP31" s="318"/>
      <c r="AQ31" s="630"/>
      <c r="AR31" s="565"/>
      <c r="AS31" s="565"/>
      <c r="AT31" s="565"/>
      <c r="AU31" s="565"/>
      <c r="AV31" s="481"/>
      <c r="AW31" s="325"/>
    </row>
    <row r="32" spans="1:49" s="326" customFormat="1" ht="75.75" hidden="1" customHeight="1">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0"/>
      <c r="R32" s="321">
        <f>OBRA!Q30</f>
        <v>41614</v>
      </c>
      <c r="S32" s="1327" t="str">
        <f>OBRA!T30</f>
        <v>-</v>
      </c>
      <c r="T32" s="322">
        <f>OBRA!R30</f>
        <v>41617</v>
      </c>
      <c r="U32" s="323">
        <f>OBRA!S30</f>
        <v>41638</v>
      </c>
      <c r="V32" s="1352"/>
      <c r="W32" s="912">
        <f>OBRA!AQ30+OBRA!AR30</f>
        <v>33148.15</v>
      </c>
      <c r="X32" s="927"/>
      <c r="Y32" s="906" t="str">
        <f>OBRA!U30</f>
        <v>-</v>
      </c>
      <c r="Z32" s="906"/>
      <c r="AA32" s="881" t="str">
        <f t="shared" si="1"/>
        <v>-</v>
      </c>
      <c r="AB32" s="906" t="e">
        <f>#REF!</f>
        <v>#REF!</v>
      </c>
      <c r="AC32" s="906"/>
      <c r="AD32" s="324">
        <f>OBRA!V30</f>
        <v>0</v>
      </c>
      <c r="AE32" s="317"/>
      <c r="AF32" s="318"/>
      <c r="AG32" s="908" t="e">
        <f t="shared" si="0"/>
        <v>#DIV/0!</v>
      </c>
      <c r="AH32" s="318"/>
      <c r="AI32" s="630"/>
      <c r="AJ32" s="565"/>
      <c r="AK32" s="565"/>
      <c r="AL32" s="565"/>
      <c r="AM32" s="565"/>
      <c r="AN32" s="318"/>
      <c r="AO32" s="318"/>
      <c r="AP32" s="318"/>
      <c r="AQ32" s="630"/>
      <c r="AR32" s="565"/>
      <c r="AS32" s="565"/>
      <c r="AT32" s="565"/>
      <c r="AU32" s="565"/>
      <c r="AV32" s="481"/>
      <c r="AW32" s="325"/>
    </row>
    <row r="33" spans="1:49" s="326" customFormat="1" ht="75.75" hidden="1" customHeight="1">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0"/>
      <c r="R33" s="321">
        <f>OBRA!Q31</f>
        <v>41614</v>
      </c>
      <c r="S33" s="1327" t="str">
        <f>OBRA!T31</f>
        <v>-</v>
      </c>
      <c r="T33" s="322">
        <f>OBRA!R31</f>
        <v>41617</v>
      </c>
      <c r="U33" s="323">
        <f>OBRA!S31</f>
        <v>41638</v>
      </c>
      <c r="V33" s="1352"/>
      <c r="W33" s="912">
        <f>OBRA!AQ31+OBRA!AR31</f>
        <v>63707.45</v>
      </c>
      <c r="X33" s="927"/>
      <c r="Y33" s="906" t="str">
        <f>OBRA!U31</f>
        <v>-</v>
      </c>
      <c r="Z33" s="906"/>
      <c r="AA33" s="881" t="str">
        <f t="shared" si="1"/>
        <v>-</v>
      </c>
      <c r="AB33" s="906" t="e">
        <f>#REF!</f>
        <v>#REF!</v>
      </c>
      <c r="AC33" s="906"/>
      <c r="AD33" s="324">
        <f>OBRA!V31</f>
        <v>0</v>
      </c>
      <c r="AE33" s="317"/>
      <c r="AF33" s="318"/>
      <c r="AG33" s="908" t="e">
        <f t="shared" si="0"/>
        <v>#DIV/0!</v>
      </c>
      <c r="AH33" s="318"/>
      <c r="AI33" s="630"/>
      <c r="AJ33" s="565"/>
      <c r="AK33" s="565"/>
      <c r="AL33" s="565"/>
      <c r="AM33" s="565"/>
      <c r="AN33" s="318"/>
      <c r="AO33" s="318"/>
      <c r="AP33" s="318"/>
      <c r="AQ33" s="630"/>
      <c r="AR33" s="565"/>
      <c r="AS33" s="565"/>
      <c r="AT33" s="565"/>
      <c r="AU33" s="565"/>
      <c r="AV33" s="481"/>
      <c r="AW33" s="325"/>
    </row>
    <row r="34" spans="1:49" s="326" customFormat="1" ht="75.75" hidden="1" customHeight="1">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0"/>
      <c r="R34" s="321">
        <f>OBRA!Q32</f>
        <v>41600</v>
      </c>
      <c r="S34" s="1327" t="str">
        <f>OBRA!T32</f>
        <v>-</v>
      </c>
      <c r="T34" s="322">
        <f>OBRA!R32</f>
        <v>41603</v>
      </c>
      <c r="U34" s="323">
        <f>OBRA!S32</f>
        <v>41608</v>
      </c>
      <c r="V34" s="1352"/>
      <c r="W34" s="912">
        <f>OBRA!AQ32+OBRA!AR32</f>
        <v>218839.88</v>
      </c>
      <c r="X34" s="927"/>
      <c r="Y34" s="906" t="str">
        <f>OBRA!U32</f>
        <v>-</v>
      </c>
      <c r="Z34" s="906"/>
      <c r="AA34" s="881" t="str">
        <f t="shared" si="1"/>
        <v>-</v>
      </c>
      <c r="AB34" s="906" t="e">
        <f>#REF!</f>
        <v>#REF!</v>
      </c>
      <c r="AC34" s="906"/>
      <c r="AD34" s="324">
        <f>OBRA!V32</f>
        <v>0</v>
      </c>
      <c r="AE34" s="317"/>
      <c r="AF34" s="318"/>
      <c r="AG34" s="908" t="e">
        <f t="shared" si="0"/>
        <v>#DIV/0!</v>
      </c>
      <c r="AH34" s="318"/>
      <c r="AI34" s="630"/>
      <c r="AJ34" s="565"/>
      <c r="AK34" s="565"/>
      <c r="AL34" s="565"/>
      <c r="AM34" s="565"/>
      <c r="AN34" s="318"/>
      <c r="AO34" s="318"/>
      <c r="AP34" s="318"/>
      <c r="AQ34" s="630"/>
      <c r="AR34" s="565"/>
      <c r="AS34" s="565"/>
      <c r="AT34" s="565"/>
      <c r="AU34" s="565"/>
      <c r="AV34" s="481"/>
      <c r="AW34" s="325"/>
    </row>
    <row r="35" spans="1:49" s="326" customFormat="1" ht="75.75" hidden="1" customHeight="1">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0"/>
      <c r="R35" s="321">
        <f>OBRA!Q33</f>
        <v>41547</v>
      </c>
      <c r="S35" s="1327">
        <f>OBRA!T33</f>
        <v>41547</v>
      </c>
      <c r="T35" s="322">
        <f>OBRA!R33</f>
        <v>41547</v>
      </c>
      <c r="U35" s="323">
        <f>OBRA!S33</f>
        <v>41608</v>
      </c>
      <c r="V35" s="1352"/>
      <c r="W35" s="912">
        <f>OBRA!AQ33+OBRA!AR33</f>
        <v>1299411.1499999999</v>
      </c>
      <c r="X35" s="927"/>
      <c r="Y35" s="906" t="str">
        <f>OBRA!U33</f>
        <v>KARLAY S.A. DE S.V.</v>
      </c>
      <c r="Z35" s="906"/>
      <c r="AA35" s="881" t="str">
        <f t="shared" si="1"/>
        <v>KARLAY S.A. DE S.V.</v>
      </c>
      <c r="AB35" s="906" t="e">
        <f>#REF!</f>
        <v>#REF!</v>
      </c>
      <c r="AC35" s="906"/>
      <c r="AD35" s="324" t="str">
        <f>OBRA!V33</f>
        <v>C. DANIEL RODRIGUEZ VALENZUELA</v>
      </c>
      <c r="AE35" s="317"/>
      <c r="AF35" s="318"/>
      <c r="AG35" s="908" t="e">
        <f t="shared" si="0"/>
        <v>#DIV/0!</v>
      </c>
      <c r="AH35" s="318"/>
      <c r="AI35" s="630"/>
      <c r="AJ35" s="565"/>
      <c r="AK35" s="565"/>
      <c r="AL35" s="565"/>
      <c r="AM35" s="565"/>
      <c r="AN35" s="318"/>
      <c r="AO35" s="318"/>
      <c r="AP35" s="318"/>
      <c r="AQ35" s="630"/>
      <c r="AR35" s="565"/>
      <c r="AS35" s="565"/>
      <c r="AT35" s="565"/>
      <c r="AU35" s="565"/>
      <c r="AV35" s="481"/>
      <c r="AW35" s="325"/>
    </row>
    <row r="36" spans="1:49" s="326" customFormat="1" ht="75.75" hidden="1" customHeight="1">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0"/>
      <c r="R36" s="321">
        <f>OBRA!Q34</f>
        <v>41617</v>
      </c>
      <c r="S36" s="1327" t="str">
        <f>OBRA!T34</f>
        <v>-</v>
      </c>
      <c r="T36" s="322">
        <f>OBRA!R34</f>
        <v>41612</v>
      </c>
      <c r="U36" s="323">
        <f>OBRA!S34</f>
        <v>41638</v>
      </c>
      <c r="V36" s="1352"/>
      <c r="W36" s="912">
        <f>OBRA!AQ34+OBRA!AR34</f>
        <v>125188</v>
      </c>
      <c r="X36" s="927"/>
      <c r="Y36" s="906" t="str">
        <f>OBRA!U34</f>
        <v>-</v>
      </c>
      <c r="Z36" s="906"/>
      <c r="AA36" s="881" t="str">
        <f t="shared" si="1"/>
        <v>-</v>
      </c>
      <c r="AB36" s="906" t="e">
        <f>#REF!</f>
        <v>#REF!</v>
      </c>
      <c r="AC36" s="906"/>
      <c r="AD36" s="324">
        <f>OBRA!V34</f>
        <v>0</v>
      </c>
      <c r="AE36" s="317"/>
      <c r="AF36" s="318"/>
      <c r="AG36" s="908" t="e">
        <f t="shared" si="0"/>
        <v>#DIV/0!</v>
      </c>
      <c r="AH36" s="318"/>
      <c r="AI36" s="630"/>
      <c r="AJ36" s="565"/>
      <c r="AK36" s="565"/>
      <c r="AL36" s="565"/>
      <c r="AM36" s="565"/>
      <c r="AN36" s="318"/>
      <c r="AO36" s="318"/>
      <c r="AP36" s="318"/>
      <c r="AQ36" s="630"/>
      <c r="AR36" s="565"/>
      <c r="AS36" s="565"/>
      <c r="AT36" s="565"/>
      <c r="AU36" s="565"/>
      <c r="AV36" s="481"/>
      <c r="AW36" s="325"/>
    </row>
    <row r="37" spans="1:49" s="326" customFormat="1" ht="75.75" hidden="1" customHeight="1">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0"/>
      <c r="R37" s="321">
        <f>OBRA!Q35</f>
        <v>41447</v>
      </c>
      <c r="S37" s="1327" t="str">
        <f>OBRA!T35</f>
        <v>-</v>
      </c>
      <c r="T37" s="322">
        <f>OBRA!R35</f>
        <v>41447</v>
      </c>
      <c r="U37" s="323">
        <f>OBRA!S35</f>
        <v>41460</v>
      </c>
      <c r="V37" s="1352"/>
      <c r="W37" s="912">
        <f>OBRA!AQ35+OBRA!AR35</f>
        <v>0</v>
      </c>
      <c r="X37" s="927"/>
      <c r="Y37" s="906" t="str">
        <f>OBRA!U35</f>
        <v>-</v>
      </c>
      <c r="Z37" s="906"/>
      <c r="AA37" s="881" t="str">
        <f t="shared" si="1"/>
        <v>-</v>
      </c>
      <c r="AB37" s="906" t="e">
        <f>#REF!</f>
        <v>#REF!</v>
      </c>
      <c r="AC37" s="906"/>
      <c r="AD37" s="324">
        <f>OBRA!V35</f>
        <v>0</v>
      </c>
      <c r="AE37" s="317"/>
      <c r="AF37" s="318"/>
      <c r="AG37" s="908" t="e">
        <f t="shared" si="0"/>
        <v>#DIV/0!</v>
      </c>
      <c r="AH37" s="318"/>
      <c r="AI37" s="630"/>
      <c r="AJ37" s="565"/>
      <c r="AK37" s="565"/>
      <c r="AL37" s="565"/>
      <c r="AM37" s="565"/>
      <c r="AN37" s="318"/>
      <c r="AO37" s="318"/>
      <c r="AP37" s="318"/>
      <c r="AQ37" s="630"/>
      <c r="AR37" s="565"/>
      <c r="AS37" s="565"/>
      <c r="AT37" s="565"/>
      <c r="AU37" s="565"/>
      <c r="AV37" s="481"/>
      <c r="AW37" s="325"/>
    </row>
    <row r="38" spans="1:49" s="326" customFormat="1" ht="75.75" hidden="1" customHeight="1">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0"/>
      <c r="R38" s="321">
        <f>OBRA!Q36</f>
        <v>41446</v>
      </c>
      <c r="S38" s="1327" t="str">
        <f>OBRA!T36</f>
        <v>-</v>
      </c>
      <c r="T38" s="322">
        <f>OBRA!R36</f>
        <v>41446</v>
      </c>
      <c r="U38" s="323">
        <f>OBRA!S36</f>
        <v>41453</v>
      </c>
      <c r="V38" s="1352"/>
      <c r="W38" s="912">
        <f>OBRA!AQ36+OBRA!AR36</f>
        <v>0</v>
      </c>
      <c r="X38" s="927"/>
      <c r="Y38" s="906" t="str">
        <f>OBRA!U36</f>
        <v>-</v>
      </c>
      <c r="Z38" s="906"/>
      <c r="AA38" s="881" t="str">
        <f t="shared" si="1"/>
        <v>-</v>
      </c>
      <c r="AB38" s="906" t="e">
        <f>#REF!</f>
        <v>#REF!</v>
      </c>
      <c r="AC38" s="906"/>
      <c r="AD38" s="324">
        <f>OBRA!V36</f>
        <v>0</v>
      </c>
      <c r="AE38" s="317"/>
      <c r="AF38" s="318"/>
      <c r="AG38" s="908" t="e">
        <f t="shared" si="0"/>
        <v>#DIV/0!</v>
      </c>
      <c r="AH38" s="318"/>
      <c r="AI38" s="630"/>
      <c r="AJ38" s="565"/>
      <c r="AK38" s="565"/>
      <c r="AL38" s="565"/>
      <c r="AM38" s="565"/>
      <c r="AN38" s="318"/>
      <c r="AO38" s="318"/>
      <c r="AP38" s="318"/>
      <c r="AQ38" s="630"/>
      <c r="AR38" s="565"/>
      <c r="AS38" s="565"/>
      <c r="AT38" s="565"/>
      <c r="AU38" s="565"/>
      <c r="AV38" s="481"/>
      <c r="AW38" s="325"/>
    </row>
    <row r="39" spans="1:49" s="326" customFormat="1" ht="75.75" hidden="1" customHeight="1">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0"/>
      <c r="R39" s="321">
        <f>OBRA!Q37</f>
        <v>41446</v>
      </c>
      <c r="S39" s="1327" t="str">
        <f>OBRA!T37</f>
        <v>-</v>
      </c>
      <c r="T39" s="322">
        <f>OBRA!R37</f>
        <v>41446</v>
      </c>
      <c r="U39" s="323">
        <f>OBRA!S37</f>
        <v>41460</v>
      </c>
      <c r="V39" s="1352"/>
      <c r="W39" s="912">
        <f>OBRA!AQ37+OBRA!AR37</f>
        <v>0</v>
      </c>
      <c r="X39" s="927"/>
      <c r="Y39" s="906" t="str">
        <f>OBRA!U37</f>
        <v>-</v>
      </c>
      <c r="Z39" s="906"/>
      <c r="AA39" s="881" t="str">
        <f t="shared" si="1"/>
        <v>-</v>
      </c>
      <c r="AB39" s="906" t="e">
        <f>#REF!</f>
        <v>#REF!</v>
      </c>
      <c r="AC39" s="906"/>
      <c r="AD39" s="324">
        <f>OBRA!V37</f>
        <v>0</v>
      </c>
      <c r="AE39" s="317"/>
      <c r="AF39" s="318"/>
      <c r="AG39" s="908" t="e">
        <f t="shared" si="0"/>
        <v>#DIV/0!</v>
      </c>
      <c r="AH39" s="318"/>
      <c r="AI39" s="630"/>
      <c r="AJ39" s="565"/>
      <c r="AK39" s="565"/>
      <c r="AL39" s="565"/>
      <c r="AM39" s="565"/>
      <c r="AN39" s="318"/>
      <c r="AO39" s="318"/>
      <c r="AP39" s="318"/>
      <c r="AQ39" s="630"/>
      <c r="AR39" s="565"/>
      <c r="AS39" s="565"/>
      <c r="AT39" s="565"/>
      <c r="AU39" s="565"/>
      <c r="AV39" s="481"/>
      <c r="AW39" s="325"/>
    </row>
    <row r="40" spans="1:49" s="326" customFormat="1" ht="75.75" hidden="1" customHeight="1">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0"/>
      <c r="R40" s="321">
        <f>OBRA!Q38</f>
        <v>41449</v>
      </c>
      <c r="S40" s="1327" t="str">
        <f>OBRA!T38</f>
        <v>-</v>
      </c>
      <c r="T40" s="322">
        <f>OBRA!R38</f>
        <v>41449</v>
      </c>
      <c r="U40" s="323">
        <f>OBRA!S38</f>
        <v>41517</v>
      </c>
      <c r="V40" s="1352"/>
      <c r="W40" s="912">
        <f>OBRA!AQ38+OBRA!AR38</f>
        <v>0</v>
      </c>
      <c r="X40" s="927"/>
      <c r="Y40" s="906" t="str">
        <f>OBRA!U38</f>
        <v>-</v>
      </c>
      <c r="Z40" s="906"/>
      <c r="AA40" s="881" t="str">
        <f t="shared" si="1"/>
        <v>-</v>
      </c>
      <c r="AB40" s="906" t="e">
        <f>#REF!</f>
        <v>#REF!</v>
      </c>
      <c r="AC40" s="906"/>
      <c r="AD40" s="324">
        <f>OBRA!V38</f>
        <v>0</v>
      </c>
      <c r="AE40" s="317"/>
      <c r="AF40" s="318"/>
      <c r="AG40" s="908" t="e">
        <f t="shared" si="0"/>
        <v>#DIV/0!</v>
      </c>
      <c r="AH40" s="318"/>
      <c r="AI40" s="630"/>
      <c r="AJ40" s="565"/>
      <c r="AK40" s="565"/>
      <c r="AL40" s="565"/>
      <c r="AM40" s="565"/>
      <c r="AN40" s="318"/>
      <c r="AO40" s="318"/>
      <c r="AP40" s="318"/>
      <c r="AQ40" s="630"/>
      <c r="AR40" s="565"/>
      <c r="AS40" s="565"/>
      <c r="AT40" s="565"/>
      <c r="AU40" s="565"/>
      <c r="AV40" s="481"/>
      <c r="AW40" s="325"/>
    </row>
    <row r="41" spans="1:49" s="110" customFormat="1" ht="75.75" hidden="1" customHeight="1">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2"/>
      <c r="R41" s="93" t="s">
        <v>68</v>
      </c>
      <c r="S41" s="1327" t="str">
        <f>OBRA!T39</f>
        <v>-</v>
      </c>
      <c r="T41" s="94" t="s">
        <v>68</v>
      </c>
      <c r="U41" s="95" t="s">
        <v>68</v>
      </c>
      <c r="V41" s="374"/>
      <c r="W41" s="934">
        <f>OBRA!AQ39+OBRA!AR39</f>
        <v>0</v>
      </c>
      <c r="X41" s="947"/>
      <c r="Y41" s="935" t="str">
        <f>OBRA!U39</f>
        <v>-</v>
      </c>
      <c r="Z41" s="935"/>
      <c r="AA41" s="460" t="str">
        <f t="shared" si="1"/>
        <v>-</v>
      </c>
      <c r="AB41" s="935" t="e">
        <f>#REF!</f>
        <v>#REF!</v>
      </c>
      <c r="AC41" s="935"/>
      <c r="AD41" s="302" t="s">
        <v>251</v>
      </c>
      <c r="AE41" s="90"/>
      <c r="AF41" s="91"/>
      <c r="AG41" s="936" t="e">
        <f t="shared" si="0"/>
        <v>#DIV/0!</v>
      </c>
      <c r="AH41" s="91"/>
      <c r="AI41" s="634"/>
      <c r="AJ41" s="583"/>
      <c r="AK41" s="583"/>
      <c r="AL41" s="583"/>
      <c r="AM41" s="583"/>
      <c r="AN41" s="583"/>
      <c r="AO41" s="583"/>
      <c r="AP41" s="583"/>
      <c r="AQ41" s="564"/>
      <c r="AR41" s="564"/>
      <c r="AS41" s="564"/>
      <c r="AT41" s="564"/>
      <c r="AU41" s="564"/>
      <c r="AV41" s="564"/>
      <c r="AW41" s="109"/>
    </row>
    <row r="42" spans="1:49" s="326" customFormat="1" ht="75.75" hidden="1" customHeight="1">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0"/>
      <c r="R42" s="321">
        <f>OBRA!Q40</f>
        <v>41463</v>
      </c>
      <c r="S42" s="1327" t="str">
        <f>OBRA!T40</f>
        <v>-</v>
      </c>
      <c r="T42" s="322">
        <f>OBRA!R40</f>
        <v>41433</v>
      </c>
      <c r="U42" s="323">
        <f>OBRA!S40</f>
        <v>41501</v>
      </c>
      <c r="V42" s="1352"/>
      <c r="W42" s="912">
        <f>OBRA!AQ40+OBRA!AR40</f>
        <v>0</v>
      </c>
      <c r="X42" s="927"/>
      <c r="Y42" s="906" t="str">
        <f>OBRA!U40</f>
        <v>-</v>
      </c>
      <c r="Z42" s="906"/>
      <c r="AA42" s="881" t="str">
        <f t="shared" si="1"/>
        <v>-</v>
      </c>
      <c r="AB42" s="906" t="e">
        <f>#REF!</f>
        <v>#REF!</v>
      </c>
      <c r="AC42" s="906"/>
      <c r="AD42" s="324">
        <f>OBRA!V40</f>
        <v>0</v>
      </c>
      <c r="AE42" s="317"/>
      <c r="AF42" s="318"/>
      <c r="AG42" s="908" t="e">
        <f t="shared" si="0"/>
        <v>#DIV/0!</v>
      </c>
      <c r="AH42" s="318"/>
      <c r="AI42" s="630"/>
      <c r="AJ42" s="565"/>
      <c r="AK42" s="565"/>
      <c r="AL42" s="565"/>
      <c r="AM42" s="565"/>
      <c r="AN42" s="318"/>
      <c r="AO42" s="318"/>
      <c r="AP42" s="318"/>
      <c r="AQ42" s="630"/>
      <c r="AR42" s="565"/>
      <c r="AS42" s="565"/>
      <c r="AT42" s="565"/>
      <c r="AU42" s="565"/>
      <c r="AV42" s="481"/>
      <c r="AW42" s="325"/>
    </row>
    <row r="43" spans="1:49" s="326" customFormat="1" ht="75.75" hidden="1" customHeight="1">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0"/>
      <c r="R43" s="321">
        <f>OBRA!Q41</f>
        <v>41596</v>
      </c>
      <c r="S43" s="1327" t="str">
        <f>OBRA!T41</f>
        <v>-</v>
      </c>
      <c r="T43" s="322">
        <f>OBRA!R41</f>
        <v>41589</v>
      </c>
      <c r="U43" s="323">
        <f>OBRA!S41</f>
        <v>41638</v>
      </c>
      <c r="V43" s="1352"/>
      <c r="W43" s="912">
        <f>OBRA!AQ41+OBRA!AR41</f>
        <v>0</v>
      </c>
      <c r="X43" s="927"/>
      <c r="Y43" s="906" t="str">
        <f>OBRA!U41</f>
        <v>-</v>
      </c>
      <c r="Z43" s="906"/>
      <c r="AA43" s="881" t="str">
        <f t="shared" si="1"/>
        <v>-</v>
      </c>
      <c r="AB43" s="906" t="e">
        <f>#REF!</f>
        <v>#REF!</v>
      </c>
      <c r="AC43" s="906"/>
      <c r="AD43" s="324">
        <f>OBRA!V41</f>
        <v>0</v>
      </c>
      <c r="AE43" s="317"/>
      <c r="AF43" s="318"/>
      <c r="AG43" s="908" t="e">
        <f t="shared" si="0"/>
        <v>#DIV/0!</v>
      </c>
      <c r="AH43" s="318"/>
      <c r="AI43" s="630"/>
      <c r="AJ43" s="565"/>
      <c r="AK43" s="565"/>
      <c r="AL43" s="565"/>
      <c r="AM43" s="565"/>
      <c r="AN43" s="318"/>
      <c r="AO43" s="318"/>
      <c r="AP43" s="318"/>
      <c r="AQ43" s="630"/>
      <c r="AR43" s="565"/>
      <c r="AS43" s="565"/>
      <c r="AT43" s="565"/>
      <c r="AU43" s="565"/>
      <c r="AV43" s="481"/>
      <c r="AW43" s="325"/>
    </row>
    <row r="44" spans="1:49" s="326" customFormat="1" ht="75.75" hidden="1" customHeight="1">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0"/>
      <c r="R44" s="321">
        <f>OBRA!Q42</f>
        <v>41278</v>
      </c>
      <c r="S44" s="1327">
        <f>OBRA!T42</f>
        <v>41278</v>
      </c>
      <c r="T44" s="322">
        <f>OBRA!R42</f>
        <v>41316</v>
      </c>
      <c r="U44" s="323">
        <f>OBRA!S42</f>
        <v>41394</v>
      </c>
      <c r="V44" s="1352"/>
      <c r="W44" s="912">
        <f>OBRA!AQ42+OBRA!AR42</f>
        <v>785224.53</v>
      </c>
      <c r="X44" s="927"/>
      <c r="Y44" s="906" t="str">
        <f>OBRA!U42</f>
        <v>BRAILOGA CONSTRUCTORES S.A. DE C.V.</v>
      </c>
      <c r="Z44" s="906"/>
      <c r="AA44" s="881" t="str">
        <f t="shared" si="1"/>
        <v>BRAILOGA CONSTRUCTORES S.A. DE C.V.</v>
      </c>
      <c r="AB44" s="906" t="e">
        <f>#REF!</f>
        <v>#REF!</v>
      </c>
      <c r="AC44" s="906"/>
      <c r="AD44" s="324" t="str">
        <f>OBRA!V42</f>
        <v>ING. RIGOBERTO OLMEDO RAMOS</v>
      </c>
      <c r="AE44" s="317"/>
      <c r="AF44" s="318"/>
      <c r="AG44" s="908" t="e">
        <f t="shared" si="0"/>
        <v>#DIV/0!</v>
      </c>
      <c r="AH44" s="318"/>
      <c r="AI44" s="630"/>
      <c r="AJ44" s="565"/>
      <c r="AK44" s="565"/>
      <c r="AL44" s="565"/>
      <c r="AM44" s="565"/>
      <c r="AN44" s="318"/>
      <c r="AO44" s="318"/>
      <c r="AP44" s="318"/>
      <c r="AQ44" s="630"/>
      <c r="AR44" s="565"/>
      <c r="AS44" s="565"/>
      <c r="AT44" s="565"/>
      <c r="AU44" s="565"/>
      <c r="AV44" s="481"/>
      <c r="AW44" s="325"/>
    </row>
    <row r="45" spans="1:49" s="326" customFormat="1" ht="75.75" hidden="1" customHeight="1">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0"/>
      <c r="R45" s="321">
        <f>OBRA!Q43</f>
        <v>41278</v>
      </c>
      <c r="S45" s="1327">
        <f>OBRA!T43</f>
        <v>41278</v>
      </c>
      <c r="T45" s="322">
        <f>OBRA!R43</f>
        <v>41281</v>
      </c>
      <c r="U45" s="323">
        <f>OBRA!S43</f>
        <v>41286</v>
      </c>
      <c r="V45" s="1352"/>
      <c r="W45" s="912">
        <f>OBRA!AQ43+OBRA!AR43</f>
        <v>253692.07</v>
      </c>
      <c r="X45" s="927"/>
      <c r="Y45" s="906" t="str">
        <f>OBRA!U43</f>
        <v>BRAILOGA CONSTRUCTORES S.A. DE C.V.</v>
      </c>
      <c r="Z45" s="906"/>
      <c r="AA45" s="881" t="str">
        <f t="shared" si="1"/>
        <v>BRAILOGA CONSTRUCTORES S.A. DE C.V.</v>
      </c>
      <c r="AB45" s="906" t="e">
        <f>#REF!</f>
        <v>#REF!</v>
      </c>
      <c r="AC45" s="906"/>
      <c r="AD45" s="324" t="str">
        <f>OBRA!V43</f>
        <v>ING. LUIS JOEL HUERTA LOMA</v>
      </c>
      <c r="AE45" s="317"/>
      <c r="AF45" s="318"/>
      <c r="AG45" s="908" t="e">
        <f t="shared" si="0"/>
        <v>#DIV/0!</v>
      </c>
      <c r="AH45" s="318"/>
      <c r="AI45" s="630"/>
      <c r="AJ45" s="565"/>
      <c r="AK45" s="565"/>
      <c r="AL45" s="565"/>
      <c r="AM45" s="565"/>
      <c r="AN45" s="318"/>
      <c r="AO45" s="318"/>
      <c r="AP45" s="318"/>
      <c r="AQ45" s="630"/>
      <c r="AR45" s="565"/>
      <c r="AS45" s="565"/>
      <c r="AT45" s="565"/>
      <c r="AU45" s="565"/>
      <c r="AV45" s="481"/>
      <c r="AW45" s="325"/>
    </row>
    <row r="46" spans="1:49" s="326" customFormat="1" ht="75.75" hidden="1" customHeight="1">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0"/>
      <c r="R46" s="321">
        <f>OBRA!Q44</f>
        <v>41278</v>
      </c>
      <c r="S46" s="1327">
        <f>OBRA!T44</f>
        <v>41278</v>
      </c>
      <c r="T46" s="322">
        <f>OBRA!R44</f>
        <v>41281</v>
      </c>
      <c r="U46" s="323">
        <f>OBRA!S44</f>
        <v>41286</v>
      </c>
      <c r="V46" s="1352"/>
      <c r="W46" s="912">
        <f>OBRA!AQ44+OBRA!AR44</f>
        <v>213963.69</v>
      </c>
      <c r="X46" s="927"/>
      <c r="Y46" s="906" t="str">
        <f>OBRA!U44</f>
        <v>BRAILOGA CONSTRUCTORES S.A. DE C.V.</v>
      </c>
      <c r="Z46" s="906"/>
      <c r="AA46" s="881" t="str">
        <f t="shared" si="1"/>
        <v>BRAILOGA CONSTRUCTORES S.A. DE C.V.</v>
      </c>
      <c r="AB46" s="906" t="e">
        <f>#REF!</f>
        <v>#REF!</v>
      </c>
      <c r="AC46" s="906"/>
      <c r="AD46" s="324" t="str">
        <f>OBRA!V44</f>
        <v>ING. LUIS JOEL HUERTA LOMA</v>
      </c>
      <c r="AE46" s="317"/>
      <c r="AF46" s="318"/>
      <c r="AG46" s="908" t="e">
        <f t="shared" si="0"/>
        <v>#DIV/0!</v>
      </c>
      <c r="AH46" s="318"/>
      <c r="AI46" s="630"/>
      <c r="AJ46" s="565"/>
      <c r="AK46" s="565"/>
      <c r="AL46" s="565"/>
      <c r="AM46" s="565"/>
      <c r="AN46" s="318"/>
      <c r="AO46" s="318"/>
      <c r="AP46" s="318"/>
      <c r="AQ46" s="630"/>
      <c r="AR46" s="565"/>
      <c r="AS46" s="565"/>
      <c r="AT46" s="565"/>
      <c r="AU46" s="565"/>
      <c r="AV46" s="481"/>
      <c r="AW46" s="325"/>
    </row>
    <row r="47" spans="1:49" s="326" customFormat="1" ht="75.75" hidden="1" customHeight="1">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0"/>
      <c r="R47" s="321">
        <f>OBRA!Q45</f>
        <v>41324</v>
      </c>
      <c r="S47" s="1327">
        <f>OBRA!T45</f>
        <v>41324</v>
      </c>
      <c r="T47" s="322">
        <f>OBRA!R45</f>
        <v>41324</v>
      </c>
      <c r="U47" s="323">
        <f>OBRA!S45</f>
        <v>41344</v>
      </c>
      <c r="V47" s="1352"/>
      <c r="W47" s="912">
        <f>OBRA!AQ45+OBRA!AR45</f>
        <v>318104.90999999997</v>
      </c>
      <c r="X47" s="927"/>
      <c r="Y47" s="906" t="str">
        <f>OBRA!U45</f>
        <v>C. JOSÉ MIGUEL GARCIA VALLE</v>
      </c>
      <c r="Z47" s="906"/>
      <c r="AA47" s="881" t="str">
        <f t="shared" si="1"/>
        <v>C. JOSÉ MIGUEL GARCIA VALLE</v>
      </c>
      <c r="AB47" s="881" t="s">
        <v>2995</v>
      </c>
      <c r="AC47" s="906" t="s">
        <v>2995</v>
      </c>
      <c r="AD47" s="324" t="str">
        <f>OBRA!V45</f>
        <v>ING. ISER RANGEL REVILLA</v>
      </c>
      <c r="AE47" s="317"/>
      <c r="AF47" s="318"/>
      <c r="AG47" s="908" t="e">
        <f t="shared" si="0"/>
        <v>#DIV/0!</v>
      </c>
      <c r="AH47" s="318"/>
      <c r="AI47" s="630"/>
      <c r="AJ47" s="565"/>
      <c r="AK47" s="565"/>
      <c r="AL47" s="565"/>
      <c r="AM47" s="565"/>
      <c r="AN47" s="318"/>
      <c r="AO47" s="318"/>
      <c r="AP47" s="318"/>
      <c r="AQ47" s="630"/>
      <c r="AR47" s="565"/>
      <c r="AS47" s="565"/>
      <c r="AT47" s="565"/>
      <c r="AU47" s="565"/>
      <c r="AV47" s="481"/>
      <c r="AW47" s="325"/>
    </row>
    <row r="48" spans="1:49" s="326" customFormat="1" ht="75.75" hidden="1" customHeight="1">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0"/>
      <c r="R48" s="321">
        <f>OBRA!Q46</f>
        <v>41327</v>
      </c>
      <c r="S48" s="1327" t="str">
        <f>OBRA!T46</f>
        <v>-</v>
      </c>
      <c r="T48" s="322">
        <f>OBRA!R46</f>
        <v>41328</v>
      </c>
      <c r="U48" s="323">
        <f>OBRA!S46</f>
        <v>41337</v>
      </c>
      <c r="V48" s="1352"/>
      <c r="W48" s="912">
        <f>OBRA!AQ46+OBRA!AR46</f>
        <v>1807515.27</v>
      </c>
      <c r="X48" s="927"/>
      <c r="Y48" s="906" t="str">
        <f>OBRA!U46</f>
        <v>BRAILOGA CONSTRUCTORES S.A. DE C.V.</v>
      </c>
      <c r="Z48" s="906"/>
      <c r="AA48" s="881" t="str">
        <f t="shared" si="1"/>
        <v>BRAILOGA CONSTRUCTORES S.A. DE C.V.</v>
      </c>
      <c r="AB48" s="906" t="e">
        <f>#REF!</f>
        <v>#REF!</v>
      </c>
      <c r="AC48" s="906"/>
      <c r="AD48" s="324" t="str">
        <f>OBRA!V46</f>
        <v>ING. LUIS JOEL HUERTA LOMA</v>
      </c>
      <c r="AE48" s="317"/>
      <c r="AF48" s="318"/>
      <c r="AG48" s="908" t="e">
        <f t="shared" si="0"/>
        <v>#DIV/0!</v>
      </c>
      <c r="AH48" s="318"/>
      <c r="AI48" s="630"/>
      <c r="AJ48" s="565"/>
      <c r="AK48" s="565"/>
      <c r="AL48" s="565"/>
      <c r="AM48" s="565"/>
      <c r="AN48" s="318"/>
      <c r="AO48" s="318"/>
      <c r="AP48" s="318"/>
      <c r="AQ48" s="630"/>
      <c r="AR48" s="565"/>
      <c r="AS48" s="565"/>
      <c r="AT48" s="565"/>
      <c r="AU48" s="565"/>
      <c r="AV48" s="481"/>
      <c r="AW48" s="325"/>
    </row>
    <row r="49" spans="1:49" s="326" customFormat="1" ht="75.75" hidden="1" customHeight="1">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0"/>
      <c r="R49" s="321">
        <f>OBRA!Q47</f>
        <v>41353</v>
      </c>
      <c r="S49" s="1327">
        <f>OBRA!T47</f>
        <v>41353</v>
      </c>
      <c r="T49" s="322">
        <f>OBRA!R47</f>
        <v>41358</v>
      </c>
      <c r="U49" s="323">
        <f>OBRA!S47</f>
        <v>41378</v>
      </c>
      <c r="V49" s="1352"/>
      <c r="W49" s="912">
        <f>OBRA!AQ47+OBRA!AR47</f>
        <v>224365.83</v>
      </c>
      <c r="X49" s="927"/>
      <c r="Y49" s="906" t="str">
        <f>OBRA!U47</f>
        <v>C. JOSÉ MIGUEL GARCIA VALLE</v>
      </c>
      <c r="Z49" s="906"/>
      <c r="AA49" s="881" t="str">
        <f t="shared" si="1"/>
        <v>C. JOSÉ MIGUEL GARCIA VALLE</v>
      </c>
      <c r="AB49" s="881" t="s">
        <v>2995</v>
      </c>
      <c r="AC49" s="906" t="s">
        <v>2995</v>
      </c>
      <c r="AD49" s="324" t="str">
        <f>OBRA!V47</f>
        <v>ING. ISER RANGEL REVILLA</v>
      </c>
      <c r="AE49" s="317"/>
      <c r="AF49" s="318"/>
      <c r="AG49" s="908" t="e">
        <f t="shared" si="0"/>
        <v>#DIV/0!</v>
      </c>
      <c r="AH49" s="318"/>
      <c r="AI49" s="630"/>
      <c r="AJ49" s="565"/>
      <c r="AK49" s="565"/>
      <c r="AL49" s="565"/>
      <c r="AM49" s="565"/>
      <c r="AN49" s="318"/>
      <c r="AO49" s="318"/>
      <c r="AP49" s="318"/>
      <c r="AQ49" s="630"/>
      <c r="AR49" s="565"/>
      <c r="AS49" s="565"/>
      <c r="AT49" s="565"/>
      <c r="AU49" s="565"/>
      <c r="AV49" s="481"/>
      <c r="AW49" s="325"/>
    </row>
    <row r="50" spans="1:49" s="326" customFormat="1" ht="75.75" hidden="1" customHeight="1">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0"/>
      <c r="R50" s="321">
        <f>OBRA!Q48</f>
        <v>41407</v>
      </c>
      <c r="S50" s="1327" t="str">
        <f>OBRA!T48</f>
        <v>-</v>
      </c>
      <c r="T50" s="322">
        <f>OBRA!R48</f>
        <v>41407</v>
      </c>
      <c r="U50" s="323">
        <f>OBRA!S48</f>
        <v>41468</v>
      </c>
      <c r="V50" s="1352"/>
      <c r="W50" s="912">
        <f>OBRA!AQ48+OBRA!AR48</f>
        <v>1998053.6</v>
      </c>
      <c r="X50" s="927"/>
      <c r="Y50" s="906" t="str">
        <f>OBRA!U48</f>
        <v>C. MIGUEL RAFAEL RODRIGUEZ ALLENDE</v>
      </c>
      <c r="Z50" s="906"/>
      <c r="AA50" s="881" t="str">
        <f t="shared" si="1"/>
        <v>C. MIGUEL RAFAEL RODRIGUEZ ALLENDE</v>
      </c>
      <c r="AB50" s="881" t="s">
        <v>2995</v>
      </c>
      <c r="AC50" s="906" t="s">
        <v>2995</v>
      </c>
      <c r="AD50" s="324" t="str">
        <f>OBRA!V48</f>
        <v>ARQ. JAIME CONDE GOMEZ</v>
      </c>
      <c r="AE50" s="317"/>
      <c r="AF50" s="318"/>
      <c r="AG50" s="908" t="e">
        <f t="shared" si="0"/>
        <v>#DIV/0!</v>
      </c>
      <c r="AH50" s="318"/>
      <c r="AI50" s="630"/>
      <c r="AJ50" s="565"/>
      <c r="AK50" s="565"/>
      <c r="AL50" s="565"/>
      <c r="AM50" s="565"/>
      <c r="AN50" s="318"/>
      <c r="AO50" s="318"/>
      <c r="AP50" s="318"/>
      <c r="AQ50" s="630"/>
      <c r="AR50" s="565"/>
      <c r="AS50" s="565"/>
      <c r="AT50" s="565"/>
      <c r="AU50" s="565"/>
      <c r="AV50" s="481"/>
      <c r="AW50" s="325"/>
    </row>
    <row r="51" spans="1:49" s="326" customFormat="1" ht="75.75" hidden="1" customHeight="1">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0"/>
      <c r="R51" s="321">
        <f>OBRA!Q49</f>
        <v>41402</v>
      </c>
      <c r="S51" s="1327">
        <f>OBRA!T49</f>
        <v>41402</v>
      </c>
      <c r="T51" s="322">
        <f>OBRA!R49</f>
        <v>41404</v>
      </c>
      <c r="U51" s="323">
        <f>OBRA!S49</f>
        <v>41424</v>
      </c>
      <c r="V51" s="1352"/>
      <c r="W51" s="912">
        <f>OBRA!AQ49+OBRA!AR49</f>
        <v>545676.13</v>
      </c>
      <c r="X51" s="927"/>
      <c r="Y51" s="906" t="str">
        <f>OBRA!U49</f>
        <v>C. JOSÉ MIGUEL GARCIA VALLE</v>
      </c>
      <c r="Z51" s="906"/>
      <c r="AA51" s="881" t="str">
        <f t="shared" si="1"/>
        <v>C. JOSÉ MIGUEL GARCIA VALLE</v>
      </c>
      <c r="AB51" s="881" t="s">
        <v>2995</v>
      </c>
      <c r="AC51" s="906" t="s">
        <v>2995</v>
      </c>
      <c r="AD51" s="324" t="str">
        <f>OBRA!V49</f>
        <v>ING. LUIS JOEL HUERTA LOMA</v>
      </c>
      <c r="AE51" s="317"/>
      <c r="AF51" s="318"/>
      <c r="AG51" s="908" t="e">
        <f t="shared" si="0"/>
        <v>#DIV/0!</v>
      </c>
      <c r="AH51" s="318"/>
      <c r="AI51" s="630"/>
      <c r="AJ51" s="565"/>
      <c r="AK51" s="565"/>
      <c r="AL51" s="565"/>
      <c r="AM51" s="565"/>
      <c r="AN51" s="318"/>
      <c r="AO51" s="318"/>
      <c r="AP51" s="318"/>
      <c r="AQ51" s="630"/>
      <c r="AR51" s="565"/>
      <c r="AS51" s="565"/>
      <c r="AT51" s="565"/>
      <c r="AU51" s="565"/>
      <c r="AV51" s="481"/>
      <c r="AW51" s="325"/>
    </row>
    <row r="52" spans="1:49" s="326" customFormat="1" ht="75.75" hidden="1" customHeight="1">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0"/>
      <c r="R52" s="321">
        <f>OBRA!Q50</f>
        <v>41428</v>
      </c>
      <c r="S52" s="1327" t="str">
        <f>OBRA!T50</f>
        <v>-</v>
      </c>
      <c r="T52" s="322">
        <f>OBRA!R50</f>
        <v>41436</v>
      </c>
      <c r="U52" s="323">
        <f>OBRA!S50</f>
        <v>41466</v>
      </c>
      <c r="V52" s="1352"/>
      <c r="W52" s="912">
        <f>OBRA!AQ50+OBRA!AR50</f>
        <v>1337359.6000000001</v>
      </c>
      <c r="X52" s="927"/>
      <c r="Y52" s="906" t="str">
        <f>OBRA!U50</f>
        <v>RAMPER DRILLINGS S.A. DE C.V.</v>
      </c>
      <c r="Z52" s="906"/>
      <c r="AA52" s="881" t="str">
        <f t="shared" si="1"/>
        <v>RAMPER DRILLINGS S.A. DE C.V.</v>
      </c>
      <c r="AB52" s="906" t="e">
        <f>#REF!</f>
        <v>#REF!</v>
      </c>
      <c r="AC52" s="906"/>
      <c r="AD52" s="324" t="str">
        <f>OBRA!V50</f>
        <v>C. DANIEL RODRIGUEZ VALENZUELA</v>
      </c>
      <c r="AE52" s="317"/>
      <c r="AF52" s="318"/>
      <c r="AG52" s="908" t="e">
        <f t="shared" si="0"/>
        <v>#DIV/0!</v>
      </c>
      <c r="AH52" s="318"/>
      <c r="AI52" s="630"/>
      <c r="AJ52" s="565"/>
      <c r="AK52" s="565"/>
      <c r="AL52" s="565"/>
      <c r="AM52" s="565"/>
      <c r="AN52" s="318"/>
      <c r="AO52" s="318"/>
      <c r="AP52" s="318"/>
      <c r="AQ52" s="630"/>
      <c r="AR52" s="565"/>
      <c r="AS52" s="565"/>
      <c r="AT52" s="565"/>
      <c r="AU52" s="565"/>
      <c r="AV52" s="481"/>
      <c r="AW52" s="325"/>
    </row>
    <row r="53" spans="1:49" s="326" customFormat="1" ht="75.75" hidden="1" customHeight="1">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0"/>
      <c r="R53" s="321">
        <f>OBRA!Q51</f>
        <v>41404</v>
      </c>
      <c r="S53" s="1327">
        <f>OBRA!T51</f>
        <v>41404</v>
      </c>
      <c r="T53" s="322">
        <f>OBRA!R51</f>
        <v>41407</v>
      </c>
      <c r="U53" s="323">
        <f>OBRA!S51</f>
        <v>41412</v>
      </c>
      <c r="V53" s="1352"/>
      <c r="W53" s="912">
        <f>OBRA!AQ51+OBRA!AR51</f>
        <v>97904</v>
      </c>
      <c r="X53" s="927"/>
      <c r="Y53" s="906" t="str">
        <f>OBRA!U51</f>
        <v>C. URIEL PALOS CUEVAS</v>
      </c>
      <c r="Z53" s="906"/>
      <c r="AA53" s="881" t="str">
        <f t="shared" si="1"/>
        <v>C. URIEL PALOS CUEVAS</v>
      </c>
      <c r="AB53" s="881" t="s">
        <v>2995</v>
      </c>
      <c r="AC53" s="906" t="s">
        <v>2995</v>
      </c>
      <c r="AD53" s="324" t="str">
        <f>OBRA!V51</f>
        <v>C. DANIEL RODRIGUEZ VALENZUELA</v>
      </c>
      <c r="AE53" s="317"/>
      <c r="AF53" s="318"/>
      <c r="AG53" s="908" t="e">
        <f t="shared" si="0"/>
        <v>#DIV/0!</v>
      </c>
      <c r="AH53" s="318"/>
      <c r="AI53" s="630"/>
      <c r="AJ53" s="565"/>
      <c r="AK53" s="565"/>
      <c r="AL53" s="565"/>
      <c r="AM53" s="565"/>
      <c r="AN53" s="318"/>
      <c r="AO53" s="318"/>
      <c r="AP53" s="318"/>
      <c r="AQ53" s="630"/>
      <c r="AR53" s="565"/>
      <c r="AS53" s="565"/>
      <c r="AT53" s="565"/>
      <c r="AU53" s="565"/>
      <c r="AV53" s="481"/>
      <c r="AW53" s="325"/>
    </row>
    <row r="54" spans="1:49" s="326" customFormat="1" ht="75.75" hidden="1" customHeight="1">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0"/>
      <c r="R54" s="321">
        <f>OBRA!Q52</f>
        <v>41435</v>
      </c>
      <c r="S54" s="1327">
        <f>OBRA!T52</f>
        <v>41428</v>
      </c>
      <c r="T54" s="322">
        <f>OBRA!R52</f>
        <v>41435</v>
      </c>
      <c r="U54" s="323">
        <f>OBRA!S52</f>
        <v>41453</v>
      </c>
      <c r="V54" s="1352"/>
      <c r="W54" s="912">
        <f>OBRA!AQ52+OBRA!AR52</f>
        <v>427449.56</v>
      </c>
      <c r="X54" s="927"/>
      <c r="Y54" s="906" t="str">
        <f>OBRA!U52</f>
        <v>C. MIGUEL RAFAEL RODRIGUEZ ALLENDE</v>
      </c>
      <c r="Z54" s="906"/>
      <c r="AA54" s="881" t="str">
        <f t="shared" si="1"/>
        <v>C. MIGUEL RAFAEL RODRIGUEZ ALLENDE</v>
      </c>
      <c r="AB54" s="881" t="s">
        <v>2995</v>
      </c>
      <c r="AC54" s="906" t="s">
        <v>2995</v>
      </c>
      <c r="AD54" s="324" t="str">
        <f>OBRA!V52</f>
        <v>ARQ. JAIME CONDE GOMEZ</v>
      </c>
      <c r="AE54" s="317"/>
      <c r="AF54" s="318"/>
      <c r="AG54" s="908" t="e">
        <f t="shared" si="0"/>
        <v>#DIV/0!</v>
      </c>
      <c r="AH54" s="318"/>
      <c r="AI54" s="630"/>
      <c r="AJ54" s="565"/>
      <c r="AK54" s="565"/>
      <c r="AL54" s="565"/>
      <c r="AM54" s="565"/>
      <c r="AN54" s="318"/>
      <c r="AO54" s="318"/>
      <c r="AP54" s="318"/>
      <c r="AQ54" s="630"/>
      <c r="AR54" s="565"/>
      <c r="AS54" s="565"/>
      <c r="AT54" s="565"/>
      <c r="AU54" s="565"/>
      <c r="AV54" s="481"/>
      <c r="AW54" s="325"/>
    </row>
    <row r="55" spans="1:49" s="326" customFormat="1" ht="75.75" hidden="1" customHeight="1">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0"/>
      <c r="R55" s="321">
        <f>OBRA!Q53</f>
        <v>41516</v>
      </c>
      <c r="S55" s="1327">
        <f>OBRA!T53</f>
        <v>41516</v>
      </c>
      <c r="T55" s="322">
        <f>OBRA!R53</f>
        <v>41519</v>
      </c>
      <c r="U55" s="323">
        <f>OBRA!S53</f>
        <v>41530</v>
      </c>
      <c r="V55" s="1352"/>
      <c r="W55" s="912">
        <f>OBRA!AQ53+OBRA!AR53</f>
        <v>415204.98</v>
      </c>
      <c r="X55" s="927"/>
      <c r="Y55" s="906" t="str">
        <f>OBRA!U53</f>
        <v>BRAILOGA CONSTRUCTORES S.A. DE C.V.</v>
      </c>
      <c r="Z55" s="906"/>
      <c r="AA55" s="881" t="str">
        <f t="shared" si="1"/>
        <v>BRAILOGA CONSTRUCTORES S.A. DE C.V.</v>
      </c>
      <c r="AB55" s="906" t="e">
        <f>#REF!</f>
        <v>#REF!</v>
      </c>
      <c r="AC55" s="906"/>
      <c r="AD55" s="324" t="str">
        <f>OBRA!V53</f>
        <v>ING. ISER RANGEL REVILLA</v>
      </c>
      <c r="AE55" s="317"/>
      <c r="AF55" s="318"/>
      <c r="AG55" s="908" t="e">
        <f t="shared" si="0"/>
        <v>#DIV/0!</v>
      </c>
      <c r="AH55" s="318"/>
      <c r="AI55" s="630"/>
      <c r="AJ55" s="565"/>
      <c r="AK55" s="565"/>
      <c r="AL55" s="565"/>
      <c r="AM55" s="565"/>
      <c r="AN55" s="318"/>
      <c r="AO55" s="318"/>
      <c r="AP55" s="318"/>
      <c r="AQ55" s="630"/>
      <c r="AR55" s="565"/>
      <c r="AS55" s="565"/>
      <c r="AT55" s="565"/>
      <c r="AU55" s="565"/>
      <c r="AV55" s="481"/>
      <c r="AW55" s="325"/>
    </row>
    <row r="56" spans="1:49" s="326" customFormat="1" ht="75.75" hidden="1" customHeight="1">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0"/>
      <c r="R56" s="321">
        <f>OBRA!Q54</f>
        <v>41465</v>
      </c>
      <c r="S56" s="1327" t="str">
        <f>OBRA!T54</f>
        <v>-</v>
      </c>
      <c r="T56" s="322">
        <f>OBRA!R54</f>
        <v>41465</v>
      </c>
      <c r="U56" s="323">
        <f>OBRA!S54</f>
        <v>41479</v>
      </c>
      <c r="V56" s="1352"/>
      <c r="W56" s="912">
        <f>OBRA!AQ54+OBRA!AR54</f>
        <v>0</v>
      </c>
      <c r="X56" s="927"/>
      <c r="Y56" s="906" t="str">
        <f>OBRA!U54</f>
        <v>-</v>
      </c>
      <c r="Z56" s="906"/>
      <c r="AA56" s="881" t="str">
        <f t="shared" si="1"/>
        <v>-</v>
      </c>
      <c r="AB56" s="906" t="e">
        <f>#REF!</f>
        <v>#REF!</v>
      </c>
      <c r="AC56" s="906"/>
      <c r="AD56" s="324">
        <f>OBRA!V54</f>
        <v>0</v>
      </c>
      <c r="AE56" s="317"/>
      <c r="AF56" s="318"/>
      <c r="AG56" s="908" t="e">
        <f t="shared" si="0"/>
        <v>#DIV/0!</v>
      </c>
      <c r="AH56" s="318"/>
      <c r="AI56" s="630"/>
      <c r="AJ56" s="565"/>
      <c r="AK56" s="565"/>
      <c r="AL56" s="565"/>
      <c r="AM56" s="565"/>
      <c r="AN56" s="318"/>
      <c r="AO56" s="318"/>
      <c r="AP56" s="318"/>
      <c r="AQ56" s="630"/>
      <c r="AR56" s="565"/>
      <c r="AS56" s="565"/>
      <c r="AT56" s="565"/>
      <c r="AU56" s="565"/>
      <c r="AV56" s="481"/>
      <c r="AW56" s="325"/>
    </row>
    <row r="57" spans="1:49" s="326" customFormat="1" ht="75.75" hidden="1" customHeight="1">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0"/>
      <c r="R57" s="321">
        <f>OBRA!Q55</f>
        <v>41617</v>
      </c>
      <c r="S57" s="1327" t="str">
        <f>OBRA!T55</f>
        <v>-</v>
      </c>
      <c r="T57" s="322">
        <f>OBRA!R55</f>
        <v>41612</v>
      </c>
      <c r="U57" s="323">
        <f>OBRA!S55</f>
        <v>41635</v>
      </c>
      <c r="V57" s="1352"/>
      <c r="W57" s="912">
        <f>OBRA!AQ55+OBRA!AR55</f>
        <v>280952</v>
      </c>
      <c r="X57" s="927"/>
      <c r="Y57" s="906" t="str">
        <f>OBRA!U55</f>
        <v>-</v>
      </c>
      <c r="Z57" s="906"/>
      <c r="AA57" s="881" t="str">
        <f t="shared" si="1"/>
        <v>-</v>
      </c>
      <c r="AB57" s="906" t="e">
        <f>#REF!</f>
        <v>#REF!</v>
      </c>
      <c r="AC57" s="906"/>
      <c r="AD57" s="324">
        <f>OBRA!V55</f>
        <v>0</v>
      </c>
      <c r="AE57" s="317"/>
      <c r="AF57" s="318"/>
      <c r="AG57" s="908" t="e">
        <f t="shared" si="0"/>
        <v>#DIV/0!</v>
      </c>
      <c r="AH57" s="318"/>
      <c r="AI57" s="630"/>
      <c r="AJ57" s="565"/>
      <c r="AK57" s="565"/>
      <c r="AL57" s="565"/>
      <c r="AM57" s="565"/>
      <c r="AN57" s="318"/>
      <c r="AO57" s="318"/>
      <c r="AP57" s="318"/>
      <c r="AQ57" s="630"/>
      <c r="AR57" s="565"/>
      <c r="AS57" s="565"/>
      <c r="AT57" s="565"/>
      <c r="AU57" s="565"/>
      <c r="AV57" s="481"/>
      <c r="AW57" s="325"/>
    </row>
    <row r="58" spans="1:49" s="326" customFormat="1" ht="75.75" hidden="1" customHeight="1">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0"/>
      <c r="R58" s="321">
        <f>OBRA!Q56</f>
        <v>41617</v>
      </c>
      <c r="S58" s="1327" t="str">
        <f>OBRA!T56</f>
        <v>-</v>
      </c>
      <c r="T58" s="322">
        <f>OBRA!R56</f>
        <v>41612</v>
      </c>
      <c r="U58" s="323">
        <f>OBRA!S56</f>
        <v>41638</v>
      </c>
      <c r="V58" s="1352"/>
      <c r="W58" s="912">
        <f>OBRA!AQ56+OBRA!AR56</f>
        <v>670884</v>
      </c>
      <c r="X58" s="927"/>
      <c r="Y58" s="906" t="str">
        <f>OBRA!U56</f>
        <v>-</v>
      </c>
      <c r="Z58" s="906"/>
      <c r="AA58" s="881" t="str">
        <f t="shared" si="1"/>
        <v>-</v>
      </c>
      <c r="AB58" s="906" t="e">
        <f>#REF!</f>
        <v>#REF!</v>
      </c>
      <c r="AC58" s="906"/>
      <c r="AD58" s="324">
        <f>OBRA!V56</f>
        <v>0</v>
      </c>
      <c r="AE58" s="317"/>
      <c r="AF58" s="318"/>
      <c r="AG58" s="908" t="e">
        <f t="shared" si="0"/>
        <v>#DIV/0!</v>
      </c>
      <c r="AH58" s="318"/>
      <c r="AI58" s="630"/>
      <c r="AJ58" s="565"/>
      <c r="AK58" s="565"/>
      <c r="AL58" s="565"/>
      <c r="AM58" s="565"/>
      <c r="AN58" s="318"/>
      <c r="AO58" s="318"/>
      <c r="AP58" s="318"/>
      <c r="AQ58" s="630"/>
      <c r="AR58" s="565"/>
      <c r="AS58" s="565"/>
      <c r="AT58" s="565"/>
      <c r="AU58" s="565"/>
      <c r="AV58" s="481"/>
      <c r="AW58" s="325"/>
    </row>
    <row r="59" spans="1:49" s="326" customFormat="1" ht="75.75" hidden="1" customHeight="1">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0"/>
      <c r="R59" s="321">
        <f>OBRA!Q57</f>
        <v>41516</v>
      </c>
      <c r="S59" s="1327" t="str">
        <f>OBRA!T57</f>
        <v>FALTA</v>
      </c>
      <c r="T59" s="322">
        <f>OBRA!R57</f>
        <v>41638</v>
      </c>
      <c r="U59" s="323">
        <f>OBRA!S57</f>
        <v>41691</v>
      </c>
      <c r="V59" s="1352"/>
      <c r="W59" s="912">
        <f>OBRA!AQ57+OBRA!AR57</f>
        <v>0</v>
      </c>
      <c r="X59" s="927"/>
      <c r="Y59" s="906" t="str">
        <f>OBRA!U57</f>
        <v>EQUIPO MANTENIMIENTO Y PLANEACION ELECTRICA S.A. DE C.V.</v>
      </c>
      <c r="Z59" s="906"/>
      <c r="AA59" s="881" t="str">
        <f t="shared" si="1"/>
        <v>EQUIPO MANTENIMIENTO Y PLANEACION ELECTRICA S.A. DE C.V.</v>
      </c>
      <c r="AB59" s="906" t="e">
        <f>#REF!</f>
        <v>#REF!</v>
      </c>
      <c r="AC59" s="906"/>
      <c r="AD59" s="324">
        <f>OBRA!V57</f>
        <v>0</v>
      </c>
      <c r="AE59" s="317"/>
      <c r="AF59" s="318"/>
      <c r="AG59" s="908" t="e">
        <f t="shared" si="0"/>
        <v>#DIV/0!</v>
      </c>
      <c r="AH59" s="318"/>
      <c r="AI59" s="630"/>
      <c r="AJ59" s="565"/>
      <c r="AK59" s="565"/>
      <c r="AL59" s="565"/>
      <c r="AM59" s="565"/>
      <c r="AN59" s="318"/>
      <c r="AO59" s="318"/>
      <c r="AP59" s="318"/>
      <c r="AQ59" s="630"/>
      <c r="AR59" s="565"/>
      <c r="AS59" s="565"/>
      <c r="AT59" s="565"/>
      <c r="AU59" s="565"/>
      <c r="AV59" s="481"/>
      <c r="AW59" s="325"/>
    </row>
    <row r="60" spans="1:49" s="110" customFormat="1" ht="75.75" hidden="1" customHeight="1">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2"/>
      <c r="R60" s="93" t="s">
        <v>68</v>
      </c>
      <c r="S60" s="1327" t="str">
        <f>OBRA!T58</f>
        <v>-</v>
      </c>
      <c r="T60" s="94" t="s">
        <v>68</v>
      </c>
      <c r="U60" s="95" t="s">
        <v>68</v>
      </c>
      <c r="V60" s="374"/>
      <c r="W60" s="934">
        <f>OBRA!AQ58+OBRA!AR58</f>
        <v>0</v>
      </c>
      <c r="X60" s="947"/>
      <c r="Y60" s="935">
        <f>OBRA!U58</f>
        <v>0</v>
      </c>
      <c r="Z60" s="935"/>
      <c r="AA60" s="460">
        <f t="shared" si="1"/>
        <v>0</v>
      </c>
      <c r="AB60" s="935" t="e">
        <f>#REF!</f>
        <v>#REF!</v>
      </c>
      <c r="AC60" s="935"/>
      <c r="AD60" s="302" t="s">
        <v>251</v>
      </c>
      <c r="AE60" s="90"/>
      <c r="AF60" s="91"/>
      <c r="AG60" s="936" t="e">
        <f t="shared" si="0"/>
        <v>#DIV/0!</v>
      </c>
      <c r="AH60" s="91"/>
      <c r="AI60" s="634"/>
      <c r="AJ60" s="583"/>
      <c r="AK60" s="583"/>
      <c r="AL60" s="583"/>
      <c r="AM60" s="583"/>
      <c r="AN60" s="583"/>
      <c r="AO60" s="583"/>
      <c r="AP60" s="583"/>
      <c r="AQ60" s="564"/>
      <c r="AR60" s="564"/>
      <c r="AS60" s="564"/>
      <c r="AT60" s="564"/>
      <c r="AU60" s="564"/>
      <c r="AV60" s="564"/>
      <c r="AW60" s="109"/>
    </row>
    <row r="61" spans="1:49" s="326" customFormat="1" ht="75.75" hidden="1" customHeight="1">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0"/>
      <c r="R61" s="321">
        <f>OBRA!Q59</f>
        <v>41690</v>
      </c>
      <c r="S61" s="1327" t="str">
        <f>OBRA!T59</f>
        <v>-</v>
      </c>
      <c r="T61" s="322">
        <f>OBRA!R59</f>
        <v>41694</v>
      </c>
      <c r="U61" s="323">
        <f>OBRA!S59</f>
        <v>41783</v>
      </c>
      <c r="V61" s="1352"/>
      <c r="W61" s="912">
        <f>OBRA!AQ59+OBRA!AR59</f>
        <v>0</v>
      </c>
      <c r="X61" s="927"/>
      <c r="Y61" s="906" t="str">
        <f>OBRA!U59</f>
        <v>JOSE LUIS RANGEL GALVEZ</v>
      </c>
      <c r="Z61" s="906"/>
      <c r="AA61" s="881" t="str">
        <f t="shared" si="1"/>
        <v>JOSE LUIS RANGEL GALVEZ</v>
      </c>
      <c r="AB61" s="881" t="s">
        <v>2995</v>
      </c>
      <c r="AC61" s="906" t="s">
        <v>2995</v>
      </c>
      <c r="AD61" s="324" t="str">
        <f>OBRA!V59</f>
        <v>C. DANIEL RODRIGUEZ VALENZUELA</v>
      </c>
      <c r="AE61" s="317"/>
      <c r="AF61" s="318"/>
      <c r="AG61" s="908" t="e">
        <f t="shared" si="0"/>
        <v>#DIV/0!</v>
      </c>
      <c r="AH61" s="318"/>
      <c r="AI61" s="630"/>
      <c r="AJ61" s="565"/>
      <c r="AK61" s="565"/>
      <c r="AL61" s="565"/>
      <c r="AM61" s="565"/>
      <c r="AN61" s="318"/>
      <c r="AO61" s="318"/>
      <c r="AP61" s="318"/>
      <c r="AQ61" s="630"/>
      <c r="AR61" s="565"/>
      <c r="AS61" s="565"/>
      <c r="AT61" s="565"/>
      <c r="AU61" s="565"/>
      <c r="AV61" s="481"/>
      <c r="AW61" s="325"/>
    </row>
    <row r="62" spans="1:49" s="326" customFormat="1" ht="75.75" hidden="1" customHeight="1" thickBot="1">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0"/>
      <c r="R62" s="321">
        <f>OBRA!Q60</f>
        <v>41683</v>
      </c>
      <c r="S62" s="1327">
        <f>OBRA!T60</f>
        <v>41683</v>
      </c>
      <c r="T62" s="322">
        <f>OBRA!R60</f>
        <v>41687</v>
      </c>
      <c r="U62" s="323">
        <f>OBRA!S60</f>
        <v>41734</v>
      </c>
      <c r="V62" s="1352"/>
      <c r="W62" s="912">
        <f>OBRA!AQ60+OBRA!AR60</f>
        <v>1408849.34</v>
      </c>
      <c r="X62" s="927"/>
      <c r="Y62" s="906" t="str">
        <f>OBRA!U60</f>
        <v>HIDRAULICOS TRUJILLO S.A. DE C.V.</v>
      </c>
      <c r="Z62" s="906"/>
      <c r="AA62" s="881" t="str">
        <f t="shared" si="1"/>
        <v>HIDRAULICOS TRUJILLO S.A. DE C.V.</v>
      </c>
      <c r="AB62" s="906" t="e">
        <f>#REF!</f>
        <v>#REF!</v>
      </c>
      <c r="AC62" s="906"/>
      <c r="AD62" s="324" t="str">
        <f>OBRA!V60</f>
        <v>C. DANIEL RODRIGUEZ VALENZUELA</v>
      </c>
      <c r="AE62" s="317"/>
      <c r="AF62" s="318"/>
      <c r="AG62" s="908" t="e">
        <f t="shared" si="0"/>
        <v>#DIV/0!</v>
      </c>
      <c r="AH62" s="318"/>
      <c r="AI62" s="630"/>
      <c r="AJ62" s="924"/>
      <c r="AK62" s="924"/>
      <c r="AL62" s="924"/>
      <c r="AM62" s="924"/>
      <c r="AN62" s="924"/>
      <c r="AO62" s="924"/>
      <c r="AP62" s="924"/>
      <c r="AQ62" s="565"/>
      <c r="AR62" s="924"/>
      <c r="AS62" s="924"/>
      <c r="AT62" s="924"/>
      <c r="AU62" s="924"/>
      <c r="AV62" s="924"/>
      <c r="AW62" s="925"/>
    </row>
    <row r="63" spans="1:49" s="326" customFormat="1" ht="75.75" hidden="1" customHeight="1" thickTop="1">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0"/>
      <c r="R63" s="321">
        <f>OBRA!Q61</f>
        <v>41781</v>
      </c>
      <c r="S63" s="1327" t="str">
        <f>OBRA!T61</f>
        <v>-</v>
      </c>
      <c r="T63" s="322">
        <f>OBRA!R61</f>
        <v>41705</v>
      </c>
      <c r="U63" s="323">
        <f>OBRA!S61</f>
        <v>41789</v>
      </c>
      <c r="V63" s="1352"/>
      <c r="W63" s="912">
        <f>OBRA!AQ61+OBRA!AR61</f>
        <v>0</v>
      </c>
      <c r="X63" s="927"/>
      <c r="Y63" s="906" t="str">
        <f>OBRA!U61</f>
        <v>-</v>
      </c>
      <c r="Z63" s="906"/>
      <c r="AA63" s="881" t="str">
        <f t="shared" si="1"/>
        <v>-</v>
      </c>
      <c r="AB63" s="906" t="e">
        <f>#REF!</f>
        <v>#REF!</v>
      </c>
      <c r="AC63" s="906"/>
      <c r="AD63" s="324" t="str">
        <f>OBRA!V61</f>
        <v>ARQ. JAIME CONDE GOMEZ</v>
      </c>
      <c r="AE63" s="317">
        <v>100</v>
      </c>
      <c r="AF63" s="318" t="s">
        <v>1432</v>
      </c>
      <c r="AG63" s="908">
        <f t="shared" si="0"/>
        <v>0</v>
      </c>
      <c r="AH63" s="318">
        <v>21128</v>
      </c>
      <c r="AI63" s="630"/>
      <c r="AJ63" s="565"/>
      <c r="AK63" s="565"/>
      <c r="AL63" s="565"/>
      <c r="AM63" s="565"/>
      <c r="AN63" s="318"/>
      <c r="AO63" s="318"/>
      <c r="AP63" s="318"/>
      <c r="AQ63" s="630"/>
      <c r="AR63" s="1116"/>
      <c r="AS63" s="1116"/>
      <c r="AT63" s="1116"/>
      <c r="AU63" s="1116"/>
      <c r="AV63" s="913"/>
      <c r="AW63" s="914"/>
    </row>
    <row r="64" spans="1:49" s="326" customFormat="1" ht="75.75" hidden="1" customHeight="1">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0"/>
      <c r="R64" s="321">
        <f>OBRA!Q62</f>
        <v>41761</v>
      </c>
      <c r="S64" s="1327" t="str">
        <f>OBRA!T62</f>
        <v>-</v>
      </c>
      <c r="T64" s="322">
        <f>OBRA!R62</f>
        <v>41761</v>
      </c>
      <c r="U64" s="323">
        <f>OBRA!S62</f>
        <v>41822</v>
      </c>
      <c r="V64" s="1352"/>
      <c r="W64" s="912">
        <f>OBRA!AQ62+OBRA!AR62</f>
        <v>0</v>
      </c>
      <c r="X64" s="927"/>
      <c r="Y64" s="906" t="str">
        <f>OBRA!U62</f>
        <v>-</v>
      </c>
      <c r="Z64" s="906"/>
      <c r="AA64" s="881" t="str">
        <f t="shared" si="1"/>
        <v>-</v>
      </c>
      <c r="AB64" s="906" t="e">
        <f>#REF!</f>
        <v>#REF!</v>
      </c>
      <c r="AC64" s="906"/>
      <c r="AD64" s="324" t="str">
        <f>OBRA!V62</f>
        <v>ARQ. JAIME CONDE GOMEZ</v>
      </c>
      <c r="AE64" s="317">
        <v>194</v>
      </c>
      <c r="AF64" s="318" t="s">
        <v>1432</v>
      </c>
      <c r="AG64" s="908">
        <f t="shared" si="0"/>
        <v>0</v>
      </c>
      <c r="AH64" s="626">
        <v>21128</v>
      </c>
      <c r="AI64" s="318"/>
      <c r="AJ64" s="565"/>
      <c r="AK64" s="565"/>
      <c r="AL64" s="565"/>
      <c r="AM64" s="565"/>
      <c r="AN64" s="318"/>
      <c r="AO64" s="318"/>
      <c r="AP64" s="318"/>
      <c r="AQ64" s="630"/>
      <c r="AR64" s="565"/>
      <c r="AS64" s="565"/>
      <c r="AT64" s="565"/>
      <c r="AU64" s="565"/>
      <c r="AV64" s="481"/>
      <c r="AW64" s="325"/>
    </row>
    <row r="65" spans="1:49" s="326" customFormat="1" ht="75.75" hidden="1" customHeight="1">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0"/>
      <c r="R65" s="321">
        <f>OBRA!Q63</f>
        <v>41705</v>
      </c>
      <c r="S65" s="1327" t="str">
        <f>OBRA!T63</f>
        <v>-</v>
      </c>
      <c r="T65" s="322">
        <f>OBRA!R63</f>
        <v>41705</v>
      </c>
      <c r="U65" s="323">
        <f>OBRA!S63</f>
        <v>41789</v>
      </c>
      <c r="V65" s="1352"/>
      <c r="W65" s="912">
        <f>OBRA!AQ63+OBRA!AR63</f>
        <v>0</v>
      </c>
      <c r="X65" s="927"/>
      <c r="Y65" s="906" t="str">
        <f>OBRA!U63</f>
        <v>-</v>
      </c>
      <c r="Z65" s="906"/>
      <c r="AA65" s="881" t="str">
        <f t="shared" si="1"/>
        <v>-</v>
      </c>
      <c r="AB65" s="906" t="e">
        <f>#REF!</f>
        <v>#REF!</v>
      </c>
      <c r="AC65" s="906"/>
      <c r="AD65" s="324" t="str">
        <f>OBRA!V63</f>
        <v>ARQ. JAIME CONDE GOMEZ</v>
      </c>
      <c r="AE65" s="317">
        <v>193</v>
      </c>
      <c r="AF65" s="318" t="s">
        <v>1433</v>
      </c>
      <c r="AG65" s="908">
        <f t="shared" si="0"/>
        <v>0</v>
      </c>
      <c r="AH65" s="626">
        <v>5359</v>
      </c>
      <c r="AI65" s="318"/>
      <c r="AJ65" s="565"/>
      <c r="AK65" s="565"/>
      <c r="AL65" s="565"/>
      <c r="AM65" s="565"/>
      <c r="AN65" s="318"/>
      <c r="AO65" s="318"/>
      <c r="AP65" s="318"/>
      <c r="AQ65" s="630"/>
      <c r="AR65" s="565"/>
      <c r="AS65" s="565"/>
      <c r="AT65" s="565"/>
      <c r="AU65" s="565"/>
      <c r="AV65" s="481"/>
      <c r="AW65" s="325"/>
    </row>
    <row r="66" spans="1:49" s="110" customFormat="1" ht="75.75" hidden="1" customHeight="1">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2"/>
      <c r="R66" s="93">
        <f>OBRA!Q64</f>
        <v>41859</v>
      </c>
      <c r="S66" s="1327" t="str">
        <f>OBRA!T64</f>
        <v>-</v>
      </c>
      <c r="T66" s="94">
        <f>OBRA!R64</f>
        <v>41862</v>
      </c>
      <c r="U66" s="95">
        <f>OBRA!S64</f>
        <v>41874</v>
      </c>
      <c r="V66" s="374"/>
      <c r="W66" s="934">
        <f>OBRA!AQ64+OBRA!AR64</f>
        <v>0</v>
      </c>
      <c r="X66" s="947"/>
      <c r="Y66" s="935" t="str">
        <f>OBRA!U64</f>
        <v>-</v>
      </c>
      <c r="Z66" s="935"/>
      <c r="AA66" s="460" t="str">
        <f t="shared" si="1"/>
        <v>-</v>
      </c>
      <c r="AB66" s="935" t="e">
        <f>#REF!</f>
        <v>#REF!</v>
      </c>
      <c r="AC66" s="935"/>
      <c r="AD66" s="199" t="str">
        <f>OBRA!V64</f>
        <v>ING. RIGOBERTO OLMEDO RAMOS</v>
      </c>
      <c r="AE66" s="90">
        <v>84</v>
      </c>
      <c r="AF66" s="91" t="s">
        <v>1433</v>
      </c>
      <c r="AG66" s="936">
        <f t="shared" si="0"/>
        <v>0</v>
      </c>
      <c r="AH66" s="628">
        <v>250</v>
      </c>
      <c r="AI66" s="91"/>
      <c r="AJ66" s="564"/>
      <c r="AK66" s="564"/>
      <c r="AL66" s="564"/>
      <c r="AM66" s="564"/>
      <c r="AN66" s="564"/>
      <c r="AO66" s="564"/>
      <c r="AP66" s="462"/>
      <c r="AQ66" s="564"/>
      <c r="AR66" s="564"/>
      <c r="AS66" s="564"/>
      <c r="AT66" s="564"/>
      <c r="AU66" s="564"/>
      <c r="AV66" s="91"/>
      <c r="AW66" s="109"/>
    </row>
    <row r="67" spans="1:49" s="110" customFormat="1" ht="75.75" hidden="1" customHeight="1">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2"/>
      <c r="R67" s="93">
        <f>OBRA!Q65</f>
        <v>41831</v>
      </c>
      <c r="S67" s="1327" t="str">
        <f>OBRA!T65</f>
        <v>-</v>
      </c>
      <c r="T67" s="94">
        <f>OBRA!R65</f>
        <v>41834</v>
      </c>
      <c r="U67" s="95">
        <f>OBRA!S65</f>
        <v>41846</v>
      </c>
      <c r="V67" s="374"/>
      <c r="W67" s="934">
        <f>OBRA!AQ65+OBRA!AR65</f>
        <v>32802.239999999998</v>
      </c>
      <c r="X67" s="947"/>
      <c r="Y67" s="935" t="str">
        <f>OBRA!U65</f>
        <v>-</v>
      </c>
      <c r="Z67" s="935"/>
      <c r="AA67" s="460" t="str">
        <f t="shared" si="1"/>
        <v>-</v>
      </c>
      <c r="AB67" s="935" t="e">
        <f>#REF!</f>
        <v>#REF!</v>
      </c>
      <c r="AC67" s="935"/>
      <c r="AD67" s="199" t="str">
        <f>OBRA!V65</f>
        <v>ING. RIGOBERTO OLMEDO RAMOS</v>
      </c>
      <c r="AE67" s="90">
        <v>185</v>
      </c>
      <c r="AF67" s="91" t="s">
        <v>1433</v>
      </c>
      <c r="AG67" s="936">
        <f t="shared" si="0"/>
        <v>177.30940540540539</v>
      </c>
      <c r="AH67" s="628">
        <v>250</v>
      </c>
      <c r="AI67" s="91"/>
      <c r="AJ67" s="564"/>
      <c r="AK67" s="564"/>
      <c r="AL67" s="564"/>
      <c r="AM67" s="564"/>
      <c r="AN67" s="564"/>
      <c r="AO67" s="564"/>
      <c r="AP67" s="462"/>
      <c r="AQ67" s="564"/>
      <c r="AR67" s="564"/>
      <c r="AS67" s="564"/>
      <c r="AT67" s="564"/>
      <c r="AU67" s="564"/>
      <c r="AV67" s="91"/>
      <c r="AW67" s="109"/>
    </row>
    <row r="68" spans="1:49" s="110" customFormat="1" ht="75.75" hidden="1" customHeight="1">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2"/>
      <c r="R68" s="93">
        <f>OBRA!Q66</f>
        <v>41817</v>
      </c>
      <c r="S68" s="1327" t="str">
        <f>OBRA!T66</f>
        <v>-</v>
      </c>
      <c r="T68" s="94">
        <f>OBRA!R66</f>
        <v>41821</v>
      </c>
      <c r="U68" s="95">
        <f>OBRA!S66</f>
        <v>41834</v>
      </c>
      <c r="V68" s="374"/>
      <c r="W68" s="934">
        <f>OBRA!AQ66+OBRA!AR66</f>
        <v>99446.87999999999</v>
      </c>
      <c r="X68" s="947"/>
      <c r="Y68" s="935" t="str">
        <f>OBRA!U66</f>
        <v>-</v>
      </c>
      <c r="Z68" s="935"/>
      <c r="AA68" s="460" t="str">
        <f t="shared" si="1"/>
        <v>-</v>
      </c>
      <c r="AB68" s="935" t="e">
        <f>#REF!</f>
        <v>#REF!</v>
      </c>
      <c r="AC68" s="935"/>
      <c r="AD68" s="199" t="str">
        <f>OBRA!V66</f>
        <v>ING. RIGOBERTO OLMEDO RAMOS</v>
      </c>
      <c r="AE68" s="90">
        <v>185</v>
      </c>
      <c r="AF68" s="91" t="s">
        <v>1433</v>
      </c>
      <c r="AG68" s="936">
        <f t="shared" si="0"/>
        <v>537.55070270270267</v>
      </c>
      <c r="AH68" s="628">
        <v>250</v>
      </c>
      <c r="AI68" s="91"/>
      <c r="AJ68" s="564"/>
      <c r="AK68" s="564"/>
      <c r="AL68" s="564"/>
      <c r="AM68" s="564"/>
      <c r="AN68" s="564"/>
      <c r="AO68" s="564"/>
      <c r="AP68" s="462"/>
      <c r="AQ68" s="564"/>
      <c r="AR68" s="564"/>
      <c r="AS68" s="564"/>
      <c r="AT68" s="564"/>
      <c r="AU68" s="564"/>
      <c r="AV68" s="91"/>
      <c r="AW68" s="109"/>
    </row>
    <row r="69" spans="1:49" s="110" customFormat="1" ht="75.75" hidden="1" customHeight="1">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2"/>
      <c r="R69" s="93">
        <f>OBRA!Q67</f>
        <v>41845</v>
      </c>
      <c r="S69" s="1327" t="str">
        <f>OBRA!T67</f>
        <v>-</v>
      </c>
      <c r="T69" s="94">
        <f>OBRA!R67</f>
        <v>41848</v>
      </c>
      <c r="U69" s="95">
        <f>OBRA!S67</f>
        <v>41860</v>
      </c>
      <c r="V69" s="374"/>
      <c r="W69" s="934">
        <f>OBRA!AQ67+OBRA!AR67</f>
        <v>0</v>
      </c>
      <c r="X69" s="947"/>
      <c r="Y69" s="935" t="str">
        <f>OBRA!U67</f>
        <v>-</v>
      </c>
      <c r="Z69" s="935"/>
      <c r="AA69" s="460" t="str">
        <f t="shared" si="1"/>
        <v>-</v>
      </c>
      <c r="AB69" s="935" t="e">
        <f>#REF!</f>
        <v>#REF!</v>
      </c>
      <c r="AC69" s="935"/>
      <c r="AD69" s="199" t="str">
        <f>OBRA!V67</f>
        <v>ING. RIGOBERTO OLMEDO RAMOS</v>
      </c>
      <c r="AE69" s="90">
        <v>84</v>
      </c>
      <c r="AF69" s="91" t="s">
        <v>1433</v>
      </c>
      <c r="AG69" s="936">
        <f t="shared" si="0"/>
        <v>0</v>
      </c>
      <c r="AH69" s="628">
        <v>250</v>
      </c>
      <c r="AI69" s="91"/>
      <c r="AJ69" s="564"/>
      <c r="AK69" s="564"/>
      <c r="AL69" s="564"/>
      <c r="AM69" s="564"/>
      <c r="AN69" s="564"/>
      <c r="AO69" s="564"/>
      <c r="AP69" s="462"/>
      <c r="AQ69" s="564"/>
      <c r="AR69" s="564"/>
      <c r="AS69" s="564"/>
      <c r="AT69" s="564"/>
      <c r="AU69" s="564"/>
      <c r="AV69" s="91"/>
      <c r="AW69" s="109"/>
    </row>
    <row r="70" spans="1:49" s="110" customFormat="1" ht="75.75" hidden="1" customHeight="1">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2"/>
      <c r="R70" s="93">
        <f>OBRA!Q68</f>
        <v>41831</v>
      </c>
      <c r="S70" s="1327" t="str">
        <f>OBRA!T68</f>
        <v>-</v>
      </c>
      <c r="T70" s="94">
        <f>OBRA!R68</f>
        <v>41848</v>
      </c>
      <c r="U70" s="95">
        <f>OBRA!S68</f>
        <v>41874</v>
      </c>
      <c r="V70" s="374"/>
      <c r="W70" s="934">
        <f>OBRA!AQ68+OBRA!AR68</f>
        <v>291070.43</v>
      </c>
      <c r="X70" s="947"/>
      <c r="Y70" s="935" t="str">
        <f>OBRA!U68</f>
        <v>-</v>
      </c>
      <c r="Z70" s="935"/>
      <c r="AA70" s="460" t="str">
        <f t="shared" si="1"/>
        <v>-</v>
      </c>
      <c r="AB70" s="935" t="e">
        <f>#REF!</f>
        <v>#REF!</v>
      </c>
      <c r="AC70" s="935"/>
      <c r="AD70" s="199" t="str">
        <f>OBRA!V68</f>
        <v>ING. RIGOBERTO OLMEDO RAMOS</v>
      </c>
      <c r="AE70" s="90"/>
      <c r="AF70" s="91"/>
      <c r="AG70" s="936" t="e">
        <f t="shared" si="0"/>
        <v>#DIV/0!</v>
      </c>
      <c r="AH70" s="628"/>
      <c r="AI70" s="91"/>
      <c r="AJ70" s="564"/>
      <c r="AK70" s="564"/>
      <c r="AL70" s="564"/>
      <c r="AM70" s="564"/>
      <c r="AN70" s="564"/>
      <c r="AO70" s="564"/>
      <c r="AP70" s="462" t="s">
        <v>68</v>
      </c>
      <c r="AQ70" s="564" t="s">
        <v>68</v>
      </c>
      <c r="AR70" s="564"/>
      <c r="AS70" s="564"/>
      <c r="AT70" s="564"/>
      <c r="AU70" s="564"/>
      <c r="AV70" s="91"/>
      <c r="AW70" s="109"/>
    </row>
    <row r="71" spans="1:49" s="110" customFormat="1" ht="75.75" hidden="1" customHeight="1">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2"/>
      <c r="R71" s="93">
        <f>OBRA!Q69</f>
        <v>41873</v>
      </c>
      <c r="S71" s="1327" t="str">
        <f>OBRA!T69</f>
        <v>-</v>
      </c>
      <c r="T71" s="94">
        <f>OBRA!R69</f>
        <v>41876</v>
      </c>
      <c r="U71" s="95">
        <f>OBRA!S69</f>
        <v>41902</v>
      </c>
      <c r="V71" s="374"/>
      <c r="W71" s="934">
        <f>OBRA!AQ69+OBRA!AR69</f>
        <v>0</v>
      </c>
      <c r="X71" s="947"/>
      <c r="Y71" s="935" t="str">
        <f>OBRA!U69</f>
        <v>-</v>
      </c>
      <c r="Z71" s="935"/>
      <c r="AA71" s="460" t="str">
        <f t="shared" si="1"/>
        <v>-</v>
      </c>
      <c r="AB71" s="935" t="e">
        <f>#REF!</f>
        <v>#REF!</v>
      </c>
      <c r="AC71" s="935"/>
      <c r="AD71" s="199" t="str">
        <f>OBRA!V69</f>
        <v>ING. RIGOBERTO OLMEDO RAMOS</v>
      </c>
      <c r="AE71" s="90"/>
      <c r="AF71" s="91"/>
      <c r="AG71" s="936" t="e">
        <f t="shared" si="0"/>
        <v>#DIV/0!</v>
      </c>
      <c r="AH71" s="628"/>
      <c r="AI71" s="91"/>
      <c r="AJ71" s="564"/>
      <c r="AK71" s="564"/>
      <c r="AL71" s="564"/>
      <c r="AM71" s="564"/>
      <c r="AN71" s="564"/>
      <c r="AO71" s="564"/>
      <c r="AP71" s="462" t="s">
        <v>68</v>
      </c>
      <c r="AQ71" s="564" t="s">
        <v>68</v>
      </c>
      <c r="AR71" s="564"/>
      <c r="AS71" s="564"/>
      <c r="AT71" s="564"/>
      <c r="AU71" s="564"/>
      <c r="AV71" s="91"/>
      <c r="AW71" s="109"/>
    </row>
    <row r="72" spans="1:49" s="110" customFormat="1" ht="75.75" hidden="1" customHeight="1">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2"/>
      <c r="R72" s="93">
        <f>OBRA!Q70</f>
        <v>41887</v>
      </c>
      <c r="S72" s="1327" t="str">
        <f>OBRA!T70</f>
        <v>-</v>
      </c>
      <c r="T72" s="94">
        <f>OBRA!R70</f>
        <v>41890</v>
      </c>
      <c r="U72" s="95">
        <f>OBRA!S70</f>
        <v>41902</v>
      </c>
      <c r="V72" s="374"/>
      <c r="W72" s="934">
        <f>OBRA!AQ70+OBRA!AR70</f>
        <v>54985.64</v>
      </c>
      <c r="X72" s="947"/>
      <c r="Y72" s="935" t="str">
        <f>OBRA!U70</f>
        <v>-</v>
      </c>
      <c r="Z72" s="935"/>
      <c r="AA72" s="460" t="str">
        <f t="shared" si="1"/>
        <v>-</v>
      </c>
      <c r="AB72" s="935" t="e">
        <f>#REF!</f>
        <v>#REF!</v>
      </c>
      <c r="AC72" s="935"/>
      <c r="AD72" s="199" t="str">
        <f>OBRA!V70</f>
        <v>ING. RIGOBERTO OLMEDO RAMOS</v>
      </c>
      <c r="AE72" s="90">
        <v>143</v>
      </c>
      <c r="AF72" s="91" t="s">
        <v>1433</v>
      </c>
      <c r="AG72" s="936">
        <f t="shared" ref="AG72:AG135" si="2">W72/AE72</f>
        <v>384.51496503496503</v>
      </c>
      <c r="AH72" s="628">
        <v>121</v>
      </c>
      <c r="AI72" s="91"/>
      <c r="AJ72" s="564"/>
      <c r="AK72" s="564"/>
      <c r="AL72" s="564"/>
      <c r="AM72" s="564"/>
      <c r="AN72" s="564"/>
      <c r="AO72" s="564"/>
      <c r="AP72" s="462"/>
      <c r="AQ72" s="564"/>
      <c r="AR72" s="564"/>
      <c r="AS72" s="564"/>
      <c r="AT72" s="564"/>
      <c r="AU72" s="564"/>
      <c r="AV72" s="91"/>
      <c r="AW72" s="109"/>
    </row>
    <row r="73" spans="1:49" s="110" customFormat="1" ht="75.75" hidden="1" customHeight="1">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2"/>
      <c r="R73" s="93">
        <f>OBRA!Q71</f>
        <v>41873</v>
      </c>
      <c r="S73" s="1327" t="str">
        <f>OBRA!T71</f>
        <v>-</v>
      </c>
      <c r="T73" s="94">
        <f>OBRA!R71</f>
        <v>41876</v>
      </c>
      <c r="U73" s="95">
        <f>OBRA!S71</f>
        <v>41888</v>
      </c>
      <c r="V73" s="374"/>
      <c r="W73" s="934">
        <f>OBRA!AQ71+OBRA!AR71</f>
        <v>87342.25</v>
      </c>
      <c r="X73" s="947"/>
      <c r="Y73" s="935" t="str">
        <f>OBRA!U71</f>
        <v>-</v>
      </c>
      <c r="Z73" s="935"/>
      <c r="AA73" s="460" t="str">
        <f t="shared" ref="AA73:AA135" si="3">Y73</f>
        <v>-</v>
      </c>
      <c r="AB73" s="935" t="e">
        <f>#REF!</f>
        <v>#REF!</v>
      </c>
      <c r="AC73" s="935"/>
      <c r="AD73" s="199" t="str">
        <f>OBRA!V71</f>
        <v>ING. RIGOBERTO OLMEDO RAMOS</v>
      </c>
      <c r="AE73" s="90">
        <v>143</v>
      </c>
      <c r="AF73" s="91" t="s">
        <v>1433</v>
      </c>
      <c r="AG73" s="936">
        <f t="shared" si="2"/>
        <v>610.78496503496501</v>
      </c>
      <c r="AH73" s="628">
        <v>121</v>
      </c>
      <c r="AI73" s="91"/>
      <c r="AJ73" s="564"/>
      <c r="AK73" s="564"/>
      <c r="AL73" s="564"/>
      <c r="AM73" s="564"/>
      <c r="AN73" s="564"/>
      <c r="AO73" s="564"/>
      <c r="AP73" s="462"/>
      <c r="AQ73" s="564"/>
      <c r="AR73" s="564"/>
      <c r="AS73" s="564"/>
      <c r="AT73" s="564"/>
      <c r="AU73" s="564"/>
      <c r="AV73" s="91"/>
      <c r="AW73" s="109"/>
    </row>
    <row r="74" spans="1:49" s="110" customFormat="1" ht="75.75" hidden="1" customHeight="1">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2"/>
      <c r="R74" s="93">
        <f>OBRA!Q72</f>
        <v>41901</v>
      </c>
      <c r="S74" s="1327" t="str">
        <f>OBRA!T72</f>
        <v>-</v>
      </c>
      <c r="T74" s="94">
        <f>OBRA!R72</f>
        <v>41904</v>
      </c>
      <c r="U74" s="95">
        <f>OBRA!S72</f>
        <v>41930</v>
      </c>
      <c r="V74" s="374"/>
      <c r="W74" s="934">
        <f>OBRA!AQ72+OBRA!AR72</f>
        <v>241336.84</v>
      </c>
      <c r="X74" s="947"/>
      <c r="Y74" s="935" t="str">
        <f>OBRA!U72</f>
        <v>-</v>
      </c>
      <c r="Z74" s="935"/>
      <c r="AA74" s="460" t="str">
        <f t="shared" si="3"/>
        <v>-</v>
      </c>
      <c r="AB74" s="935" t="e">
        <f>#REF!</f>
        <v>#REF!</v>
      </c>
      <c r="AC74" s="935"/>
      <c r="AD74" s="199" t="str">
        <f>OBRA!V72</f>
        <v>ING. RIGOBERTO OLMEDO RAMOS</v>
      </c>
      <c r="AE74" s="90">
        <v>1615.23</v>
      </c>
      <c r="AF74" s="91" t="s">
        <v>1432</v>
      </c>
      <c r="AG74" s="936">
        <f t="shared" si="2"/>
        <v>149.41329717749176</v>
      </c>
      <c r="AH74" s="628">
        <v>121</v>
      </c>
      <c r="AI74" s="91"/>
      <c r="AJ74" s="583"/>
      <c r="AK74" s="583"/>
      <c r="AL74" s="583"/>
      <c r="AM74" s="583"/>
      <c r="AN74" s="583"/>
      <c r="AO74" s="583"/>
      <c r="AP74" s="939"/>
      <c r="AQ74" s="564"/>
      <c r="AR74" s="564"/>
      <c r="AS74" s="564"/>
      <c r="AT74" s="564"/>
      <c r="AU74" s="564"/>
      <c r="AV74" s="91"/>
      <c r="AW74" s="109"/>
    </row>
    <row r="75" spans="1:49" s="326" customFormat="1" ht="75.75" hidden="1" customHeight="1">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0"/>
      <c r="R75" s="321">
        <f>OBRA!Q73</f>
        <v>41824</v>
      </c>
      <c r="S75" s="1327" t="str">
        <f>OBRA!T73</f>
        <v>-</v>
      </c>
      <c r="T75" s="322">
        <f>OBRA!R73</f>
        <v>41855</v>
      </c>
      <c r="U75" s="323">
        <f>OBRA!S73</f>
        <v>41884</v>
      </c>
      <c r="V75" s="1352"/>
      <c r="W75" s="912">
        <f>OBRA!AQ73+OBRA!AR73</f>
        <v>2586760.2200000002</v>
      </c>
      <c r="X75" s="927"/>
      <c r="Y75" s="906" t="str">
        <f>OBRA!U73</f>
        <v>C. URIEL PALOS CUEVAS</v>
      </c>
      <c r="Z75" s="906"/>
      <c r="AA75" s="881" t="str">
        <f t="shared" si="3"/>
        <v>C. URIEL PALOS CUEVAS</v>
      </c>
      <c r="AB75" s="881" t="s">
        <v>2995</v>
      </c>
      <c r="AC75" s="906" t="s">
        <v>2995</v>
      </c>
      <c r="AD75" s="324" t="str">
        <f>OBRA!V73</f>
        <v>C. DANIEL RODRIGUEZ VALENZUELA</v>
      </c>
      <c r="AE75" s="317"/>
      <c r="AF75" s="318"/>
      <c r="AG75" s="908" t="e">
        <f t="shared" si="2"/>
        <v>#DIV/0!</v>
      </c>
      <c r="AH75" s="318"/>
      <c r="AI75" s="630"/>
      <c r="AJ75" s="565"/>
      <c r="AK75" s="565"/>
      <c r="AL75" s="565"/>
      <c r="AM75" s="565"/>
      <c r="AN75" s="318"/>
      <c r="AO75" s="318"/>
      <c r="AP75" s="318"/>
      <c r="AQ75" s="630"/>
      <c r="AR75" s="1116"/>
      <c r="AS75" s="1116"/>
      <c r="AT75" s="1116"/>
      <c r="AU75" s="1116"/>
      <c r="AV75" s="915"/>
      <c r="AW75" s="325"/>
    </row>
    <row r="76" spans="1:49" s="326" customFormat="1" ht="75.75" hidden="1" customHeight="1">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0"/>
      <c r="R76" s="321">
        <f>OBRA!Q74</f>
        <v>41876</v>
      </c>
      <c r="S76" s="1327" t="str">
        <f>OBRA!T74</f>
        <v>-</v>
      </c>
      <c r="T76" s="322">
        <f>OBRA!R74</f>
        <v>41876</v>
      </c>
      <c r="U76" s="323">
        <f>OBRA!S74</f>
        <v>41907</v>
      </c>
      <c r="V76" s="1352"/>
      <c r="W76" s="912">
        <f>OBRA!AQ74+OBRA!AR74</f>
        <v>0</v>
      </c>
      <c r="X76" s="927"/>
      <c r="Y76" s="906" t="str">
        <f>OBRA!U74</f>
        <v>-</v>
      </c>
      <c r="Z76" s="906"/>
      <c r="AA76" s="881" t="str">
        <f t="shared" si="3"/>
        <v>-</v>
      </c>
      <c r="AB76" s="906" t="e">
        <f>#REF!</f>
        <v>#REF!</v>
      </c>
      <c r="AC76" s="906"/>
      <c r="AD76" s="324" t="str">
        <f>OBRA!V74</f>
        <v>C. DANIEL RODRIGUEZ VALENZUELA</v>
      </c>
      <c r="AE76" s="317">
        <v>135</v>
      </c>
      <c r="AF76" s="318" t="s">
        <v>1432</v>
      </c>
      <c r="AG76" s="908">
        <f t="shared" si="2"/>
        <v>0</v>
      </c>
      <c r="AH76" s="318">
        <v>21128</v>
      </c>
      <c r="AI76" s="630"/>
      <c r="AJ76" s="565"/>
      <c r="AK76" s="565"/>
      <c r="AL76" s="565"/>
      <c r="AM76" s="565"/>
      <c r="AN76" s="318"/>
      <c r="AO76" s="318"/>
      <c r="AP76" s="318"/>
      <c r="AQ76" s="630"/>
      <c r="AR76" s="565"/>
      <c r="AS76" s="565"/>
      <c r="AT76" s="565"/>
      <c r="AU76" s="565"/>
      <c r="AV76" s="481"/>
      <c r="AW76" s="325"/>
    </row>
    <row r="77" spans="1:49" s="326" customFormat="1" ht="75.75" hidden="1" customHeight="1">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0"/>
      <c r="R77" s="321">
        <f>OBRA!Q75</f>
        <v>41883</v>
      </c>
      <c r="S77" s="1327" t="str">
        <f>OBRA!T75</f>
        <v>-</v>
      </c>
      <c r="T77" s="322">
        <f>OBRA!R75</f>
        <v>41883</v>
      </c>
      <c r="U77" s="323">
        <f>OBRA!S75</f>
        <v>41912</v>
      </c>
      <c r="V77" s="1352"/>
      <c r="W77" s="912">
        <f>OBRA!AQ75+OBRA!AR75</f>
        <v>1128935.3</v>
      </c>
      <c r="X77" s="927"/>
      <c r="Y77" s="906" t="str">
        <f>OBRA!U75</f>
        <v>-</v>
      </c>
      <c r="Z77" s="906"/>
      <c r="AA77" s="881" t="str">
        <f t="shared" si="3"/>
        <v>-</v>
      </c>
      <c r="AB77" s="906" t="e">
        <f>#REF!</f>
        <v>#REF!</v>
      </c>
      <c r="AC77" s="906"/>
      <c r="AD77" s="324" t="str">
        <f>OBRA!V75</f>
        <v>ING. RIGOBERTO OLMEDO RAMOS</v>
      </c>
      <c r="AE77" s="317">
        <v>1291.6500000000001</v>
      </c>
      <c r="AF77" s="318" t="s">
        <v>1433</v>
      </c>
      <c r="AG77" s="908">
        <f t="shared" si="2"/>
        <v>874.02570355746525</v>
      </c>
      <c r="AH77" s="318">
        <v>3449</v>
      </c>
      <c r="AI77" s="630"/>
      <c r="AJ77" s="565"/>
      <c r="AK77" s="565"/>
      <c r="AL77" s="565"/>
      <c r="AM77" s="565"/>
      <c r="AN77" s="318"/>
      <c r="AO77" s="318"/>
      <c r="AP77" s="318"/>
      <c r="AQ77" s="630"/>
      <c r="AR77" s="565"/>
      <c r="AS77" s="565"/>
      <c r="AT77" s="565"/>
      <c r="AU77" s="565"/>
      <c r="AV77" s="481"/>
      <c r="AW77" s="325"/>
    </row>
    <row r="78" spans="1:49" s="326" customFormat="1" ht="142.5" hidden="1" customHeight="1">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0"/>
      <c r="R78" s="321">
        <f>OBRA!Q76</f>
        <v>41830</v>
      </c>
      <c r="S78" s="1327" t="str">
        <f>OBRA!T76</f>
        <v>-</v>
      </c>
      <c r="T78" s="322">
        <f>OBRA!R76</f>
        <v>41834</v>
      </c>
      <c r="U78" s="323">
        <f>OBRA!S76</f>
        <v>41897</v>
      </c>
      <c r="V78" s="1352"/>
      <c r="W78" s="912">
        <f>OBRA!AQ76+OBRA!AR76</f>
        <v>0</v>
      </c>
      <c r="X78" s="927"/>
      <c r="Y78" s="906" t="str">
        <f>OBRA!U76</f>
        <v>-</v>
      </c>
      <c r="Z78" s="906"/>
      <c r="AA78" s="881" t="str">
        <f t="shared" si="3"/>
        <v>-</v>
      </c>
      <c r="AB78" s="906" t="e">
        <f>#REF!</f>
        <v>#REF!</v>
      </c>
      <c r="AC78" s="906"/>
      <c r="AD78" s="324" t="str">
        <f>OBRA!V76</f>
        <v>ARQ. JUAN MANUEL PIRUL CORTÉS</v>
      </c>
      <c r="AE78" s="317"/>
      <c r="AF78" s="318"/>
      <c r="AG78" s="908" t="e">
        <f t="shared" si="2"/>
        <v>#DIV/0!</v>
      </c>
      <c r="AH78" s="318">
        <v>21128</v>
      </c>
      <c r="AI78" s="630"/>
      <c r="AJ78" s="565"/>
      <c r="AK78" s="565"/>
      <c r="AL78" s="565"/>
      <c r="AM78" s="565"/>
      <c r="AN78" s="318"/>
      <c r="AO78" s="318"/>
      <c r="AP78" s="318"/>
      <c r="AQ78" s="630"/>
      <c r="AR78" s="565"/>
      <c r="AS78" s="565"/>
      <c r="AT78" s="565"/>
      <c r="AU78" s="565"/>
      <c r="AV78" s="481"/>
      <c r="AW78" s="325"/>
    </row>
    <row r="79" spans="1:49" s="326" customFormat="1" ht="75.75" hidden="1" customHeight="1">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0"/>
      <c r="R79" s="321">
        <f>OBRA!Q77</f>
        <v>41922</v>
      </c>
      <c r="S79" s="1327" t="str">
        <f>OBRA!T77</f>
        <v>-</v>
      </c>
      <c r="T79" s="322">
        <f>OBRA!R77</f>
        <v>41927</v>
      </c>
      <c r="U79" s="323">
        <f>OBRA!S77</f>
        <v>41988</v>
      </c>
      <c r="V79" s="1352"/>
      <c r="W79" s="912">
        <f>OBRA!AQ77+OBRA!AR77</f>
        <v>0</v>
      </c>
      <c r="X79" s="927"/>
      <c r="Y79" s="906" t="str">
        <f>OBRA!U77</f>
        <v>-</v>
      </c>
      <c r="Z79" s="906"/>
      <c r="AA79" s="881" t="str">
        <f t="shared" si="3"/>
        <v>-</v>
      </c>
      <c r="AB79" s="906" t="e">
        <f>#REF!</f>
        <v>#REF!</v>
      </c>
      <c r="AC79" s="906"/>
      <c r="AD79" s="324" t="str">
        <f>OBRA!V77</f>
        <v>DANIEL RODRIGUEZ</v>
      </c>
      <c r="AE79" s="317">
        <v>2190</v>
      </c>
      <c r="AF79" s="318" t="s">
        <v>1432</v>
      </c>
      <c r="AG79" s="908">
        <f t="shared" si="2"/>
        <v>0</v>
      </c>
      <c r="AH79" s="318">
        <v>200</v>
      </c>
      <c r="AI79" s="630"/>
      <c r="AJ79" s="565"/>
      <c r="AK79" s="565"/>
      <c r="AL79" s="565"/>
      <c r="AM79" s="565"/>
      <c r="AN79" s="318"/>
      <c r="AO79" s="318"/>
      <c r="AP79" s="496" t="s">
        <v>1434</v>
      </c>
      <c r="AQ79" s="630" t="s">
        <v>1435</v>
      </c>
      <c r="AR79" s="565"/>
      <c r="AS79" s="565"/>
      <c r="AT79" s="565"/>
      <c r="AU79" s="565"/>
      <c r="AV79" s="481" t="s">
        <v>551</v>
      </c>
      <c r="AW79" s="325"/>
    </row>
    <row r="80" spans="1:49" s="326" customFormat="1" ht="75.75" hidden="1" customHeight="1">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0"/>
      <c r="R80" s="321">
        <f>OBRA!Q78</f>
        <v>41922</v>
      </c>
      <c r="S80" s="1327" t="str">
        <f>OBRA!T78</f>
        <v>-</v>
      </c>
      <c r="T80" s="322">
        <f>OBRA!R78</f>
        <v>41927</v>
      </c>
      <c r="U80" s="323">
        <f>OBRA!S78</f>
        <v>41988</v>
      </c>
      <c r="V80" s="1352"/>
      <c r="W80" s="912">
        <f>OBRA!AQ78+OBRA!AR78</f>
        <v>0</v>
      </c>
      <c r="X80" s="927"/>
      <c r="Y80" s="906" t="str">
        <f>OBRA!U78</f>
        <v>-</v>
      </c>
      <c r="Z80" s="906"/>
      <c r="AA80" s="881" t="str">
        <f t="shared" si="3"/>
        <v>-</v>
      </c>
      <c r="AB80" s="906" t="e">
        <f>#REF!</f>
        <v>#REF!</v>
      </c>
      <c r="AC80" s="906"/>
      <c r="AD80" s="324" t="str">
        <f>OBRA!V78</f>
        <v>DANIEL RODRIGUEZ</v>
      </c>
      <c r="AE80" s="317">
        <v>963</v>
      </c>
      <c r="AF80" s="318" t="s">
        <v>1432</v>
      </c>
      <c r="AG80" s="908">
        <f t="shared" si="2"/>
        <v>0</v>
      </c>
      <c r="AH80" s="318">
        <v>160</v>
      </c>
      <c r="AI80" s="630"/>
      <c r="AJ80" s="565"/>
      <c r="AK80" s="565"/>
      <c r="AL80" s="565"/>
      <c r="AM80" s="565"/>
      <c r="AN80" s="318"/>
      <c r="AO80" s="318"/>
      <c r="AP80" s="496" t="s">
        <v>1436</v>
      </c>
      <c r="AQ80" s="630" t="s">
        <v>1435</v>
      </c>
      <c r="AR80" s="565"/>
      <c r="AS80" s="565"/>
      <c r="AT80" s="565"/>
      <c r="AU80" s="565"/>
      <c r="AV80" s="481" t="s">
        <v>551</v>
      </c>
      <c r="AW80" s="325"/>
    </row>
    <row r="81" spans="1:49" s="326" customFormat="1" ht="75.75" hidden="1" customHeight="1">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0"/>
      <c r="R81" s="321">
        <f>OBRA!Q79</f>
        <v>41939</v>
      </c>
      <c r="S81" s="1327" t="str">
        <f>OBRA!T79</f>
        <v>-</v>
      </c>
      <c r="T81" s="322">
        <f>OBRA!R79</f>
        <v>41939</v>
      </c>
      <c r="U81" s="323">
        <f>OBRA!S79</f>
        <v>41954</v>
      </c>
      <c r="V81" s="1352"/>
      <c r="W81" s="912">
        <f>OBRA!AQ79+OBRA!AR79</f>
        <v>0</v>
      </c>
      <c r="X81" s="927"/>
      <c r="Y81" s="906" t="str">
        <f>OBRA!U79</f>
        <v>-</v>
      </c>
      <c r="Z81" s="906"/>
      <c r="AA81" s="881" t="str">
        <f t="shared" si="3"/>
        <v>-</v>
      </c>
      <c r="AB81" s="906" t="e">
        <f>#REF!</f>
        <v>#REF!</v>
      </c>
      <c r="AC81" s="906"/>
      <c r="AD81" s="324" t="str">
        <f>OBRA!V79</f>
        <v>ARQ. JAIME CONDE GOMEZ</v>
      </c>
      <c r="AE81" s="317" t="s">
        <v>68</v>
      </c>
      <c r="AF81" s="318" t="s">
        <v>68</v>
      </c>
      <c r="AG81" s="908" t="e">
        <f t="shared" si="2"/>
        <v>#VALUE!</v>
      </c>
      <c r="AH81" s="318">
        <v>80</v>
      </c>
      <c r="AI81" s="630"/>
      <c r="AJ81" s="565"/>
      <c r="AK81" s="565"/>
      <c r="AL81" s="565"/>
      <c r="AM81" s="565"/>
      <c r="AN81" s="318"/>
      <c r="AO81" s="318"/>
      <c r="AP81" s="318"/>
      <c r="AQ81" s="630"/>
      <c r="AR81" s="565"/>
      <c r="AS81" s="565"/>
      <c r="AT81" s="565"/>
      <c r="AU81" s="565"/>
      <c r="AV81" s="481"/>
      <c r="AW81" s="325"/>
    </row>
    <row r="82" spans="1:49" s="326" customFormat="1" ht="75.75" hidden="1" customHeight="1">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0"/>
      <c r="R82" s="321">
        <f>OBRA!Q80</f>
        <v>41848</v>
      </c>
      <c r="S82" s="1327" t="str">
        <f>OBRA!T80</f>
        <v>-</v>
      </c>
      <c r="T82" s="322">
        <f>OBRA!R80</f>
        <v>41855</v>
      </c>
      <c r="U82" s="323">
        <f>OBRA!S80</f>
        <v>41975</v>
      </c>
      <c r="V82" s="1352"/>
      <c r="W82" s="912">
        <f>OBRA!AQ80+OBRA!AR80</f>
        <v>0</v>
      </c>
      <c r="X82" s="927"/>
      <c r="Y82" s="906" t="str">
        <f>OBRA!U80</f>
        <v>ESTUDIO CASA Y CIUDAD SA DE CV</v>
      </c>
      <c r="Z82" s="906"/>
      <c r="AA82" s="881" t="str">
        <f t="shared" si="3"/>
        <v>ESTUDIO CASA Y CIUDAD SA DE CV</v>
      </c>
      <c r="AB82" s="906" t="e">
        <f>#REF!</f>
        <v>#REF!</v>
      </c>
      <c r="AC82" s="906"/>
      <c r="AD82" s="324" t="str">
        <f>OBRA!V80</f>
        <v>C. DANIEL RODRIGUEZ VALENZUELA</v>
      </c>
      <c r="AE82" s="317"/>
      <c r="AF82" s="318"/>
      <c r="AG82" s="908" t="e">
        <f t="shared" si="2"/>
        <v>#DIV/0!</v>
      </c>
      <c r="AH82" s="318"/>
      <c r="AI82" s="630"/>
      <c r="AJ82" s="565"/>
      <c r="AK82" s="565"/>
      <c r="AL82" s="565"/>
      <c r="AM82" s="565"/>
      <c r="AN82" s="318"/>
      <c r="AO82" s="318"/>
      <c r="AP82" s="318"/>
      <c r="AQ82" s="630"/>
      <c r="AR82" s="331"/>
      <c r="AS82" s="331"/>
      <c r="AT82" s="331"/>
      <c r="AU82" s="331"/>
      <c r="AV82" s="911"/>
      <c r="AW82" s="325"/>
    </row>
    <row r="83" spans="1:49" s="326" customFormat="1" ht="75.75" hidden="1" customHeight="1">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0"/>
      <c r="R83" s="321">
        <f>OBRA!Q81</f>
        <v>41901</v>
      </c>
      <c r="S83" s="1327">
        <f>OBRA!T81</f>
        <v>41877</v>
      </c>
      <c r="T83" s="322">
        <f>OBRA!R81</f>
        <v>41911</v>
      </c>
      <c r="U83" s="323">
        <f>OBRA!S81</f>
        <v>41954</v>
      </c>
      <c r="V83" s="1352"/>
      <c r="W83" s="912">
        <f>OBRA!AQ81+OBRA!AR81</f>
        <v>987415.17</v>
      </c>
      <c r="X83" s="927"/>
      <c r="Y83" s="906" t="str">
        <f>OBRA!U81</f>
        <v>PROYECTO DISEÑO Y CONSTRUCCION</v>
      </c>
      <c r="Z83" s="906"/>
      <c r="AA83" s="881" t="str">
        <f t="shared" si="3"/>
        <v>PROYECTO DISEÑO Y CONSTRUCCION</v>
      </c>
      <c r="AB83" s="906" t="e">
        <f>#REF!</f>
        <v>#REF!</v>
      </c>
      <c r="AC83" s="906"/>
      <c r="AD83" s="324" t="str">
        <f>OBRA!V81</f>
        <v>C. DANIEL RODRIGUEZ VALENZUELA</v>
      </c>
      <c r="AE83" s="317"/>
      <c r="AF83" s="318"/>
      <c r="AG83" s="908" t="e">
        <f t="shared" si="2"/>
        <v>#DIV/0!</v>
      </c>
      <c r="AH83" s="318"/>
      <c r="AI83" s="630"/>
      <c r="AJ83" s="565"/>
      <c r="AK83" s="565"/>
      <c r="AL83" s="565"/>
      <c r="AM83" s="565"/>
      <c r="AN83" s="318"/>
      <c r="AO83" s="318"/>
      <c r="AP83" s="318"/>
      <c r="AQ83" s="630"/>
      <c r="AR83" s="924"/>
      <c r="AS83" s="924"/>
      <c r="AT83" s="924"/>
      <c r="AU83" s="924"/>
      <c r="AV83" s="916"/>
      <c r="AW83" s="325"/>
    </row>
    <row r="84" spans="1:49" s="326" customFormat="1" ht="89.25" hidden="1" customHeight="1">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0"/>
      <c r="R84" s="321">
        <f>OBRA!Q82</f>
        <v>41823</v>
      </c>
      <c r="S84" s="1327" t="str">
        <f>OBRA!T82</f>
        <v>-</v>
      </c>
      <c r="T84" s="322">
        <f>OBRA!R82</f>
        <v>41823</v>
      </c>
      <c r="U84" s="323">
        <f>OBRA!S82</f>
        <v>41850</v>
      </c>
      <c r="V84" s="1352"/>
      <c r="W84" s="912">
        <f>OBRA!AQ82+OBRA!AR82</f>
        <v>274203.5</v>
      </c>
      <c r="X84" s="927"/>
      <c r="Y84" s="906" t="str">
        <f>OBRA!U82</f>
        <v>-</v>
      </c>
      <c r="Z84" s="906"/>
      <c r="AA84" s="881" t="str">
        <f t="shared" si="3"/>
        <v>-</v>
      </c>
      <c r="AB84" s="906" t="e">
        <f>#REF!</f>
        <v>#REF!</v>
      </c>
      <c r="AC84" s="906"/>
      <c r="AD84" s="324" t="str">
        <f>OBRA!V82</f>
        <v>ING. RIGOBERTO OLMEDO RAMOS</v>
      </c>
      <c r="AE84" s="317">
        <v>185</v>
      </c>
      <c r="AF84" s="318" t="s">
        <v>1433</v>
      </c>
      <c r="AG84" s="908">
        <f t="shared" si="2"/>
        <v>1482.1810810810812</v>
      </c>
      <c r="AH84" s="318">
        <v>2002</v>
      </c>
      <c r="AI84" s="630"/>
      <c r="AJ84" s="565"/>
      <c r="AK84" s="565"/>
      <c r="AL84" s="565"/>
      <c r="AM84" s="565"/>
      <c r="AN84" s="318"/>
      <c r="AO84" s="318"/>
      <c r="AP84" s="496" t="s">
        <v>1437</v>
      </c>
      <c r="AQ84" s="917" t="s">
        <v>1438</v>
      </c>
      <c r="AR84" s="540"/>
      <c r="AS84" s="540"/>
      <c r="AT84" s="540"/>
      <c r="AU84" s="540"/>
      <c r="AV84" s="481" t="s">
        <v>551</v>
      </c>
      <c r="AW84" s="325"/>
    </row>
    <row r="85" spans="1:49" s="326" customFormat="1" ht="75.75" hidden="1" customHeight="1">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0"/>
      <c r="R85" s="321">
        <f>OBRA!Q83</f>
        <v>41823</v>
      </c>
      <c r="S85" s="1327" t="str">
        <f>OBRA!T83</f>
        <v>-</v>
      </c>
      <c r="T85" s="322">
        <f>OBRA!R83</f>
        <v>41841</v>
      </c>
      <c r="U85" s="323">
        <f>OBRA!S83</f>
        <v>41881</v>
      </c>
      <c r="V85" s="1352"/>
      <c r="W85" s="912">
        <f>OBRA!AQ83+OBRA!AR83</f>
        <v>231494.67</v>
      </c>
      <c r="X85" s="927"/>
      <c r="Y85" s="906" t="str">
        <f>OBRA!U83</f>
        <v>-</v>
      </c>
      <c r="Z85" s="906"/>
      <c r="AA85" s="881" t="str">
        <f t="shared" si="3"/>
        <v>-</v>
      </c>
      <c r="AB85" s="906" t="e">
        <f>#REF!</f>
        <v>#REF!</v>
      </c>
      <c r="AC85" s="906"/>
      <c r="AD85" s="324" t="str">
        <f>OBRA!V83</f>
        <v>ING. RIGOBERTO OLMEDO RAMOS</v>
      </c>
      <c r="AE85" s="317">
        <v>185</v>
      </c>
      <c r="AF85" s="318" t="s">
        <v>1433</v>
      </c>
      <c r="AG85" s="908">
        <f t="shared" si="2"/>
        <v>1251.3225405405406</v>
      </c>
      <c r="AH85" s="318">
        <v>2002</v>
      </c>
      <c r="AI85" s="630"/>
      <c r="AJ85" s="565"/>
      <c r="AK85" s="565"/>
      <c r="AL85" s="565"/>
      <c r="AM85" s="565"/>
      <c r="AN85" s="318"/>
      <c r="AO85" s="318"/>
      <c r="AP85" s="318"/>
      <c r="AQ85" s="630"/>
      <c r="AR85" s="565"/>
      <c r="AS85" s="565"/>
      <c r="AT85" s="565"/>
      <c r="AU85" s="565"/>
      <c r="AV85" s="481"/>
      <c r="AW85" s="325"/>
    </row>
    <row r="86" spans="1:49" s="326" customFormat="1" ht="75.75" hidden="1" customHeight="1">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0"/>
      <c r="R86" s="321">
        <f>OBRA!Q84</f>
        <v>41823</v>
      </c>
      <c r="S86" s="1327" t="str">
        <f>OBRA!T84</f>
        <v>-</v>
      </c>
      <c r="T86" s="322">
        <f>OBRA!R84</f>
        <v>41827</v>
      </c>
      <c r="U86" s="323">
        <f>OBRA!S84</f>
        <v>41881</v>
      </c>
      <c r="V86" s="1352"/>
      <c r="W86" s="912">
        <f>OBRA!AQ84+OBRA!AR84</f>
        <v>226560.28</v>
      </c>
      <c r="X86" s="927"/>
      <c r="Y86" s="906" t="str">
        <f>OBRA!U84</f>
        <v>-</v>
      </c>
      <c r="Z86" s="906"/>
      <c r="AA86" s="881" t="str">
        <f t="shared" si="3"/>
        <v>-</v>
      </c>
      <c r="AB86" s="906" t="e">
        <f>#REF!</f>
        <v>#REF!</v>
      </c>
      <c r="AC86" s="906"/>
      <c r="AD86" s="324" t="str">
        <f>OBRA!V84</f>
        <v>ING. RIGOBERTO OLMEDO RAMOS</v>
      </c>
      <c r="AE86" s="317">
        <v>119</v>
      </c>
      <c r="AF86" s="318" t="s">
        <v>1433</v>
      </c>
      <c r="AG86" s="908">
        <f t="shared" si="2"/>
        <v>1903.8678991596639</v>
      </c>
      <c r="AH86" s="318">
        <v>2002</v>
      </c>
      <c r="AI86" s="630"/>
      <c r="AJ86" s="565"/>
      <c r="AK86" s="565"/>
      <c r="AL86" s="565"/>
      <c r="AM86" s="565"/>
      <c r="AN86" s="318"/>
      <c r="AO86" s="318"/>
      <c r="AP86" s="318"/>
      <c r="AQ86" s="630"/>
      <c r="AR86" s="565"/>
      <c r="AS86" s="565"/>
      <c r="AT86" s="565"/>
      <c r="AU86" s="565"/>
      <c r="AV86" s="489"/>
      <c r="AW86" s="325"/>
    </row>
    <row r="87" spans="1:49" s="326" customFormat="1" ht="87" hidden="1" customHeight="1">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0"/>
      <c r="R87" s="321">
        <f>OBRA!Q85</f>
        <v>41823</v>
      </c>
      <c r="S87" s="1327" t="str">
        <f>OBRA!T85</f>
        <v>-</v>
      </c>
      <c r="T87" s="322">
        <f>OBRA!R85</f>
        <v>41865</v>
      </c>
      <c r="U87" s="323">
        <f>OBRA!S85</f>
        <v>41881</v>
      </c>
      <c r="V87" s="1352"/>
      <c r="W87" s="912">
        <f>OBRA!AQ85+OBRA!AR85</f>
        <v>268616.08</v>
      </c>
      <c r="X87" s="927"/>
      <c r="Y87" s="906" t="str">
        <f>OBRA!U85</f>
        <v>-</v>
      </c>
      <c r="Z87" s="906"/>
      <c r="AA87" s="881" t="str">
        <f t="shared" si="3"/>
        <v>-</v>
      </c>
      <c r="AB87" s="906" t="e">
        <f>#REF!</f>
        <v>#REF!</v>
      </c>
      <c r="AC87" s="906"/>
      <c r="AD87" s="324" t="str">
        <f>OBRA!V85</f>
        <v>ING. RIGOBERTO OLMEDO RAMOS</v>
      </c>
      <c r="AE87" s="317">
        <v>119</v>
      </c>
      <c r="AF87" s="318" t="s">
        <v>1433</v>
      </c>
      <c r="AG87" s="908">
        <f t="shared" si="2"/>
        <v>2257.2779831932776</v>
      </c>
      <c r="AH87" s="318">
        <v>2002</v>
      </c>
      <c r="AI87" s="630"/>
      <c r="AJ87" s="565"/>
      <c r="AK87" s="565"/>
      <c r="AL87" s="565"/>
      <c r="AM87" s="565"/>
      <c r="AN87" s="318"/>
      <c r="AO87" s="318"/>
      <c r="AP87" s="318"/>
      <c r="AQ87" s="630"/>
      <c r="AR87" s="565"/>
      <c r="AS87" s="565"/>
      <c r="AT87" s="565"/>
      <c r="AU87" s="565"/>
      <c r="AV87" s="489"/>
      <c r="AW87" s="325"/>
    </row>
    <row r="88" spans="1:49" s="326" customFormat="1" ht="75.75" hidden="1" customHeight="1">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0"/>
      <c r="R88" s="321">
        <f>OBRA!Q86</f>
        <v>41823</v>
      </c>
      <c r="S88" s="1327" t="str">
        <f>OBRA!T86</f>
        <v>-</v>
      </c>
      <c r="T88" s="322">
        <f>OBRA!R86</f>
        <v>41848</v>
      </c>
      <c r="U88" s="323">
        <f>OBRA!S86</f>
        <v>41912</v>
      </c>
      <c r="V88" s="1352"/>
      <c r="W88" s="912">
        <f>OBRA!AQ86+OBRA!AR86</f>
        <v>291425.38</v>
      </c>
      <c r="X88" s="927"/>
      <c r="Y88" s="906" t="str">
        <f>OBRA!U86</f>
        <v>-</v>
      </c>
      <c r="Z88" s="906"/>
      <c r="AA88" s="881" t="str">
        <f t="shared" si="3"/>
        <v>-</v>
      </c>
      <c r="AB88" s="906" t="e">
        <f>#REF!</f>
        <v>#REF!</v>
      </c>
      <c r="AC88" s="906"/>
      <c r="AD88" s="324" t="str">
        <f>OBRA!V86</f>
        <v>ING. RIGOBERTO OLMEDO RAMOS</v>
      </c>
      <c r="AE88" s="317">
        <v>127.4</v>
      </c>
      <c r="AF88" s="318" t="s">
        <v>1433</v>
      </c>
      <c r="AG88" s="908">
        <f t="shared" si="2"/>
        <v>2287.4833594976453</v>
      </c>
      <c r="AH88" s="318">
        <v>2002</v>
      </c>
      <c r="AI88" s="630"/>
      <c r="AJ88" s="565"/>
      <c r="AK88" s="565"/>
      <c r="AL88" s="565"/>
      <c r="AM88" s="565"/>
      <c r="AN88" s="318"/>
      <c r="AO88" s="318"/>
      <c r="AP88" s="318"/>
      <c r="AQ88" s="630"/>
      <c r="AR88" s="565"/>
      <c r="AS88" s="565"/>
      <c r="AT88" s="565"/>
      <c r="AU88" s="565"/>
      <c r="AV88" s="489"/>
      <c r="AW88" s="325"/>
    </row>
    <row r="89" spans="1:49" s="326" customFormat="1" ht="75.75" hidden="1" customHeight="1">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0"/>
      <c r="R89" s="321">
        <f>OBRA!Q87</f>
        <v>41823</v>
      </c>
      <c r="S89" s="1327" t="str">
        <f>OBRA!T87</f>
        <v>-</v>
      </c>
      <c r="T89" s="322">
        <f>OBRA!R87</f>
        <v>41862</v>
      </c>
      <c r="U89" s="323">
        <f>OBRA!S87</f>
        <v>41912</v>
      </c>
      <c r="V89" s="1352"/>
      <c r="W89" s="912">
        <f>OBRA!AQ87+OBRA!AR87</f>
        <v>238914.30000000002</v>
      </c>
      <c r="X89" s="927"/>
      <c r="Y89" s="906" t="str">
        <f>OBRA!U87</f>
        <v>-</v>
      </c>
      <c r="Z89" s="906"/>
      <c r="AA89" s="881" t="str">
        <f t="shared" si="3"/>
        <v>-</v>
      </c>
      <c r="AB89" s="906" t="e">
        <f>#REF!</f>
        <v>#REF!</v>
      </c>
      <c r="AC89" s="906"/>
      <c r="AD89" s="324" t="str">
        <f>OBRA!V87</f>
        <v>ING. RIGOBERTO OLMEDO RAMOS</v>
      </c>
      <c r="AE89" s="317">
        <v>127.4</v>
      </c>
      <c r="AF89" s="318" t="s">
        <v>1433</v>
      </c>
      <c r="AG89" s="908">
        <f t="shared" si="2"/>
        <v>1875.3084772370487</v>
      </c>
      <c r="AH89" s="318">
        <v>2002</v>
      </c>
      <c r="AI89" s="630"/>
      <c r="AJ89" s="565"/>
      <c r="AK89" s="565"/>
      <c r="AL89" s="565"/>
      <c r="AM89" s="565"/>
      <c r="AN89" s="318"/>
      <c r="AO89" s="318"/>
      <c r="AP89" s="496" t="s">
        <v>1439</v>
      </c>
      <c r="AQ89" s="917" t="s">
        <v>1440</v>
      </c>
      <c r="AR89" s="540"/>
      <c r="AS89" s="540"/>
      <c r="AT89" s="540"/>
      <c r="AU89" s="540"/>
      <c r="AV89" s="489" t="s">
        <v>551</v>
      </c>
      <c r="AW89" s="325"/>
    </row>
    <row r="90" spans="1:49" s="326" customFormat="1" ht="75.75" hidden="1" customHeight="1">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0"/>
      <c r="R90" s="321">
        <f>OBRA!Q88</f>
        <v>41901</v>
      </c>
      <c r="S90" s="1327">
        <f>OBRA!T88</f>
        <v>41901</v>
      </c>
      <c r="T90" s="322">
        <f>OBRA!R88</f>
        <v>41904</v>
      </c>
      <c r="U90" s="323">
        <f>OBRA!S88</f>
        <v>41941</v>
      </c>
      <c r="V90" s="1352"/>
      <c r="W90" s="912">
        <f>OBRA!AQ88+OBRA!AR88</f>
        <v>0</v>
      </c>
      <c r="X90" s="927"/>
      <c r="Y90" s="906" t="str">
        <f>OBRA!U88</f>
        <v>JOSE LUIS RANGEL GALVEZ</v>
      </c>
      <c r="Z90" s="906"/>
      <c r="AA90" s="881" t="str">
        <f t="shared" si="3"/>
        <v>JOSE LUIS RANGEL GALVEZ</v>
      </c>
      <c r="AB90" s="881" t="s">
        <v>2995</v>
      </c>
      <c r="AC90" s="906" t="s">
        <v>2995</v>
      </c>
      <c r="AD90" s="324" t="str">
        <f>OBRA!V88</f>
        <v>C. DANIEL RODRIGUEZ VALENZUELA</v>
      </c>
      <c r="AE90" s="317"/>
      <c r="AF90" s="318"/>
      <c r="AG90" s="908" t="e">
        <f t="shared" si="2"/>
        <v>#DIV/0!</v>
      </c>
      <c r="AH90" s="318"/>
      <c r="AI90" s="630"/>
      <c r="AJ90" s="565"/>
      <c r="AK90" s="565"/>
      <c r="AL90" s="565"/>
      <c r="AM90" s="565"/>
      <c r="AN90" s="318"/>
      <c r="AO90" s="318"/>
      <c r="AP90" s="318"/>
      <c r="AQ90" s="630"/>
      <c r="AR90" s="924"/>
      <c r="AS90" s="924"/>
      <c r="AT90" s="924"/>
      <c r="AU90" s="924"/>
      <c r="AV90" s="916"/>
      <c r="AW90" s="325"/>
    </row>
    <row r="91" spans="1:49" s="326" customFormat="1" ht="75.75" hidden="1" customHeight="1">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0"/>
      <c r="R91" s="321">
        <f>OBRA!Q89</f>
        <v>41974</v>
      </c>
      <c r="S91" s="1327" t="str">
        <f>OBRA!T89</f>
        <v>-</v>
      </c>
      <c r="T91" s="322">
        <f>OBRA!R89</f>
        <v>41976</v>
      </c>
      <c r="U91" s="323">
        <f>OBRA!S89</f>
        <v>41997</v>
      </c>
      <c r="V91" s="1352"/>
      <c r="W91" s="912">
        <f>OBRA!AQ89+OBRA!AR89</f>
        <v>0</v>
      </c>
      <c r="X91" s="927"/>
      <c r="Y91" s="906" t="str">
        <f>OBRA!U89</f>
        <v>-</v>
      </c>
      <c r="Z91" s="906"/>
      <c r="AA91" s="881" t="str">
        <f t="shared" si="3"/>
        <v>-</v>
      </c>
      <c r="AB91" s="906" t="e">
        <f>#REF!</f>
        <v>#REF!</v>
      </c>
      <c r="AC91" s="906"/>
      <c r="AD91" s="324" t="str">
        <f>OBRA!V89</f>
        <v>C. DANIEL RODRIGUEZ VALENZUELA</v>
      </c>
      <c r="AE91" s="317">
        <v>1</v>
      </c>
      <c r="AF91" s="318" t="s">
        <v>1441</v>
      </c>
      <c r="AG91" s="908">
        <f t="shared" si="2"/>
        <v>0</v>
      </c>
      <c r="AH91" s="318">
        <v>1391</v>
      </c>
      <c r="AI91" s="630"/>
      <c r="AJ91" s="565"/>
      <c r="AK91" s="565"/>
      <c r="AL91" s="565"/>
      <c r="AM91" s="565"/>
      <c r="AN91" s="318"/>
      <c r="AO91" s="318"/>
      <c r="AP91" s="318"/>
      <c r="AQ91" s="630"/>
      <c r="AR91" s="565"/>
      <c r="AS91" s="565"/>
      <c r="AT91" s="565"/>
      <c r="AU91" s="565"/>
      <c r="AV91" s="481"/>
      <c r="AW91" s="325"/>
    </row>
    <row r="92" spans="1:49" s="326" customFormat="1" ht="75.75" hidden="1" customHeight="1">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0"/>
      <c r="R92" s="321">
        <f>OBRA!Q90</f>
        <v>41974</v>
      </c>
      <c r="S92" s="1327" t="str">
        <f>OBRA!T90</f>
        <v>-</v>
      </c>
      <c r="T92" s="322">
        <f>OBRA!R90</f>
        <v>41981</v>
      </c>
      <c r="U92" s="323">
        <f>OBRA!S90</f>
        <v>41995</v>
      </c>
      <c r="V92" s="1352"/>
      <c r="W92" s="912">
        <f>OBRA!AQ90+OBRA!AR90</f>
        <v>0</v>
      </c>
      <c r="X92" s="927"/>
      <c r="Y92" s="906" t="str">
        <f>OBRA!U90</f>
        <v>-</v>
      </c>
      <c r="Z92" s="906"/>
      <c r="AA92" s="881" t="str">
        <f t="shared" si="3"/>
        <v>-</v>
      </c>
      <c r="AB92" s="906" t="e">
        <f>#REF!</f>
        <v>#REF!</v>
      </c>
      <c r="AC92" s="906"/>
      <c r="AD92" s="324">
        <f>OBRA!V90</f>
        <v>0</v>
      </c>
      <c r="AE92" s="317">
        <v>1</v>
      </c>
      <c r="AF92" s="318" t="s">
        <v>1441</v>
      </c>
      <c r="AG92" s="908">
        <f t="shared" si="2"/>
        <v>0</v>
      </c>
      <c r="AH92" s="318">
        <v>1000</v>
      </c>
      <c r="AI92" s="630"/>
      <c r="AJ92" s="565"/>
      <c r="AK92" s="565"/>
      <c r="AL92" s="565"/>
      <c r="AM92" s="565"/>
      <c r="AN92" s="318"/>
      <c r="AO92" s="318"/>
      <c r="AP92" s="318"/>
      <c r="AQ92" s="630"/>
      <c r="AR92" s="565"/>
      <c r="AS92" s="565"/>
      <c r="AT92" s="565"/>
      <c r="AU92" s="565"/>
      <c r="AV92" s="481"/>
      <c r="AW92" s="325"/>
    </row>
    <row r="93" spans="1:49" s="110" customFormat="1" ht="75.75" hidden="1" customHeight="1">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2"/>
      <c r="R93" s="93">
        <f>OBRA!Q91</f>
        <v>41974</v>
      </c>
      <c r="S93" s="1327" t="str">
        <f>OBRA!T91</f>
        <v>-</v>
      </c>
      <c r="T93" s="94">
        <f>OBRA!R91</f>
        <v>41981</v>
      </c>
      <c r="U93" s="95">
        <f>OBRA!S91</f>
        <v>41988</v>
      </c>
      <c r="V93" s="374"/>
      <c r="W93" s="934">
        <f>OBRA!AQ91+OBRA!AR91</f>
        <v>0</v>
      </c>
      <c r="X93" s="947"/>
      <c r="Y93" s="935" t="str">
        <f>OBRA!U91</f>
        <v>-</v>
      </c>
      <c r="Z93" s="935"/>
      <c r="AA93" s="460" t="str">
        <f t="shared" si="3"/>
        <v>-</v>
      </c>
      <c r="AB93" s="935" t="e">
        <f>#REF!</f>
        <v>#REF!</v>
      </c>
      <c r="AC93" s="935"/>
      <c r="AD93" s="302" t="s">
        <v>251</v>
      </c>
      <c r="AE93" s="90"/>
      <c r="AF93" s="91"/>
      <c r="AG93" s="936" t="e">
        <f t="shared" si="2"/>
        <v>#DIV/0!</v>
      </c>
      <c r="AH93" s="91"/>
      <c r="AI93" s="634"/>
      <c r="AJ93" s="564"/>
      <c r="AK93" s="564"/>
      <c r="AL93" s="564"/>
      <c r="AM93" s="564"/>
      <c r="AN93" s="564"/>
      <c r="AO93" s="564"/>
      <c r="AP93" s="564"/>
      <c r="AQ93" s="564"/>
      <c r="AR93" s="155"/>
      <c r="AS93" s="155"/>
      <c r="AT93" s="155"/>
      <c r="AU93" s="155"/>
      <c r="AV93" s="155"/>
      <c r="AW93" s="109"/>
    </row>
    <row r="94" spans="1:49" s="326" customFormat="1" ht="75.75" hidden="1" customHeight="1">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0"/>
      <c r="R94" s="321" t="str">
        <f>OBRA!Q92</f>
        <v>-</v>
      </c>
      <c r="S94" s="1327" t="str">
        <f>OBRA!T92</f>
        <v>-</v>
      </c>
      <c r="T94" s="322" t="str">
        <f>OBRA!R92</f>
        <v>-</v>
      </c>
      <c r="U94" s="323" t="str">
        <f>OBRA!S92</f>
        <v>-</v>
      </c>
      <c r="V94" s="1352"/>
      <c r="W94" s="912" t="e">
        <f>OBRA!AQ92+OBRA!AR92</f>
        <v>#VALUE!</v>
      </c>
      <c r="X94" s="927"/>
      <c r="Y94" s="906" t="str">
        <f>OBRA!U92</f>
        <v>SIOP</v>
      </c>
      <c r="Z94" s="906"/>
      <c r="AA94" s="881" t="str">
        <f t="shared" si="3"/>
        <v>SIOP</v>
      </c>
      <c r="AB94" s="906" t="e">
        <f>#REF!</f>
        <v>#REF!</v>
      </c>
      <c r="AC94" s="906"/>
      <c r="AD94" s="324" t="str">
        <f>OBRA!V92</f>
        <v>SIOP</v>
      </c>
      <c r="AE94" s="317"/>
      <c r="AF94" s="318"/>
      <c r="AG94" s="908" t="e">
        <f t="shared" si="2"/>
        <v>#VALUE!</v>
      </c>
      <c r="AH94" s="318"/>
      <c r="AI94" s="630"/>
      <c r="AJ94" s="565"/>
      <c r="AK94" s="565"/>
      <c r="AL94" s="565"/>
      <c r="AM94" s="565"/>
      <c r="AN94" s="565"/>
      <c r="AO94" s="565"/>
      <c r="AP94" s="565"/>
      <c r="AQ94" s="565"/>
      <c r="AR94" s="565"/>
      <c r="AS94" s="565"/>
      <c r="AT94" s="565"/>
      <c r="AU94" s="565"/>
      <c r="AV94" s="565"/>
      <c r="AW94" s="325"/>
    </row>
    <row r="95" spans="1:49" s="326" customFormat="1" ht="75.75" hidden="1" customHeight="1">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0"/>
      <c r="R95" s="321" t="str">
        <f>OBRA!Q93</f>
        <v>-</v>
      </c>
      <c r="S95" s="1327" t="str">
        <f>OBRA!T93</f>
        <v>-</v>
      </c>
      <c r="T95" s="322" t="str">
        <f>OBRA!R93</f>
        <v>-</v>
      </c>
      <c r="U95" s="323" t="str">
        <f>OBRA!S93</f>
        <v>-</v>
      </c>
      <c r="V95" s="1352"/>
      <c r="W95" s="912" t="e">
        <f>OBRA!AQ93+OBRA!AR93</f>
        <v>#VALUE!</v>
      </c>
      <c r="X95" s="927"/>
      <c r="Y95" s="906" t="str">
        <f>OBRA!U93</f>
        <v>SIOP</v>
      </c>
      <c r="Z95" s="906"/>
      <c r="AA95" s="881" t="str">
        <f t="shared" si="3"/>
        <v>SIOP</v>
      </c>
      <c r="AB95" s="906" t="e">
        <f>#REF!</f>
        <v>#REF!</v>
      </c>
      <c r="AC95" s="906"/>
      <c r="AD95" s="324" t="str">
        <f>OBRA!V93</f>
        <v>SIOP</v>
      </c>
      <c r="AE95" s="317"/>
      <c r="AF95" s="318"/>
      <c r="AG95" s="908" t="e">
        <f t="shared" si="2"/>
        <v>#VALUE!</v>
      </c>
      <c r="AH95" s="318"/>
      <c r="AI95" s="630"/>
      <c r="AJ95" s="565"/>
      <c r="AK95" s="565"/>
      <c r="AL95" s="565"/>
      <c r="AM95" s="565"/>
      <c r="AN95" s="565"/>
      <c r="AO95" s="565"/>
      <c r="AP95" s="565"/>
      <c r="AQ95" s="565"/>
      <c r="AR95" s="565"/>
      <c r="AS95" s="565"/>
      <c r="AT95" s="565"/>
      <c r="AU95" s="565"/>
      <c r="AV95" s="565"/>
      <c r="AW95" s="325"/>
    </row>
    <row r="96" spans="1:49" s="326" customFormat="1" ht="75.75" hidden="1" customHeight="1">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0"/>
      <c r="R96" s="321" t="str">
        <f>OBRA!Q94</f>
        <v>-</v>
      </c>
      <c r="S96" s="1327" t="str">
        <f>OBRA!T94</f>
        <v>-</v>
      </c>
      <c r="T96" s="322" t="str">
        <f>OBRA!R94</f>
        <v>-</v>
      </c>
      <c r="U96" s="323" t="str">
        <f>OBRA!S94</f>
        <v>-</v>
      </c>
      <c r="V96" s="1352"/>
      <c r="W96" s="912" t="e">
        <f>OBRA!AQ94+OBRA!AR94</f>
        <v>#VALUE!</v>
      </c>
      <c r="X96" s="927"/>
      <c r="Y96" s="906" t="str">
        <f>OBRA!U94</f>
        <v>SIOP</v>
      </c>
      <c r="Z96" s="906"/>
      <c r="AA96" s="881" t="str">
        <f t="shared" si="3"/>
        <v>SIOP</v>
      </c>
      <c r="AB96" s="906" t="e">
        <f>#REF!</f>
        <v>#REF!</v>
      </c>
      <c r="AC96" s="906"/>
      <c r="AD96" s="324" t="str">
        <f>OBRA!V94</f>
        <v>SIOP</v>
      </c>
      <c r="AE96" s="317"/>
      <c r="AF96" s="318"/>
      <c r="AG96" s="908" t="e">
        <f t="shared" si="2"/>
        <v>#VALUE!</v>
      </c>
      <c r="AH96" s="318"/>
      <c r="AI96" s="630"/>
      <c r="AJ96" s="924"/>
      <c r="AK96" s="924"/>
      <c r="AL96" s="924"/>
      <c r="AM96" s="924"/>
      <c r="AN96" s="924"/>
      <c r="AO96" s="924"/>
      <c r="AP96" s="924"/>
      <c r="AQ96" s="565"/>
      <c r="AR96" s="565"/>
      <c r="AS96" s="565"/>
      <c r="AT96" s="565"/>
      <c r="AU96" s="565"/>
      <c r="AV96" s="565"/>
      <c r="AW96" s="325"/>
    </row>
    <row r="97" spans="1:49" s="326" customFormat="1" ht="69" hidden="1" customHeight="1">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0"/>
      <c r="R97" s="321">
        <f>OBRA!Q95</f>
        <v>42010</v>
      </c>
      <c r="S97" s="1327">
        <f>OBRA!T95</f>
        <v>42010</v>
      </c>
      <c r="T97" s="322">
        <f>OBRA!R95</f>
        <v>42016</v>
      </c>
      <c r="U97" s="323">
        <f>OBRA!S95</f>
        <v>42030</v>
      </c>
      <c r="V97" s="1352"/>
      <c r="W97" s="912">
        <f>OBRA!AQ95+OBRA!AR95</f>
        <v>264744.99</v>
      </c>
      <c r="X97" s="927"/>
      <c r="Y97" s="906" t="s">
        <v>368</v>
      </c>
      <c r="Z97" s="906"/>
      <c r="AA97" s="881" t="s">
        <v>357</v>
      </c>
      <c r="AB97" s="906" t="s">
        <v>1445</v>
      </c>
      <c r="AC97" s="906"/>
      <c r="AD97" s="324" t="str">
        <f>OBRA!V95</f>
        <v>ING. RIGOBERTO OLMEDO RAMOS</v>
      </c>
      <c r="AE97" s="317">
        <v>14</v>
      </c>
      <c r="AF97" s="318" t="s">
        <v>1446</v>
      </c>
      <c r="AG97" s="908">
        <f t="shared" si="2"/>
        <v>18910.356428571427</v>
      </c>
      <c r="AH97" s="318">
        <v>400</v>
      </c>
      <c r="AI97" s="630" t="s">
        <v>1447</v>
      </c>
      <c r="AJ97" s="565"/>
      <c r="AK97" s="565"/>
      <c r="AL97" s="565"/>
      <c r="AM97" s="540"/>
      <c r="AN97" s="318" t="s">
        <v>68</v>
      </c>
      <c r="AO97" s="318" t="s">
        <v>68</v>
      </c>
      <c r="AP97" s="318" t="s">
        <v>68</v>
      </c>
      <c r="AQ97" s="919" t="s">
        <v>1448</v>
      </c>
      <c r="AR97" s="500"/>
      <c r="AS97" s="500"/>
      <c r="AT97" s="500"/>
      <c r="AU97" s="500"/>
      <c r="AV97" s="481" t="s">
        <v>551</v>
      </c>
      <c r="AW97" s="325"/>
    </row>
    <row r="98" spans="1:49" s="326" customFormat="1" ht="75.75" hidden="1" customHeight="1">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0"/>
      <c r="R98" s="321">
        <f>OBRA!Q96</f>
        <v>42006</v>
      </c>
      <c r="S98" s="1327">
        <f>OBRA!T96</f>
        <v>42006</v>
      </c>
      <c r="T98" s="322">
        <f>OBRA!R96</f>
        <v>42006</v>
      </c>
      <c r="U98" s="323">
        <f>OBRA!S96</f>
        <v>42015</v>
      </c>
      <c r="V98" s="1352"/>
      <c r="W98" s="912">
        <f>OBRA!AQ96+OBRA!AR96</f>
        <v>94772.53</v>
      </c>
      <c r="X98" s="927"/>
      <c r="Y98" s="906" t="str">
        <f>OBRA!U96</f>
        <v>HIDRAULICOS TRUJILLO S.A. DE C.V.</v>
      </c>
      <c r="Z98" s="906"/>
      <c r="AA98" s="881" t="s">
        <v>1452</v>
      </c>
      <c r="AB98" s="906" t="s">
        <v>1453</v>
      </c>
      <c r="AC98" s="906"/>
      <c r="AD98" s="324" t="str">
        <f>OBRA!V96</f>
        <v>ING. RIGOBERTO OLMEDO RAMOS</v>
      </c>
      <c r="AE98" s="317">
        <v>87</v>
      </c>
      <c r="AF98" s="318" t="s">
        <v>1454</v>
      </c>
      <c r="AG98" s="908">
        <f t="shared" si="2"/>
        <v>1089.3394252873563</v>
      </c>
      <c r="AH98" s="318">
        <v>2552</v>
      </c>
      <c r="AI98" s="630" t="s">
        <v>1455</v>
      </c>
      <c r="AJ98" s="565"/>
      <c r="AK98" s="565"/>
      <c r="AL98" s="565"/>
      <c r="AM98" s="540"/>
      <c r="AN98" s="318" t="s">
        <v>68</v>
      </c>
      <c r="AO98" s="318" t="s">
        <v>68</v>
      </c>
      <c r="AP98" s="318" t="s">
        <v>68</v>
      </c>
      <c r="AQ98" s="919" t="s">
        <v>1456</v>
      </c>
      <c r="AR98" s="500"/>
      <c r="AS98" s="500"/>
      <c r="AT98" s="500"/>
      <c r="AU98" s="500"/>
      <c r="AV98" s="481" t="s">
        <v>551</v>
      </c>
      <c r="AW98" s="325"/>
    </row>
    <row r="99" spans="1:49" s="326" customFormat="1" ht="75.75" hidden="1" customHeight="1">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11"/>
      <c r="N99" s="877"/>
      <c r="O99" s="320">
        <f>OBRA!P97</f>
        <v>2359096.67</v>
      </c>
      <c r="P99" s="320"/>
      <c r="Q99" s="320"/>
      <c r="R99" s="321">
        <f>OBRA!Q97</f>
        <v>42046</v>
      </c>
      <c r="S99" s="1327" t="str">
        <f>OBRA!T97</f>
        <v>-</v>
      </c>
      <c r="T99" s="322">
        <f>OBRA!R97</f>
        <v>42051</v>
      </c>
      <c r="U99" s="323">
        <f>OBRA!S97</f>
        <v>42080</v>
      </c>
      <c r="V99" s="1352"/>
      <c r="W99" s="912">
        <f>OBRA!AQ97+OBRA!AR97</f>
        <v>2336472.5699999998</v>
      </c>
      <c r="X99" s="927"/>
      <c r="Y99" s="906" t="str">
        <f>OBRA!U97</f>
        <v>G I LANDING S.A. DE C.V.</v>
      </c>
      <c r="Z99" s="906"/>
      <c r="AA99" s="881" t="s">
        <v>1460</v>
      </c>
      <c r="AB99" s="906" t="s">
        <v>1461</v>
      </c>
      <c r="AC99" s="906"/>
      <c r="AD99" s="324" t="str">
        <f>OBRA!V97</f>
        <v>C. DANIEL RODRIGUEZ VALENZUELA</v>
      </c>
      <c r="AE99" s="317">
        <v>210</v>
      </c>
      <c r="AF99" s="318" t="s">
        <v>1454</v>
      </c>
      <c r="AG99" s="908">
        <f t="shared" si="2"/>
        <v>11126.059857142856</v>
      </c>
      <c r="AH99" s="318">
        <v>394</v>
      </c>
      <c r="AI99" s="630" t="s">
        <v>1455</v>
      </c>
      <c r="AJ99" s="565"/>
      <c r="AK99" s="565"/>
      <c r="AL99" s="565"/>
      <c r="AM99" s="540"/>
      <c r="AN99" s="318" t="s">
        <v>68</v>
      </c>
      <c r="AO99" s="496" t="s">
        <v>1462</v>
      </c>
      <c r="AP99" s="318" t="s">
        <v>68</v>
      </c>
      <c r="AQ99" s="1330" t="s">
        <v>1463</v>
      </c>
      <c r="AR99" s="483"/>
      <c r="AS99" s="483"/>
      <c r="AT99" s="483"/>
      <c r="AU99" s="483"/>
      <c r="AV99" s="481" t="s">
        <v>551</v>
      </c>
      <c r="AW99" s="325"/>
    </row>
    <row r="100" spans="1:49" s="326" customFormat="1" ht="51" hidden="1" customHeight="1">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0"/>
      <c r="R100" s="321">
        <f>OBRA!Q98</f>
        <v>42209</v>
      </c>
      <c r="S100" s="1327">
        <f>OBRA!T98</f>
        <v>42209</v>
      </c>
      <c r="T100" s="322">
        <f>OBRA!R98</f>
        <v>42212</v>
      </c>
      <c r="U100" s="323">
        <f>OBRA!S98</f>
        <v>42225</v>
      </c>
      <c r="V100" s="1352"/>
      <c r="W100" s="912">
        <f>OBRA!AQ98+OBRA!AR98</f>
        <v>227660.7</v>
      </c>
      <c r="X100" s="927"/>
      <c r="Y100" s="906" t="str">
        <f>OBRA!U98</f>
        <v>GECLAN, S.A. DE C.V.</v>
      </c>
      <c r="Z100" s="906"/>
      <c r="AA100" s="881" t="s">
        <v>357</v>
      </c>
      <c r="AB100" s="906" t="s">
        <v>1445</v>
      </c>
      <c r="AC100" s="906"/>
      <c r="AD100" s="324" t="str">
        <f>OBRA!V98</f>
        <v>C. DANIEL RODRIGUEZ VALENZUELA</v>
      </c>
      <c r="AE100" s="317">
        <v>1</v>
      </c>
      <c r="AF100" s="318" t="s">
        <v>1466</v>
      </c>
      <c r="AG100" s="908">
        <f t="shared" si="2"/>
        <v>227660.7</v>
      </c>
      <c r="AH100" s="318">
        <v>394</v>
      </c>
      <c r="AI100" s="630" t="s">
        <v>1455</v>
      </c>
      <c r="AJ100" s="565"/>
      <c r="AK100" s="565"/>
      <c r="AL100" s="565"/>
      <c r="AM100" s="540"/>
      <c r="AN100" s="318" t="s">
        <v>68</v>
      </c>
      <c r="AO100" s="318" t="s">
        <v>68</v>
      </c>
      <c r="AP100" s="496" t="s">
        <v>1467</v>
      </c>
      <c r="AQ100" s="919" t="s">
        <v>1468</v>
      </c>
      <c r="AR100" s="500"/>
      <c r="AS100" s="500"/>
      <c r="AT100" s="500"/>
      <c r="AU100" s="500"/>
      <c r="AV100" s="481" t="s">
        <v>551</v>
      </c>
      <c r="AW100" s="325"/>
    </row>
    <row r="101" spans="1:49" s="326" customFormat="1" ht="75.75" hidden="1" customHeight="1">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0"/>
      <c r="R101" s="321">
        <f>OBRA!Q99</f>
        <v>42047</v>
      </c>
      <c r="S101" s="1327">
        <f>OBRA!T99</f>
        <v>42047</v>
      </c>
      <c r="T101" s="322">
        <f>OBRA!R99</f>
        <v>42051</v>
      </c>
      <c r="U101" s="323">
        <f>OBRA!S99</f>
        <v>42065</v>
      </c>
      <c r="V101" s="1352"/>
      <c r="W101" s="912">
        <f>OBRA!AQ99+OBRA!AR99</f>
        <v>306551.53999999998</v>
      </c>
      <c r="X101" s="927"/>
      <c r="Y101" s="906" t="s">
        <v>368</v>
      </c>
      <c r="Z101" s="906"/>
      <c r="AA101" s="881" t="s">
        <v>357</v>
      </c>
      <c r="AB101" s="906" t="s">
        <v>1445</v>
      </c>
      <c r="AC101" s="906"/>
      <c r="AD101" s="324" t="str">
        <f>OBRA!V99</f>
        <v>ING. RIGOBERTO OLMEDO RAMOS</v>
      </c>
      <c r="AE101" s="317">
        <v>4</v>
      </c>
      <c r="AF101" s="318" t="s">
        <v>1471</v>
      </c>
      <c r="AG101" s="908">
        <f t="shared" si="2"/>
        <v>76637.884999999995</v>
      </c>
      <c r="AH101" s="318">
        <v>140</v>
      </c>
      <c r="AI101" s="630" t="s">
        <v>1447</v>
      </c>
      <c r="AJ101" s="565"/>
      <c r="AK101" s="565"/>
      <c r="AL101" s="565"/>
      <c r="AM101" s="540"/>
      <c r="AN101" s="318" t="s">
        <v>68</v>
      </c>
      <c r="AO101" s="318" t="s">
        <v>68</v>
      </c>
      <c r="AP101" s="496" t="s">
        <v>1472</v>
      </c>
      <c r="AQ101" s="919" t="s">
        <v>1473</v>
      </c>
      <c r="AR101" s="500"/>
      <c r="AS101" s="500"/>
      <c r="AT101" s="500"/>
      <c r="AU101" s="500"/>
      <c r="AV101" s="481" t="s">
        <v>551</v>
      </c>
      <c r="AW101" s="325"/>
    </row>
    <row r="102" spans="1:49" s="326" customFormat="1" ht="75.75" hidden="1" customHeight="1">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0"/>
      <c r="R102" s="321">
        <f>OBRA!Q100</f>
        <v>42109</v>
      </c>
      <c r="S102" s="1327">
        <f>OBRA!T100</f>
        <v>42109</v>
      </c>
      <c r="T102" s="322">
        <f>OBRA!R100</f>
        <v>42114</v>
      </c>
      <c r="U102" s="323">
        <f>OBRA!S100</f>
        <v>42128</v>
      </c>
      <c r="V102" s="1352"/>
      <c r="W102" s="912">
        <f>OBRA!AQ100+OBRA!AR100</f>
        <v>375226.96</v>
      </c>
      <c r="X102" s="927"/>
      <c r="Y102" s="906" t="s">
        <v>368</v>
      </c>
      <c r="Z102" s="906"/>
      <c r="AA102" s="881" t="s">
        <v>357</v>
      </c>
      <c r="AB102" s="906" t="s">
        <v>1445</v>
      </c>
      <c r="AC102" s="906"/>
      <c r="AD102" s="324" t="str">
        <f>OBRA!V100</f>
        <v>ING. RIGOBERTO OLMEDO RAMOS</v>
      </c>
      <c r="AE102" s="317">
        <v>23</v>
      </c>
      <c r="AF102" s="318" t="s">
        <v>1446</v>
      </c>
      <c r="AG102" s="908">
        <f t="shared" si="2"/>
        <v>16314.215652173914</v>
      </c>
      <c r="AH102" s="318">
        <v>400</v>
      </c>
      <c r="AI102" s="630" t="s">
        <v>1447</v>
      </c>
      <c r="AJ102" s="565"/>
      <c r="AK102" s="565"/>
      <c r="AL102" s="565"/>
      <c r="AM102" s="540"/>
      <c r="AN102" s="318" t="s">
        <v>68</v>
      </c>
      <c r="AO102" s="318" t="s">
        <v>68</v>
      </c>
      <c r="AP102" s="496" t="s">
        <v>1475</v>
      </c>
      <c r="AQ102" s="919" t="s">
        <v>1476</v>
      </c>
      <c r="AR102" s="500"/>
      <c r="AS102" s="500"/>
      <c r="AT102" s="500"/>
      <c r="AU102" s="500"/>
      <c r="AV102" s="481" t="s">
        <v>551</v>
      </c>
      <c r="AW102" s="325"/>
    </row>
    <row r="103" spans="1:49" s="326" customFormat="1" ht="75.75" hidden="1" customHeight="1">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0"/>
      <c r="R103" s="321">
        <f>OBRA!Q101</f>
        <v>42209</v>
      </c>
      <c r="S103" s="1327">
        <f>OBRA!T101</f>
        <v>42209</v>
      </c>
      <c r="T103" s="322">
        <f>OBRA!R101</f>
        <v>42212</v>
      </c>
      <c r="U103" s="323">
        <f>OBRA!S101</f>
        <v>42239</v>
      </c>
      <c r="V103" s="1352"/>
      <c r="W103" s="912">
        <f>OBRA!AQ101+OBRA!AR101</f>
        <v>232729.26</v>
      </c>
      <c r="X103" s="927"/>
      <c r="Y103" s="906" t="s">
        <v>368</v>
      </c>
      <c r="Z103" s="906"/>
      <c r="AA103" s="881" t="s">
        <v>357</v>
      </c>
      <c r="AB103" s="906" t="s">
        <v>1445</v>
      </c>
      <c r="AC103" s="906"/>
      <c r="AD103" s="324" t="str">
        <f>OBRA!V101</f>
        <v>ING. RIGOBERTO OLMEDO RAMOS</v>
      </c>
      <c r="AE103" s="317">
        <v>200</v>
      </c>
      <c r="AF103" s="318" t="s">
        <v>1454</v>
      </c>
      <c r="AG103" s="908">
        <f t="shared" si="2"/>
        <v>1163.6463000000001</v>
      </c>
      <c r="AH103" s="318">
        <v>1130</v>
      </c>
      <c r="AI103" s="630" t="s">
        <v>1447</v>
      </c>
      <c r="AJ103" s="565"/>
      <c r="AK103" s="565"/>
      <c r="AL103" s="565"/>
      <c r="AM103" s="540"/>
      <c r="AN103" s="318" t="s">
        <v>68</v>
      </c>
      <c r="AO103" s="318" t="s">
        <v>68</v>
      </c>
      <c r="AP103" s="496" t="s">
        <v>1480</v>
      </c>
      <c r="AQ103" s="919" t="s">
        <v>1481</v>
      </c>
      <c r="AR103" s="500"/>
      <c r="AS103" s="500"/>
      <c r="AT103" s="500"/>
      <c r="AU103" s="500"/>
      <c r="AV103" s="481" t="s">
        <v>551</v>
      </c>
      <c r="AW103" s="325"/>
    </row>
    <row r="104" spans="1:49" s="110" customFormat="1" ht="75.75" hidden="1" customHeight="1">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2"/>
      <c r="R104" s="93" t="s">
        <v>68</v>
      </c>
      <c r="S104" s="1327" t="str">
        <f>OBRA!T102</f>
        <v>-</v>
      </c>
      <c r="T104" s="94" t="s">
        <v>68</v>
      </c>
      <c r="U104" s="95" t="s">
        <v>68</v>
      </c>
      <c r="V104" s="374"/>
      <c r="W104" s="934">
        <f>OBRA!AQ102+OBRA!AR102</f>
        <v>0</v>
      </c>
      <c r="X104" s="947"/>
      <c r="Y104" s="935" t="str">
        <f>OBRA!U102</f>
        <v>-</v>
      </c>
      <c r="Z104" s="935"/>
      <c r="AA104" s="460" t="str">
        <f t="shared" si="3"/>
        <v>-</v>
      </c>
      <c r="AB104" s="935" t="s">
        <v>68</v>
      </c>
      <c r="AC104" s="935"/>
      <c r="AD104" s="302" t="s">
        <v>251</v>
      </c>
      <c r="AE104" s="90"/>
      <c r="AF104" s="91"/>
      <c r="AG104" s="936" t="e">
        <f t="shared" si="2"/>
        <v>#DIV/0!</v>
      </c>
      <c r="AH104" s="91"/>
      <c r="AI104" s="634"/>
      <c r="AJ104" s="583"/>
      <c r="AK104" s="583"/>
      <c r="AL104" s="583"/>
      <c r="AM104" s="583"/>
      <c r="AN104" s="583"/>
      <c r="AO104" s="583"/>
      <c r="AP104" s="462"/>
      <c r="AQ104" s="564"/>
      <c r="AR104" s="583"/>
      <c r="AS104" s="583"/>
      <c r="AT104" s="583"/>
      <c r="AU104" s="583"/>
      <c r="AV104" s="583"/>
      <c r="AW104" s="109"/>
    </row>
    <row r="105" spans="1:49" s="326" customFormat="1" ht="75.75" hidden="1" customHeight="1">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0"/>
      <c r="R105" s="321">
        <f>OBRA!Q103</f>
        <v>42128</v>
      </c>
      <c r="S105" s="1327" t="str">
        <f>OBRA!T103</f>
        <v>-</v>
      </c>
      <c r="T105" s="322">
        <f>OBRA!R103</f>
        <v>42128</v>
      </c>
      <c r="U105" s="323">
        <f>OBRA!S103</f>
        <v>42133</v>
      </c>
      <c r="V105" s="1352"/>
      <c r="W105" s="912">
        <f>OBRA!AQ103+OBRA!AR103</f>
        <v>91219.3</v>
      </c>
      <c r="X105" s="927"/>
      <c r="Y105" s="906" t="str">
        <f>OBRA!U103</f>
        <v>-</v>
      </c>
      <c r="Z105" s="906"/>
      <c r="AA105" s="881" t="str">
        <f t="shared" si="3"/>
        <v>-</v>
      </c>
      <c r="AB105" s="906" t="s">
        <v>68</v>
      </c>
      <c r="AC105" s="906"/>
      <c r="AD105" s="324" t="str">
        <f>OBRA!V103</f>
        <v>ING. RIGOBERTO OLMEDO RAMOS</v>
      </c>
      <c r="AE105" s="317">
        <v>178.6</v>
      </c>
      <c r="AF105" s="318" t="s">
        <v>1432</v>
      </c>
      <c r="AG105" s="908">
        <f t="shared" si="2"/>
        <v>510.74636058230686</v>
      </c>
      <c r="AH105" s="318">
        <v>3794</v>
      </c>
      <c r="AI105" s="630" t="s">
        <v>1455</v>
      </c>
      <c r="AJ105" s="565"/>
      <c r="AK105" s="565"/>
      <c r="AL105" s="565"/>
      <c r="AM105" s="540"/>
      <c r="AN105" s="318" t="s">
        <v>68</v>
      </c>
      <c r="AO105" s="318" t="s">
        <v>68</v>
      </c>
      <c r="AP105" s="993" t="s">
        <v>68</v>
      </c>
      <c r="AQ105" s="1331" t="s">
        <v>68</v>
      </c>
      <c r="AR105" s="1117"/>
      <c r="AS105" s="1117"/>
      <c r="AT105" s="1117"/>
      <c r="AU105" s="1117"/>
      <c r="AV105" s="481" t="s">
        <v>1484</v>
      </c>
      <c r="AW105" s="325"/>
    </row>
    <row r="106" spans="1:49" s="326" customFormat="1" ht="75.75" hidden="1" customHeight="1">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0"/>
      <c r="R106" s="321">
        <f>OBRA!Q104</f>
        <v>42186</v>
      </c>
      <c r="S106" s="1327" t="str">
        <f>OBRA!T104</f>
        <v>-</v>
      </c>
      <c r="T106" s="322">
        <f>OBRA!R104</f>
        <v>42186</v>
      </c>
      <c r="U106" s="323">
        <f>OBRA!S104</f>
        <v>42195</v>
      </c>
      <c r="V106" s="1352"/>
      <c r="W106" s="912">
        <f>OBRA!AQ104+OBRA!AR104</f>
        <v>176723.04</v>
      </c>
      <c r="X106" s="927"/>
      <c r="Y106" s="906" t="str">
        <f>OBRA!U104</f>
        <v>-</v>
      </c>
      <c r="Z106" s="906"/>
      <c r="AA106" s="881" t="str">
        <f t="shared" si="3"/>
        <v>-</v>
      </c>
      <c r="AB106" s="906" t="s">
        <v>68</v>
      </c>
      <c r="AC106" s="906"/>
      <c r="AD106" s="324" t="str">
        <f>OBRA!V104</f>
        <v>JUAN CARLOS NAVARRO ROSALES</v>
      </c>
      <c r="AE106" s="317">
        <v>100</v>
      </c>
      <c r="AF106" s="318" t="s">
        <v>1433</v>
      </c>
      <c r="AG106" s="908">
        <f t="shared" si="2"/>
        <v>1767.2304000000001</v>
      </c>
      <c r="AH106" s="318">
        <v>60</v>
      </c>
      <c r="AI106" s="630" t="s">
        <v>1447</v>
      </c>
      <c r="AJ106" s="565"/>
      <c r="AK106" s="565"/>
      <c r="AL106" s="565"/>
      <c r="AM106" s="540"/>
      <c r="AN106" s="318" t="s">
        <v>68</v>
      </c>
      <c r="AO106" s="318" t="s">
        <v>68</v>
      </c>
      <c r="AP106" s="480" t="s">
        <v>1487</v>
      </c>
      <c r="AQ106" s="1332" t="s">
        <v>1488</v>
      </c>
      <c r="AR106" s="1118"/>
      <c r="AS106" s="1118"/>
      <c r="AT106" s="1118"/>
      <c r="AU106" s="1118"/>
      <c r="AV106" s="481" t="s">
        <v>551</v>
      </c>
      <c r="AW106" s="325"/>
    </row>
    <row r="107" spans="1:49" s="326" customFormat="1" ht="75.75" hidden="1" customHeight="1">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0"/>
      <c r="R107" s="321">
        <f>OBRA!Q105</f>
        <v>42186</v>
      </c>
      <c r="S107" s="1327" t="str">
        <f>OBRA!T105</f>
        <v>-</v>
      </c>
      <c r="T107" s="322">
        <f>OBRA!R105</f>
        <v>42186</v>
      </c>
      <c r="U107" s="323">
        <f>OBRA!S105</f>
        <v>42195</v>
      </c>
      <c r="V107" s="1352"/>
      <c r="W107" s="912">
        <f>OBRA!AQ105+OBRA!AR105</f>
        <v>115384.29</v>
      </c>
      <c r="X107" s="927"/>
      <c r="Y107" s="906" t="str">
        <f>OBRA!U105</f>
        <v>-</v>
      </c>
      <c r="Z107" s="906"/>
      <c r="AA107" s="881" t="str">
        <f t="shared" si="3"/>
        <v>-</v>
      </c>
      <c r="AB107" s="906" t="s">
        <v>68</v>
      </c>
      <c r="AC107" s="906"/>
      <c r="AD107" s="324" t="str">
        <f>OBRA!V105</f>
        <v>JUAN CARLOS NAVARRO ROSALES</v>
      </c>
      <c r="AE107" s="317">
        <v>85</v>
      </c>
      <c r="AF107" s="318" t="s">
        <v>1433</v>
      </c>
      <c r="AG107" s="908">
        <f t="shared" si="2"/>
        <v>1357.4622352941176</v>
      </c>
      <c r="AH107" s="318">
        <v>15</v>
      </c>
      <c r="AI107" s="630" t="s">
        <v>1447</v>
      </c>
      <c r="AJ107" s="565"/>
      <c r="AK107" s="565"/>
      <c r="AL107" s="565"/>
      <c r="AM107" s="540"/>
      <c r="AN107" s="318" t="s">
        <v>68</v>
      </c>
      <c r="AO107" s="318" t="s">
        <v>68</v>
      </c>
      <c r="AP107" s="480" t="s">
        <v>1490</v>
      </c>
      <c r="AQ107" s="1332" t="s">
        <v>1491</v>
      </c>
      <c r="AR107" s="1118"/>
      <c r="AS107" s="1118"/>
      <c r="AT107" s="1118"/>
      <c r="AU107" s="1118"/>
      <c r="AV107" s="481" t="s">
        <v>551</v>
      </c>
      <c r="AW107" s="325"/>
    </row>
    <row r="108" spans="1:49" s="326" customFormat="1" ht="75.75" hidden="1" customHeight="1">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0"/>
      <c r="R108" s="321">
        <f>OBRA!Q106</f>
        <v>42193</v>
      </c>
      <c r="S108" s="1327" t="str">
        <f>OBRA!T106</f>
        <v>-</v>
      </c>
      <c r="T108" s="322">
        <f>OBRA!R106</f>
        <v>42193</v>
      </c>
      <c r="U108" s="323">
        <f>OBRA!S106</f>
        <v>42200</v>
      </c>
      <c r="V108" s="1352"/>
      <c r="W108" s="912">
        <f>OBRA!AQ106+OBRA!AR106</f>
        <v>172769.33</v>
      </c>
      <c r="X108" s="927"/>
      <c r="Y108" s="906" t="str">
        <f>OBRA!U106</f>
        <v>-</v>
      </c>
      <c r="Z108" s="906"/>
      <c r="AA108" s="881" t="str">
        <f t="shared" si="3"/>
        <v>-</v>
      </c>
      <c r="AB108" s="906" t="s">
        <v>68</v>
      </c>
      <c r="AC108" s="906"/>
      <c r="AD108" s="324" t="str">
        <f>OBRA!V106</f>
        <v>JUAN CARLOS NAVARRO ROSALES</v>
      </c>
      <c r="AE108" s="317">
        <v>207</v>
      </c>
      <c r="AF108" s="318" t="s">
        <v>1433</v>
      </c>
      <c r="AG108" s="908">
        <f t="shared" si="2"/>
        <v>834.6344444444444</v>
      </c>
      <c r="AH108" s="318">
        <v>120</v>
      </c>
      <c r="AI108" s="630" t="s">
        <v>1447</v>
      </c>
      <c r="AJ108" s="565"/>
      <c r="AK108" s="565"/>
      <c r="AL108" s="565"/>
      <c r="AM108" s="540"/>
      <c r="AN108" s="318" t="s">
        <v>68</v>
      </c>
      <c r="AO108" s="318" t="s">
        <v>68</v>
      </c>
      <c r="AP108" s="509" t="s">
        <v>1492</v>
      </c>
      <c r="AQ108" s="919" t="s">
        <v>1493</v>
      </c>
      <c r="AR108" s="500"/>
      <c r="AS108" s="500"/>
      <c r="AT108" s="500"/>
      <c r="AU108" s="500"/>
      <c r="AV108" s="481" t="s">
        <v>551</v>
      </c>
      <c r="AW108" s="325"/>
    </row>
    <row r="109" spans="1:49" s="326" customFormat="1" ht="75.75" hidden="1" customHeight="1">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0"/>
      <c r="R109" s="321">
        <f>OBRA!Q107</f>
        <v>42201</v>
      </c>
      <c r="S109" s="1327" t="str">
        <f>OBRA!T107</f>
        <v>-</v>
      </c>
      <c r="T109" s="322">
        <f>OBRA!R107</f>
        <v>42201</v>
      </c>
      <c r="U109" s="323">
        <f>OBRA!S107</f>
        <v>42216</v>
      </c>
      <c r="V109" s="1352"/>
      <c r="W109" s="912">
        <f>OBRA!AQ107+OBRA!AR107</f>
        <v>138640.54</v>
      </c>
      <c r="X109" s="927"/>
      <c r="Y109" s="906" t="str">
        <f>OBRA!U107</f>
        <v>-</v>
      </c>
      <c r="Z109" s="906"/>
      <c r="AA109" s="881" t="str">
        <f t="shared" si="3"/>
        <v>-</v>
      </c>
      <c r="AB109" s="906" t="s">
        <v>68</v>
      </c>
      <c r="AC109" s="906"/>
      <c r="AD109" s="324" t="str">
        <f>OBRA!V107</f>
        <v>JUAN CARLOS NAVARRO ROSALES</v>
      </c>
      <c r="AE109" s="317">
        <v>179.7</v>
      </c>
      <c r="AF109" s="318" t="s">
        <v>1433</v>
      </c>
      <c r="AG109" s="908">
        <f t="shared" si="2"/>
        <v>771.51107401224272</v>
      </c>
      <c r="AH109" s="318">
        <v>120</v>
      </c>
      <c r="AI109" s="630" t="s">
        <v>1447</v>
      </c>
      <c r="AJ109" s="565"/>
      <c r="AK109" s="565"/>
      <c r="AL109" s="565"/>
      <c r="AM109" s="540"/>
      <c r="AN109" s="318" t="s">
        <v>68</v>
      </c>
      <c r="AO109" s="318" t="s">
        <v>68</v>
      </c>
      <c r="AP109" s="509" t="s">
        <v>1495</v>
      </c>
      <c r="AQ109" s="919" t="s">
        <v>1496</v>
      </c>
      <c r="AR109" s="500"/>
      <c r="AS109" s="500"/>
      <c r="AT109" s="500"/>
      <c r="AU109" s="500"/>
      <c r="AV109" s="481" t="s">
        <v>551</v>
      </c>
      <c r="AW109" s="325"/>
    </row>
    <row r="110" spans="1:49" s="326" customFormat="1" ht="75.75" hidden="1" customHeight="1">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0"/>
      <c r="R110" s="321">
        <f>OBRA!Q108</f>
        <v>42201</v>
      </c>
      <c r="S110" s="1327" t="str">
        <f>OBRA!T108</f>
        <v>-</v>
      </c>
      <c r="T110" s="322">
        <f>OBRA!R108</f>
        <v>42201</v>
      </c>
      <c r="U110" s="323">
        <f>OBRA!S108</f>
        <v>42216</v>
      </c>
      <c r="V110" s="1352"/>
      <c r="W110" s="912">
        <f>OBRA!AQ108+OBRA!AR108</f>
        <v>69164.95</v>
      </c>
      <c r="X110" s="927"/>
      <c r="Y110" s="906" t="str">
        <f>OBRA!U108</f>
        <v>-</v>
      </c>
      <c r="Z110" s="906"/>
      <c r="AA110" s="881" t="str">
        <f t="shared" si="3"/>
        <v>-</v>
      </c>
      <c r="AB110" s="906" t="s">
        <v>68</v>
      </c>
      <c r="AC110" s="906"/>
      <c r="AD110" s="324" t="str">
        <f>OBRA!V108</f>
        <v>JUAN CARLOS NAVARRO ROSALES</v>
      </c>
      <c r="AE110" s="317">
        <v>60</v>
      </c>
      <c r="AF110" s="318" t="s">
        <v>1433</v>
      </c>
      <c r="AG110" s="908">
        <f t="shared" si="2"/>
        <v>1152.7491666666667</v>
      </c>
      <c r="AH110" s="318">
        <v>40</v>
      </c>
      <c r="AI110" s="630" t="s">
        <v>1447</v>
      </c>
      <c r="AJ110" s="565"/>
      <c r="AK110" s="565"/>
      <c r="AL110" s="565"/>
      <c r="AM110" s="540"/>
      <c r="AN110" s="318" t="s">
        <v>68</v>
      </c>
      <c r="AO110" s="318" t="s">
        <v>68</v>
      </c>
      <c r="AP110" s="509" t="s">
        <v>1498</v>
      </c>
      <c r="AQ110" s="919" t="s">
        <v>1499</v>
      </c>
      <c r="AR110" s="500"/>
      <c r="AS110" s="500"/>
      <c r="AT110" s="500"/>
      <c r="AU110" s="500"/>
      <c r="AV110" s="481" t="s">
        <v>551</v>
      </c>
      <c r="AW110" s="325"/>
    </row>
    <row r="111" spans="1:49" s="326" customFormat="1" ht="75.75" hidden="1" customHeight="1">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0"/>
      <c r="R111" s="321">
        <f>OBRA!Q109</f>
        <v>42219</v>
      </c>
      <c r="S111" s="1327" t="str">
        <f>OBRA!T109</f>
        <v>-</v>
      </c>
      <c r="T111" s="322">
        <f>OBRA!R109</f>
        <v>42219</v>
      </c>
      <c r="U111" s="323">
        <f>OBRA!S109</f>
        <v>42226</v>
      </c>
      <c r="V111" s="1352"/>
      <c r="W111" s="912">
        <f>OBRA!AQ109+OBRA!AR109</f>
        <v>47908.56</v>
      </c>
      <c r="X111" s="927"/>
      <c r="Y111" s="906" t="str">
        <f>OBRA!U109</f>
        <v>-</v>
      </c>
      <c r="Z111" s="906"/>
      <c r="AA111" s="881" t="str">
        <f t="shared" si="3"/>
        <v>-</v>
      </c>
      <c r="AB111" s="906" t="s">
        <v>68</v>
      </c>
      <c r="AC111" s="906"/>
      <c r="AD111" s="324" t="str">
        <f>OBRA!V109</f>
        <v>JUAN CARLOS NAVARRO ROSALES</v>
      </c>
      <c r="AE111" s="317">
        <v>60</v>
      </c>
      <c r="AF111" s="318" t="s">
        <v>1433</v>
      </c>
      <c r="AG111" s="908">
        <f t="shared" si="2"/>
        <v>798.476</v>
      </c>
      <c r="AH111" s="318">
        <v>40</v>
      </c>
      <c r="AI111" s="630" t="s">
        <v>1447</v>
      </c>
      <c r="AJ111" s="565"/>
      <c r="AK111" s="565"/>
      <c r="AL111" s="565"/>
      <c r="AM111" s="540"/>
      <c r="AN111" s="318" t="s">
        <v>68</v>
      </c>
      <c r="AO111" s="318" t="s">
        <v>68</v>
      </c>
      <c r="AP111" s="509" t="s">
        <v>1501</v>
      </c>
      <c r="AQ111" s="499" t="s">
        <v>1502</v>
      </c>
      <c r="AR111" s="500"/>
      <c r="AS111" s="500"/>
      <c r="AT111" s="500"/>
      <c r="AU111" s="500"/>
      <c r="AV111" s="481" t="s">
        <v>551</v>
      </c>
      <c r="AW111" s="325"/>
    </row>
    <row r="112" spans="1:49" s="326" customFormat="1" ht="75.75" hidden="1" customHeight="1">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0"/>
      <c r="R112" s="321">
        <f>OBRA!Q110</f>
        <v>42201</v>
      </c>
      <c r="S112" s="1327" t="str">
        <f>OBRA!T110</f>
        <v>-</v>
      </c>
      <c r="T112" s="322">
        <f>OBRA!R110</f>
        <v>42201</v>
      </c>
      <c r="U112" s="323">
        <f>OBRA!S110</f>
        <v>42216</v>
      </c>
      <c r="V112" s="1352"/>
      <c r="W112" s="912">
        <f>OBRA!AQ110+OBRA!AR110</f>
        <v>259847.94</v>
      </c>
      <c r="X112" s="927"/>
      <c r="Y112" s="906" t="str">
        <f>OBRA!U110</f>
        <v>-</v>
      </c>
      <c r="Z112" s="906"/>
      <c r="AA112" s="881" t="str">
        <f t="shared" si="3"/>
        <v>-</v>
      </c>
      <c r="AB112" s="906" t="s">
        <v>68</v>
      </c>
      <c r="AC112" s="906"/>
      <c r="AD112" s="324" t="str">
        <f>OBRA!V110</f>
        <v>JUAN CARLOS NAVARRO ROSALES</v>
      </c>
      <c r="AE112" s="317">
        <v>143.30000000000001</v>
      </c>
      <c r="AF112" s="318" t="s">
        <v>1433</v>
      </c>
      <c r="AG112" s="908">
        <f t="shared" si="2"/>
        <v>1813.3143056524773</v>
      </c>
      <c r="AH112" s="318">
        <v>19</v>
      </c>
      <c r="AI112" s="630" t="s">
        <v>1447</v>
      </c>
      <c r="AJ112" s="565"/>
      <c r="AK112" s="565"/>
      <c r="AL112" s="565"/>
      <c r="AM112" s="540"/>
      <c r="AN112" s="318" t="s">
        <v>68</v>
      </c>
      <c r="AO112" s="318" t="s">
        <v>68</v>
      </c>
      <c r="AP112" s="509" t="s">
        <v>1504</v>
      </c>
      <c r="AQ112" s="499" t="s">
        <v>1505</v>
      </c>
      <c r="AR112" s="500"/>
      <c r="AS112" s="500"/>
      <c r="AT112" s="500"/>
      <c r="AU112" s="500"/>
      <c r="AV112" s="481" t="s">
        <v>551</v>
      </c>
      <c r="AW112" s="325"/>
    </row>
    <row r="113" spans="1:49" s="326" customFormat="1" ht="75.75" hidden="1" customHeight="1">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0"/>
      <c r="R113" s="321">
        <f>OBRA!Q111</f>
        <v>42188</v>
      </c>
      <c r="S113" s="1327" t="str">
        <f>OBRA!T111</f>
        <v>-</v>
      </c>
      <c r="T113" s="322">
        <f>OBRA!R111</f>
        <v>42191</v>
      </c>
      <c r="U113" s="323">
        <f>OBRA!S111</f>
        <v>42210</v>
      </c>
      <c r="V113" s="1352"/>
      <c r="W113" s="912">
        <f>OBRA!AQ111+OBRA!AR111</f>
        <v>152162.73000000001</v>
      </c>
      <c r="X113" s="927"/>
      <c r="Y113" s="906" t="str">
        <f>OBRA!U111</f>
        <v>-</v>
      </c>
      <c r="Z113" s="906"/>
      <c r="AA113" s="881" t="str">
        <f t="shared" si="3"/>
        <v>-</v>
      </c>
      <c r="AB113" s="906" t="s">
        <v>68</v>
      </c>
      <c r="AC113" s="906"/>
      <c r="AD113" s="324" t="str">
        <f>OBRA!V111</f>
        <v>JUAN CARLOS NAVARRO ROSALES</v>
      </c>
      <c r="AE113" s="317">
        <v>143.30000000000001</v>
      </c>
      <c r="AF113" s="318" t="s">
        <v>1433</v>
      </c>
      <c r="AG113" s="908">
        <f t="shared" si="2"/>
        <v>1061.8473831123517</v>
      </c>
      <c r="AH113" s="318">
        <v>19</v>
      </c>
      <c r="AI113" s="630" t="s">
        <v>1447</v>
      </c>
      <c r="AJ113" s="565"/>
      <c r="AK113" s="565"/>
      <c r="AL113" s="565"/>
      <c r="AM113" s="540"/>
      <c r="AN113" s="318" t="s">
        <v>68</v>
      </c>
      <c r="AO113" s="318" t="s">
        <v>68</v>
      </c>
      <c r="AP113" s="480" t="s">
        <v>1506</v>
      </c>
      <c r="AQ113" s="920" t="s">
        <v>1507</v>
      </c>
      <c r="AR113" s="1118"/>
      <c r="AS113" s="1118"/>
      <c r="AT113" s="1118"/>
      <c r="AU113" s="1118"/>
      <c r="AV113" s="481" t="s">
        <v>551</v>
      </c>
      <c r="AW113" s="325"/>
    </row>
    <row r="114" spans="1:49" s="326" customFormat="1" ht="75.75" hidden="1" customHeight="1">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0"/>
      <c r="R114" s="321">
        <f>OBRA!Q112</f>
        <v>42210</v>
      </c>
      <c r="S114" s="1327" t="str">
        <f>OBRA!T112</f>
        <v>-</v>
      </c>
      <c r="T114" s="322">
        <f>OBRA!R112</f>
        <v>42210</v>
      </c>
      <c r="U114" s="323">
        <f>OBRA!S112</f>
        <v>42226</v>
      </c>
      <c r="V114" s="1352"/>
      <c r="W114" s="912">
        <f>OBRA!AQ112+OBRA!AR112</f>
        <v>351798.17</v>
      </c>
      <c r="X114" s="927"/>
      <c r="Y114" s="906" t="str">
        <f>OBRA!U112</f>
        <v>-</v>
      </c>
      <c r="Z114" s="906"/>
      <c r="AA114" s="881" t="str">
        <f t="shared" si="3"/>
        <v>-</v>
      </c>
      <c r="AB114" s="906" t="s">
        <v>68</v>
      </c>
      <c r="AC114" s="906"/>
      <c r="AD114" s="324" t="str">
        <f>OBRA!V112</f>
        <v>JUAN CARLOS NAVARRO ROSALES</v>
      </c>
      <c r="AE114" s="317">
        <v>210</v>
      </c>
      <c r="AF114" s="318" t="s">
        <v>1433</v>
      </c>
      <c r="AG114" s="908">
        <f t="shared" si="2"/>
        <v>1675.2293809523808</v>
      </c>
      <c r="AH114" s="318">
        <v>80</v>
      </c>
      <c r="AI114" s="630" t="s">
        <v>1447</v>
      </c>
      <c r="AJ114" s="565"/>
      <c r="AK114" s="565"/>
      <c r="AL114" s="565"/>
      <c r="AM114" s="540"/>
      <c r="AN114" s="318" t="s">
        <v>68</v>
      </c>
      <c r="AO114" s="318" t="s">
        <v>68</v>
      </c>
      <c r="AP114" s="480" t="s">
        <v>1509</v>
      </c>
      <c r="AQ114" s="920" t="s">
        <v>1510</v>
      </c>
      <c r="AR114" s="1118"/>
      <c r="AS114" s="1118"/>
      <c r="AT114" s="1118"/>
      <c r="AU114" s="1118"/>
      <c r="AV114" s="481" t="s">
        <v>551</v>
      </c>
      <c r="AW114" s="325"/>
    </row>
    <row r="115" spans="1:49" s="326" customFormat="1" ht="75.75" hidden="1" customHeight="1">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0"/>
      <c r="R115" s="321">
        <f>OBRA!Q113</f>
        <v>42226</v>
      </c>
      <c r="S115" s="1327" t="str">
        <f>OBRA!T113</f>
        <v>-</v>
      </c>
      <c r="T115" s="322">
        <f>OBRA!R113</f>
        <v>42226</v>
      </c>
      <c r="U115" s="323">
        <f>OBRA!S113</f>
        <v>42238</v>
      </c>
      <c r="V115" s="1352"/>
      <c r="W115" s="912">
        <f>OBRA!AQ113+OBRA!AR113</f>
        <v>232729.26</v>
      </c>
      <c r="X115" s="927"/>
      <c r="Y115" s="906" t="str">
        <f>OBRA!U113</f>
        <v>-</v>
      </c>
      <c r="Z115" s="906"/>
      <c r="AA115" s="881" t="str">
        <f t="shared" si="3"/>
        <v>-</v>
      </c>
      <c r="AB115" s="906" t="s">
        <v>68</v>
      </c>
      <c r="AC115" s="906"/>
      <c r="AD115" s="324" t="str">
        <f>OBRA!V113</f>
        <v>JUAN CARLOS NAVARRO ROSALES</v>
      </c>
      <c r="AE115" s="317">
        <v>200</v>
      </c>
      <c r="AF115" s="318" t="s">
        <v>1433</v>
      </c>
      <c r="AG115" s="908">
        <f t="shared" si="2"/>
        <v>1163.6463000000001</v>
      </c>
      <c r="AH115" s="318">
        <v>80</v>
      </c>
      <c r="AI115" s="630" t="s">
        <v>1447</v>
      </c>
      <c r="AJ115" s="565"/>
      <c r="AK115" s="565"/>
      <c r="AL115" s="565"/>
      <c r="AM115" s="540"/>
      <c r="AN115" s="318" t="s">
        <v>68</v>
      </c>
      <c r="AO115" s="318" t="s">
        <v>68</v>
      </c>
      <c r="AP115" s="480" t="s">
        <v>1511</v>
      </c>
      <c r="AQ115" s="920" t="s">
        <v>1512</v>
      </c>
      <c r="AR115" s="1118"/>
      <c r="AS115" s="1118"/>
      <c r="AT115" s="1118"/>
      <c r="AU115" s="1118"/>
      <c r="AV115" s="481" t="s">
        <v>551</v>
      </c>
      <c r="AW115" s="325"/>
    </row>
    <row r="116" spans="1:49" s="326" customFormat="1" ht="75.75" hidden="1" customHeight="1">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0"/>
      <c r="R116" s="321">
        <f>OBRA!Q114</f>
        <v>42188</v>
      </c>
      <c r="S116" s="1327" t="str">
        <f>OBRA!T114</f>
        <v>-</v>
      </c>
      <c r="T116" s="322">
        <f>OBRA!R114</f>
        <v>42191</v>
      </c>
      <c r="U116" s="323">
        <f>OBRA!S114</f>
        <v>42210</v>
      </c>
      <c r="V116" s="1352"/>
      <c r="W116" s="912">
        <f>OBRA!AQ114+OBRA!AR114</f>
        <v>374361.23</v>
      </c>
      <c r="X116" s="927"/>
      <c r="Y116" s="906" t="str">
        <f>OBRA!U114</f>
        <v>-</v>
      </c>
      <c r="Z116" s="906"/>
      <c r="AA116" s="881" t="str">
        <f t="shared" si="3"/>
        <v>-</v>
      </c>
      <c r="AB116" s="906" t="s">
        <v>68</v>
      </c>
      <c r="AC116" s="906"/>
      <c r="AD116" s="324" t="str">
        <f>OBRA!V114</f>
        <v>JUAN CARLOS NAVARRO ROSALES</v>
      </c>
      <c r="AE116" s="317">
        <v>367</v>
      </c>
      <c r="AF116" s="318" t="s">
        <v>1433</v>
      </c>
      <c r="AG116" s="908">
        <f t="shared" si="2"/>
        <v>1020.0578474114441</v>
      </c>
      <c r="AH116" s="318">
        <v>150</v>
      </c>
      <c r="AI116" s="630" t="s">
        <v>1447</v>
      </c>
      <c r="AJ116" s="565"/>
      <c r="AK116" s="565"/>
      <c r="AL116" s="565"/>
      <c r="AM116" s="540"/>
      <c r="AN116" s="318" t="s">
        <v>68</v>
      </c>
      <c r="AO116" s="318" t="s">
        <v>68</v>
      </c>
      <c r="AP116" s="480" t="s">
        <v>1514</v>
      </c>
      <c r="AQ116" s="920" t="s">
        <v>1515</v>
      </c>
      <c r="AR116" s="1118"/>
      <c r="AS116" s="1118"/>
      <c r="AT116" s="1118"/>
      <c r="AU116" s="1118"/>
      <c r="AV116" s="481" t="s">
        <v>551</v>
      </c>
      <c r="AW116" s="325"/>
    </row>
    <row r="117" spans="1:49" s="326" customFormat="1" ht="75.75" hidden="1" customHeight="1">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0"/>
      <c r="R117" s="321">
        <f>OBRA!Q115</f>
        <v>42219</v>
      </c>
      <c r="S117" s="1327" t="str">
        <f>OBRA!T115</f>
        <v>-</v>
      </c>
      <c r="T117" s="322">
        <f>OBRA!R115</f>
        <v>42219</v>
      </c>
      <c r="U117" s="323">
        <f>OBRA!S115</f>
        <v>42231</v>
      </c>
      <c r="V117" s="1352"/>
      <c r="W117" s="912">
        <f>OBRA!AQ115+OBRA!AR115</f>
        <v>733036.8</v>
      </c>
      <c r="X117" s="927"/>
      <c r="Y117" s="906" t="str">
        <f>OBRA!U115</f>
        <v>-</v>
      </c>
      <c r="Z117" s="906"/>
      <c r="AA117" s="881" t="str">
        <f t="shared" si="3"/>
        <v>-</v>
      </c>
      <c r="AB117" s="906" t="s">
        <v>68</v>
      </c>
      <c r="AC117" s="906"/>
      <c r="AD117" s="324" t="str">
        <f>OBRA!V115</f>
        <v>JUAN CARLOS NAVARRO ROSALES</v>
      </c>
      <c r="AE117" s="317">
        <v>500</v>
      </c>
      <c r="AF117" s="318" t="s">
        <v>1433</v>
      </c>
      <c r="AG117" s="908">
        <f t="shared" si="2"/>
        <v>1466.0736000000002</v>
      </c>
      <c r="AH117" s="318">
        <v>90</v>
      </c>
      <c r="AI117" s="630" t="s">
        <v>1447</v>
      </c>
      <c r="AJ117" s="565"/>
      <c r="AK117" s="565"/>
      <c r="AL117" s="565"/>
      <c r="AM117" s="540"/>
      <c r="AN117" s="318" t="s">
        <v>68</v>
      </c>
      <c r="AO117" s="318" t="s">
        <v>68</v>
      </c>
      <c r="AP117" s="480" t="s">
        <v>1517</v>
      </c>
      <c r="AQ117" s="920" t="s">
        <v>1518</v>
      </c>
      <c r="AR117" s="1118"/>
      <c r="AS117" s="1118"/>
      <c r="AT117" s="1118"/>
      <c r="AU117" s="1118"/>
      <c r="AV117" s="481" t="s">
        <v>551</v>
      </c>
      <c r="AW117" s="325"/>
    </row>
    <row r="118" spans="1:49" s="326" customFormat="1" ht="75.75" hidden="1" customHeight="1">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0"/>
      <c r="R118" s="321">
        <f>OBRA!Q116</f>
        <v>42186</v>
      </c>
      <c r="S118" s="1327" t="str">
        <f>OBRA!T116</f>
        <v>-</v>
      </c>
      <c r="T118" s="322">
        <f>OBRA!R116</f>
        <v>42233</v>
      </c>
      <c r="U118" s="323">
        <f>OBRA!S116</f>
        <v>42247</v>
      </c>
      <c r="V118" s="1352"/>
      <c r="W118" s="912">
        <f>OBRA!AQ116+OBRA!AR116</f>
        <v>508166.97</v>
      </c>
      <c r="X118" s="927"/>
      <c r="Y118" s="906" t="str">
        <f>OBRA!U116</f>
        <v>-</v>
      </c>
      <c r="Z118" s="906"/>
      <c r="AA118" s="881" t="str">
        <f t="shared" si="3"/>
        <v>-</v>
      </c>
      <c r="AB118" s="906" t="s">
        <v>68</v>
      </c>
      <c r="AC118" s="906"/>
      <c r="AD118" s="324" t="str">
        <f>OBRA!V116</f>
        <v>JUAN CARLOS NAVARRO ROSALES</v>
      </c>
      <c r="AE118" s="317">
        <v>500</v>
      </c>
      <c r="AF118" s="318" t="s">
        <v>1433</v>
      </c>
      <c r="AG118" s="908">
        <f t="shared" si="2"/>
        <v>1016.33394</v>
      </c>
      <c r="AH118" s="318">
        <v>90</v>
      </c>
      <c r="AI118" s="630" t="s">
        <v>1447</v>
      </c>
      <c r="AJ118" s="565"/>
      <c r="AK118" s="565"/>
      <c r="AL118" s="565"/>
      <c r="AM118" s="540"/>
      <c r="AN118" s="318" t="s">
        <v>68</v>
      </c>
      <c r="AO118" s="318" t="s">
        <v>68</v>
      </c>
      <c r="AP118" s="509" t="s">
        <v>1519</v>
      </c>
      <c r="AQ118" s="994" t="s">
        <v>68</v>
      </c>
      <c r="AR118" s="1117"/>
      <c r="AS118" s="1117"/>
      <c r="AT118" s="1117"/>
      <c r="AU118" s="1117"/>
      <c r="AV118" s="481" t="s">
        <v>1484</v>
      </c>
      <c r="AW118" s="325"/>
    </row>
    <row r="119" spans="1:49" s="326" customFormat="1" ht="75.75" hidden="1" customHeight="1">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0"/>
      <c r="R119" s="321">
        <f>OBRA!Q117</f>
        <v>42219</v>
      </c>
      <c r="S119" s="1327" t="str">
        <f>OBRA!T117</f>
        <v>-</v>
      </c>
      <c r="T119" s="322">
        <f>OBRA!R117</f>
        <v>42219</v>
      </c>
      <c r="U119" s="323">
        <f>OBRA!S117</f>
        <v>42231</v>
      </c>
      <c r="V119" s="1352"/>
      <c r="W119" s="912">
        <f>OBRA!AQ117+OBRA!AR117</f>
        <v>113692.02</v>
      </c>
      <c r="X119" s="927"/>
      <c r="Y119" s="906" t="str">
        <f>OBRA!U117</f>
        <v>-</v>
      </c>
      <c r="Z119" s="906"/>
      <c r="AA119" s="881" t="str">
        <f t="shared" si="3"/>
        <v>-</v>
      </c>
      <c r="AB119" s="906" t="s">
        <v>68</v>
      </c>
      <c r="AC119" s="906"/>
      <c r="AD119" s="324" t="str">
        <f>OBRA!V117</f>
        <v>JUAN CARLOS NAVARRO ROSALES</v>
      </c>
      <c r="AE119" s="317">
        <v>68</v>
      </c>
      <c r="AF119" s="318" t="s">
        <v>1433</v>
      </c>
      <c r="AG119" s="908">
        <f t="shared" si="2"/>
        <v>1671.9414705882355</v>
      </c>
      <c r="AH119" s="318">
        <v>20</v>
      </c>
      <c r="AI119" s="630" t="s">
        <v>1447</v>
      </c>
      <c r="AJ119" s="565"/>
      <c r="AK119" s="565"/>
      <c r="AL119" s="565"/>
      <c r="AM119" s="540"/>
      <c r="AN119" s="318" t="s">
        <v>68</v>
      </c>
      <c r="AO119" s="318" t="s">
        <v>68</v>
      </c>
      <c r="AP119" s="480" t="s">
        <v>1521</v>
      </c>
      <c r="AQ119" s="499" t="s">
        <v>1522</v>
      </c>
      <c r="AR119" s="500"/>
      <c r="AS119" s="500"/>
      <c r="AT119" s="500"/>
      <c r="AU119" s="500"/>
      <c r="AV119" s="481" t="s">
        <v>551</v>
      </c>
      <c r="AW119" s="325"/>
    </row>
    <row r="120" spans="1:49" s="326" customFormat="1" ht="75.75" hidden="1" customHeight="1">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0"/>
      <c r="R120" s="321">
        <f>OBRA!Q118</f>
        <v>42225</v>
      </c>
      <c r="S120" s="1327" t="str">
        <f>OBRA!T118</f>
        <v>-</v>
      </c>
      <c r="T120" s="322">
        <f>OBRA!R118</f>
        <v>42225</v>
      </c>
      <c r="U120" s="323">
        <f>OBRA!S118</f>
        <v>42247</v>
      </c>
      <c r="V120" s="1352"/>
      <c r="W120" s="912">
        <f>OBRA!AQ118+OBRA!AR118</f>
        <v>115900.93</v>
      </c>
      <c r="X120" s="927"/>
      <c r="Y120" s="906" t="str">
        <f>OBRA!U118</f>
        <v>-</v>
      </c>
      <c r="Z120" s="906"/>
      <c r="AA120" s="881" t="str">
        <f t="shared" si="3"/>
        <v>-</v>
      </c>
      <c r="AB120" s="906" t="s">
        <v>68</v>
      </c>
      <c r="AC120" s="906"/>
      <c r="AD120" s="324" t="str">
        <f>OBRA!V118</f>
        <v>JUAN CARLOS NAVARRO ROSALES</v>
      </c>
      <c r="AE120" s="317">
        <v>127</v>
      </c>
      <c r="AF120" s="318" t="s">
        <v>1433</v>
      </c>
      <c r="AG120" s="908">
        <f t="shared" si="2"/>
        <v>912.60574803149598</v>
      </c>
      <c r="AH120" s="318">
        <v>10</v>
      </c>
      <c r="AI120" s="630" t="s">
        <v>1455</v>
      </c>
      <c r="AJ120" s="565"/>
      <c r="AK120" s="565"/>
      <c r="AL120" s="565"/>
      <c r="AM120" s="540"/>
      <c r="AN120" s="318" t="s">
        <v>68</v>
      </c>
      <c r="AO120" s="318" t="s">
        <v>68</v>
      </c>
      <c r="AP120" s="480" t="s">
        <v>1523</v>
      </c>
      <c r="AQ120" s="920" t="s">
        <v>1524</v>
      </c>
      <c r="AR120" s="1118"/>
      <c r="AS120" s="1118"/>
      <c r="AT120" s="1118"/>
      <c r="AU120" s="1118"/>
      <c r="AV120" s="481" t="s">
        <v>551</v>
      </c>
      <c r="AW120" s="325"/>
    </row>
    <row r="121" spans="1:49" s="326" customFormat="1" ht="75.75" hidden="1" customHeight="1">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0"/>
      <c r="R121" s="321">
        <f>OBRA!Q119</f>
        <v>42208</v>
      </c>
      <c r="S121" s="1327">
        <f>OBRA!T119</f>
        <v>42208</v>
      </c>
      <c r="T121" s="322">
        <f>OBRA!R119</f>
        <v>42212</v>
      </c>
      <c r="U121" s="323">
        <f>OBRA!S119</f>
        <v>42263</v>
      </c>
      <c r="V121" s="1352"/>
      <c r="W121" s="912">
        <f>OBRA!AQ119+OBRA!AR119</f>
        <v>862676.78</v>
      </c>
      <c r="X121" s="927"/>
      <c r="Y121" s="906" t="str">
        <f>OBRA!U119</f>
        <v>HIDROLOGIAA PERFORACION Y GESTION DEL AGUA SA DE CV</v>
      </c>
      <c r="Z121" s="906"/>
      <c r="AA121" s="881" t="s">
        <v>1528</v>
      </c>
      <c r="AB121" s="906" t="s">
        <v>1529</v>
      </c>
      <c r="AC121" s="906"/>
      <c r="AD121" s="324" t="str">
        <f>OBRA!V119</f>
        <v>ING. RIGOBERTO OLMEDO RAMOS</v>
      </c>
      <c r="AE121" s="317">
        <v>1</v>
      </c>
      <c r="AF121" s="318" t="s">
        <v>1466</v>
      </c>
      <c r="AG121" s="908">
        <f t="shared" si="2"/>
        <v>862676.78</v>
      </c>
      <c r="AH121" s="318">
        <v>1000</v>
      </c>
      <c r="AI121" s="630" t="s">
        <v>1455</v>
      </c>
      <c r="AJ121" s="565"/>
      <c r="AK121" s="565"/>
      <c r="AL121" s="565"/>
      <c r="AM121" s="540"/>
      <c r="AN121" s="318" t="s">
        <v>68</v>
      </c>
      <c r="AO121" s="318" t="s">
        <v>68</v>
      </c>
      <c r="AP121" s="496" t="s">
        <v>1530</v>
      </c>
      <c r="AQ121" s="919" t="s">
        <v>1531</v>
      </c>
      <c r="AR121" s="1119"/>
      <c r="AS121" s="1119"/>
      <c r="AT121" s="1119"/>
      <c r="AU121" s="1119"/>
      <c r="AV121" s="915" t="s">
        <v>551</v>
      </c>
      <c r="AW121" s="325"/>
    </row>
    <row r="122" spans="1:49" s="326" customFormat="1" ht="75.75" hidden="1" customHeight="1">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0"/>
      <c r="R122" s="321">
        <f>OBRA!Q120</f>
        <v>42212</v>
      </c>
      <c r="S122" s="1327" t="str">
        <f>OBRA!T120</f>
        <v>-</v>
      </c>
      <c r="T122" s="322">
        <f>OBRA!R120</f>
        <v>42219</v>
      </c>
      <c r="U122" s="323">
        <f>OBRA!S120</f>
        <v>42231</v>
      </c>
      <c r="V122" s="1352"/>
      <c r="W122" s="912">
        <f>OBRA!AQ120+OBRA!AR120</f>
        <v>652262.11</v>
      </c>
      <c r="X122" s="927"/>
      <c r="Y122" s="906" t="str">
        <f>OBRA!U120</f>
        <v>-</v>
      </c>
      <c r="Z122" s="906"/>
      <c r="AA122" s="881" t="str">
        <f t="shared" si="3"/>
        <v>-</v>
      </c>
      <c r="AB122" s="906" t="s">
        <v>68</v>
      </c>
      <c r="AC122" s="906"/>
      <c r="AD122" s="324" t="str">
        <f>OBRA!V120</f>
        <v>JUAN CARLOS NAVARRO ROSALES</v>
      </c>
      <c r="AE122" s="317">
        <v>788</v>
      </c>
      <c r="AF122" s="318" t="s">
        <v>1433</v>
      </c>
      <c r="AG122" s="908">
        <f t="shared" si="2"/>
        <v>827.74379441624365</v>
      </c>
      <c r="AH122" s="318">
        <v>2500</v>
      </c>
      <c r="AI122" s="630" t="s">
        <v>1455</v>
      </c>
      <c r="AJ122" s="565"/>
      <c r="AK122" s="565"/>
      <c r="AL122" s="565"/>
      <c r="AM122" s="540"/>
      <c r="AN122" s="318" t="s">
        <v>68</v>
      </c>
      <c r="AO122" s="318" t="s">
        <v>68</v>
      </c>
      <c r="AP122" s="480" t="s">
        <v>1533</v>
      </c>
      <c r="AQ122" s="920" t="s">
        <v>1534</v>
      </c>
      <c r="AR122" s="1118"/>
      <c r="AS122" s="1118"/>
      <c r="AT122" s="1118"/>
      <c r="AU122" s="1118"/>
      <c r="AV122" s="481" t="s">
        <v>551</v>
      </c>
      <c r="AW122" s="325"/>
    </row>
    <row r="123" spans="1:49" s="326" customFormat="1" ht="75.75" hidden="1" customHeight="1">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0"/>
      <c r="R123" s="321">
        <f>OBRA!Q121</f>
        <v>42186</v>
      </c>
      <c r="S123" s="1327" t="str">
        <f>OBRA!T121</f>
        <v>-</v>
      </c>
      <c r="T123" s="322">
        <f>OBRA!R121</f>
        <v>42186</v>
      </c>
      <c r="U123" s="323">
        <f>OBRA!S121</f>
        <v>42195</v>
      </c>
      <c r="V123" s="1352"/>
      <c r="W123" s="912">
        <f>OBRA!AQ121+OBRA!AR121</f>
        <v>362678.32</v>
      </c>
      <c r="X123" s="927"/>
      <c r="Y123" s="906" t="str">
        <f>OBRA!U121</f>
        <v>-</v>
      </c>
      <c r="Z123" s="906"/>
      <c r="AA123" s="881" t="str">
        <f t="shared" si="3"/>
        <v>-</v>
      </c>
      <c r="AB123" s="906" t="s">
        <v>68</v>
      </c>
      <c r="AC123" s="906"/>
      <c r="AD123" s="324" t="str">
        <f>OBRA!V121</f>
        <v>JUAN CARLOS NAVARRO ROSALES</v>
      </c>
      <c r="AE123" s="317">
        <v>365</v>
      </c>
      <c r="AF123" s="318" t="s">
        <v>1433</v>
      </c>
      <c r="AG123" s="908">
        <f t="shared" si="2"/>
        <v>993.6392328767123</v>
      </c>
      <c r="AH123" s="318">
        <v>120</v>
      </c>
      <c r="AI123" s="630" t="s">
        <v>1447</v>
      </c>
      <c r="AJ123" s="565"/>
      <c r="AK123" s="565"/>
      <c r="AL123" s="565"/>
      <c r="AM123" s="540"/>
      <c r="AN123" s="318" t="s">
        <v>68</v>
      </c>
      <c r="AO123" s="318" t="s">
        <v>68</v>
      </c>
      <c r="AP123" s="480" t="s">
        <v>1536</v>
      </c>
      <c r="AQ123" s="920" t="s">
        <v>1537</v>
      </c>
      <c r="AR123" s="1118"/>
      <c r="AS123" s="1118"/>
      <c r="AT123" s="1118"/>
      <c r="AU123" s="1118"/>
      <c r="AV123" s="481" t="s">
        <v>551</v>
      </c>
      <c r="AW123" s="325"/>
    </row>
    <row r="124" spans="1:49" s="326" customFormat="1" ht="75.75" hidden="1" customHeight="1">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0"/>
      <c r="R124" s="321">
        <f>OBRA!Q122</f>
        <v>42219</v>
      </c>
      <c r="S124" s="1327" t="str">
        <f>OBRA!T122</f>
        <v>-</v>
      </c>
      <c r="T124" s="322">
        <f>OBRA!R122</f>
        <v>42219</v>
      </c>
      <c r="U124" s="323">
        <f>OBRA!S122</f>
        <v>42231</v>
      </c>
      <c r="V124" s="1352"/>
      <c r="W124" s="912">
        <f>OBRA!AQ122+OBRA!AR122</f>
        <v>383228.64</v>
      </c>
      <c r="X124" s="927"/>
      <c r="Y124" s="906" t="str">
        <f>OBRA!U122</f>
        <v>-</v>
      </c>
      <c r="Z124" s="906"/>
      <c r="AA124" s="881" t="str">
        <f t="shared" si="3"/>
        <v>-</v>
      </c>
      <c r="AB124" s="906" t="s">
        <v>68</v>
      </c>
      <c r="AC124" s="906"/>
      <c r="AD124" s="324" t="str">
        <f>OBRA!V122</f>
        <v>JUAN CARLOS NAVARRO ROSALES</v>
      </c>
      <c r="AE124" s="317">
        <v>367</v>
      </c>
      <c r="AF124" s="318" t="s">
        <v>1433</v>
      </c>
      <c r="AG124" s="908">
        <f t="shared" si="2"/>
        <v>1044.219727520436</v>
      </c>
      <c r="AH124" s="318">
        <v>150</v>
      </c>
      <c r="AI124" s="630" t="s">
        <v>1447</v>
      </c>
      <c r="AJ124" s="565"/>
      <c r="AK124" s="565"/>
      <c r="AL124" s="565"/>
      <c r="AM124" s="540"/>
      <c r="AN124" s="318" t="s">
        <v>68</v>
      </c>
      <c r="AO124" s="318" t="s">
        <v>68</v>
      </c>
      <c r="AP124" s="509" t="s">
        <v>1538</v>
      </c>
      <c r="AQ124" s="499" t="s">
        <v>1539</v>
      </c>
      <c r="AR124" s="500"/>
      <c r="AS124" s="500"/>
      <c r="AT124" s="500"/>
      <c r="AU124" s="500"/>
      <c r="AV124" s="481" t="s">
        <v>551</v>
      </c>
      <c r="AW124" s="325"/>
    </row>
    <row r="125" spans="1:49" s="326" customFormat="1" ht="75.75" hidden="1" customHeight="1">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0"/>
      <c r="R125" s="321">
        <f>OBRA!Q123</f>
        <v>42230</v>
      </c>
      <c r="S125" s="1327" t="str">
        <f>OBRA!T123</f>
        <v>-</v>
      </c>
      <c r="T125" s="322">
        <f>OBRA!R123</f>
        <v>42232</v>
      </c>
      <c r="U125" s="323">
        <f>OBRA!S123</f>
        <v>42247</v>
      </c>
      <c r="V125" s="1352"/>
      <c r="W125" s="912">
        <f>OBRA!AQ123+OBRA!AR123</f>
        <v>158385.24</v>
      </c>
      <c r="X125" s="927"/>
      <c r="Y125" s="906" t="str">
        <f>OBRA!U123</f>
        <v>-</v>
      </c>
      <c r="Z125" s="906"/>
      <c r="AA125" s="881" t="str">
        <f t="shared" si="3"/>
        <v>-</v>
      </c>
      <c r="AB125" s="906" t="s">
        <v>68</v>
      </c>
      <c r="AC125" s="906"/>
      <c r="AD125" s="324" t="str">
        <f>OBRA!V123</f>
        <v>JUAN CARLOS NAVARRO ROSALES</v>
      </c>
      <c r="AE125" s="317">
        <v>277.89999999999998</v>
      </c>
      <c r="AF125" s="318" t="s">
        <v>1433</v>
      </c>
      <c r="AG125" s="908">
        <f t="shared" si="2"/>
        <v>569.9360921194675</v>
      </c>
      <c r="AH125" s="318">
        <v>250</v>
      </c>
      <c r="AI125" s="630" t="s">
        <v>1447</v>
      </c>
      <c r="AJ125" s="565"/>
      <c r="AK125" s="565"/>
      <c r="AL125" s="565"/>
      <c r="AM125" s="540"/>
      <c r="AN125" s="318" t="s">
        <v>68</v>
      </c>
      <c r="AO125" s="318" t="s">
        <v>68</v>
      </c>
      <c r="AP125" s="509" t="s">
        <v>1541</v>
      </c>
      <c r="AQ125" s="499" t="s">
        <v>1542</v>
      </c>
      <c r="AR125" s="500"/>
      <c r="AS125" s="500"/>
      <c r="AT125" s="500"/>
      <c r="AU125" s="500"/>
      <c r="AV125" s="481" t="s">
        <v>551</v>
      </c>
      <c r="AW125" s="325"/>
    </row>
    <row r="126" spans="1:49" s="326" customFormat="1" ht="75.75" hidden="1" customHeight="1">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0"/>
      <c r="R126" s="321">
        <f>OBRA!Q124</f>
        <v>42230</v>
      </c>
      <c r="S126" s="1327" t="str">
        <f>OBRA!T124</f>
        <v>-</v>
      </c>
      <c r="T126" s="322">
        <f>OBRA!R124</f>
        <v>42233</v>
      </c>
      <c r="U126" s="323">
        <f>OBRA!S124</f>
        <v>42245</v>
      </c>
      <c r="V126" s="1352"/>
      <c r="W126" s="912">
        <f>OBRA!AQ124+OBRA!AR124</f>
        <v>256750.89</v>
      </c>
      <c r="X126" s="927"/>
      <c r="Y126" s="906" t="str">
        <f>OBRA!U124</f>
        <v>-</v>
      </c>
      <c r="Z126" s="906"/>
      <c r="AA126" s="881" t="str">
        <f t="shared" si="3"/>
        <v>-</v>
      </c>
      <c r="AB126" s="906" t="s">
        <v>68</v>
      </c>
      <c r="AC126" s="906"/>
      <c r="AD126" s="324" t="str">
        <f>OBRA!V124</f>
        <v>JUAN CARLOS NAVARRO ROSALES</v>
      </c>
      <c r="AE126" s="317">
        <v>277.89999999999998</v>
      </c>
      <c r="AF126" s="318" t="s">
        <v>1433</v>
      </c>
      <c r="AG126" s="908">
        <f t="shared" si="2"/>
        <v>923.89668945663925</v>
      </c>
      <c r="AH126" s="318">
        <v>250</v>
      </c>
      <c r="AI126" s="630" t="s">
        <v>1447</v>
      </c>
      <c r="AJ126" s="565"/>
      <c r="AK126" s="565"/>
      <c r="AL126" s="565"/>
      <c r="AM126" s="540"/>
      <c r="AN126" s="318" t="s">
        <v>68</v>
      </c>
      <c r="AO126" s="318" t="s">
        <v>68</v>
      </c>
      <c r="AP126" s="509" t="s">
        <v>1544</v>
      </c>
      <c r="AQ126" s="499" t="s">
        <v>1545</v>
      </c>
      <c r="AR126" s="500"/>
      <c r="AS126" s="500"/>
      <c r="AT126" s="500"/>
      <c r="AU126" s="500"/>
      <c r="AV126" s="481" t="s">
        <v>551</v>
      </c>
      <c r="AW126" s="325"/>
    </row>
    <row r="127" spans="1:49" s="326" customFormat="1" ht="75.75" hidden="1" customHeight="1">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0"/>
      <c r="R127" s="321">
        <f>OBRA!Q125</f>
        <v>42228</v>
      </c>
      <c r="S127" s="1327" t="str">
        <f>OBRA!T125</f>
        <v>-</v>
      </c>
      <c r="T127" s="322">
        <f>OBRA!R125</f>
        <v>42231</v>
      </c>
      <c r="U127" s="323">
        <f>OBRA!S125</f>
        <v>42247</v>
      </c>
      <c r="V127" s="1352"/>
      <c r="W127" s="912">
        <f>OBRA!AQ125+OBRA!AR125</f>
        <v>362580.86</v>
      </c>
      <c r="X127" s="927"/>
      <c r="Y127" s="906" t="str">
        <f>OBRA!U125</f>
        <v>-</v>
      </c>
      <c r="Z127" s="906"/>
      <c r="AA127" s="881" t="str">
        <f t="shared" si="3"/>
        <v>-</v>
      </c>
      <c r="AB127" s="906" t="s">
        <v>68</v>
      </c>
      <c r="AC127" s="906"/>
      <c r="AD127" s="324" t="str">
        <f>OBRA!V125</f>
        <v>JUAN CARLOS NAVARRO ROSALES</v>
      </c>
      <c r="AE127" s="317">
        <v>1346</v>
      </c>
      <c r="AF127" s="318" t="s">
        <v>1433</v>
      </c>
      <c r="AG127" s="908">
        <f t="shared" si="2"/>
        <v>269.3765676077266</v>
      </c>
      <c r="AH127" s="318">
        <v>15</v>
      </c>
      <c r="AI127" s="630" t="s">
        <v>1447</v>
      </c>
      <c r="AJ127" s="565"/>
      <c r="AK127" s="565"/>
      <c r="AL127" s="565"/>
      <c r="AM127" s="540"/>
      <c r="AN127" s="318" t="s">
        <v>68</v>
      </c>
      <c r="AO127" s="318" t="s">
        <v>68</v>
      </c>
      <c r="AP127" s="480" t="s">
        <v>1547</v>
      </c>
      <c r="AQ127" s="920" t="s">
        <v>1548</v>
      </c>
      <c r="AR127" s="1118"/>
      <c r="AS127" s="1118"/>
      <c r="AT127" s="1118"/>
      <c r="AU127" s="1118"/>
      <c r="AV127" s="481" t="s">
        <v>551</v>
      </c>
      <c r="AW127" s="325"/>
    </row>
    <row r="128" spans="1:49" s="326" customFormat="1" ht="75.75" hidden="1" customHeight="1">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0"/>
      <c r="R128" s="321" t="s">
        <v>68</v>
      </c>
      <c r="S128" s="1327" t="str">
        <f>OBRA!T126</f>
        <v>-</v>
      </c>
      <c r="T128" s="322" t="s">
        <v>68</v>
      </c>
      <c r="U128" s="323" t="s">
        <v>68</v>
      </c>
      <c r="V128" s="1352"/>
      <c r="W128" s="912">
        <f>OBRA!AQ126+OBRA!AR126</f>
        <v>56113.77</v>
      </c>
      <c r="X128" s="927"/>
      <c r="Y128" s="906" t="str">
        <f>OBRA!U126</f>
        <v>-</v>
      </c>
      <c r="Z128" s="906"/>
      <c r="AA128" s="881" t="str">
        <f t="shared" si="3"/>
        <v>-</v>
      </c>
      <c r="AB128" s="906" t="s">
        <v>68</v>
      </c>
      <c r="AC128" s="906"/>
      <c r="AD128" s="324" t="str">
        <f>OBRA!V126</f>
        <v>ING. RIGOBERTO OLMEDO RAMOS</v>
      </c>
      <c r="AE128" s="317">
        <v>375</v>
      </c>
      <c r="AF128" s="318" t="s">
        <v>1552</v>
      </c>
      <c r="AG128" s="908">
        <f t="shared" si="2"/>
        <v>149.63672</v>
      </c>
      <c r="AH128" s="318">
        <v>10000</v>
      </c>
      <c r="AI128" s="630" t="s">
        <v>1455</v>
      </c>
      <c r="AJ128" s="565"/>
      <c r="AK128" s="565"/>
      <c r="AL128" s="565"/>
      <c r="AM128" s="540"/>
      <c r="AN128" s="318" t="s">
        <v>68</v>
      </c>
      <c r="AO128" s="318" t="s">
        <v>68</v>
      </c>
      <c r="AP128" s="480" t="s">
        <v>1551</v>
      </c>
      <c r="AQ128" s="920" t="s">
        <v>1553</v>
      </c>
      <c r="AR128" s="1118"/>
      <c r="AS128" s="1118"/>
      <c r="AT128" s="1118"/>
      <c r="AU128" s="1118"/>
      <c r="AV128" s="481" t="s">
        <v>551</v>
      </c>
      <c r="AW128" s="325"/>
    </row>
    <row r="129" spans="1:49" s="326" customFormat="1" ht="75.75" hidden="1" customHeight="1">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0"/>
      <c r="R129" s="321">
        <f>OBRA!Q127</f>
        <v>42254</v>
      </c>
      <c r="S129" s="1327" t="str">
        <f>OBRA!T127</f>
        <v>-</v>
      </c>
      <c r="T129" s="322">
        <f>OBRA!R127</f>
        <v>42254</v>
      </c>
      <c r="U129" s="323">
        <f>OBRA!S127</f>
        <v>42210</v>
      </c>
      <c r="V129" s="1352"/>
      <c r="W129" s="912">
        <f>OBRA!AQ127+OBRA!AR127</f>
        <v>121302.28</v>
      </c>
      <c r="X129" s="927"/>
      <c r="Y129" s="906" t="str">
        <f>OBRA!U127</f>
        <v>-</v>
      </c>
      <c r="Z129" s="906"/>
      <c r="AA129" s="881" t="str">
        <f t="shared" si="3"/>
        <v>-</v>
      </c>
      <c r="AB129" s="906" t="s">
        <v>68</v>
      </c>
      <c r="AC129" s="906"/>
      <c r="AD129" s="324" t="str">
        <f>OBRA!V127</f>
        <v>ING. RIGOBERTO OLMEDO RAMOS</v>
      </c>
      <c r="AE129" s="317">
        <v>1978.84</v>
      </c>
      <c r="AF129" s="318" t="s">
        <v>1432</v>
      </c>
      <c r="AG129" s="908">
        <f t="shared" si="2"/>
        <v>61.299690727901194</v>
      </c>
      <c r="AH129" s="318">
        <v>250</v>
      </c>
      <c r="AI129" s="630" t="s">
        <v>1447</v>
      </c>
      <c r="AJ129" s="565"/>
      <c r="AK129" s="565"/>
      <c r="AL129" s="565"/>
      <c r="AM129" s="540"/>
      <c r="AN129" s="318" t="s">
        <v>68</v>
      </c>
      <c r="AO129" s="318" t="s">
        <v>68</v>
      </c>
      <c r="AP129" s="480" t="s">
        <v>1556</v>
      </c>
      <c r="AQ129" s="920" t="s">
        <v>1557</v>
      </c>
      <c r="AR129" s="1118"/>
      <c r="AS129" s="1118"/>
      <c r="AT129" s="1118"/>
      <c r="AU129" s="1118"/>
      <c r="AV129" s="481" t="s">
        <v>551</v>
      </c>
      <c r="AW129" s="325"/>
    </row>
    <row r="130" spans="1:49" s="326" customFormat="1" ht="75.75" hidden="1" customHeight="1">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0"/>
      <c r="R130" s="321">
        <f>OBRA!Q128</f>
        <v>42258</v>
      </c>
      <c r="S130" s="1327" t="str">
        <f>OBRA!T128</f>
        <v>-</v>
      </c>
      <c r="T130" s="322">
        <f>OBRA!R128</f>
        <v>42258</v>
      </c>
      <c r="U130" s="323">
        <f>OBRA!S128</f>
        <v>42272</v>
      </c>
      <c r="V130" s="1352"/>
      <c r="W130" s="912">
        <f>OBRA!AQ128+OBRA!AR128</f>
        <v>289195.57</v>
      </c>
      <c r="X130" s="927"/>
      <c r="Y130" s="906" t="str">
        <f>OBRA!U128</f>
        <v>-</v>
      </c>
      <c r="Z130" s="906"/>
      <c r="AA130" s="881" t="str">
        <f t="shared" si="3"/>
        <v>-</v>
      </c>
      <c r="AB130" s="906" t="s">
        <v>68</v>
      </c>
      <c r="AC130" s="906"/>
      <c r="AD130" s="324" t="str">
        <f>OBRA!V128</f>
        <v>JUAN CARLOS NAVARRO ROSALES</v>
      </c>
      <c r="AE130" s="317">
        <v>344.28</v>
      </c>
      <c r="AF130" s="318" t="s">
        <v>1432</v>
      </c>
      <c r="AG130" s="908">
        <f t="shared" si="2"/>
        <v>840.0010747066342</v>
      </c>
      <c r="AH130" s="318">
        <v>100</v>
      </c>
      <c r="AI130" s="630" t="s">
        <v>1447</v>
      </c>
      <c r="AJ130" s="565"/>
      <c r="AK130" s="565"/>
      <c r="AL130" s="565"/>
      <c r="AM130" s="540"/>
      <c r="AN130" s="318" t="s">
        <v>68</v>
      </c>
      <c r="AO130" s="318" t="s">
        <v>68</v>
      </c>
      <c r="AP130" s="480" t="s">
        <v>1559</v>
      </c>
      <c r="AQ130" s="920" t="s">
        <v>1560</v>
      </c>
      <c r="AR130" s="1118"/>
      <c r="AS130" s="1118"/>
      <c r="AT130" s="1118"/>
      <c r="AU130" s="1118"/>
      <c r="AV130" s="481" t="s">
        <v>551</v>
      </c>
      <c r="AW130" s="325"/>
    </row>
    <row r="131" spans="1:49" s="326" customFormat="1" ht="141" hidden="1" customHeight="1">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0"/>
      <c r="R131" s="321">
        <f>OBRA!Q129</f>
        <v>42320</v>
      </c>
      <c r="S131" s="1327" t="str">
        <f>OBRA!T129</f>
        <v>-</v>
      </c>
      <c r="T131" s="322">
        <f>OBRA!R129</f>
        <v>42321</v>
      </c>
      <c r="U131" s="323">
        <f>OBRA!S129</f>
        <v>42369</v>
      </c>
      <c r="V131" s="1352"/>
      <c r="W131" s="912">
        <f>OBRA!AQ129+OBRA!AR129</f>
        <v>2564102.5699999998</v>
      </c>
      <c r="X131" s="927"/>
      <c r="Y131" s="906" t="str">
        <f>OBRA!U129</f>
        <v>-</v>
      </c>
      <c r="Z131" s="906"/>
      <c r="AA131" s="881" t="str">
        <f t="shared" si="3"/>
        <v>-</v>
      </c>
      <c r="AB131" s="906" t="s">
        <v>68</v>
      </c>
      <c r="AC131" s="906"/>
      <c r="AD131" s="324" t="str">
        <f>OBRA!V129</f>
        <v>ING. J. GUADALUPE IBARRA RAMIREZ</v>
      </c>
      <c r="AE131" s="317">
        <v>200</v>
      </c>
      <c r="AF131" s="318" t="s">
        <v>1454</v>
      </c>
      <c r="AG131" s="921">
        <f t="shared" si="2"/>
        <v>12820.512849999999</v>
      </c>
      <c r="AH131" s="318">
        <v>7800</v>
      </c>
      <c r="AI131" s="630" t="s">
        <v>1455</v>
      </c>
      <c r="AJ131" s="565"/>
      <c r="AK131" s="565"/>
      <c r="AL131" s="565"/>
      <c r="AM131" s="540"/>
      <c r="AN131" s="318" t="s">
        <v>68</v>
      </c>
      <c r="AO131" s="318" t="s">
        <v>68</v>
      </c>
      <c r="AP131" s="509" t="s">
        <v>1563</v>
      </c>
      <c r="AQ131" s="499" t="s">
        <v>1564</v>
      </c>
      <c r="AR131" s="500"/>
      <c r="AS131" s="500"/>
      <c r="AT131" s="500"/>
      <c r="AU131" s="500"/>
      <c r="AV131" s="481" t="s">
        <v>1484</v>
      </c>
      <c r="AW131" s="325"/>
    </row>
    <row r="132" spans="1:49" s="326" customFormat="1" ht="111.75" hidden="1" customHeight="1">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0"/>
      <c r="R132" s="321">
        <f>OBRA!Q130</f>
        <v>42278</v>
      </c>
      <c r="S132" s="1327" t="str">
        <f>OBRA!T130</f>
        <v>-</v>
      </c>
      <c r="T132" s="322">
        <f>OBRA!R130</f>
        <v>42278</v>
      </c>
      <c r="U132" s="323">
        <f>OBRA!S130</f>
        <v>42338</v>
      </c>
      <c r="V132" s="1352"/>
      <c r="W132" s="912">
        <f>OBRA!AQ130+OBRA!AR130</f>
        <v>264410.83</v>
      </c>
      <c r="X132" s="927"/>
      <c r="Y132" s="906" t="str">
        <f>OBRA!U130</f>
        <v>-</v>
      </c>
      <c r="Z132" s="906"/>
      <c r="AA132" s="881" t="str">
        <f>Y132</f>
        <v>-</v>
      </c>
      <c r="AB132" s="906" t="s">
        <v>68</v>
      </c>
      <c r="AC132" s="906"/>
      <c r="AD132" s="324" t="str">
        <f>OBRA!V130</f>
        <v>ING. J. GUADALUPE IBARRA RAMIREZ</v>
      </c>
      <c r="AE132" s="317">
        <v>40</v>
      </c>
      <c r="AF132" s="318" t="s">
        <v>1566</v>
      </c>
      <c r="AG132" s="908">
        <f t="shared" si="2"/>
        <v>6610.2707500000006</v>
      </c>
      <c r="AH132" s="318">
        <v>22000</v>
      </c>
      <c r="AI132" s="630" t="s">
        <v>1455</v>
      </c>
      <c r="AJ132" s="565"/>
      <c r="AK132" s="565"/>
      <c r="AL132" s="565"/>
      <c r="AM132" s="540"/>
      <c r="AN132" s="318" t="s">
        <v>68</v>
      </c>
      <c r="AO132" s="318" t="s">
        <v>68</v>
      </c>
      <c r="AP132" s="922" t="s">
        <v>68</v>
      </c>
      <c r="AQ132" s="923" t="s">
        <v>68</v>
      </c>
      <c r="AR132" s="1120"/>
      <c r="AS132" s="1120"/>
      <c r="AT132" s="1120"/>
      <c r="AU132" s="1120"/>
      <c r="AV132" s="481" t="s">
        <v>1484</v>
      </c>
      <c r="AW132" s="325"/>
    </row>
    <row r="133" spans="1:49" ht="122.25" hidden="1" customHeight="1">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85"/>
      <c r="R133" s="69">
        <f>OBRA!Q131</f>
        <v>42320</v>
      </c>
      <c r="S133" s="1327" t="str">
        <f>OBRA!T131</f>
        <v>-</v>
      </c>
      <c r="T133" s="255">
        <f>OBRA!R131</f>
        <v>42321</v>
      </c>
      <c r="U133" s="245">
        <f>OBRA!S131</f>
        <v>42369</v>
      </c>
      <c r="V133" s="387"/>
      <c r="W133" s="756">
        <f>OBRA!AQ131+OBRA!AR131</f>
        <v>1950134.25</v>
      </c>
      <c r="X133" s="1197"/>
      <c r="Y133" s="650" t="str">
        <f>OBRA!U131</f>
        <v>-</v>
      </c>
      <c r="Z133" s="650"/>
      <c r="AA133" s="652" t="str">
        <f t="shared" si="3"/>
        <v>-</v>
      </c>
      <c r="AB133" s="650" t="s">
        <v>68</v>
      </c>
      <c r="AC133" s="650"/>
      <c r="AD133" s="200" t="str">
        <f>OBRA!V131</f>
        <v>ING. J. GUADALUPE IBARRA RAMIREZ</v>
      </c>
      <c r="AE133" s="174">
        <v>393.17</v>
      </c>
      <c r="AF133" s="202" t="s">
        <v>1454</v>
      </c>
      <c r="AG133" s="757">
        <f t="shared" si="2"/>
        <v>4960.0281048910138</v>
      </c>
      <c r="AH133" s="202">
        <v>7800</v>
      </c>
      <c r="AI133" s="249" t="s">
        <v>1455</v>
      </c>
      <c r="AJ133" s="566"/>
      <c r="AK133" s="566"/>
      <c r="AL133" s="566"/>
      <c r="AM133" s="542"/>
      <c r="AN133" s="202" t="s">
        <v>68</v>
      </c>
      <c r="AO133" s="202" t="s">
        <v>68</v>
      </c>
      <c r="AP133" s="510" t="s">
        <v>1563</v>
      </c>
      <c r="AQ133" s="803" t="s">
        <v>1564</v>
      </c>
      <c r="AR133" s="901"/>
      <c r="AS133" s="901"/>
      <c r="AT133" s="901"/>
      <c r="AU133" s="901"/>
      <c r="AV133" s="633" t="s">
        <v>551</v>
      </c>
      <c r="AW133" s="329"/>
    </row>
    <row r="134" spans="1:49" ht="118.5" hidden="1" customHeight="1">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85"/>
      <c r="R134" s="69">
        <f>OBRA!Q132</f>
        <v>42320</v>
      </c>
      <c r="S134" s="1327" t="str">
        <f>OBRA!T132</f>
        <v>-</v>
      </c>
      <c r="T134" s="255">
        <f>OBRA!R132</f>
        <v>42321</v>
      </c>
      <c r="U134" s="245">
        <f>OBRA!S132</f>
        <v>42369</v>
      </c>
      <c r="V134" s="387"/>
      <c r="W134" s="651">
        <v>1536121.05</v>
      </c>
      <c r="X134" s="1198"/>
      <c r="Y134" s="650" t="str">
        <f>OBRA!U132</f>
        <v>-</v>
      </c>
      <c r="Z134" s="650"/>
      <c r="AA134" s="652" t="str">
        <f t="shared" si="3"/>
        <v>-</v>
      </c>
      <c r="AB134" s="650" t="s">
        <v>68</v>
      </c>
      <c r="AC134" s="650"/>
      <c r="AD134" s="200" t="str">
        <f>OBRA!V132</f>
        <v>ING. J. GUADALUPE IBARRA RAMIREZ</v>
      </c>
      <c r="AE134" s="174">
        <v>393.17</v>
      </c>
      <c r="AF134" s="202" t="s">
        <v>1454</v>
      </c>
      <c r="AG134" s="694">
        <f t="shared" si="2"/>
        <v>3907.0149044942391</v>
      </c>
      <c r="AH134" s="202">
        <v>7800</v>
      </c>
      <c r="AI134" s="249" t="s">
        <v>1455</v>
      </c>
      <c r="AJ134" s="566"/>
      <c r="AK134" s="566"/>
      <c r="AL134" s="566"/>
      <c r="AM134" s="542"/>
      <c r="AN134" s="202" t="s">
        <v>68</v>
      </c>
      <c r="AO134" s="202" t="s">
        <v>68</v>
      </c>
      <c r="AP134" s="510" t="s">
        <v>1569</v>
      </c>
      <c r="AQ134" s="801" t="s">
        <v>1570</v>
      </c>
      <c r="AR134" s="900"/>
      <c r="AS134" s="900"/>
      <c r="AT134" s="900"/>
      <c r="AU134" s="900"/>
      <c r="AV134" s="633" t="s">
        <v>551</v>
      </c>
      <c r="AW134" s="329"/>
    </row>
    <row r="135" spans="1:49" ht="51" hidden="1" customHeight="1">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4"/>
      <c r="R135" s="6">
        <f>OBRA!Q133</f>
        <v>42307</v>
      </c>
      <c r="S135" s="1327" t="str">
        <f>OBRA!T133</f>
        <v>-</v>
      </c>
      <c r="T135" s="5">
        <f>OBRA!R133</f>
        <v>42338</v>
      </c>
      <c r="U135" s="12">
        <f>OBRA!S133</f>
        <v>42696</v>
      </c>
      <c r="V135" s="243"/>
      <c r="W135" s="637">
        <f>OBRA!AQ133+OBRA!AR133</f>
        <v>0</v>
      </c>
      <c r="X135" s="305"/>
      <c r="Y135" s="639" t="str">
        <f>OBRA!U133</f>
        <v>-</v>
      </c>
      <c r="Z135" s="639"/>
      <c r="AA135" s="640" t="str">
        <f t="shared" si="3"/>
        <v>-</v>
      </c>
      <c r="AB135" s="639" t="s">
        <v>68</v>
      </c>
      <c r="AC135" s="639"/>
      <c r="AD135" s="198" t="str">
        <f>OBRA!V133</f>
        <v>-</v>
      </c>
      <c r="AE135" s="20"/>
      <c r="AF135" s="2"/>
      <c r="AG135" s="638" t="e">
        <f t="shared" si="2"/>
        <v>#DIV/0!</v>
      </c>
      <c r="AH135" s="2"/>
      <c r="AI135" s="164"/>
      <c r="AJ135" s="582"/>
      <c r="AK135" s="582"/>
      <c r="AL135" s="582"/>
      <c r="AM135" s="582"/>
      <c r="AN135" s="582"/>
      <c r="AO135" s="582"/>
      <c r="AP135" s="902"/>
      <c r="AQ135" s="554"/>
      <c r="AR135" s="1121"/>
      <c r="AS135" s="1121"/>
      <c r="AT135" s="1121"/>
      <c r="AU135" s="1121"/>
      <c r="AV135" s="154"/>
      <c r="AW135" s="13"/>
    </row>
    <row r="136" spans="1:49" ht="64.5" hidden="1" customHeight="1">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85"/>
      <c r="R136" s="69">
        <f>OBRA!Q134</f>
        <v>42339</v>
      </c>
      <c r="S136" s="1327">
        <f>OBRA!T134</f>
        <v>42701</v>
      </c>
      <c r="T136" s="255">
        <f>OBRA!R134</f>
        <v>42338</v>
      </c>
      <c r="U136" s="245">
        <f>OBRA!S134</f>
        <v>42704</v>
      </c>
      <c r="V136" s="387"/>
      <c r="W136" s="651">
        <f>OBRA!AQ134+OBRA!AR134</f>
        <v>1500100</v>
      </c>
      <c r="X136" s="1198"/>
      <c r="Y136" s="650" t="str">
        <f>OBRA!U134</f>
        <v>ARGUELLES ARQUITECTOS S.A. DE C.V.</v>
      </c>
      <c r="Z136" s="650"/>
      <c r="AA136" s="652" t="s">
        <v>1575</v>
      </c>
      <c r="AB136" s="650" t="s">
        <v>1576</v>
      </c>
      <c r="AC136" s="650"/>
      <c r="AD136" s="200" t="str">
        <f>OBRA!V134</f>
        <v>ARQ. FRANCISCO SALAZAR</v>
      </c>
      <c r="AE136" s="684">
        <v>1</v>
      </c>
      <c r="AF136" s="202" t="s">
        <v>1577</v>
      </c>
      <c r="AG136" s="694">
        <f t="shared" ref="AG136:AG199" si="4">W136/AE136</f>
        <v>1500100</v>
      </c>
      <c r="AH136" s="202">
        <v>18000</v>
      </c>
      <c r="AI136" s="249" t="s">
        <v>1455</v>
      </c>
      <c r="AJ136" s="566"/>
      <c r="AK136" s="566"/>
      <c r="AL136" s="566"/>
      <c r="AM136" s="542"/>
      <c r="AN136" s="202" t="s">
        <v>68</v>
      </c>
      <c r="AO136" s="202" t="s">
        <v>68</v>
      </c>
      <c r="AP136" s="545" t="s">
        <v>1578</v>
      </c>
      <c r="AQ136" s="668" t="s">
        <v>1579</v>
      </c>
      <c r="AR136" s="1122"/>
      <c r="AS136" s="1122"/>
      <c r="AT136" s="1122"/>
      <c r="AU136" s="1122"/>
      <c r="AV136" s="180" t="s">
        <v>551</v>
      </c>
      <c r="AW136" s="329"/>
    </row>
    <row r="137" spans="1:49" s="110" customFormat="1" ht="60" hidden="1" customHeight="1">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2"/>
      <c r="R137" s="93">
        <f>OBRA!Q135</f>
        <v>42593</v>
      </c>
      <c r="S137" s="1327" t="str">
        <f>OBRA!T135</f>
        <v>FALTA</v>
      </c>
      <c r="T137" s="94">
        <f>OBRA!R135</f>
        <v>42597</v>
      </c>
      <c r="U137" s="95">
        <f>OBRA!S135</f>
        <v>42704</v>
      </c>
      <c r="V137" s="374"/>
      <c r="W137" s="934">
        <f>OBRA!AQ135+OBRA!AR135</f>
        <v>0</v>
      </c>
      <c r="X137" s="947"/>
      <c r="Y137" s="935" t="str">
        <f>OBRA!U135</f>
        <v>CONSTRUCCIONES VIKBRAK, S.A. DE C.V.</v>
      </c>
      <c r="Z137" s="935"/>
      <c r="AA137" s="460" t="s">
        <v>1580</v>
      </c>
      <c r="AB137" s="935" t="s">
        <v>1581</v>
      </c>
      <c r="AC137" s="935"/>
      <c r="AD137" s="199" t="str">
        <f>OBRA!V135</f>
        <v xml:space="preserve">LIC. SALVADOR CONTRERAS </v>
      </c>
      <c r="AE137" s="204"/>
      <c r="AF137" s="201"/>
      <c r="AG137" s="936" t="e">
        <f t="shared" si="4"/>
        <v>#DIV/0!</v>
      </c>
      <c r="AH137" s="201"/>
      <c r="AI137" s="635"/>
      <c r="AJ137" s="584"/>
      <c r="AK137" s="584"/>
      <c r="AL137" s="584"/>
      <c r="AM137" s="584"/>
      <c r="AN137" s="584"/>
      <c r="AO137" s="584"/>
      <c r="AP137" s="940"/>
      <c r="AQ137" s="938"/>
      <c r="AR137" s="1123"/>
      <c r="AS137" s="1123"/>
      <c r="AT137" s="1123"/>
      <c r="AU137" s="1123"/>
      <c r="AV137" s="584"/>
      <c r="AW137" s="109"/>
    </row>
    <row r="138" spans="1:49" ht="93.75" hidden="1" customHeight="1">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1208"/>
      <c r="R138" s="69">
        <f>OBRA!Q136</f>
        <v>42403</v>
      </c>
      <c r="S138" s="1327" t="str">
        <f>OBRA!T136</f>
        <v>-</v>
      </c>
      <c r="T138" s="255">
        <f>OBRA!R136</f>
        <v>42405</v>
      </c>
      <c r="U138" s="245">
        <f>OBRA!S136</f>
        <v>42441</v>
      </c>
      <c r="V138" s="387"/>
      <c r="W138" s="651">
        <f>OBRA!AQ136+OBRA!AR136</f>
        <v>182210.81</v>
      </c>
      <c r="X138" s="1198"/>
      <c r="Y138" s="650" t="str">
        <f>OBRA!U136</f>
        <v>-</v>
      </c>
      <c r="Z138" s="650"/>
      <c r="AA138" s="652" t="str">
        <f t="shared" ref="AA138:AA200" si="5">Y138</f>
        <v>-</v>
      </c>
      <c r="AB138" s="650" t="s">
        <v>68</v>
      </c>
      <c r="AC138" s="650"/>
      <c r="AD138" s="200" t="str">
        <f>OBRA!V136</f>
        <v>ING. J. GUADALUPE IBARRA RAMIREZ</v>
      </c>
      <c r="AE138" s="174">
        <v>244</v>
      </c>
      <c r="AF138" s="202" t="s">
        <v>1454</v>
      </c>
      <c r="AG138" s="653">
        <f t="shared" si="4"/>
        <v>746.76561475409835</v>
      </c>
      <c r="AH138" s="202">
        <v>400</v>
      </c>
      <c r="AI138" s="249" t="s">
        <v>1455</v>
      </c>
      <c r="AJ138" s="566"/>
      <c r="AK138" s="566"/>
      <c r="AL138" s="566"/>
      <c r="AM138" s="900"/>
      <c r="AN138" s="900" t="s">
        <v>1584</v>
      </c>
      <c r="AO138" s="900" t="s">
        <v>1585</v>
      </c>
      <c r="AP138" s="510" t="s">
        <v>1586</v>
      </c>
      <c r="AQ138" s="801" t="s">
        <v>1587</v>
      </c>
      <c r="AR138" s="900"/>
      <c r="AS138" s="900"/>
      <c r="AT138" s="900"/>
      <c r="AU138" s="900"/>
      <c r="AV138" s="633" t="s">
        <v>551</v>
      </c>
      <c r="AW138" s="329"/>
    </row>
    <row r="139" spans="1:49" ht="63.75" hidden="1" customHeight="1">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2649</v>
      </c>
      <c r="N139" s="510"/>
      <c r="O139" s="85">
        <f>OBRA!P137</f>
        <v>46400</v>
      </c>
      <c r="P139" s="1208">
        <f t="shared" ref="P139:P175" si="6">O139/1.16</f>
        <v>40000</v>
      </c>
      <c r="Q139" s="1208"/>
      <c r="R139" s="69">
        <f>OBRA!Q137</f>
        <v>42433</v>
      </c>
      <c r="S139" s="1327" t="str">
        <f>OBRA!T137</f>
        <v>-</v>
      </c>
      <c r="T139" s="255">
        <f>OBRA!R137</f>
        <v>42434</v>
      </c>
      <c r="U139" s="245">
        <f>OBRA!S137</f>
        <v>42439</v>
      </c>
      <c r="V139" s="387"/>
      <c r="W139" s="651">
        <f>OBRA!AQ137+OBRA!AR137</f>
        <v>24800</v>
      </c>
      <c r="X139" s="1198"/>
      <c r="Y139" s="650" t="str">
        <f>OBRA!U137</f>
        <v>-</v>
      </c>
      <c r="Z139" s="650"/>
      <c r="AA139" s="652" t="str">
        <f t="shared" si="5"/>
        <v>-</v>
      </c>
      <c r="AB139" s="650" t="s">
        <v>68</v>
      </c>
      <c r="AC139" s="650"/>
      <c r="AD139" s="200" t="str">
        <f>OBRA!V137</f>
        <v>ING. J. GUADALUPE IBARRA RAMIREZ</v>
      </c>
      <c r="AE139" s="174">
        <v>1</v>
      </c>
      <c r="AF139" s="202" t="s">
        <v>1577</v>
      </c>
      <c r="AG139" s="653">
        <f t="shared" si="4"/>
        <v>24800</v>
      </c>
      <c r="AH139" s="202">
        <v>2800</v>
      </c>
      <c r="AI139" s="249" t="s">
        <v>1455</v>
      </c>
      <c r="AJ139" s="566"/>
      <c r="AK139" s="566"/>
      <c r="AL139" s="566"/>
      <c r="AM139" s="900"/>
      <c r="AN139" s="585"/>
      <c r="AO139" s="585"/>
      <c r="AP139" s="905" t="s">
        <v>68</v>
      </c>
      <c r="AQ139" s="801" t="s">
        <v>1590</v>
      </c>
      <c r="AR139" s="900"/>
      <c r="AS139" s="900"/>
      <c r="AT139" s="900"/>
      <c r="AU139" s="900"/>
      <c r="AV139" s="633" t="s">
        <v>1484</v>
      </c>
      <c r="AW139" s="329"/>
    </row>
    <row r="140" spans="1:49" ht="45" hidden="1" customHeight="1">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2574</v>
      </c>
      <c r="N140" s="554"/>
      <c r="O140" s="85">
        <f>OBRA!P138</f>
        <v>192889.77</v>
      </c>
      <c r="P140" s="1208">
        <f t="shared" si="6"/>
        <v>166284.28448275861</v>
      </c>
      <c r="Q140" s="1208"/>
      <c r="R140" s="69">
        <f>OBRA!Q138</f>
        <v>42498</v>
      </c>
      <c r="S140" s="1327" t="str">
        <f>OBRA!T138</f>
        <v>-</v>
      </c>
      <c r="T140" s="255">
        <f>OBRA!R138</f>
        <v>42499</v>
      </c>
      <c r="U140" s="245">
        <f>OBRA!S138</f>
        <v>42560</v>
      </c>
      <c r="V140" s="387"/>
      <c r="W140" s="651">
        <f>OBRA!AQ138+OBRA!AR138</f>
        <v>205633.06</v>
      </c>
      <c r="X140" s="1198"/>
      <c r="Y140" s="650" t="str">
        <f>OBRA!U138</f>
        <v>-</v>
      </c>
      <c r="Z140" s="650"/>
      <c r="AA140" s="652" t="str">
        <f t="shared" si="5"/>
        <v>-</v>
      </c>
      <c r="AB140" s="650" t="s">
        <v>68</v>
      </c>
      <c r="AC140" s="650"/>
      <c r="AD140" s="200" t="str">
        <f>OBRA!V138</f>
        <v>ING. J. GUADALUPE IBARRA RAMIREZ</v>
      </c>
      <c r="AE140" s="174">
        <v>1</v>
      </c>
      <c r="AF140" s="202" t="s">
        <v>1577</v>
      </c>
      <c r="AG140" s="653">
        <f t="shared" si="4"/>
        <v>205633.06</v>
      </c>
      <c r="AH140" s="202">
        <v>60000</v>
      </c>
      <c r="AI140" s="249" t="s">
        <v>1455</v>
      </c>
      <c r="AJ140" s="566"/>
      <c r="AK140" s="566"/>
      <c r="AL140" s="566"/>
      <c r="AM140" s="900"/>
      <c r="AN140" s="585"/>
      <c r="AO140" s="585"/>
      <c r="AP140" s="554" t="s">
        <v>1593</v>
      </c>
      <c r="AQ140" s="803" t="s">
        <v>1594</v>
      </c>
      <c r="AR140" s="901"/>
      <c r="AS140" s="901"/>
      <c r="AT140" s="901"/>
      <c r="AU140" s="901"/>
      <c r="AV140" s="633" t="s">
        <v>551</v>
      </c>
      <c r="AW140" s="329"/>
    </row>
    <row r="141" spans="1:49" ht="75.75" hidden="1" customHeight="1">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1208"/>
      <c r="R141" s="69">
        <f>OBRA!Q139</f>
        <v>42521</v>
      </c>
      <c r="S141" s="1327" t="str">
        <f>OBRA!T139</f>
        <v>-</v>
      </c>
      <c r="T141" s="255">
        <f>OBRA!R139</f>
        <v>42522</v>
      </c>
      <c r="U141" s="245">
        <f>OBRA!S139</f>
        <v>42578</v>
      </c>
      <c r="V141" s="387"/>
      <c r="W141" s="651">
        <f>OBRA!AQ139+OBRA!AR139</f>
        <v>468510.42</v>
      </c>
      <c r="X141" s="1198"/>
      <c r="Y141" s="650" t="str">
        <f>OBRA!U139</f>
        <v>-</v>
      </c>
      <c r="Z141" s="650"/>
      <c r="AA141" s="652" t="str">
        <f t="shared" ref="AA141:AA147" si="7">Y141</f>
        <v>-</v>
      </c>
      <c r="AB141" s="650" t="s">
        <v>68</v>
      </c>
      <c r="AC141" s="650"/>
      <c r="AD141" s="200" t="str">
        <f>OBRA!V139</f>
        <v>ING. J. GUADALUPE IBARRA RAMIREZ</v>
      </c>
      <c r="AE141" s="174">
        <v>1069.9000000000001</v>
      </c>
      <c r="AF141" s="202" t="s">
        <v>1552</v>
      </c>
      <c r="AG141" s="653">
        <f t="shared" si="4"/>
        <v>437.90113094681743</v>
      </c>
      <c r="AH141" s="202">
        <v>100</v>
      </c>
      <c r="AI141" s="249" t="s">
        <v>1447</v>
      </c>
      <c r="AJ141" s="566"/>
      <c r="AK141" s="566"/>
      <c r="AL141" s="566"/>
      <c r="AM141" s="900"/>
      <c r="AN141" s="900" t="s">
        <v>1597</v>
      </c>
      <c r="AO141" s="900" t="s">
        <v>1598</v>
      </c>
      <c r="AP141" s="510" t="s">
        <v>1599</v>
      </c>
      <c r="AQ141" s="801" t="s">
        <v>1600</v>
      </c>
      <c r="AR141" s="900"/>
      <c r="AS141" s="900"/>
      <c r="AT141" s="900"/>
      <c r="AU141" s="900"/>
      <c r="AV141" s="633" t="s">
        <v>551</v>
      </c>
      <c r="AW141" s="329"/>
    </row>
    <row r="142" spans="1:49" ht="91.5" hidden="1" customHeight="1">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1208"/>
      <c r="R142" s="69">
        <f>OBRA!Q140</f>
        <v>42524</v>
      </c>
      <c r="S142" s="1327" t="str">
        <f>OBRA!T140</f>
        <v>-</v>
      </c>
      <c r="T142" s="255">
        <f>OBRA!R140</f>
        <v>42527</v>
      </c>
      <c r="U142" s="245">
        <f>OBRA!S140</f>
        <v>42710</v>
      </c>
      <c r="V142" s="387"/>
      <c r="W142" s="651">
        <f>OBRA!AQ140+OBRA!AR140</f>
        <v>1079215.31</v>
      </c>
      <c r="X142" s="1198"/>
      <c r="Y142" s="650" t="str">
        <f>OBRA!U140</f>
        <v>-</v>
      </c>
      <c r="Z142" s="650"/>
      <c r="AA142" s="652" t="str">
        <f t="shared" si="7"/>
        <v>-</v>
      </c>
      <c r="AB142" s="650" t="s">
        <v>68</v>
      </c>
      <c r="AC142" s="650"/>
      <c r="AD142" s="200" t="str">
        <f>OBRA!V140</f>
        <v>ING. J. GUADALUPE IBARRA RAMIREZ</v>
      </c>
      <c r="AE142" s="174">
        <v>1584.56</v>
      </c>
      <c r="AF142" s="202" t="s">
        <v>1552</v>
      </c>
      <c r="AG142" s="653">
        <f t="shared" si="4"/>
        <v>681.08201014792758</v>
      </c>
      <c r="AH142" s="202">
        <v>500</v>
      </c>
      <c r="AI142" s="249" t="s">
        <v>1455</v>
      </c>
      <c r="AJ142" s="566"/>
      <c r="AK142" s="566"/>
      <c r="AL142" s="566"/>
      <c r="AM142" s="900"/>
      <c r="AN142" s="900" t="s">
        <v>1602</v>
      </c>
      <c r="AO142" s="900" t="s">
        <v>1603</v>
      </c>
      <c r="AP142" s="510" t="s">
        <v>1604</v>
      </c>
      <c r="AQ142" s="801" t="s">
        <v>1605</v>
      </c>
      <c r="AR142" s="900"/>
      <c r="AS142" s="900"/>
      <c r="AT142" s="900"/>
      <c r="AU142" s="900"/>
      <c r="AV142" s="633" t="s">
        <v>551</v>
      </c>
      <c r="AW142" s="329"/>
    </row>
    <row r="143" spans="1:49" ht="56.25" hidden="1" customHeight="1">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1208"/>
      <c r="R143" s="69">
        <f>OBRA!Q141</f>
        <v>42499</v>
      </c>
      <c r="S143" s="1327" t="str">
        <f>OBRA!T141</f>
        <v>-</v>
      </c>
      <c r="T143" s="255">
        <f>OBRA!R141</f>
        <v>42502</v>
      </c>
      <c r="U143" s="245">
        <f>OBRA!S141</f>
        <v>42665</v>
      </c>
      <c r="V143" s="387"/>
      <c r="W143" s="651">
        <f>OBRA!BG141</f>
        <v>242715.04</v>
      </c>
      <c r="X143" s="1198"/>
      <c r="Y143" s="650" t="str">
        <f>OBRA!U141</f>
        <v>-</v>
      </c>
      <c r="Z143" s="650"/>
      <c r="AA143" s="652" t="str">
        <f t="shared" si="7"/>
        <v>-</v>
      </c>
      <c r="AB143" s="650" t="s">
        <v>68</v>
      </c>
      <c r="AC143" s="650"/>
      <c r="AD143" s="200" t="str">
        <f>OBRA!V141</f>
        <v>ING. J. GUADALUPE IBARRA RAMIREZ</v>
      </c>
      <c r="AE143" s="174">
        <v>379.68</v>
      </c>
      <c r="AF143" s="202" t="s">
        <v>1552</v>
      </c>
      <c r="AG143" s="653">
        <f t="shared" si="4"/>
        <v>639.26211546565526</v>
      </c>
      <c r="AH143" s="202">
        <v>100</v>
      </c>
      <c r="AI143" s="249" t="s">
        <v>1447</v>
      </c>
      <c r="AJ143" s="566"/>
      <c r="AK143" s="566"/>
      <c r="AL143" s="566"/>
      <c r="AM143" s="900"/>
      <c r="AN143" s="900" t="s">
        <v>1606</v>
      </c>
      <c r="AO143" s="900" t="s">
        <v>1607</v>
      </c>
      <c r="AP143" s="510" t="s">
        <v>1608</v>
      </c>
      <c r="AQ143" s="801" t="s">
        <v>1609</v>
      </c>
      <c r="AR143" s="900"/>
      <c r="AS143" s="900"/>
      <c r="AT143" s="900"/>
      <c r="AU143" s="900"/>
      <c r="AV143" s="633" t="s">
        <v>551</v>
      </c>
      <c r="AW143" s="329"/>
    </row>
    <row r="144" spans="1:49" ht="58.5" hidden="1" customHeight="1">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2542</v>
      </c>
      <c r="N144" s="510"/>
      <c r="O144" s="85">
        <f>OBRA!P142</f>
        <v>426643.27</v>
      </c>
      <c r="P144" s="1208">
        <f t="shared" si="6"/>
        <v>367795.92241379316</v>
      </c>
      <c r="Q144" s="1208"/>
      <c r="R144" s="69">
        <f>OBRA!Q142</f>
        <v>42524</v>
      </c>
      <c r="S144" s="1327" t="str">
        <f>OBRA!T142</f>
        <v>-</v>
      </c>
      <c r="T144" s="255">
        <f>OBRA!R142</f>
        <v>42527</v>
      </c>
      <c r="U144" s="245">
        <f>OBRA!S142</f>
        <v>42581</v>
      </c>
      <c r="V144" s="387"/>
      <c r="W144" s="651">
        <f>OBRA!AQ142+OBRA!AR142</f>
        <v>313036.55</v>
      </c>
      <c r="X144" s="1198"/>
      <c r="Y144" s="650" t="str">
        <f>OBRA!U142</f>
        <v>-</v>
      </c>
      <c r="Z144" s="650"/>
      <c r="AA144" s="652" t="str">
        <f t="shared" si="7"/>
        <v>-</v>
      </c>
      <c r="AB144" s="650" t="s">
        <v>68</v>
      </c>
      <c r="AC144" s="650"/>
      <c r="AD144" s="200" t="str">
        <f>OBRA!V142</f>
        <v>ING. RIGOBERTO OLMEDO RAMOS</v>
      </c>
      <c r="AE144" s="174">
        <v>510</v>
      </c>
      <c r="AF144" s="202" t="s">
        <v>1454</v>
      </c>
      <c r="AG144" s="653">
        <f t="shared" si="4"/>
        <v>613.79715686274506</v>
      </c>
      <c r="AH144" s="202">
        <v>1270</v>
      </c>
      <c r="AI144" s="249" t="s">
        <v>1455</v>
      </c>
      <c r="AJ144" s="566"/>
      <c r="AK144" s="566"/>
      <c r="AL144" s="566"/>
      <c r="AM144" s="900"/>
      <c r="AN144" s="585"/>
      <c r="AO144" s="585"/>
      <c r="AP144" s="510" t="s">
        <v>1612</v>
      </c>
      <c r="AQ144" s="801" t="s">
        <v>1613</v>
      </c>
      <c r="AR144" s="900"/>
      <c r="AS144" s="900"/>
      <c r="AT144" s="900"/>
      <c r="AU144" s="900"/>
      <c r="AV144" s="633" t="s">
        <v>551</v>
      </c>
      <c r="AW144" s="329"/>
    </row>
    <row r="145" spans="1:49" ht="76.5" hidden="1" customHeight="1">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2574</v>
      </c>
      <c r="N145" s="510"/>
      <c r="O145" s="85">
        <f>OBRA!P143</f>
        <v>291113.12</v>
      </c>
      <c r="P145" s="1208">
        <f t="shared" si="6"/>
        <v>250959.58620689655</v>
      </c>
      <c r="Q145" s="1208"/>
      <c r="R145" s="69">
        <f>OBRA!Q143</f>
        <v>42531</v>
      </c>
      <c r="S145" s="1327" t="str">
        <f>OBRA!T143</f>
        <v>-</v>
      </c>
      <c r="T145" s="255">
        <f>OBRA!R143</f>
        <v>42534</v>
      </c>
      <c r="U145" s="245">
        <f>OBRA!S143</f>
        <v>42546</v>
      </c>
      <c r="V145" s="387"/>
      <c r="W145" s="651">
        <f>OBRA!AQ143+OBRA!AR143</f>
        <v>229880.15999999997</v>
      </c>
      <c r="X145" s="1198"/>
      <c r="Y145" s="650" t="str">
        <f>OBRA!U143</f>
        <v>-</v>
      </c>
      <c r="Z145" s="650"/>
      <c r="AA145" s="652" t="str">
        <f t="shared" si="7"/>
        <v>-</v>
      </c>
      <c r="AB145" s="650" t="s">
        <v>68</v>
      </c>
      <c r="AC145" s="650"/>
      <c r="AD145" s="200" t="str">
        <f>OBRA!V143</f>
        <v>ING. J. GUADALUPE IBARRA RAMIREZ</v>
      </c>
      <c r="AE145" s="174">
        <v>348</v>
      </c>
      <c r="AF145" s="202" t="s">
        <v>1454</v>
      </c>
      <c r="AG145" s="653">
        <f t="shared" si="4"/>
        <v>660.57517241379298</v>
      </c>
      <c r="AH145" s="202">
        <v>60000</v>
      </c>
      <c r="AI145" s="249" t="s">
        <v>1455</v>
      </c>
      <c r="AJ145" s="566"/>
      <c r="AK145" s="566"/>
      <c r="AL145" s="566"/>
      <c r="AM145" s="900"/>
      <c r="AN145" s="900" t="s">
        <v>1614</v>
      </c>
      <c r="AO145" s="900" t="s">
        <v>1615</v>
      </c>
      <c r="AP145" s="510" t="s">
        <v>1616</v>
      </c>
      <c r="AQ145" s="801" t="s">
        <v>1617</v>
      </c>
      <c r="AR145" s="900"/>
      <c r="AS145" s="900"/>
      <c r="AT145" s="900"/>
      <c r="AU145" s="900"/>
      <c r="AV145" s="633" t="s">
        <v>551</v>
      </c>
      <c r="AW145" s="329"/>
    </row>
    <row r="146" spans="1:49" ht="72.75" hidden="1" customHeight="1">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1208"/>
      <c r="R146" s="69">
        <f>OBRA!Q144</f>
        <v>42499</v>
      </c>
      <c r="S146" s="1327" t="str">
        <f>OBRA!T144</f>
        <v>-</v>
      </c>
      <c r="T146" s="255">
        <f>OBRA!R144</f>
        <v>42502</v>
      </c>
      <c r="U146" s="245">
        <f>OBRA!S144</f>
        <v>42665</v>
      </c>
      <c r="V146" s="387"/>
      <c r="W146" s="651">
        <f>OBRA!BG144</f>
        <v>214265.43</v>
      </c>
      <c r="X146" s="1198"/>
      <c r="Y146" s="650" t="str">
        <f>OBRA!U144</f>
        <v>-</v>
      </c>
      <c r="Z146" s="650"/>
      <c r="AA146" s="652" t="str">
        <f t="shared" si="7"/>
        <v>-</v>
      </c>
      <c r="AB146" s="650" t="s">
        <v>68</v>
      </c>
      <c r="AC146" s="650"/>
      <c r="AD146" s="200" t="str">
        <f>OBRA!V144</f>
        <v>ING. J. GUADALUPE IBARRA RAMIREZ</v>
      </c>
      <c r="AE146" s="174">
        <v>543.9</v>
      </c>
      <c r="AF146" s="202" t="s">
        <v>1552</v>
      </c>
      <c r="AG146" s="653">
        <f t="shared" si="4"/>
        <v>393.94269167126311</v>
      </c>
      <c r="AH146" s="202">
        <v>250</v>
      </c>
      <c r="AI146" s="249" t="s">
        <v>1447</v>
      </c>
      <c r="AJ146" s="566"/>
      <c r="AK146" s="566"/>
      <c r="AL146" s="566"/>
      <c r="AM146" s="900"/>
      <c r="AN146" s="900" t="s">
        <v>1618</v>
      </c>
      <c r="AO146" s="900" t="s">
        <v>1619</v>
      </c>
      <c r="AP146" s="510" t="s">
        <v>1620</v>
      </c>
      <c r="AQ146" s="801" t="s">
        <v>1621</v>
      </c>
      <c r="AR146" s="900"/>
      <c r="AS146" s="900"/>
      <c r="AT146" s="900"/>
      <c r="AU146" s="900"/>
      <c r="AV146" s="633" t="s">
        <v>551</v>
      </c>
      <c r="AW146" s="329"/>
    </row>
    <row r="147" spans="1:49" s="197" customFormat="1" ht="75" hidden="1" customHeight="1">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1208"/>
      <c r="R147" s="69">
        <f>OBRA!Q145</f>
        <v>42552</v>
      </c>
      <c r="S147" s="1327" t="str">
        <f>OBRA!T145</f>
        <v>-</v>
      </c>
      <c r="T147" s="255">
        <f>OBRA!R145</f>
        <v>42555</v>
      </c>
      <c r="U147" s="245">
        <f>OBRA!S145</f>
        <v>42586</v>
      </c>
      <c r="V147" s="387"/>
      <c r="W147" s="651">
        <f>OBRA!AQ145+OBRA!AR145</f>
        <v>78618.739999999991</v>
      </c>
      <c r="X147" s="1198"/>
      <c r="Y147" s="650" t="str">
        <f>OBRA!U145</f>
        <v>-</v>
      </c>
      <c r="Z147" s="650"/>
      <c r="AA147" s="652" t="str">
        <f t="shared" si="7"/>
        <v>-</v>
      </c>
      <c r="AB147" s="650" t="s">
        <v>68</v>
      </c>
      <c r="AC147" s="650"/>
      <c r="AD147" s="200" t="str">
        <f>OBRA!V145</f>
        <v>ING. J. GUADALUPE IBARRA RAMIREZ</v>
      </c>
      <c r="AE147" s="174">
        <v>151.11000000000001</v>
      </c>
      <c r="AF147" s="202" t="s">
        <v>1454</v>
      </c>
      <c r="AG147" s="653">
        <f t="shared" si="4"/>
        <v>520.27489908014013</v>
      </c>
      <c r="AH147" s="202">
        <v>400</v>
      </c>
      <c r="AI147" s="249" t="s">
        <v>1455</v>
      </c>
      <c r="AJ147" s="566"/>
      <c r="AK147" s="566"/>
      <c r="AL147" s="566"/>
      <c r="AM147" s="900"/>
      <c r="AN147" s="510" t="s">
        <v>1623</v>
      </c>
      <c r="AO147" s="510" t="s">
        <v>1624</v>
      </c>
      <c r="AP147" s="510" t="s">
        <v>1625</v>
      </c>
      <c r="AQ147" s="801" t="s">
        <v>1626</v>
      </c>
      <c r="AR147" s="900"/>
      <c r="AS147" s="900"/>
      <c r="AT147" s="900"/>
      <c r="AU147" s="900"/>
      <c r="AV147" s="633" t="s">
        <v>551</v>
      </c>
      <c r="AW147" s="329"/>
    </row>
    <row r="148" spans="1:49" ht="125.25" hidden="1" customHeight="1">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1208"/>
      <c r="R148" s="69">
        <f>OBRA!Q146</f>
        <v>42531</v>
      </c>
      <c r="S148" s="1327" t="str">
        <f>OBRA!T146</f>
        <v>-</v>
      </c>
      <c r="T148" s="255">
        <f>OBRA!R146</f>
        <v>42534</v>
      </c>
      <c r="U148" s="245">
        <f>OBRA!S146</f>
        <v>42582</v>
      </c>
      <c r="V148" s="387"/>
      <c r="W148" s="651">
        <f>OBRA!AQ146+OBRA!AR146</f>
        <v>416263.56999999995</v>
      </c>
      <c r="X148" s="1198"/>
      <c r="Y148" s="650" t="str">
        <f>OBRA!U146</f>
        <v>-</v>
      </c>
      <c r="Z148" s="650"/>
      <c r="AA148" s="652" t="str">
        <f t="shared" si="5"/>
        <v>-</v>
      </c>
      <c r="AB148" s="650" t="s">
        <v>68</v>
      </c>
      <c r="AC148" s="650"/>
      <c r="AD148" s="200" t="str">
        <f>OBRA!V146</f>
        <v>ING. J. GUADALUPE IBARRA RAMIREZ</v>
      </c>
      <c r="AE148" s="174">
        <v>950</v>
      </c>
      <c r="AF148" s="202" t="s">
        <v>1454</v>
      </c>
      <c r="AG148" s="694">
        <f t="shared" si="4"/>
        <v>438.17217894736837</v>
      </c>
      <c r="AH148" s="202">
        <v>320</v>
      </c>
      <c r="AI148" s="249" t="s">
        <v>1447</v>
      </c>
      <c r="AJ148" s="566"/>
      <c r="AK148" s="566"/>
      <c r="AL148" s="566"/>
      <c r="AM148" s="900"/>
      <c r="AN148" s="510" t="s">
        <v>1629</v>
      </c>
      <c r="AO148" s="510" t="s">
        <v>1630</v>
      </c>
      <c r="AP148" s="510" t="s">
        <v>1631</v>
      </c>
      <c r="AQ148" s="801" t="s">
        <v>1632</v>
      </c>
      <c r="AR148" s="900"/>
      <c r="AS148" s="900"/>
      <c r="AT148" s="900"/>
      <c r="AU148" s="900"/>
      <c r="AV148" s="633" t="s">
        <v>551</v>
      </c>
      <c r="AW148" s="329"/>
    </row>
    <row r="149" spans="1:49" ht="105" hidden="1" customHeight="1">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1208"/>
      <c r="R149" s="69">
        <f>OBRA!Q147</f>
        <v>42591</v>
      </c>
      <c r="S149" s="1327" t="str">
        <f>OBRA!T147</f>
        <v>-</v>
      </c>
      <c r="T149" s="255">
        <f>OBRA!R147</f>
        <v>42618</v>
      </c>
      <c r="U149" s="245">
        <f>OBRA!S147</f>
        <v>42643</v>
      </c>
      <c r="V149" s="387"/>
      <c r="W149" s="651">
        <f>OBRA!AQ147+OBRA!AR147</f>
        <v>150230.81</v>
      </c>
      <c r="X149" s="1198"/>
      <c r="Y149" s="650" t="str">
        <f>OBRA!U147</f>
        <v>-</v>
      </c>
      <c r="Z149" s="650"/>
      <c r="AA149" s="652" t="str">
        <f>Y149</f>
        <v>-</v>
      </c>
      <c r="AB149" s="650" t="s">
        <v>68</v>
      </c>
      <c r="AC149" s="650"/>
      <c r="AD149" s="200" t="str">
        <f>OBRA!V147</f>
        <v>ING. RIGOBERTO OLMEDO RAMOS</v>
      </c>
      <c r="AE149" s="174">
        <v>200</v>
      </c>
      <c r="AF149" s="202" t="s">
        <v>1454</v>
      </c>
      <c r="AG149" s="694">
        <f t="shared" si="4"/>
        <v>751.15404999999998</v>
      </c>
      <c r="AH149" s="202">
        <v>2373</v>
      </c>
      <c r="AI149" s="249" t="s">
        <v>1455</v>
      </c>
      <c r="AJ149" s="566"/>
      <c r="AK149" s="566"/>
      <c r="AL149" s="566"/>
      <c r="AM149" s="900"/>
      <c r="AN149" s="585"/>
      <c r="AO149" s="510" t="s">
        <v>1634</v>
      </c>
      <c r="AP149" s="510" t="s">
        <v>1635</v>
      </c>
      <c r="AQ149" s="801" t="s">
        <v>1636</v>
      </c>
      <c r="AR149" s="900"/>
      <c r="AS149" s="900"/>
      <c r="AT149" s="900"/>
      <c r="AU149" s="900"/>
      <c r="AV149" s="633" t="s">
        <v>551</v>
      </c>
      <c r="AW149" s="329"/>
    </row>
    <row r="150" spans="1:49" ht="99.75" hidden="1" customHeight="1">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1208"/>
      <c r="R150" s="69">
        <f>OBRA!Q148</f>
        <v>42591</v>
      </c>
      <c r="S150" s="1327" t="str">
        <f>OBRA!T148</f>
        <v>-</v>
      </c>
      <c r="T150" s="255">
        <f>OBRA!R148</f>
        <v>42632</v>
      </c>
      <c r="U150" s="245">
        <f>OBRA!S148</f>
        <v>42651</v>
      </c>
      <c r="V150" s="387"/>
      <c r="W150" s="651">
        <f>OBRA!AQ148+OBRA!AR148</f>
        <v>180784.87</v>
      </c>
      <c r="X150" s="1198"/>
      <c r="Y150" s="650" t="str">
        <f>OBRA!U148</f>
        <v>-</v>
      </c>
      <c r="Z150" s="650"/>
      <c r="AA150" s="652" t="str">
        <f>Y150</f>
        <v>-</v>
      </c>
      <c r="AB150" s="650" t="s">
        <v>68</v>
      </c>
      <c r="AC150" s="650"/>
      <c r="AD150" s="200" t="str">
        <f>OBRA!V148</f>
        <v>ING. RIGOBERTO OLMEDO RAMOS</v>
      </c>
      <c r="AE150" s="174">
        <v>200</v>
      </c>
      <c r="AF150" s="202" t="s">
        <v>1454</v>
      </c>
      <c r="AG150" s="694">
        <f t="shared" si="4"/>
        <v>903.92435</v>
      </c>
      <c r="AH150" s="202">
        <v>2373</v>
      </c>
      <c r="AI150" s="249" t="s">
        <v>1455</v>
      </c>
      <c r="AJ150" s="566"/>
      <c r="AK150" s="566"/>
      <c r="AL150" s="566"/>
      <c r="AM150" s="900"/>
      <c r="AN150" s="585"/>
      <c r="AO150" s="510" t="s">
        <v>1637</v>
      </c>
      <c r="AP150" s="554" t="s">
        <v>1638</v>
      </c>
      <c r="AQ150" s="801" t="s">
        <v>1639</v>
      </c>
      <c r="AR150" s="900"/>
      <c r="AS150" s="900"/>
      <c r="AT150" s="900"/>
      <c r="AU150" s="900"/>
      <c r="AV150" s="633" t="s">
        <v>551</v>
      </c>
      <c r="AW150" s="329"/>
    </row>
    <row r="151" spans="1:49" ht="60" hidden="1" customHeight="1">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1208"/>
      <c r="R151" s="69">
        <f>OBRA!Q149</f>
        <v>42591</v>
      </c>
      <c r="S151" s="1327" t="str">
        <f>OBRA!T149</f>
        <v>-</v>
      </c>
      <c r="T151" s="255">
        <f>OBRA!R149</f>
        <v>42592</v>
      </c>
      <c r="U151" s="245">
        <f>OBRA!S149</f>
        <v>42719</v>
      </c>
      <c r="V151" s="387"/>
      <c r="W151" s="651">
        <f>OBRA!AQ149+OBRA!AR149</f>
        <v>2015508.1099999999</v>
      </c>
      <c r="X151" s="1198"/>
      <c r="Y151" s="650" t="str">
        <f>OBRA!U149</f>
        <v>-</v>
      </c>
      <c r="Z151" s="650"/>
      <c r="AA151" s="652" t="str">
        <f>Y151</f>
        <v>-</v>
      </c>
      <c r="AB151" s="650" t="s">
        <v>68</v>
      </c>
      <c r="AC151" s="650"/>
      <c r="AD151" s="200" t="str">
        <f>OBRA!V149</f>
        <v>ING. RIGOBERTO OLMEDO RAMOS</v>
      </c>
      <c r="AE151" s="174">
        <v>4280.59</v>
      </c>
      <c r="AF151" s="202" t="s">
        <v>1552</v>
      </c>
      <c r="AG151" s="694">
        <f t="shared" si="4"/>
        <v>470.84820316825477</v>
      </c>
      <c r="AH151" s="202">
        <v>2373</v>
      </c>
      <c r="AI151" s="249" t="s">
        <v>1455</v>
      </c>
      <c r="AJ151" s="566"/>
      <c r="AK151" s="566"/>
      <c r="AL151" s="566"/>
      <c r="AM151" s="900"/>
      <c r="AN151" s="585"/>
      <c r="AO151" s="510" t="s">
        <v>1641</v>
      </c>
      <c r="AP151" s="510" t="s">
        <v>1642</v>
      </c>
      <c r="AQ151" s="801" t="s">
        <v>1643</v>
      </c>
      <c r="AR151" s="900"/>
      <c r="AS151" s="900"/>
      <c r="AT151" s="900"/>
      <c r="AU151" s="900"/>
      <c r="AV151" s="633" t="s">
        <v>551</v>
      </c>
      <c r="AW151" s="329"/>
    </row>
    <row r="152" spans="1:49" ht="71.25" hidden="1" customHeight="1">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1208"/>
      <c r="R152" s="69">
        <f>OBRA!Q150</f>
        <v>42548</v>
      </c>
      <c r="S152" s="1327" t="str">
        <f>OBRA!T150</f>
        <v>-</v>
      </c>
      <c r="T152" s="255">
        <f>OBRA!R150</f>
        <v>42549</v>
      </c>
      <c r="U152" s="245">
        <f>OBRA!S150</f>
        <v>42622</v>
      </c>
      <c r="V152" s="387"/>
      <c r="W152" s="651">
        <f>OBRA!AQ150+OBRA!AR150</f>
        <v>18363.989999999998</v>
      </c>
      <c r="X152" s="1198"/>
      <c r="Y152" s="650" t="str">
        <f>OBRA!U150</f>
        <v>-</v>
      </c>
      <c r="Z152" s="650"/>
      <c r="AA152" s="652" t="str">
        <f>Y152</f>
        <v>-</v>
      </c>
      <c r="AB152" s="650" t="s">
        <v>68</v>
      </c>
      <c r="AC152" s="650"/>
      <c r="AD152" s="200" t="str">
        <f>OBRA!V150</f>
        <v>ING. J. GUADALUPE IBARRA RAMIREZ</v>
      </c>
      <c r="AE152" s="174">
        <v>10</v>
      </c>
      <c r="AF152" s="674" t="s">
        <v>1645</v>
      </c>
      <c r="AG152" s="694">
        <f t="shared" si="4"/>
        <v>1836.3989999999999</v>
      </c>
      <c r="AH152" s="674">
        <v>250</v>
      </c>
      <c r="AI152" s="249" t="s">
        <v>1447</v>
      </c>
      <c r="AJ152" s="566"/>
      <c r="AK152" s="566"/>
      <c r="AL152" s="566"/>
      <c r="AM152" s="900"/>
      <c r="AN152" s="510" t="s">
        <v>1646</v>
      </c>
      <c r="AO152" s="510" t="s">
        <v>1647</v>
      </c>
      <c r="AP152" s="510" t="s">
        <v>1648</v>
      </c>
      <c r="AQ152" s="801" t="s">
        <v>1649</v>
      </c>
      <c r="AR152" s="900"/>
      <c r="AS152" s="900"/>
      <c r="AT152" s="900"/>
      <c r="AU152" s="900"/>
      <c r="AV152" s="898" t="s">
        <v>551</v>
      </c>
      <c r="AW152" s="329"/>
    </row>
    <row r="153" spans="1:49" ht="71.25" hidden="1" customHeight="1">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1208"/>
      <c r="R153" s="69">
        <f>OBRA!Q151</f>
        <v>42548</v>
      </c>
      <c r="S153" s="1327" t="str">
        <f>OBRA!T151</f>
        <v>-</v>
      </c>
      <c r="T153" s="255">
        <f>OBRA!R151</f>
        <v>42549</v>
      </c>
      <c r="U153" s="245">
        <f>OBRA!S151</f>
        <v>42622</v>
      </c>
      <c r="V153" s="387"/>
      <c r="W153" s="651">
        <f>OBRA!AQ151+OBRA!AR151</f>
        <v>18890.98</v>
      </c>
      <c r="X153" s="1198"/>
      <c r="Y153" s="650" t="str">
        <f>OBRA!U151</f>
        <v>-</v>
      </c>
      <c r="Z153" s="650"/>
      <c r="AA153" s="652" t="str">
        <f t="shared" si="5"/>
        <v>-</v>
      </c>
      <c r="AB153" s="650" t="s">
        <v>68</v>
      </c>
      <c r="AC153" s="650"/>
      <c r="AD153" s="200" t="str">
        <f>OBRA!V151</f>
        <v>ING. J. GUADALUPE IBARRA RAMIREZ</v>
      </c>
      <c r="AE153" s="174">
        <v>33</v>
      </c>
      <c r="AF153" s="202" t="s">
        <v>1454</v>
      </c>
      <c r="AG153" s="694">
        <f t="shared" si="4"/>
        <v>572.45393939393944</v>
      </c>
      <c r="AH153" s="202">
        <v>250</v>
      </c>
      <c r="AI153" s="249" t="s">
        <v>1447</v>
      </c>
      <c r="AJ153" s="566"/>
      <c r="AK153" s="566"/>
      <c r="AL153" s="566"/>
      <c r="AM153" s="900"/>
      <c r="AN153" s="510" t="s">
        <v>1650</v>
      </c>
      <c r="AO153" s="510" t="s">
        <v>1651</v>
      </c>
      <c r="AP153" s="554" t="s">
        <v>1652</v>
      </c>
      <c r="AQ153" s="801" t="s">
        <v>1653</v>
      </c>
      <c r="AR153" s="900"/>
      <c r="AS153" s="900"/>
      <c r="AT153" s="900"/>
      <c r="AU153" s="900"/>
      <c r="AV153" s="633" t="s">
        <v>551</v>
      </c>
      <c r="AW153" s="329"/>
    </row>
    <row r="154" spans="1:49" ht="69.75" hidden="1" customHeight="1">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2568</v>
      </c>
      <c r="N154" s="510"/>
      <c r="O154" s="85">
        <f>OBRA!P152</f>
        <v>136120</v>
      </c>
      <c r="P154" s="1208">
        <f t="shared" si="6"/>
        <v>117344.8275862069</v>
      </c>
      <c r="Q154" s="1208"/>
      <c r="R154" s="69">
        <f>OBRA!Q152</f>
        <v>42627</v>
      </c>
      <c r="S154" s="1327" t="str">
        <f>OBRA!T152</f>
        <v>-</v>
      </c>
      <c r="T154" s="255">
        <f>OBRA!R152</f>
        <v>42627</v>
      </c>
      <c r="U154" s="245">
        <f>OBRA!S152</f>
        <v>42643</v>
      </c>
      <c r="V154" s="387"/>
      <c r="W154" s="651">
        <f>OBRA!AQ152+OBRA!AR152</f>
        <v>136152.1</v>
      </c>
      <c r="X154" s="1198"/>
      <c r="Y154" s="650" t="str">
        <f>OBRA!U152</f>
        <v>-</v>
      </c>
      <c r="Z154" s="650"/>
      <c r="AA154" s="652" t="str">
        <f t="shared" si="5"/>
        <v>-</v>
      </c>
      <c r="AB154" s="650" t="s">
        <v>68</v>
      </c>
      <c r="AC154" s="650"/>
      <c r="AD154" s="200" t="str">
        <f>OBRA!V152</f>
        <v>ING. RIGOBERTO OLMEDO RAMOS</v>
      </c>
      <c r="AE154" s="174">
        <v>76</v>
      </c>
      <c r="AF154" s="202" t="s">
        <v>1454</v>
      </c>
      <c r="AG154" s="653">
        <f t="shared" si="4"/>
        <v>1791.4750000000001</v>
      </c>
      <c r="AH154" s="202">
        <v>70</v>
      </c>
      <c r="AI154" s="249" t="s">
        <v>1447</v>
      </c>
      <c r="AJ154" s="566"/>
      <c r="AK154" s="566"/>
      <c r="AL154" s="566"/>
      <c r="AM154" s="900"/>
      <c r="AN154" s="585"/>
      <c r="AO154" s="585"/>
      <c r="AP154" s="510" t="s">
        <v>1656</v>
      </c>
      <c r="AQ154" s="801" t="s">
        <v>1657</v>
      </c>
      <c r="AR154" s="900"/>
      <c r="AS154" s="900"/>
      <c r="AT154" s="900"/>
      <c r="AU154" s="900"/>
      <c r="AV154" s="633" t="s">
        <v>551</v>
      </c>
      <c r="AW154" s="329"/>
    </row>
    <row r="155" spans="1:49" ht="69.75" hidden="1" customHeight="1">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2568</v>
      </c>
      <c r="N155" s="554"/>
      <c r="O155" s="85">
        <f>OBRA!P153</f>
        <v>100336</v>
      </c>
      <c r="P155" s="1208">
        <f t="shared" si="6"/>
        <v>86496.551724137942</v>
      </c>
      <c r="Q155" s="1208"/>
      <c r="R155" s="69">
        <f>OBRA!Q153</f>
        <v>42639</v>
      </c>
      <c r="S155" s="1327" t="str">
        <f>OBRA!T153</f>
        <v>-</v>
      </c>
      <c r="T155" s="255">
        <f>OBRA!R153</f>
        <v>42639</v>
      </c>
      <c r="U155" s="245">
        <f>OBRA!S153</f>
        <v>42651</v>
      </c>
      <c r="V155" s="387"/>
      <c r="W155" s="651">
        <f>OBRA!AQ153+OBRA!AR153</f>
        <v>85974.98000000001</v>
      </c>
      <c r="X155" s="1198"/>
      <c r="Y155" s="650" t="str">
        <f>OBRA!U153</f>
        <v>-</v>
      </c>
      <c r="Z155" s="650"/>
      <c r="AA155" s="652" t="str">
        <f t="shared" si="5"/>
        <v>-</v>
      </c>
      <c r="AB155" s="650" t="s">
        <v>68</v>
      </c>
      <c r="AC155" s="650"/>
      <c r="AD155" s="200" t="str">
        <f>OBRA!V153</f>
        <v>ING. RIGOBERTO OLMEDO RAMOS</v>
      </c>
      <c r="AE155" s="174">
        <v>76</v>
      </c>
      <c r="AF155" s="202" t="s">
        <v>1454</v>
      </c>
      <c r="AG155" s="653">
        <f t="shared" si="4"/>
        <v>1131.2497368421054</v>
      </c>
      <c r="AH155" s="202">
        <v>70</v>
      </c>
      <c r="AI155" s="249" t="s">
        <v>1447</v>
      </c>
      <c r="AJ155" s="566"/>
      <c r="AK155" s="566"/>
      <c r="AL155" s="566"/>
      <c r="AM155" s="900"/>
      <c r="AN155" s="510" t="s">
        <v>1659</v>
      </c>
      <c r="AO155" s="510" t="s">
        <v>1660</v>
      </c>
      <c r="AP155" s="554" t="s">
        <v>1661</v>
      </c>
      <c r="AQ155" s="803" t="s">
        <v>1662</v>
      </c>
      <c r="AR155" s="901"/>
      <c r="AS155" s="901"/>
      <c r="AT155" s="901"/>
      <c r="AU155" s="901"/>
      <c r="AV155" s="633" t="s">
        <v>551</v>
      </c>
      <c r="AW155" s="329"/>
    </row>
    <row r="156" spans="1:49" ht="90.75" hidden="1" customHeight="1">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2568</v>
      </c>
      <c r="N156" s="510"/>
      <c r="O156" s="85">
        <f>OBRA!P154</f>
        <v>236752</v>
      </c>
      <c r="P156" s="1208">
        <f t="shared" si="6"/>
        <v>204096.55172413794</v>
      </c>
      <c r="Q156" s="1208"/>
      <c r="R156" s="69">
        <f>OBRA!Q154</f>
        <v>42641</v>
      </c>
      <c r="S156" s="1327" t="str">
        <f>OBRA!T154</f>
        <v>-</v>
      </c>
      <c r="T156" s="255">
        <f>OBRA!R154</f>
        <v>42639</v>
      </c>
      <c r="U156" s="245">
        <f>OBRA!S154</f>
        <v>42663</v>
      </c>
      <c r="V156" s="387"/>
      <c r="W156" s="651">
        <f>OBRA!AQ154+OBRA!AR154</f>
        <v>236873.78</v>
      </c>
      <c r="X156" s="1198"/>
      <c r="Y156" s="650" t="str">
        <f>OBRA!U154</f>
        <v>-</v>
      </c>
      <c r="Z156" s="650"/>
      <c r="AA156" s="652" t="str">
        <f t="shared" si="5"/>
        <v>-</v>
      </c>
      <c r="AB156" s="650" t="s">
        <v>68</v>
      </c>
      <c r="AC156" s="650"/>
      <c r="AD156" s="200" t="str">
        <f>OBRA!V154</f>
        <v>ING. RIGOBERTO OLMEDO RAMOS</v>
      </c>
      <c r="AE156" s="174">
        <v>381.31</v>
      </c>
      <c r="AF156" s="202" t="s">
        <v>1552</v>
      </c>
      <c r="AG156" s="653">
        <f t="shared" si="4"/>
        <v>621.21051113267424</v>
      </c>
      <c r="AH156" s="202">
        <v>70</v>
      </c>
      <c r="AI156" s="249" t="s">
        <v>1447</v>
      </c>
      <c r="AJ156" s="566"/>
      <c r="AK156" s="566"/>
      <c r="AL156" s="566"/>
      <c r="AM156" s="900"/>
      <c r="AN156" s="585"/>
      <c r="AO156" s="585"/>
      <c r="AP156" s="510" t="s">
        <v>1664</v>
      </c>
      <c r="AQ156" s="801" t="s">
        <v>1665</v>
      </c>
      <c r="AR156" s="900"/>
      <c r="AS156" s="900"/>
      <c r="AT156" s="900"/>
      <c r="AU156" s="900"/>
      <c r="AV156" s="633" t="s">
        <v>551</v>
      </c>
      <c r="AW156" s="329"/>
    </row>
    <row r="157" spans="1:49" ht="73.5" hidden="1" customHeight="1">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2568</v>
      </c>
      <c r="N157" s="510"/>
      <c r="O157" s="85">
        <f>OBRA!P155</f>
        <v>214516</v>
      </c>
      <c r="P157" s="1208">
        <f t="shared" si="6"/>
        <v>184927.58620689655</v>
      </c>
      <c r="Q157" s="1208"/>
      <c r="R157" s="69">
        <f>OBRA!Q155</f>
        <v>42639</v>
      </c>
      <c r="S157" s="1327" t="str">
        <f>OBRA!T155</f>
        <v>-</v>
      </c>
      <c r="T157" s="255">
        <f>OBRA!R155</f>
        <v>42641</v>
      </c>
      <c r="U157" s="245">
        <f>OBRA!S155</f>
        <v>42663</v>
      </c>
      <c r="V157" s="387"/>
      <c r="W157" s="651">
        <f>OBRA!AQ155+OBRA!AR155</f>
        <v>183666.38</v>
      </c>
      <c r="X157" s="1198"/>
      <c r="Y157" s="650" t="str">
        <f>OBRA!U155</f>
        <v>-</v>
      </c>
      <c r="Z157" s="650"/>
      <c r="AA157" s="652" t="str">
        <f t="shared" si="5"/>
        <v>-</v>
      </c>
      <c r="AB157" s="650" t="s">
        <v>68</v>
      </c>
      <c r="AC157" s="650"/>
      <c r="AD157" s="200" t="str">
        <f>OBRA!V155</f>
        <v>ING. RIGOBERTO OLMEDO RAMOS</v>
      </c>
      <c r="AE157" s="174">
        <v>120</v>
      </c>
      <c r="AF157" s="202" t="s">
        <v>1454</v>
      </c>
      <c r="AG157" s="653">
        <f t="shared" si="4"/>
        <v>1530.5531666666668</v>
      </c>
      <c r="AH157" s="202">
        <v>90</v>
      </c>
      <c r="AI157" s="249" t="s">
        <v>1447</v>
      </c>
      <c r="AJ157" s="566"/>
      <c r="AK157" s="566"/>
      <c r="AL157" s="566"/>
      <c r="AM157" s="900"/>
      <c r="AN157" s="510" t="s">
        <v>1668</v>
      </c>
      <c r="AO157" s="510" t="s">
        <v>1669</v>
      </c>
      <c r="AP157" s="510" t="s">
        <v>1670</v>
      </c>
      <c r="AQ157" s="801" t="s">
        <v>1671</v>
      </c>
      <c r="AR157" s="900"/>
      <c r="AS157" s="900"/>
      <c r="AT157" s="900"/>
      <c r="AU157" s="900"/>
      <c r="AV157" s="633" t="s">
        <v>551</v>
      </c>
      <c r="AW157" s="329"/>
    </row>
    <row r="158" spans="1:49" ht="74.25" hidden="1" customHeight="1">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2568</v>
      </c>
      <c r="N158" s="554"/>
      <c r="O158" s="85">
        <f>OBRA!P156</f>
        <v>245400</v>
      </c>
      <c r="P158" s="1208">
        <f t="shared" si="6"/>
        <v>211551.72413793104</v>
      </c>
      <c r="Q158" s="1208"/>
      <c r="R158" s="69">
        <f>OBRA!Q156</f>
        <v>42646</v>
      </c>
      <c r="S158" s="1327" t="str">
        <f>OBRA!T156</f>
        <v>-</v>
      </c>
      <c r="T158" s="255">
        <f>OBRA!R156</f>
        <v>42648</v>
      </c>
      <c r="U158" s="245">
        <f>OBRA!S156</f>
        <v>42669</v>
      </c>
      <c r="V158" s="387"/>
      <c r="W158" s="651">
        <f>OBRA!AQ156+OBRA!AR156</f>
        <v>108938.53</v>
      </c>
      <c r="X158" s="1198"/>
      <c r="Y158" s="650" t="str">
        <f>OBRA!U156</f>
        <v>-</v>
      </c>
      <c r="Z158" s="650"/>
      <c r="AA158" s="652" t="str">
        <f t="shared" si="5"/>
        <v>-</v>
      </c>
      <c r="AB158" s="650" t="s">
        <v>68</v>
      </c>
      <c r="AC158" s="650"/>
      <c r="AD158" s="200" t="str">
        <f>OBRA!V156</f>
        <v>ING. RIGOBERTO OLMEDO RAMOS</v>
      </c>
      <c r="AE158" s="174">
        <v>120</v>
      </c>
      <c r="AF158" s="202" t="s">
        <v>1454</v>
      </c>
      <c r="AG158" s="653">
        <f t="shared" si="4"/>
        <v>907.82108333333338</v>
      </c>
      <c r="AH158" s="202">
        <v>90</v>
      </c>
      <c r="AI158" s="249" t="s">
        <v>1447</v>
      </c>
      <c r="AJ158" s="566"/>
      <c r="AK158" s="566"/>
      <c r="AL158" s="566"/>
      <c r="AM158" s="900"/>
      <c r="AN158" s="510" t="s">
        <v>1673</v>
      </c>
      <c r="AO158" s="510" t="s">
        <v>1674</v>
      </c>
      <c r="AP158" s="554" t="s">
        <v>1675</v>
      </c>
      <c r="AQ158" s="803" t="s">
        <v>1676</v>
      </c>
      <c r="AR158" s="901"/>
      <c r="AS158" s="901"/>
      <c r="AT158" s="901"/>
      <c r="AU158" s="901"/>
      <c r="AV158" s="633" t="s">
        <v>551</v>
      </c>
      <c r="AW158" s="329"/>
    </row>
    <row r="159" spans="1:49" ht="93" hidden="1" customHeight="1">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2568</v>
      </c>
      <c r="N159" s="510"/>
      <c r="O159" s="85">
        <f>OBRA!P157</f>
        <v>259860</v>
      </c>
      <c r="P159" s="1208">
        <f t="shared" si="6"/>
        <v>224017.24137931035</v>
      </c>
      <c r="Q159" s="1208"/>
      <c r="R159" s="69">
        <f>OBRA!Q157</f>
        <v>42657</v>
      </c>
      <c r="S159" s="1327" t="str">
        <f>OBRA!T157</f>
        <v>-</v>
      </c>
      <c r="T159" s="255">
        <f>OBRA!R157</f>
        <v>42660</v>
      </c>
      <c r="U159" s="245">
        <f>OBRA!S157</f>
        <v>42684</v>
      </c>
      <c r="V159" s="387"/>
      <c r="W159" s="651">
        <f>OBRA!AQ157+OBRA!AR157</f>
        <v>199394.11</v>
      </c>
      <c r="X159" s="1198"/>
      <c r="Y159" s="650" t="str">
        <f>OBRA!U157</f>
        <v>-</v>
      </c>
      <c r="Z159" s="650"/>
      <c r="AA159" s="652" t="str">
        <f t="shared" si="5"/>
        <v>-</v>
      </c>
      <c r="AB159" s="650" t="s">
        <v>68</v>
      </c>
      <c r="AC159" s="650"/>
      <c r="AD159" s="200" t="str">
        <f>OBRA!V157</f>
        <v>ING. RIGOBERTO OLMEDO RAMOS</v>
      </c>
      <c r="AE159" s="174">
        <v>418.8</v>
      </c>
      <c r="AF159" s="202" t="s">
        <v>1552</v>
      </c>
      <c r="AG159" s="653">
        <f t="shared" si="4"/>
        <v>476.10819006685762</v>
      </c>
      <c r="AH159" s="202">
        <v>90</v>
      </c>
      <c r="AI159" s="249" t="s">
        <v>1447</v>
      </c>
      <c r="AJ159" s="566"/>
      <c r="AK159" s="566"/>
      <c r="AL159" s="566"/>
      <c r="AM159" s="900"/>
      <c r="AN159" s="510" t="s">
        <v>1678</v>
      </c>
      <c r="AO159" s="510" t="s">
        <v>1679</v>
      </c>
      <c r="AP159" s="510" t="s">
        <v>1680</v>
      </c>
      <c r="AQ159" s="801" t="s">
        <v>1681</v>
      </c>
      <c r="AR159" s="900"/>
      <c r="AS159" s="900"/>
      <c r="AT159" s="900"/>
      <c r="AU159" s="900"/>
      <c r="AV159" s="633" t="s">
        <v>551</v>
      </c>
      <c r="AW159" s="329"/>
    </row>
    <row r="160" spans="1:49" ht="63.75" hidden="1" customHeight="1">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1208"/>
      <c r="R160" s="69">
        <f>OBRA!Q158</f>
        <v>42627</v>
      </c>
      <c r="S160" s="1327" t="str">
        <f>OBRA!T158</f>
        <v>-</v>
      </c>
      <c r="T160" s="255">
        <f>OBRA!R158</f>
        <v>42690</v>
      </c>
      <c r="U160" s="245">
        <f>OBRA!S158</f>
        <v>42700</v>
      </c>
      <c r="V160" s="387"/>
      <c r="W160" s="651">
        <f>OBRA!AQ158+OBRA!AR158</f>
        <v>183800.47999999998</v>
      </c>
      <c r="X160" s="1198"/>
      <c r="Y160" s="650" t="str">
        <f>OBRA!U158</f>
        <v>-</v>
      </c>
      <c r="Z160" s="650"/>
      <c r="AA160" s="652" t="str">
        <f t="shared" si="5"/>
        <v>-</v>
      </c>
      <c r="AB160" s="650" t="s">
        <v>68</v>
      </c>
      <c r="AC160" s="650"/>
      <c r="AD160" s="200" t="str">
        <f>OBRA!V158</f>
        <v>ING. RIGOBERTO OLMEDO RAMOS</v>
      </c>
      <c r="AE160" s="174">
        <v>147.32</v>
      </c>
      <c r="AF160" s="202" t="s">
        <v>1454</v>
      </c>
      <c r="AG160" s="653">
        <f t="shared" si="4"/>
        <v>1247.6274775997827</v>
      </c>
      <c r="AH160" s="202">
        <v>70</v>
      </c>
      <c r="AI160" s="249" t="s">
        <v>1447</v>
      </c>
      <c r="AJ160" s="566"/>
      <c r="AK160" s="566"/>
      <c r="AL160" s="566"/>
      <c r="AM160" s="900"/>
      <c r="AN160" s="510" t="s">
        <v>1684</v>
      </c>
      <c r="AO160" s="510" t="s">
        <v>1685</v>
      </c>
      <c r="AP160" s="510" t="s">
        <v>1686</v>
      </c>
      <c r="AQ160" s="801" t="s">
        <v>1687</v>
      </c>
      <c r="AR160" s="900"/>
      <c r="AS160" s="900"/>
      <c r="AT160" s="900"/>
      <c r="AU160" s="900"/>
      <c r="AV160" s="633" t="s">
        <v>551</v>
      </c>
      <c r="AW160" s="329"/>
    </row>
    <row r="161" spans="1:49" ht="62.25" hidden="1" customHeight="1">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1208"/>
      <c r="R161" s="69">
        <f>OBRA!Q159</f>
        <v>42641</v>
      </c>
      <c r="S161" s="1327" t="str">
        <f>OBRA!T159</f>
        <v>-</v>
      </c>
      <c r="T161" s="255">
        <f>OBRA!R159</f>
        <v>42702</v>
      </c>
      <c r="U161" s="245">
        <f>OBRA!S159</f>
        <v>42721</v>
      </c>
      <c r="V161" s="387"/>
      <c r="W161" s="651">
        <f>OBRA!AQ159+OBRA!AR159</f>
        <v>437166.63</v>
      </c>
      <c r="X161" s="1198"/>
      <c r="Y161" s="650" t="str">
        <f>OBRA!U159</f>
        <v>-</v>
      </c>
      <c r="Z161" s="650"/>
      <c r="AA161" s="652" t="str">
        <f t="shared" si="5"/>
        <v>-</v>
      </c>
      <c r="AB161" s="650" t="s">
        <v>68</v>
      </c>
      <c r="AC161" s="650"/>
      <c r="AD161" s="200" t="str">
        <f>OBRA!V159</f>
        <v>ING. RIGOBERTO OLMEDO RAMOS</v>
      </c>
      <c r="AE161" s="174">
        <v>71</v>
      </c>
      <c r="AF161" s="202" t="s">
        <v>1552</v>
      </c>
      <c r="AG161" s="653">
        <f t="shared" si="4"/>
        <v>6157.2764788732393</v>
      </c>
      <c r="AH161" s="202">
        <v>70</v>
      </c>
      <c r="AI161" s="249" t="s">
        <v>1447</v>
      </c>
      <c r="AJ161" s="566"/>
      <c r="AK161" s="566"/>
      <c r="AL161" s="566"/>
      <c r="AM161" s="900"/>
      <c r="AN161" s="510" t="s">
        <v>1690</v>
      </c>
      <c r="AO161" s="510" t="s">
        <v>1691</v>
      </c>
      <c r="AP161" s="554" t="s">
        <v>1692</v>
      </c>
      <c r="AQ161" s="803" t="s">
        <v>1693</v>
      </c>
      <c r="AR161" s="901"/>
      <c r="AS161" s="901"/>
      <c r="AT161" s="901"/>
      <c r="AU161" s="901"/>
      <c r="AV161" s="633" t="s">
        <v>551</v>
      </c>
      <c r="AW161" s="329"/>
    </row>
    <row r="162" spans="1:49" ht="70.5" hidden="1" customHeight="1">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2574</v>
      </c>
      <c r="N162" s="510"/>
      <c r="O162" s="85">
        <f>OBRA!P160</f>
        <v>525186</v>
      </c>
      <c r="P162" s="1208">
        <f t="shared" si="6"/>
        <v>452746.55172413797</v>
      </c>
      <c r="Q162" s="1208"/>
      <c r="R162" s="69">
        <f>OBRA!Q160</f>
        <v>42630</v>
      </c>
      <c r="S162" s="1327" t="str">
        <f>OBRA!T160</f>
        <v>-</v>
      </c>
      <c r="T162" s="255">
        <f>OBRA!R160</f>
        <v>42662</v>
      </c>
      <c r="U162" s="245">
        <f>OBRA!S160</f>
        <v>42672</v>
      </c>
      <c r="V162" s="387"/>
      <c r="W162" s="651">
        <f>OBRA!AQ160+OBRA!AR160</f>
        <v>526264.59</v>
      </c>
      <c r="X162" s="1198"/>
      <c r="Y162" s="650" t="str">
        <f>OBRA!U160</f>
        <v>-</v>
      </c>
      <c r="Z162" s="650"/>
      <c r="AA162" s="652" t="str">
        <f t="shared" si="5"/>
        <v>-</v>
      </c>
      <c r="AB162" s="650" t="s">
        <v>68</v>
      </c>
      <c r="AC162" s="650"/>
      <c r="AD162" s="200" t="str">
        <f>OBRA!V160</f>
        <v>ING. RIGOBERTO OLMEDO RAMOS</v>
      </c>
      <c r="AE162" s="174">
        <v>309</v>
      </c>
      <c r="AF162" s="202" t="s">
        <v>1454</v>
      </c>
      <c r="AG162" s="653">
        <f t="shared" si="4"/>
        <v>1703.1216504854367</v>
      </c>
      <c r="AH162" s="202">
        <v>1500</v>
      </c>
      <c r="AI162" s="249" t="s">
        <v>1455</v>
      </c>
      <c r="AJ162" s="566"/>
      <c r="AK162" s="566"/>
      <c r="AL162" s="566"/>
      <c r="AM162" s="900"/>
      <c r="AN162" s="510" t="s">
        <v>1696</v>
      </c>
      <c r="AO162" s="510" t="s">
        <v>1697</v>
      </c>
      <c r="AP162" s="510" t="s">
        <v>1698</v>
      </c>
      <c r="AQ162" s="801" t="s">
        <v>1699</v>
      </c>
      <c r="AR162" s="900"/>
      <c r="AS162" s="900"/>
      <c r="AT162" s="900"/>
      <c r="AU162" s="900"/>
      <c r="AV162" s="633" t="s">
        <v>551</v>
      </c>
      <c r="AW162" s="329"/>
    </row>
    <row r="163" spans="1:49" ht="61.5" hidden="1" customHeight="1">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2640</v>
      </c>
      <c r="N163" s="510"/>
      <c r="O163" s="85">
        <f>OBRA!P161</f>
        <v>678342</v>
      </c>
      <c r="P163" s="1208">
        <f t="shared" si="6"/>
        <v>584777.58620689658</v>
      </c>
      <c r="Q163" s="1208"/>
      <c r="R163" s="69">
        <f>OBRA!Q161</f>
        <v>42678</v>
      </c>
      <c r="S163" s="1327" t="str">
        <f>OBRA!T161</f>
        <v>-</v>
      </c>
      <c r="T163" s="255">
        <f>OBRA!R161</f>
        <v>42682</v>
      </c>
      <c r="U163" s="245">
        <f>OBRA!S161</f>
        <v>42704</v>
      </c>
      <c r="V163" s="387"/>
      <c r="W163" s="651">
        <f>OBRA!AQ161+OBRA!AR161</f>
        <v>680199.78</v>
      </c>
      <c r="X163" s="1198"/>
      <c r="Y163" s="650" t="str">
        <f>OBRA!U161</f>
        <v>-</v>
      </c>
      <c r="Z163" s="650"/>
      <c r="AA163" s="652" t="str">
        <f t="shared" si="5"/>
        <v>-</v>
      </c>
      <c r="AB163" s="650" t="s">
        <v>68</v>
      </c>
      <c r="AC163" s="650"/>
      <c r="AD163" s="200" t="str">
        <f>OBRA!V161</f>
        <v>ING. RIGOBERTO OLMEDO RAMOS</v>
      </c>
      <c r="AE163" s="174">
        <v>300</v>
      </c>
      <c r="AF163" s="202" t="s">
        <v>1454</v>
      </c>
      <c r="AG163" s="653">
        <f t="shared" si="4"/>
        <v>2267.3326000000002</v>
      </c>
      <c r="AH163" s="202">
        <v>150</v>
      </c>
      <c r="AI163" s="249" t="s">
        <v>1447</v>
      </c>
      <c r="AJ163" s="566"/>
      <c r="AK163" s="566"/>
      <c r="AL163" s="566"/>
      <c r="AM163" s="900"/>
      <c r="AN163" s="510" t="s">
        <v>1702</v>
      </c>
      <c r="AO163" s="510" t="s">
        <v>1703</v>
      </c>
      <c r="AP163" s="510" t="s">
        <v>1704</v>
      </c>
      <c r="AQ163" s="801" t="s">
        <v>1705</v>
      </c>
      <c r="AR163" s="900"/>
      <c r="AS163" s="900"/>
      <c r="AT163" s="900"/>
      <c r="AU163" s="900"/>
      <c r="AV163" s="180" t="s">
        <v>551</v>
      </c>
      <c r="AW163" s="329"/>
    </row>
    <row r="164" spans="1:49" s="197" customFormat="1" ht="93" hidden="1" customHeight="1">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1208"/>
      <c r="R164" s="69">
        <f>OBRA!Q162</f>
        <v>43053</v>
      </c>
      <c r="S164" s="1327" t="str">
        <f>OBRA!T162</f>
        <v>-</v>
      </c>
      <c r="T164" s="255">
        <f>OBRA!R162</f>
        <v>42689</v>
      </c>
      <c r="U164" s="245">
        <f>OBRA!S162</f>
        <v>42734</v>
      </c>
      <c r="V164" s="387"/>
      <c r="W164" s="651">
        <f>OBRA!AQ162+OBRA!AR162</f>
        <v>273171.55000000005</v>
      </c>
      <c r="X164" s="1198"/>
      <c r="Y164" s="650" t="str">
        <f>OBRA!U162</f>
        <v>-</v>
      </c>
      <c r="Z164" s="650"/>
      <c r="AA164" s="652" t="str">
        <f t="shared" si="5"/>
        <v>-</v>
      </c>
      <c r="AB164" s="650" t="s">
        <v>68</v>
      </c>
      <c r="AC164" s="650"/>
      <c r="AD164" s="200" t="str">
        <f>OBRA!V162</f>
        <v>ING. J. GUADALUPE IBARRA RAMIREZ</v>
      </c>
      <c r="AE164" s="174">
        <v>573</v>
      </c>
      <c r="AF164" s="202" t="s">
        <v>1432</v>
      </c>
      <c r="AG164" s="653">
        <f t="shared" si="4"/>
        <v>476.73917975567196</v>
      </c>
      <c r="AH164" s="202">
        <v>1000</v>
      </c>
      <c r="AI164" s="249" t="s">
        <v>1455</v>
      </c>
      <c r="AJ164" s="566"/>
      <c r="AK164" s="566"/>
      <c r="AL164" s="566"/>
      <c r="AM164" s="900"/>
      <c r="AN164" s="510" t="s">
        <v>1709</v>
      </c>
      <c r="AO164" s="585"/>
      <c r="AP164" s="510" t="s">
        <v>1710</v>
      </c>
      <c r="AQ164" s="801" t="s">
        <v>1711</v>
      </c>
      <c r="AR164" s="900"/>
      <c r="AS164" s="900"/>
      <c r="AT164" s="900"/>
      <c r="AU164" s="900"/>
      <c r="AV164" s="180" t="s">
        <v>551</v>
      </c>
      <c r="AW164" s="329"/>
    </row>
    <row r="165" spans="1:49" s="197" customFormat="1" ht="67.5" hidden="1" customHeight="1">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2649</v>
      </c>
      <c r="N165" s="510"/>
      <c r="O165" s="85">
        <f>OBRA!P163</f>
        <v>504950.57</v>
      </c>
      <c r="P165" s="1208">
        <f t="shared" si="6"/>
        <v>435302.21551724139</v>
      </c>
      <c r="Q165" s="1208"/>
      <c r="R165" s="69">
        <f>OBRA!Q163</f>
        <v>42704</v>
      </c>
      <c r="S165" s="1327" t="str">
        <f>OBRA!T163</f>
        <v>-</v>
      </c>
      <c r="T165" s="255">
        <f>OBRA!R163</f>
        <v>42705</v>
      </c>
      <c r="U165" s="245">
        <f>OBRA!S163</f>
        <v>42735</v>
      </c>
      <c r="V165" s="387"/>
      <c r="W165" s="651">
        <f>OBRA!AQ163+OBRA!AR163</f>
        <v>496119.14</v>
      </c>
      <c r="X165" s="1198"/>
      <c r="Y165" s="650" t="str">
        <f>OBRA!U163</f>
        <v>-</v>
      </c>
      <c r="Z165" s="650"/>
      <c r="AA165" s="652" t="str">
        <f t="shared" si="5"/>
        <v>-</v>
      </c>
      <c r="AB165" s="650" t="s">
        <v>68</v>
      </c>
      <c r="AC165" s="650"/>
      <c r="AD165" s="200" t="str">
        <f>OBRA!V163</f>
        <v>ING. J. GUADALUPE IBARRA RAMIREZ</v>
      </c>
      <c r="AE165" s="174">
        <v>1299</v>
      </c>
      <c r="AF165" s="202" t="s">
        <v>1454</v>
      </c>
      <c r="AG165" s="653">
        <f t="shared" si="4"/>
        <v>381.92389530408008</v>
      </c>
      <c r="AH165" s="202">
        <v>290</v>
      </c>
      <c r="AI165" s="249" t="s">
        <v>1455</v>
      </c>
      <c r="AJ165" s="566"/>
      <c r="AK165" s="566"/>
      <c r="AL165" s="566"/>
      <c r="AM165" s="900"/>
      <c r="AN165" s="510" t="s">
        <v>1713</v>
      </c>
      <c r="AO165" s="510" t="s">
        <v>1714</v>
      </c>
      <c r="AP165" s="510" t="s">
        <v>1715</v>
      </c>
      <c r="AQ165" s="803" t="s">
        <v>1716</v>
      </c>
      <c r="AR165" s="901"/>
      <c r="AS165" s="901"/>
      <c r="AT165" s="901"/>
      <c r="AU165" s="901"/>
      <c r="AV165" s="180" t="s">
        <v>551</v>
      </c>
      <c r="AW165" s="329"/>
    </row>
    <row r="166" spans="1:49" ht="105" hidden="1" customHeight="1">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2542</v>
      </c>
      <c r="N166" s="510"/>
      <c r="O166" s="85">
        <f>OBRA!P164</f>
        <v>160904.73000000001</v>
      </c>
      <c r="P166" s="1208">
        <f t="shared" si="6"/>
        <v>138710.97413793104</v>
      </c>
      <c r="Q166" s="1208"/>
      <c r="R166" s="69">
        <f>OBRA!Q164</f>
        <v>42702</v>
      </c>
      <c r="S166" s="1327" t="str">
        <f>OBRA!T164</f>
        <v>-</v>
      </c>
      <c r="T166" s="255">
        <f>OBRA!R164</f>
        <v>42702</v>
      </c>
      <c r="U166" s="245">
        <f>OBRA!S164</f>
        <v>42711</v>
      </c>
      <c r="V166" s="387"/>
      <c r="W166" s="651">
        <f>OBRA!AQ164+OBRA!AR164</f>
        <v>55233.380000000005</v>
      </c>
      <c r="X166" s="1198"/>
      <c r="Y166" s="650" t="str">
        <f>OBRA!U164</f>
        <v>-</v>
      </c>
      <c r="Z166" s="650"/>
      <c r="AA166" s="652" t="str">
        <f t="shared" si="5"/>
        <v>-</v>
      </c>
      <c r="AB166" s="650" t="s">
        <v>68</v>
      </c>
      <c r="AC166" s="650"/>
      <c r="AD166" s="200" t="str">
        <f>OBRA!V164</f>
        <v>ING. ANGEL ALBERTO HERNANDEZ MORA</v>
      </c>
      <c r="AE166" s="174">
        <v>260</v>
      </c>
      <c r="AF166" s="202" t="s">
        <v>1454</v>
      </c>
      <c r="AG166" s="694">
        <f t="shared" si="4"/>
        <v>212.43607692307694</v>
      </c>
      <c r="AH166" s="202">
        <v>250</v>
      </c>
      <c r="AI166" s="249" t="s">
        <v>1455</v>
      </c>
      <c r="AJ166" s="566"/>
      <c r="AK166" s="566"/>
      <c r="AL166" s="566"/>
      <c r="AM166" s="900"/>
      <c r="AN166" s="585"/>
      <c r="AO166" s="585"/>
      <c r="AP166" s="510" t="s">
        <v>1718</v>
      </c>
      <c r="AQ166" s="801" t="s">
        <v>1719</v>
      </c>
      <c r="AR166" s="900"/>
      <c r="AS166" s="900"/>
      <c r="AT166" s="900"/>
      <c r="AU166" s="900"/>
      <c r="AV166" s="180" t="s">
        <v>551</v>
      </c>
      <c r="AW166" s="329"/>
    </row>
    <row r="167" spans="1:49" ht="93.75" hidden="1" customHeight="1">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2574</v>
      </c>
      <c r="N167" s="510"/>
      <c r="O167" s="85">
        <f>OBRA!P165</f>
        <v>587787.4</v>
      </c>
      <c r="P167" s="1208">
        <f t="shared" si="6"/>
        <v>506713.27586206904</v>
      </c>
      <c r="Q167" s="1208"/>
      <c r="R167" s="69">
        <f>OBRA!Q165</f>
        <v>42688</v>
      </c>
      <c r="S167" s="1327" t="str">
        <f>OBRA!T165</f>
        <v>-</v>
      </c>
      <c r="T167" s="255">
        <f>OBRA!R165</f>
        <v>42689</v>
      </c>
      <c r="U167" s="245">
        <f>OBRA!S165</f>
        <v>42705</v>
      </c>
      <c r="V167" s="387"/>
      <c r="W167" s="651">
        <f>OBRA!AQ165+OBRA!AR165</f>
        <v>586232.12</v>
      </c>
      <c r="X167" s="1198"/>
      <c r="Y167" s="650" t="str">
        <f>OBRA!U165</f>
        <v>-</v>
      </c>
      <c r="Z167" s="650"/>
      <c r="AA167" s="652" t="str">
        <f>Y167</f>
        <v>-</v>
      </c>
      <c r="AB167" s="650" t="s">
        <v>68</v>
      </c>
      <c r="AC167" s="650"/>
      <c r="AD167" s="200" t="str">
        <f>OBRA!V165</f>
        <v>ING. J. GUADALUPE IBARRA RAMIREZ</v>
      </c>
      <c r="AE167" s="174">
        <v>290</v>
      </c>
      <c r="AF167" s="202" t="s">
        <v>1454</v>
      </c>
      <c r="AG167" s="653">
        <f t="shared" si="4"/>
        <v>2021.4900689655171</v>
      </c>
      <c r="AH167" s="202">
        <v>1000</v>
      </c>
      <c r="AI167" s="249" t="s">
        <v>1455</v>
      </c>
      <c r="AJ167" s="566"/>
      <c r="AK167" s="566"/>
      <c r="AL167" s="566"/>
      <c r="AM167" s="900"/>
      <c r="AN167" s="510" t="s">
        <v>1722</v>
      </c>
      <c r="AO167" s="510" t="s">
        <v>1723</v>
      </c>
      <c r="AP167" s="510" t="s">
        <v>1724</v>
      </c>
      <c r="AQ167" s="801" t="s">
        <v>1725</v>
      </c>
      <c r="AR167" s="900"/>
      <c r="AS167" s="900"/>
      <c r="AT167" s="900"/>
      <c r="AU167" s="900"/>
      <c r="AV167" s="180" t="s">
        <v>551</v>
      </c>
      <c r="AW167" s="329"/>
    </row>
    <row r="168" spans="1:49" ht="95.25" hidden="1" customHeight="1">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2574</v>
      </c>
      <c r="N168" s="554"/>
      <c r="O168" s="85">
        <f>OBRA!P166</f>
        <v>557061.88</v>
      </c>
      <c r="P168" s="1208">
        <f t="shared" si="6"/>
        <v>480225.75862068968</v>
      </c>
      <c r="Q168" s="1208"/>
      <c r="R168" s="69">
        <f>OBRA!Q166</f>
        <v>42692</v>
      </c>
      <c r="S168" s="1327" t="str">
        <f>OBRA!T166</f>
        <v>-</v>
      </c>
      <c r="T168" s="255">
        <f>OBRA!R166</f>
        <v>42695</v>
      </c>
      <c r="U168" s="245">
        <f>OBRA!S166</f>
        <v>42719</v>
      </c>
      <c r="V168" s="387"/>
      <c r="W168" s="651">
        <f>OBRA!AQ166+OBRA!AR166</f>
        <v>555159.57999999996</v>
      </c>
      <c r="X168" s="1198"/>
      <c r="Y168" s="650" t="str">
        <f>OBRA!U166</f>
        <v>-</v>
      </c>
      <c r="Z168" s="650"/>
      <c r="AA168" s="652" t="str">
        <f>Y168</f>
        <v>-</v>
      </c>
      <c r="AB168" s="650" t="s">
        <v>68</v>
      </c>
      <c r="AC168" s="650"/>
      <c r="AD168" s="200" t="str">
        <f>OBRA!V166</f>
        <v>ING. J. GUADALUPE IBARRA RAMIREZ</v>
      </c>
      <c r="AE168" s="174">
        <v>290</v>
      </c>
      <c r="AF168" s="202" t="s">
        <v>1454</v>
      </c>
      <c r="AG168" s="653">
        <f t="shared" si="4"/>
        <v>1914.3433793103447</v>
      </c>
      <c r="AH168" s="202">
        <v>1000</v>
      </c>
      <c r="AI168" s="249" t="s">
        <v>1455</v>
      </c>
      <c r="AJ168" s="566"/>
      <c r="AK168" s="566"/>
      <c r="AL168" s="566"/>
      <c r="AM168" s="900"/>
      <c r="AN168" s="510" t="s">
        <v>1727</v>
      </c>
      <c r="AO168" s="510" t="s">
        <v>1728</v>
      </c>
      <c r="AP168" s="554" t="s">
        <v>1729</v>
      </c>
      <c r="AQ168" s="801" t="s">
        <v>1730</v>
      </c>
      <c r="AR168" s="900"/>
      <c r="AS168" s="900"/>
      <c r="AT168" s="900"/>
      <c r="AU168" s="900"/>
      <c r="AV168" s="180" t="s">
        <v>551</v>
      </c>
      <c r="AW168" s="329"/>
    </row>
    <row r="169" spans="1:49" ht="66.75" hidden="1" customHeight="1">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2574</v>
      </c>
      <c r="N169" s="510"/>
      <c r="O169" s="85">
        <f>OBRA!P167</f>
        <v>238036.86</v>
      </c>
      <c r="P169" s="1208">
        <f t="shared" si="6"/>
        <v>205204.18965517241</v>
      </c>
      <c r="Q169" s="1208"/>
      <c r="R169" s="69">
        <f>OBRA!Q167</f>
        <v>42688</v>
      </c>
      <c r="S169" s="1327" t="str">
        <f>OBRA!T167</f>
        <v>-</v>
      </c>
      <c r="T169" s="255">
        <f>OBRA!R167</f>
        <v>42689</v>
      </c>
      <c r="U169" s="245">
        <f>OBRA!S167</f>
        <v>42735</v>
      </c>
      <c r="V169" s="387"/>
      <c r="W169" s="651">
        <f>OBRA!AQ167+OBRA!AR167</f>
        <v>237658.32</v>
      </c>
      <c r="X169" s="1198"/>
      <c r="Y169" s="650" t="str">
        <f>OBRA!U167</f>
        <v>-</v>
      </c>
      <c r="Z169" s="650"/>
      <c r="AA169" s="652" t="str">
        <f>Y169</f>
        <v>-</v>
      </c>
      <c r="AB169" s="650" t="s">
        <v>68</v>
      </c>
      <c r="AC169" s="650"/>
      <c r="AD169" s="200" t="str">
        <f>OBRA!V167</f>
        <v>ING. J. GUADALUPE IBARRA RAMIREZ</v>
      </c>
      <c r="AE169" s="174">
        <v>478.3</v>
      </c>
      <c r="AF169" s="202" t="s">
        <v>1552</v>
      </c>
      <c r="AG169" s="653">
        <f t="shared" si="4"/>
        <v>496.88128789462678</v>
      </c>
      <c r="AH169" s="202">
        <v>1000</v>
      </c>
      <c r="AI169" s="249" t="s">
        <v>1455</v>
      </c>
      <c r="AJ169" s="566"/>
      <c r="AK169" s="566"/>
      <c r="AL169" s="566"/>
      <c r="AM169" s="900"/>
      <c r="AN169" s="585"/>
      <c r="AO169" s="510" t="s">
        <v>1731</v>
      </c>
      <c r="AP169" s="510" t="s">
        <v>1732</v>
      </c>
      <c r="AQ169" s="801" t="s">
        <v>1733</v>
      </c>
      <c r="AR169" s="900"/>
      <c r="AS169" s="900"/>
      <c r="AT169" s="900"/>
      <c r="AU169" s="900"/>
      <c r="AV169" s="180" t="s">
        <v>551</v>
      </c>
      <c r="AW169" s="329"/>
    </row>
    <row r="170" spans="1:49" ht="51" hidden="1" customHeight="1">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2640</v>
      </c>
      <c r="N170" s="510"/>
      <c r="O170" s="85">
        <f>OBRA!P168</f>
        <v>2426000</v>
      </c>
      <c r="P170" s="1208">
        <f t="shared" si="6"/>
        <v>2091379.3103448278</v>
      </c>
      <c r="Q170" s="1208"/>
      <c r="R170" s="69">
        <f>OBRA!Q168</f>
        <v>42674</v>
      </c>
      <c r="S170" s="1327" t="str">
        <f>OBRA!T168</f>
        <v>-</v>
      </c>
      <c r="T170" s="255">
        <f>OBRA!R168</f>
        <v>42675</v>
      </c>
      <c r="U170" s="245">
        <f>OBRA!S168</f>
        <v>42735</v>
      </c>
      <c r="V170" s="387"/>
      <c r="W170" s="651">
        <f>OBRA!AQ168+OBRA!AR168</f>
        <v>2462358.98</v>
      </c>
      <c r="X170" s="1198"/>
      <c r="Y170" s="650" t="str">
        <f>OBRA!U168</f>
        <v>-</v>
      </c>
      <c r="Z170" s="650"/>
      <c r="AA170" s="652" t="str">
        <f>Y170</f>
        <v>-</v>
      </c>
      <c r="AB170" s="650" t="s">
        <v>68</v>
      </c>
      <c r="AC170" s="650"/>
      <c r="AD170" s="200" t="str">
        <f>OBRA!V168</f>
        <v>ING. RIGOBERTO OLMEDO RAMOS</v>
      </c>
      <c r="AE170" s="174">
        <v>3217.2</v>
      </c>
      <c r="AF170" s="202" t="s">
        <v>1552</v>
      </c>
      <c r="AG170" s="653">
        <f t="shared" si="4"/>
        <v>765.37329976376975</v>
      </c>
      <c r="AH170" s="202">
        <v>150</v>
      </c>
      <c r="AI170" s="249" t="s">
        <v>1447</v>
      </c>
      <c r="AJ170" s="566"/>
      <c r="AK170" s="566"/>
      <c r="AL170" s="566"/>
      <c r="AM170" s="900"/>
      <c r="AN170" s="510" t="s">
        <v>1735</v>
      </c>
      <c r="AO170" s="510" t="s">
        <v>1736</v>
      </c>
      <c r="AP170" s="510" t="s">
        <v>1737</v>
      </c>
      <c r="AQ170" s="801" t="s">
        <v>1738</v>
      </c>
      <c r="AR170" s="900"/>
      <c r="AS170" s="900"/>
      <c r="AT170" s="900"/>
      <c r="AU170" s="900"/>
      <c r="AV170" s="180" t="s">
        <v>551</v>
      </c>
      <c r="AW170" s="329"/>
    </row>
    <row r="171" spans="1:49" ht="159" hidden="1" customHeight="1">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2539</v>
      </c>
      <c r="N171" s="510"/>
      <c r="O171" s="85">
        <f>OBRA!P169</f>
        <v>892870.48</v>
      </c>
      <c r="P171" s="1208">
        <f t="shared" si="6"/>
        <v>769715.93103448278</v>
      </c>
      <c r="Q171" s="1208"/>
      <c r="R171" s="69">
        <f>OBRA!Q169</f>
        <v>42461</v>
      </c>
      <c r="S171" s="1327">
        <f>OBRA!T169</f>
        <v>42426</v>
      </c>
      <c r="T171" s="255">
        <f>OBRA!R169</f>
        <v>42461</v>
      </c>
      <c r="U171" s="245">
        <f>OBRA!S169</f>
        <v>42583</v>
      </c>
      <c r="V171" s="387"/>
      <c r="W171" s="651">
        <f>OBRA!AQ169+OBRA!AR169</f>
        <v>1035729.76</v>
      </c>
      <c r="X171" s="1198"/>
      <c r="Y171" s="650" t="str">
        <f>OBRA!U169</f>
        <v>ELECTRIFICACIONES MUGA, S.A. DE C.V.</v>
      </c>
      <c r="Z171" s="650"/>
      <c r="AA171" s="652" t="s">
        <v>1742</v>
      </c>
      <c r="AB171" s="650" t="s">
        <v>1743</v>
      </c>
      <c r="AC171" s="650"/>
      <c r="AD171" s="200" t="str">
        <f>OBRA!V169</f>
        <v>ING. RIGOBERTO OLMEDO RAMOS</v>
      </c>
      <c r="AE171" s="174">
        <v>3420</v>
      </c>
      <c r="AF171" s="202" t="s">
        <v>1744</v>
      </c>
      <c r="AG171" s="694">
        <f t="shared" si="4"/>
        <v>302.8449590643275</v>
      </c>
      <c r="AH171" s="202">
        <v>250</v>
      </c>
      <c r="AI171" s="249" t="s">
        <v>1447</v>
      </c>
      <c r="AJ171" s="566"/>
      <c r="AK171" s="566"/>
      <c r="AL171" s="566"/>
      <c r="AM171" s="900"/>
      <c r="AN171" s="510" t="s">
        <v>1745</v>
      </c>
      <c r="AO171" s="510" t="s">
        <v>1746</v>
      </c>
      <c r="AP171" s="580" t="s">
        <v>1747</v>
      </c>
      <c r="AQ171" s="692" t="s">
        <v>1748</v>
      </c>
      <c r="AR171" s="552"/>
      <c r="AS171" s="552"/>
      <c r="AT171" s="552"/>
      <c r="AU171" s="552"/>
      <c r="AV171" s="339" t="s">
        <v>551</v>
      </c>
      <c r="AW171" s="329"/>
    </row>
    <row r="172" spans="1:49" ht="72" hidden="1" customHeight="1">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2613</v>
      </c>
      <c r="N172" s="510"/>
      <c r="O172" s="85">
        <f>OBRA!P170</f>
        <v>1451401.32</v>
      </c>
      <c r="P172" s="1208">
        <f t="shared" si="6"/>
        <v>1251208.0344827587</v>
      </c>
      <c r="Q172" s="1208"/>
      <c r="R172" s="69">
        <f>OBRA!Q170</f>
        <v>42458</v>
      </c>
      <c r="S172" s="1327">
        <f>OBRA!T170</f>
        <v>42457</v>
      </c>
      <c r="T172" s="255">
        <f>OBRA!R170</f>
        <v>42459</v>
      </c>
      <c r="U172" s="245">
        <f>OBRA!S170</f>
        <v>42498</v>
      </c>
      <c r="V172" s="387"/>
      <c r="W172" s="651">
        <f>OBRA!AQ170+OBRA!AR170</f>
        <v>1451401.31</v>
      </c>
      <c r="X172" s="1198"/>
      <c r="Y172" s="650" t="str">
        <f>OBRA!U170</f>
        <v>RAMPER DRILLINGS S.A. DE C.V.</v>
      </c>
      <c r="Z172" s="650"/>
      <c r="AA172" s="652" t="s">
        <v>1752</v>
      </c>
      <c r="AB172" s="650" t="s">
        <v>1753</v>
      </c>
      <c r="AC172" s="650"/>
      <c r="AD172" s="200" t="str">
        <f>OBRA!V170</f>
        <v>ING. J. GUADALUPE IBARRA RAMIREZ</v>
      </c>
      <c r="AE172" s="609">
        <v>1</v>
      </c>
      <c r="AF172" s="202" t="s">
        <v>1466</v>
      </c>
      <c r="AG172" s="694">
        <f t="shared" si="4"/>
        <v>1451401.31</v>
      </c>
      <c r="AH172" s="202">
        <v>2500</v>
      </c>
      <c r="AI172" s="249" t="s">
        <v>1455</v>
      </c>
      <c r="AJ172" s="566"/>
      <c r="AK172" s="566"/>
      <c r="AL172" s="566"/>
      <c r="AM172" s="900"/>
      <c r="AN172" s="510" t="s">
        <v>1754</v>
      </c>
      <c r="AO172" s="510" t="s">
        <v>1755</v>
      </c>
      <c r="AP172" s="580" t="s">
        <v>1756</v>
      </c>
      <c r="AQ172" s="692" t="s">
        <v>1757</v>
      </c>
      <c r="AR172" s="552"/>
      <c r="AS172" s="552"/>
      <c r="AT172" s="552"/>
      <c r="AU172" s="552"/>
      <c r="AV172" s="180" t="s">
        <v>551</v>
      </c>
      <c r="AW172" s="329"/>
    </row>
    <row r="173" spans="1:49" ht="80.25" hidden="1" customHeight="1">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1208"/>
      <c r="R173" s="69">
        <f>OBRA!Q171</f>
        <v>42587</v>
      </c>
      <c r="S173" s="1327">
        <f>OBRA!T171</f>
        <v>42587</v>
      </c>
      <c r="T173" s="255">
        <f>OBRA!R171</f>
        <v>42597</v>
      </c>
      <c r="U173" s="245">
        <f>OBRA!S171</f>
        <v>42628</v>
      </c>
      <c r="V173" s="387"/>
      <c r="W173" s="651">
        <f>OBRA!AQ171+OBRA!AR171</f>
        <v>457628.12</v>
      </c>
      <c r="X173" s="1198"/>
      <c r="Y173" s="650" t="str">
        <f>OBRA!U171</f>
        <v>ENERGIAS RENOVABLES DE LA RIVERA S.A. DE C.V</v>
      </c>
      <c r="Z173" s="650"/>
      <c r="AA173" s="652" t="s">
        <v>1759</v>
      </c>
      <c r="AB173" s="650" t="s">
        <v>1760</v>
      </c>
      <c r="AC173" s="650"/>
      <c r="AD173" s="200" t="str">
        <f>OBRA!V171</f>
        <v>ING. RIGOBERTO OLMEDO RAMOS</v>
      </c>
      <c r="AE173" s="174">
        <v>12</v>
      </c>
      <c r="AF173" s="202" t="s">
        <v>1761</v>
      </c>
      <c r="AG173" s="694">
        <f t="shared" si="4"/>
        <v>38135.676666666666</v>
      </c>
      <c r="AH173" s="202">
        <v>2373</v>
      </c>
      <c r="AI173" s="249" t="s">
        <v>1447</v>
      </c>
      <c r="AJ173" s="566"/>
      <c r="AK173" s="566"/>
      <c r="AL173" s="566"/>
      <c r="AM173" s="900"/>
      <c r="AN173" s="510" t="s">
        <v>1762</v>
      </c>
      <c r="AO173" s="510" t="s">
        <v>1763</v>
      </c>
      <c r="AP173" s="580" t="s">
        <v>1764</v>
      </c>
      <c r="AQ173" s="691" t="s">
        <v>1765</v>
      </c>
      <c r="AR173" s="542"/>
      <c r="AS173" s="542"/>
      <c r="AT173" s="542"/>
      <c r="AU173" s="542"/>
      <c r="AV173" s="180" t="s">
        <v>551</v>
      </c>
      <c r="AW173" s="329"/>
    </row>
    <row r="174" spans="1:49" ht="78.75" hidden="1" customHeight="1">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2640</v>
      </c>
      <c r="N174" s="510"/>
      <c r="O174" s="85">
        <f>OBRA!P172</f>
        <v>346655.86</v>
      </c>
      <c r="P174" s="1208">
        <f t="shared" si="6"/>
        <v>298841.25862068968</v>
      </c>
      <c r="Q174" s="1208"/>
      <c r="R174" s="69">
        <f>OBRA!Q172</f>
        <v>42599</v>
      </c>
      <c r="S174" s="1327">
        <f>OBRA!T172</f>
        <v>42597</v>
      </c>
      <c r="T174" s="255">
        <f>OBRA!R172</f>
        <v>42600</v>
      </c>
      <c r="U174" s="245">
        <f>OBRA!S172</f>
        <v>42704</v>
      </c>
      <c r="V174" s="387"/>
      <c r="W174" s="651">
        <f>OBRA!AQ172+OBRA!AR172</f>
        <v>345714.41</v>
      </c>
      <c r="X174" s="1198"/>
      <c r="Y174" s="650" t="str">
        <f>OBRA!U172</f>
        <v>LIC. CARLOS MANUEL PELAYO CERVERA</v>
      </c>
      <c r="Z174" s="650"/>
      <c r="AA174" s="652" t="str">
        <f t="shared" si="5"/>
        <v>LIC. CARLOS MANUEL PELAYO CERVERA</v>
      </c>
      <c r="AB174" s="652" t="s">
        <v>2995</v>
      </c>
      <c r="AC174" s="650" t="s">
        <v>2995</v>
      </c>
      <c r="AD174" s="200" t="str">
        <f>OBRA!V172</f>
        <v>LIC. SALVADOR CONTRERAS OLGUÍN</v>
      </c>
      <c r="AE174" s="174">
        <v>196.11</v>
      </c>
      <c r="AF174" s="202" t="s">
        <v>1454</v>
      </c>
      <c r="AG174" s="694">
        <f t="shared" si="4"/>
        <v>1762.8596705930343</v>
      </c>
      <c r="AH174" s="202">
        <v>150</v>
      </c>
      <c r="AI174" s="249" t="s">
        <v>1447</v>
      </c>
      <c r="AJ174" s="566"/>
      <c r="AK174" s="566"/>
      <c r="AL174" s="566"/>
      <c r="AM174" s="900"/>
      <c r="AN174" s="510" t="s">
        <v>1769</v>
      </c>
      <c r="AO174" s="510" t="s">
        <v>1770</v>
      </c>
      <c r="AP174" s="580" t="s">
        <v>1771</v>
      </c>
      <c r="AQ174" s="804" t="s">
        <v>1772</v>
      </c>
      <c r="AR174" s="552"/>
      <c r="AS174" s="552"/>
      <c r="AT174" s="552"/>
      <c r="AU174" s="552"/>
      <c r="AV174" s="180" t="s">
        <v>551</v>
      </c>
      <c r="AW174" s="329"/>
    </row>
    <row r="175" spans="1:49" ht="78.75" hidden="1" customHeight="1">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2640</v>
      </c>
      <c r="N175" s="510"/>
      <c r="O175" s="85">
        <f>OBRA!P173</f>
        <v>410268.05</v>
      </c>
      <c r="P175" s="1208">
        <f t="shared" si="6"/>
        <v>353679.35344827588</v>
      </c>
      <c r="Q175" s="1208"/>
      <c r="R175" s="69">
        <f>OBRA!Q173</f>
        <v>42593</v>
      </c>
      <c r="S175" s="1327">
        <f>OBRA!T173</f>
        <v>42592</v>
      </c>
      <c r="T175" s="255">
        <f>OBRA!R173</f>
        <v>42597</v>
      </c>
      <c r="U175" s="245">
        <f>OBRA!S173</f>
        <v>42704</v>
      </c>
      <c r="V175" s="387"/>
      <c r="W175" s="651">
        <f>OBRA!AQ173+OBRA!AR173</f>
        <v>408611.97</v>
      </c>
      <c r="X175" s="1198"/>
      <c r="Y175" s="650" t="str">
        <f>OBRA!U173</f>
        <v>LIC. CARLOS MANUEL PELAYO CERVERA</v>
      </c>
      <c r="Z175" s="650"/>
      <c r="AA175" s="652" t="str">
        <f t="shared" si="5"/>
        <v>LIC. CARLOS MANUEL PELAYO CERVERA</v>
      </c>
      <c r="AB175" s="652" t="s">
        <v>2995</v>
      </c>
      <c r="AC175" s="650" t="s">
        <v>2995</v>
      </c>
      <c r="AD175" s="200" t="str">
        <f>OBRA!V173</f>
        <v>LIC. SALVADOR CONTRERAS OLGUÍN</v>
      </c>
      <c r="AE175" s="174">
        <v>196.11</v>
      </c>
      <c r="AF175" s="202" t="s">
        <v>1454</v>
      </c>
      <c r="AG175" s="694">
        <f t="shared" si="4"/>
        <v>2083.5855897200549</v>
      </c>
      <c r="AH175" s="202">
        <v>150</v>
      </c>
      <c r="AI175" s="249" t="s">
        <v>1447</v>
      </c>
      <c r="AJ175" s="566"/>
      <c r="AK175" s="566"/>
      <c r="AL175" s="566"/>
      <c r="AM175" s="900"/>
      <c r="AN175" s="510" t="s">
        <v>1774</v>
      </c>
      <c r="AO175" s="510" t="s">
        <v>1775</v>
      </c>
      <c r="AP175" s="580" t="s">
        <v>1776</v>
      </c>
      <c r="AQ175" s="805" t="s">
        <v>1777</v>
      </c>
      <c r="AR175" s="546"/>
      <c r="AS175" s="546"/>
      <c r="AT175" s="546"/>
      <c r="AU175" s="546"/>
      <c r="AV175" s="180" t="s">
        <v>551</v>
      </c>
      <c r="AW175" s="329"/>
    </row>
    <row r="176" spans="1:49" ht="84.75" hidden="1" customHeight="1">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85"/>
      <c r="R176" s="69">
        <f>OBRA!Q174</f>
        <v>42597</v>
      </c>
      <c r="S176" s="1327">
        <f>OBRA!T174</f>
        <v>42597</v>
      </c>
      <c r="T176" s="255">
        <f>OBRA!R174</f>
        <v>42600</v>
      </c>
      <c r="U176" s="245">
        <f>OBRA!S174</f>
        <v>42704</v>
      </c>
      <c r="V176" s="387"/>
      <c r="W176" s="651">
        <f>OBRA!AQ174+OBRA!AR174</f>
        <v>367595.09</v>
      </c>
      <c r="X176" s="1198"/>
      <c r="Y176" s="650" t="str">
        <f>OBRA!U174</f>
        <v>CONSTRUCCIONES VIKBRAK, S.A. DE C.V.</v>
      </c>
      <c r="Z176" s="650"/>
      <c r="AA176" s="652" t="s">
        <v>1580</v>
      </c>
      <c r="AB176" s="650" t="s">
        <v>1581</v>
      </c>
      <c r="AC176" s="650"/>
      <c r="AD176" s="200" t="str">
        <f>OBRA!V174</f>
        <v>LIC. SALVADOR CONTRERAS OLGUÍN</v>
      </c>
      <c r="AE176" s="174">
        <v>150</v>
      </c>
      <c r="AF176" s="202" t="s">
        <v>1454</v>
      </c>
      <c r="AG176" s="694">
        <f t="shared" si="4"/>
        <v>2450.6339333333335</v>
      </c>
      <c r="AH176" s="202">
        <v>2000</v>
      </c>
      <c r="AI176" s="249" t="s">
        <v>1455</v>
      </c>
      <c r="AJ176" s="566"/>
      <c r="AK176" s="566"/>
      <c r="AL176" s="566"/>
      <c r="AM176" s="900"/>
      <c r="AN176" s="580" t="s">
        <v>1780</v>
      </c>
      <c r="AO176" s="580" t="s">
        <v>1781</v>
      </c>
      <c r="AP176" s="502" t="s">
        <v>1782</v>
      </c>
      <c r="AQ176" s="806" t="s">
        <v>1783</v>
      </c>
      <c r="AR176" s="551"/>
      <c r="AS176" s="551"/>
      <c r="AT176" s="551"/>
      <c r="AU176" s="551"/>
      <c r="AV176" s="180" t="s">
        <v>551</v>
      </c>
      <c r="AW176" s="329"/>
    </row>
    <row r="177" spans="1:49" ht="75.75" hidden="1" customHeight="1">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85"/>
      <c r="R177" s="69">
        <f>OBRA!Q175</f>
        <v>42592</v>
      </c>
      <c r="S177" s="1327">
        <f>OBRA!T175</f>
        <v>42592</v>
      </c>
      <c r="T177" s="255">
        <f>OBRA!R175</f>
        <v>42593</v>
      </c>
      <c r="U177" s="245">
        <f>OBRA!S175</f>
        <v>42704</v>
      </c>
      <c r="V177" s="387"/>
      <c r="W177" s="651">
        <f>OBRA!AQ175+OBRA!AR175</f>
        <v>367595.1</v>
      </c>
      <c r="X177" s="1198"/>
      <c r="Y177" s="650" t="str">
        <f>OBRA!U175</f>
        <v>CONSTRUCCIONES VIKBRAK, S.A. DE C.V.</v>
      </c>
      <c r="Z177" s="650"/>
      <c r="AA177" s="652" t="s">
        <v>1580</v>
      </c>
      <c r="AB177" s="650" t="s">
        <v>1581</v>
      </c>
      <c r="AC177" s="650"/>
      <c r="AD177" s="200" t="str">
        <f>OBRA!V175</f>
        <v>LIC. SALVADOR CONTRERAS OLGUÍN</v>
      </c>
      <c r="AE177" s="684">
        <v>220</v>
      </c>
      <c r="AF177" s="202" t="s">
        <v>1454</v>
      </c>
      <c r="AG177" s="694">
        <f t="shared" si="4"/>
        <v>1670.8868181818182</v>
      </c>
      <c r="AH177" s="202">
        <v>2000</v>
      </c>
      <c r="AI177" s="249" t="s">
        <v>1455</v>
      </c>
      <c r="AJ177" s="566"/>
      <c r="AK177" s="566"/>
      <c r="AL177" s="566"/>
      <c r="AM177" s="900"/>
      <c r="AN177" s="580" t="s">
        <v>1785</v>
      </c>
      <c r="AO177" s="580" t="s">
        <v>1786</v>
      </c>
      <c r="AP177" s="502" t="s">
        <v>1787</v>
      </c>
      <c r="AQ177" s="805" t="s">
        <v>1788</v>
      </c>
      <c r="AR177" s="546"/>
      <c r="AS177" s="546"/>
      <c r="AT177" s="546"/>
      <c r="AU177" s="546"/>
      <c r="AV177" s="180" t="s">
        <v>551</v>
      </c>
      <c r="AW177" s="329"/>
    </row>
    <row r="178" spans="1:49" ht="62.25" hidden="1" customHeight="1">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1208"/>
      <c r="R178" s="69">
        <f>OBRA!Q176</f>
        <v>42618</v>
      </c>
      <c r="S178" s="1327">
        <f>OBRA!T176</f>
        <v>42618</v>
      </c>
      <c r="T178" s="255">
        <f>OBRA!R176</f>
        <v>42625</v>
      </c>
      <c r="U178" s="245">
        <f>OBRA!S176</f>
        <v>42704</v>
      </c>
      <c r="V178" s="387"/>
      <c r="W178" s="651">
        <f>OBRA!AQ176+OBRA!AR176</f>
        <v>101409.74</v>
      </c>
      <c r="X178" s="1198"/>
      <c r="Y178" s="650" t="str">
        <f>OBRA!U176</f>
        <v>CONSTRUCCIONES VIKBRAK, S.A. DE C.V.</v>
      </c>
      <c r="Z178" s="650"/>
      <c r="AA178" s="652" t="s">
        <v>1580</v>
      </c>
      <c r="AB178" s="650" t="s">
        <v>1581</v>
      </c>
      <c r="AC178" s="650"/>
      <c r="AD178" s="200" t="str">
        <f>OBRA!V176</f>
        <v>LIC. SALVADOR CONTRERAS OLGUÍN</v>
      </c>
      <c r="AE178" s="609">
        <v>277.95</v>
      </c>
      <c r="AF178" s="202" t="s">
        <v>1454</v>
      </c>
      <c r="AG178" s="694">
        <f t="shared" si="4"/>
        <v>364.84885770822092</v>
      </c>
      <c r="AH178" s="202">
        <v>2000</v>
      </c>
      <c r="AI178" s="249" t="s">
        <v>1455</v>
      </c>
      <c r="AJ178" s="566"/>
      <c r="AK178" s="566"/>
      <c r="AL178" s="566"/>
      <c r="AM178" s="900"/>
      <c r="AN178" s="510" t="s">
        <v>1790</v>
      </c>
      <c r="AO178" s="510" t="s">
        <v>1791</v>
      </c>
      <c r="AP178" s="580" t="s">
        <v>1792</v>
      </c>
      <c r="AQ178" s="692" t="s">
        <v>1793</v>
      </c>
      <c r="AR178" s="552"/>
      <c r="AS178" s="552"/>
      <c r="AT178" s="552"/>
      <c r="AU178" s="552"/>
      <c r="AV178" s="180" t="s">
        <v>551</v>
      </c>
      <c r="AW178" s="329"/>
    </row>
    <row r="179" spans="1:49" ht="87.75" hidden="1" customHeight="1">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1208"/>
      <c r="R179" s="69">
        <f>OBRA!Q177</f>
        <v>42618</v>
      </c>
      <c r="S179" s="1327">
        <f>OBRA!T177</f>
        <v>41157</v>
      </c>
      <c r="T179" s="255">
        <f>OBRA!R177</f>
        <v>42625</v>
      </c>
      <c r="U179" s="245">
        <f>OBRA!S177</f>
        <v>42704</v>
      </c>
      <c r="V179" s="387"/>
      <c r="W179" s="651">
        <f>OBRA!AQ177+OBRA!AR177</f>
        <v>93627.95</v>
      </c>
      <c r="X179" s="1198"/>
      <c r="Y179" s="650" t="str">
        <f>OBRA!U177</f>
        <v>CONSTRUCCIONES VIKBRAK, S.A. DE C.V.</v>
      </c>
      <c r="Z179" s="650"/>
      <c r="AA179" s="652" t="s">
        <v>1580</v>
      </c>
      <c r="AB179" s="650" t="s">
        <v>1581</v>
      </c>
      <c r="AC179" s="650"/>
      <c r="AD179" s="200" t="str">
        <f>OBRA!V177</f>
        <v>LIC. SALVADOR CONTRERAS OLGUÍN</v>
      </c>
      <c r="AE179" s="609">
        <v>70</v>
      </c>
      <c r="AF179" s="202" t="s">
        <v>1454</v>
      </c>
      <c r="AG179" s="694">
        <f t="shared" si="4"/>
        <v>1337.5421428571428</v>
      </c>
      <c r="AH179" s="202">
        <v>2000</v>
      </c>
      <c r="AI179" s="249" t="s">
        <v>1455</v>
      </c>
      <c r="AJ179" s="566"/>
      <c r="AK179" s="566"/>
      <c r="AL179" s="566"/>
      <c r="AM179" s="900"/>
      <c r="AN179" s="510" t="s">
        <v>1795</v>
      </c>
      <c r="AO179" s="510" t="s">
        <v>1796</v>
      </c>
      <c r="AP179" s="580" t="s">
        <v>1797</v>
      </c>
      <c r="AQ179" s="806" t="s">
        <v>1798</v>
      </c>
      <c r="AR179" s="551"/>
      <c r="AS179" s="551"/>
      <c r="AT179" s="551"/>
      <c r="AU179" s="551"/>
      <c r="AV179" s="180" t="s">
        <v>551</v>
      </c>
      <c r="AW179" s="329"/>
    </row>
    <row r="180" spans="1:49" ht="58.5" hidden="1" customHeight="1">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1208"/>
      <c r="R180" s="69">
        <f>OBRA!Q178</f>
        <v>42632</v>
      </c>
      <c r="S180" s="1327">
        <f>OBRA!T178</f>
        <v>42632</v>
      </c>
      <c r="T180" s="255">
        <f>OBRA!R178</f>
        <v>42635</v>
      </c>
      <c r="U180" s="245">
        <f>OBRA!S178</f>
        <v>42704</v>
      </c>
      <c r="V180" s="387"/>
      <c r="W180" s="651">
        <f>OBRA!AQ178+OBRA!AR178</f>
        <v>581427.36</v>
      </c>
      <c r="X180" s="1198"/>
      <c r="Y180" s="650" t="str">
        <f>OBRA!U178</f>
        <v>ING. GERARDO DANIEL PELAYO CERVERA</v>
      </c>
      <c r="Z180" s="650"/>
      <c r="AA180" s="652" t="str">
        <f t="shared" si="5"/>
        <v>ING. GERARDO DANIEL PELAYO CERVERA</v>
      </c>
      <c r="AB180" s="652" t="s">
        <v>2995</v>
      </c>
      <c r="AC180" s="650" t="s">
        <v>2995</v>
      </c>
      <c r="AD180" s="200" t="str">
        <f>OBRA!V178</f>
        <v>LIC. SALVADOR CONTRERAS OLGUÍN</v>
      </c>
      <c r="AE180" s="609">
        <v>654</v>
      </c>
      <c r="AF180" s="202" t="s">
        <v>1454</v>
      </c>
      <c r="AG180" s="694">
        <f t="shared" si="4"/>
        <v>889.03266055045867</v>
      </c>
      <c r="AH180" s="202">
        <v>2000</v>
      </c>
      <c r="AI180" s="249" t="s">
        <v>1455</v>
      </c>
      <c r="AJ180" s="566"/>
      <c r="AK180" s="566"/>
      <c r="AL180" s="566"/>
      <c r="AM180" s="900"/>
      <c r="AN180" s="510" t="s">
        <v>1801</v>
      </c>
      <c r="AO180" s="510" t="s">
        <v>1802</v>
      </c>
      <c r="AP180" s="580" t="s">
        <v>1803</v>
      </c>
      <c r="AQ180" s="804" t="s">
        <v>1804</v>
      </c>
      <c r="AR180" s="552"/>
      <c r="AS180" s="552"/>
      <c r="AT180" s="552"/>
      <c r="AU180" s="552"/>
      <c r="AV180" s="180" t="s">
        <v>551</v>
      </c>
      <c r="AW180" s="329"/>
    </row>
    <row r="181" spans="1:49" ht="73.5" hidden="1" customHeight="1">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1208"/>
      <c r="R181" s="69">
        <f>OBRA!Q179</f>
        <v>42632</v>
      </c>
      <c r="S181" s="1327">
        <f>OBRA!T179</f>
        <v>42632</v>
      </c>
      <c r="T181" s="255">
        <f>OBRA!R179</f>
        <v>42635</v>
      </c>
      <c r="U181" s="245">
        <f>OBRA!S179</f>
        <v>42704</v>
      </c>
      <c r="V181" s="387"/>
      <c r="W181" s="651">
        <f>OBRA!AQ179+OBRA!AR179</f>
        <v>490205.02</v>
      </c>
      <c r="X181" s="1198"/>
      <c r="Y181" s="650" t="str">
        <f>OBRA!U179</f>
        <v>ING. GERARDO DANIEL PELAYO CERVERA</v>
      </c>
      <c r="Z181" s="650"/>
      <c r="AA181" s="652" t="str">
        <f t="shared" si="5"/>
        <v>ING. GERARDO DANIEL PELAYO CERVERA</v>
      </c>
      <c r="AB181" s="675" t="s">
        <v>2995</v>
      </c>
      <c r="AC181" s="650" t="s">
        <v>2995</v>
      </c>
      <c r="AD181" s="200" t="str">
        <f>OBRA!V179</f>
        <v>LIC. SALVADOR CONTRERAS OLGUÍN</v>
      </c>
      <c r="AE181" s="609">
        <v>670</v>
      </c>
      <c r="AF181" s="202" t="s">
        <v>1454</v>
      </c>
      <c r="AG181" s="694">
        <f t="shared" si="4"/>
        <v>731.64928358208954</v>
      </c>
      <c r="AH181" s="202">
        <v>2000</v>
      </c>
      <c r="AI181" s="249" t="s">
        <v>1455</v>
      </c>
      <c r="AJ181" s="566"/>
      <c r="AK181" s="566"/>
      <c r="AL181" s="566"/>
      <c r="AM181" s="900"/>
      <c r="AN181" s="510" t="s">
        <v>1806</v>
      </c>
      <c r="AO181" s="510" t="s">
        <v>1807</v>
      </c>
      <c r="AP181" s="580" t="s">
        <v>1808</v>
      </c>
      <c r="AQ181" s="805" t="s">
        <v>1809</v>
      </c>
      <c r="AR181" s="546"/>
      <c r="AS181" s="546"/>
      <c r="AT181" s="546"/>
      <c r="AU181" s="546"/>
      <c r="AV181" s="180" t="s">
        <v>551</v>
      </c>
      <c r="AW181" s="329"/>
    </row>
    <row r="182" spans="1:49" ht="87" hidden="1" customHeight="1">
      <c r="A182" s="327">
        <f>OBRA!I180</f>
        <v>2016</v>
      </c>
      <c r="B182" s="896" t="s">
        <v>1567</v>
      </c>
      <c r="C182" s="896"/>
      <c r="D182" s="896"/>
      <c r="E182" s="202" t="str">
        <f>OBRA!K180</f>
        <v xml:space="preserve">Fortalecimiento Financiero Para La Inversion </v>
      </c>
      <c r="F182" s="691" t="s">
        <v>1706</v>
      </c>
      <c r="G182" s="1286"/>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85"/>
      <c r="R182" s="69">
        <f>OBRA!Q180</f>
        <v>42633</v>
      </c>
      <c r="S182" s="1327" t="str">
        <f>OBRA!T180</f>
        <v>-</v>
      </c>
      <c r="T182" s="255">
        <f>OBRA!R180</f>
        <v>42634</v>
      </c>
      <c r="U182" s="245">
        <f>OBRA!S180</f>
        <v>42719</v>
      </c>
      <c r="V182" s="387"/>
      <c r="W182" s="651">
        <f>OBRA!AQ180+OBRA!AR180</f>
        <v>3930732.5399999996</v>
      </c>
      <c r="X182" s="1198"/>
      <c r="Y182" s="650" t="str">
        <f>OBRA!U180</f>
        <v>A&amp;G URBANIZADORA S.A. DE C.V.</v>
      </c>
      <c r="Z182" s="650"/>
      <c r="AA182" s="675" t="s">
        <v>1812</v>
      </c>
      <c r="AB182" s="650" t="s">
        <v>1813</v>
      </c>
      <c r="AC182" s="650"/>
      <c r="AD182" s="200" t="str">
        <f>OBRA!V180</f>
        <v>ING. J. GUADALUPE IBARRA RAMIREZ</v>
      </c>
      <c r="AE182" s="609">
        <v>3091.38</v>
      </c>
      <c r="AF182" s="202" t="s">
        <v>1552</v>
      </c>
      <c r="AG182" s="653">
        <f t="shared" si="4"/>
        <v>1271.5138675931137</v>
      </c>
      <c r="AH182" s="202">
        <v>21500</v>
      </c>
      <c r="AI182" s="249" t="s">
        <v>1455</v>
      </c>
      <c r="AJ182" s="566"/>
      <c r="AK182" s="566"/>
      <c r="AL182" s="566"/>
      <c r="AM182" s="900"/>
      <c r="AN182" s="585"/>
      <c r="AO182" s="510" t="s">
        <v>1814</v>
      </c>
      <c r="AP182" s="580" t="s">
        <v>1815</v>
      </c>
      <c r="AQ182" s="806" t="s">
        <v>1816</v>
      </c>
      <c r="AR182" s="551"/>
      <c r="AS182" s="551"/>
      <c r="AT182" s="551"/>
      <c r="AU182" s="551"/>
      <c r="AV182" s="180"/>
      <c r="AW182" s="329"/>
    </row>
    <row r="183" spans="1:49" ht="51.75" hidden="1" customHeight="1">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2640</v>
      </c>
      <c r="N183" s="510"/>
      <c r="O183" s="85">
        <f>OBRA!P181</f>
        <v>352278.81</v>
      </c>
      <c r="P183" s="1208">
        <f>O183/1.16</f>
        <v>303688.62931034487</v>
      </c>
      <c r="Q183" s="1208"/>
      <c r="R183" s="69">
        <f>OBRA!Q181</f>
        <v>42650</v>
      </c>
      <c r="S183" s="1327">
        <f>OBRA!T181</f>
        <v>42650</v>
      </c>
      <c r="T183" s="255">
        <f>OBRA!R181</f>
        <v>42653</v>
      </c>
      <c r="U183" s="245">
        <f>OBRA!S181</f>
        <v>42734</v>
      </c>
      <c r="V183" s="387"/>
      <c r="W183" s="651">
        <f>OBRA!AQ181+OBRA!AR181</f>
        <v>352278.84</v>
      </c>
      <c r="X183" s="1198"/>
      <c r="Y183" s="650" t="str">
        <f>OBRA!U181</f>
        <v>ENERGIAS RENOVABLES DE LA RIVERA S.A. DE C.V</v>
      </c>
      <c r="Z183" s="650"/>
      <c r="AA183" s="652" t="s">
        <v>1759</v>
      </c>
      <c r="AB183" s="650" t="s">
        <v>1760</v>
      </c>
      <c r="AC183" s="650"/>
      <c r="AD183" s="200" t="str">
        <f>OBRA!V181</f>
        <v>ING. RIGOBERTO OLMEDO RAMOS</v>
      </c>
      <c r="AE183" s="609">
        <v>11</v>
      </c>
      <c r="AF183" s="202" t="s">
        <v>1471</v>
      </c>
      <c r="AG183" s="694">
        <f t="shared" si="4"/>
        <v>32025.349090909094</v>
      </c>
      <c r="AH183" s="202">
        <v>150</v>
      </c>
      <c r="AI183" s="249" t="s">
        <v>1447</v>
      </c>
      <c r="AJ183" s="566"/>
      <c r="AK183" s="566"/>
      <c r="AL183" s="566"/>
      <c r="AM183" s="900"/>
      <c r="AN183" s="510" t="s">
        <v>1819</v>
      </c>
      <c r="AO183" s="510" t="s">
        <v>1820</v>
      </c>
      <c r="AP183" s="580" t="s">
        <v>1821</v>
      </c>
      <c r="AQ183" s="804" t="s">
        <v>1822</v>
      </c>
      <c r="AR183" s="552"/>
      <c r="AS183" s="552"/>
      <c r="AT183" s="552"/>
      <c r="AU183" s="552"/>
      <c r="AV183" s="180" t="s">
        <v>551</v>
      </c>
      <c r="AW183" s="329"/>
    </row>
    <row r="184" spans="1:49" ht="52.5" hidden="1" customHeight="1">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2640</v>
      </c>
      <c r="N184" s="510"/>
      <c r="O184" s="85">
        <f>OBRA!P182</f>
        <v>364293.06</v>
      </c>
      <c r="P184" s="1208">
        <f>O184/1.16</f>
        <v>314045.74137931038</v>
      </c>
      <c r="Q184" s="1208"/>
      <c r="R184" s="69">
        <f>OBRA!Q182</f>
        <v>42650</v>
      </c>
      <c r="S184" s="1327">
        <f>OBRA!T182</f>
        <v>42650</v>
      </c>
      <c r="T184" s="255">
        <f>OBRA!R182</f>
        <v>42653</v>
      </c>
      <c r="U184" s="245">
        <f>OBRA!S182</f>
        <v>42734</v>
      </c>
      <c r="V184" s="387"/>
      <c r="W184" s="651">
        <f>OBRA!AQ182+OBRA!AR182</f>
        <v>364293.07</v>
      </c>
      <c r="X184" s="1198"/>
      <c r="Y184" s="650" t="str">
        <f>OBRA!U182</f>
        <v>ENERGIAS RENOVABLES DE LA RIVERA S.A. DE C.V</v>
      </c>
      <c r="Z184" s="650"/>
      <c r="AA184" s="652" t="s">
        <v>1759</v>
      </c>
      <c r="AB184" s="650" t="s">
        <v>1760</v>
      </c>
      <c r="AC184" s="650"/>
      <c r="AD184" s="200" t="str">
        <f>OBRA!V182</f>
        <v>ING. RIGOBERTO OLMEDO RAMOS</v>
      </c>
      <c r="AE184" s="609">
        <v>11</v>
      </c>
      <c r="AF184" s="202" t="s">
        <v>1471</v>
      </c>
      <c r="AG184" s="694">
        <f t="shared" si="4"/>
        <v>33117.551818181819</v>
      </c>
      <c r="AH184" s="202">
        <v>150</v>
      </c>
      <c r="AI184" s="249" t="s">
        <v>1447</v>
      </c>
      <c r="AJ184" s="566"/>
      <c r="AK184" s="566"/>
      <c r="AL184" s="566"/>
      <c r="AM184" s="900"/>
      <c r="AN184" s="510" t="s">
        <v>1825</v>
      </c>
      <c r="AO184" s="510" t="s">
        <v>1826</v>
      </c>
      <c r="AP184" s="580" t="s">
        <v>1827</v>
      </c>
      <c r="AQ184" s="804" t="s">
        <v>1828</v>
      </c>
      <c r="AR184" s="552"/>
      <c r="AS184" s="552"/>
      <c r="AT184" s="552"/>
      <c r="AU184" s="552"/>
      <c r="AV184" s="180" t="s">
        <v>551</v>
      </c>
      <c r="AW184" s="329"/>
    </row>
    <row r="185" spans="1:49" s="110" customFormat="1" ht="51" hidden="1" customHeight="1">
      <c r="A185" s="88">
        <f>OBRA!I183</f>
        <v>2016</v>
      </c>
      <c r="B185" s="893" t="s">
        <v>1430</v>
      </c>
      <c r="C185" s="893"/>
      <c r="D185" s="893"/>
      <c r="E185" s="91" t="str">
        <f>OBRA!K183</f>
        <v>3X1 PARA MIGRANTES</v>
      </c>
      <c r="F185" s="1346" t="s">
        <v>1431</v>
      </c>
      <c r="G185" s="1287"/>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2"/>
      <c r="R185" s="93" t="str">
        <f>OBRA!Q183</f>
        <v>-</v>
      </c>
      <c r="S185" s="1327" t="str">
        <f>OBRA!T183</f>
        <v>-</v>
      </c>
      <c r="T185" s="94" t="str">
        <f>OBRA!R183</f>
        <v>-</v>
      </c>
      <c r="U185" s="95" t="str">
        <f>OBRA!S183</f>
        <v>-</v>
      </c>
      <c r="V185" s="374"/>
      <c r="W185" s="934">
        <f>OBRA!AQ183+OBRA!AR183</f>
        <v>0</v>
      </c>
      <c r="X185" s="947"/>
      <c r="Y185" s="935" t="str">
        <f>OBRA!U183</f>
        <v>CANCELADA</v>
      </c>
      <c r="Z185" s="935"/>
      <c r="AA185" s="460" t="str">
        <f t="shared" si="5"/>
        <v>CANCELADA</v>
      </c>
      <c r="AB185" s="935" t="s">
        <v>68</v>
      </c>
      <c r="AC185" s="935"/>
      <c r="AD185" s="199" t="str">
        <f>OBRA!V183</f>
        <v>ING. RIGOBERTO OLMEDO RAMOS</v>
      </c>
      <c r="AE185" s="90"/>
      <c r="AF185" s="203"/>
      <c r="AG185" s="936" t="e">
        <f t="shared" si="4"/>
        <v>#DIV/0!</v>
      </c>
      <c r="AH185" s="203"/>
      <c r="AI185" s="636"/>
      <c r="AJ185" s="903"/>
      <c r="AK185" s="903"/>
      <c r="AL185" s="903"/>
      <c r="AM185" s="903"/>
      <c r="AN185" s="903"/>
      <c r="AO185" s="904"/>
      <c r="AP185" s="940"/>
      <c r="AQ185" s="941"/>
      <c r="AR185" s="1124"/>
      <c r="AS185" s="1124"/>
      <c r="AT185" s="1124"/>
      <c r="AU185" s="1124"/>
      <c r="AV185" s="567"/>
      <c r="AW185" s="109"/>
    </row>
    <row r="186" spans="1:49" ht="150" hidden="1" customHeight="1">
      <c r="A186" s="327">
        <f>OBRA!I184</f>
        <v>2016</v>
      </c>
      <c r="B186" s="896" t="s">
        <v>1567</v>
      </c>
      <c r="C186" s="896"/>
      <c r="D186" s="896"/>
      <c r="E186" s="202" t="str">
        <f>OBRA!K184</f>
        <v xml:space="preserve">Fortalecimiento Financiero Para La Inversion </v>
      </c>
      <c r="F186" s="691" t="s">
        <v>1706</v>
      </c>
      <c r="G186" s="1286"/>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85"/>
      <c r="R186" s="69">
        <f>OBRA!Q184</f>
        <v>42683</v>
      </c>
      <c r="S186" s="1327" t="str">
        <f>OBRA!T184</f>
        <v>-</v>
      </c>
      <c r="T186" s="255">
        <f>OBRA!R184</f>
        <v>42685</v>
      </c>
      <c r="U186" s="245">
        <f>OBRA!S184</f>
        <v>42735</v>
      </c>
      <c r="V186" s="387"/>
      <c r="W186" s="651">
        <f>OBRA!AQ184+OBRA!AR184</f>
        <v>2439085.04</v>
      </c>
      <c r="X186" s="1198"/>
      <c r="Y186" s="650" t="str">
        <f>OBRA!U184</f>
        <v>TAG SOLUCIONES INTEGRALES S.A DE C.V.</v>
      </c>
      <c r="Z186" s="650"/>
      <c r="AA186" s="652" t="s">
        <v>1831</v>
      </c>
      <c r="AB186" s="650" t="s">
        <v>1832</v>
      </c>
      <c r="AC186" s="650"/>
      <c r="AD186" s="200" t="str">
        <f>OBRA!V184</f>
        <v>ING. J. GUADALUPE IBARRA RAMIREZ</v>
      </c>
      <c r="AE186" s="609">
        <v>2003.84</v>
      </c>
      <c r="AF186" s="202" t="s">
        <v>1552</v>
      </c>
      <c r="AG186" s="653">
        <f t="shared" si="4"/>
        <v>1217.2054854679018</v>
      </c>
      <c r="AH186" s="202">
        <v>21500</v>
      </c>
      <c r="AI186" s="249" t="s">
        <v>1455</v>
      </c>
      <c r="AJ186" s="566"/>
      <c r="AK186" s="566"/>
      <c r="AL186" s="566"/>
      <c r="AM186" s="900"/>
      <c r="AN186" s="585"/>
      <c r="AO186" s="510" t="s">
        <v>1833</v>
      </c>
      <c r="AP186" s="580" t="s">
        <v>1834</v>
      </c>
      <c r="AQ186" s="806" t="s">
        <v>1835</v>
      </c>
      <c r="AR186" s="551"/>
      <c r="AS186" s="551"/>
      <c r="AT186" s="551"/>
      <c r="AU186" s="551"/>
      <c r="AV186" s="180"/>
      <c r="AW186" s="329"/>
    </row>
    <row r="187" spans="1:49" ht="141" hidden="1" customHeight="1">
      <c r="A187" s="327">
        <f>OBRA!I185</f>
        <v>2016</v>
      </c>
      <c r="B187" s="896" t="s">
        <v>1567</v>
      </c>
      <c r="C187" s="896"/>
      <c r="D187" s="896"/>
      <c r="E187" s="202" t="str">
        <f>OBRA!K185</f>
        <v xml:space="preserve">Fortalecimiento Financiero Para La Inversion </v>
      </c>
      <c r="F187" s="691" t="s">
        <v>1706</v>
      </c>
      <c r="G187" s="1286"/>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85"/>
      <c r="R187" s="69">
        <f>OBRA!Q185</f>
        <v>42622</v>
      </c>
      <c r="S187" s="1327" t="str">
        <f>OBRA!T185</f>
        <v>-</v>
      </c>
      <c r="T187" s="255">
        <f>OBRA!R185</f>
        <v>42685</v>
      </c>
      <c r="U187" s="245">
        <f>OBRA!S185</f>
        <v>42735</v>
      </c>
      <c r="V187" s="387"/>
      <c r="W187" s="651">
        <f>OBRA!AQ185+OBRA!AR185</f>
        <v>2439189.37</v>
      </c>
      <c r="X187" s="1198"/>
      <c r="Y187" s="650" t="str">
        <f>OBRA!U185</f>
        <v xml:space="preserve">GRUPO DESARROLLADOR INMOBILIARIO CEMERAMA S.A. DE C.V. </v>
      </c>
      <c r="Z187" s="650"/>
      <c r="AA187" s="652" t="s">
        <v>1837</v>
      </c>
      <c r="AB187" s="650" t="s">
        <v>1838</v>
      </c>
      <c r="AC187" s="650"/>
      <c r="AD187" s="200" t="str">
        <f>OBRA!V185</f>
        <v xml:space="preserve">LIC. SALVADOR CONTRERAS </v>
      </c>
      <c r="AE187" s="609">
        <v>2275.63</v>
      </c>
      <c r="AF187" s="202" t="s">
        <v>1552</v>
      </c>
      <c r="AG187" s="653">
        <f t="shared" si="4"/>
        <v>1071.8743249122222</v>
      </c>
      <c r="AH187" s="202">
        <v>21500</v>
      </c>
      <c r="AI187" s="249" t="s">
        <v>1455</v>
      </c>
      <c r="AJ187" s="566"/>
      <c r="AK187" s="566"/>
      <c r="AL187" s="566"/>
      <c r="AM187" s="900"/>
      <c r="AN187" s="510" t="s">
        <v>1839</v>
      </c>
      <c r="AO187" s="585"/>
      <c r="AP187" s="580" t="s">
        <v>1840</v>
      </c>
      <c r="AQ187" s="806" t="s">
        <v>1841</v>
      </c>
      <c r="AR187" s="551"/>
      <c r="AS187" s="551"/>
      <c r="AT187" s="551"/>
      <c r="AU187" s="551"/>
      <c r="AV187" s="180"/>
      <c r="AW187" s="329"/>
    </row>
    <row r="188" spans="1:49" ht="100.5" hidden="1" customHeight="1">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85"/>
      <c r="R188" s="69">
        <f>OBRA!Q186</f>
        <v>42669</v>
      </c>
      <c r="S188" s="1327" t="str">
        <f>OBRA!T186</f>
        <v>-</v>
      </c>
      <c r="T188" s="255">
        <f>OBRA!R186</f>
        <v>42671</v>
      </c>
      <c r="U188" s="245">
        <f>OBRA!S186</f>
        <v>42735</v>
      </c>
      <c r="V188" s="387"/>
      <c r="W188" s="651">
        <f>OBRA!AQ186+OBRA!AR186</f>
        <v>2401596.3199999998</v>
      </c>
      <c r="X188" s="1198"/>
      <c r="Y188" s="650" t="str">
        <f>OBRA!U186</f>
        <v xml:space="preserve">GRUPO DESARROLLADOR INMOBILIARIO CEMERAMA S.A. DE C.V. </v>
      </c>
      <c r="Z188" s="650"/>
      <c r="AA188" s="652" t="s">
        <v>1837</v>
      </c>
      <c r="AB188" s="650" t="s">
        <v>1838</v>
      </c>
      <c r="AC188" s="650"/>
      <c r="AD188" s="200" t="str">
        <f>OBRA!V186</f>
        <v xml:space="preserve">LIC. SALVADOR CONTRERAS </v>
      </c>
      <c r="AE188" s="609">
        <v>1</v>
      </c>
      <c r="AF188" s="202" t="s">
        <v>1845</v>
      </c>
      <c r="AG188" s="653">
        <f t="shared" si="4"/>
        <v>2401596.3199999998</v>
      </c>
      <c r="AH188" s="202">
        <v>500</v>
      </c>
      <c r="AI188" s="249" t="s">
        <v>1447</v>
      </c>
      <c r="AJ188" s="566"/>
      <c r="AK188" s="566"/>
      <c r="AL188" s="566"/>
      <c r="AM188" s="900"/>
      <c r="AN188" s="510" t="s">
        <v>1846</v>
      </c>
      <c r="AO188" s="510" t="s">
        <v>1847</v>
      </c>
      <c r="AP188" s="202" t="s">
        <v>68</v>
      </c>
      <c r="AQ188" s="455" t="s">
        <v>1848</v>
      </c>
      <c r="AR188" s="575"/>
      <c r="AS188" s="575"/>
      <c r="AT188" s="575"/>
      <c r="AU188" s="575"/>
      <c r="AV188" s="180" t="s">
        <v>1484</v>
      </c>
      <c r="AW188" s="329"/>
    </row>
    <row r="189" spans="1:49" ht="60.75" hidden="1" customHeight="1">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1208"/>
      <c r="R189" s="69">
        <f>OBRA!Q187</f>
        <v>42677</v>
      </c>
      <c r="S189" s="1327">
        <f>OBRA!T187</f>
        <v>42675</v>
      </c>
      <c r="T189" s="255">
        <f>OBRA!R187</f>
        <v>42681</v>
      </c>
      <c r="U189" s="245">
        <f>OBRA!S187</f>
        <v>42735</v>
      </c>
      <c r="V189" s="387"/>
      <c r="W189" s="651">
        <f>OBRA!AQ187+OBRA!AR187</f>
        <v>196409.58</v>
      </c>
      <c r="X189" s="1198"/>
      <c r="Y189" s="650" t="str">
        <f>OBRA!U187</f>
        <v>CONSTRUCCIONES VIKBRAK, S.A. DE C.V.</v>
      </c>
      <c r="Z189" s="650"/>
      <c r="AA189" s="652" t="s">
        <v>1580</v>
      </c>
      <c r="AB189" s="650" t="s">
        <v>1581</v>
      </c>
      <c r="AC189" s="650"/>
      <c r="AD189" s="200" t="str">
        <f>OBRA!V187</f>
        <v>LIC. SALVADOR CONTRERAS OLGUÍN</v>
      </c>
      <c r="AE189" s="609">
        <v>1080.7</v>
      </c>
      <c r="AF189" s="202" t="s">
        <v>1552</v>
      </c>
      <c r="AG189" s="694">
        <f t="shared" si="4"/>
        <v>181.74292588137317</v>
      </c>
      <c r="AH189" s="202">
        <v>2000</v>
      </c>
      <c r="AI189" s="249" t="s">
        <v>1455</v>
      </c>
      <c r="AJ189" s="566"/>
      <c r="AK189" s="566"/>
      <c r="AL189" s="566"/>
      <c r="AM189" s="900"/>
      <c r="AN189" s="510" t="s">
        <v>1850</v>
      </c>
      <c r="AO189" s="510" t="s">
        <v>1851</v>
      </c>
      <c r="AP189" s="502" t="s">
        <v>1852</v>
      </c>
      <c r="AQ189" s="806" t="s">
        <v>1853</v>
      </c>
      <c r="AR189" s="551"/>
      <c r="AS189" s="551"/>
      <c r="AT189" s="551"/>
      <c r="AU189" s="551"/>
      <c r="AV189" s="180" t="s">
        <v>551</v>
      </c>
      <c r="AW189" s="329"/>
    </row>
    <row r="190" spans="1:49" ht="74.25" hidden="1" customHeight="1">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2640</v>
      </c>
      <c r="N190" s="510"/>
      <c r="O190" s="85">
        <f>OBRA!P188</f>
        <v>523396.29</v>
      </c>
      <c r="P190" s="1208">
        <f>O190/1.16</f>
        <v>451203.69827586209</v>
      </c>
      <c r="Q190" s="1208"/>
      <c r="R190" s="69">
        <f>OBRA!Q188</f>
        <v>42677</v>
      </c>
      <c r="S190" s="1327">
        <f>OBRA!T188</f>
        <v>42675</v>
      </c>
      <c r="T190" s="255">
        <f>OBRA!R188</f>
        <v>42678</v>
      </c>
      <c r="U190" s="245">
        <f>OBRA!S188</f>
        <v>42735</v>
      </c>
      <c r="V190" s="387"/>
      <c r="W190" s="651">
        <f>OBRA!AQ188+OBRA!AR188</f>
        <v>523396.3</v>
      </c>
      <c r="X190" s="1198"/>
      <c r="Y190" s="650" t="str">
        <f>OBRA!U188</f>
        <v>LIC. CARLOS MANUEL PELAYO CERVERA</v>
      </c>
      <c r="Z190" s="650"/>
      <c r="AA190" s="652" t="str">
        <f t="shared" si="5"/>
        <v>LIC. CARLOS MANUEL PELAYO CERVERA</v>
      </c>
      <c r="AB190" s="675" t="s">
        <v>2995</v>
      </c>
      <c r="AC190" s="650" t="s">
        <v>2995</v>
      </c>
      <c r="AD190" s="200" t="str">
        <f>OBRA!V188</f>
        <v>LIC. SALVADOR CONTRERAS OLGUÍN</v>
      </c>
      <c r="AE190" s="609">
        <v>1080.7</v>
      </c>
      <c r="AF190" s="202" t="s">
        <v>1552</v>
      </c>
      <c r="AG190" s="694">
        <f t="shared" si="4"/>
        <v>484.31229758489866</v>
      </c>
      <c r="AH190" s="202">
        <v>960</v>
      </c>
      <c r="AI190" s="249" t="s">
        <v>1455</v>
      </c>
      <c r="AJ190" s="566"/>
      <c r="AK190" s="566"/>
      <c r="AL190" s="566"/>
      <c r="AM190" s="900"/>
      <c r="AN190" s="510" t="s">
        <v>1855</v>
      </c>
      <c r="AO190" s="510" t="s">
        <v>1856</v>
      </c>
      <c r="AP190" s="545" t="s">
        <v>1857</v>
      </c>
      <c r="AQ190" s="801" t="s">
        <v>1858</v>
      </c>
      <c r="AR190" s="900"/>
      <c r="AS190" s="900"/>
      <c r="AT190" s="900"/>
      <c r="AU190" s="900"/>
      <c r="AV190" s="180" t="s">
        <v>551</v>
      </c>
      <c r="AW190" s="329"/>
    </row>
    <row r="191" spans="1:49" ht="96.75" hidden="1" customHeight="1">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1208"/>
      <c r="R191" s="69">
        <f>OBRA!Q189</f>
        <v>42688</v>
      </c>
      <c r="S191" s="1327">
        <f>OBRA!T189</f>
        <v>42688</v>
      </c>
      <c r="T191" s="255">
        <f>OBRA!R189</f>
        <v>42689</v>
      </c>
      <c r="U191" s="245">
        <f>OBRA!S189</f>
        <v>42734</v>
      </c>
      <c r="V191" s="387"/>
      <c r="W191" s="651">
        <f>OBRA!AQ189+OBRA!AR189</f>
        <v>577695.27</v>
      </c>
      <c r="X191" s="1198"/>
      <c r="Y191" s="650" t="str">
        <f>OBRA!U189</f>
        <v>ENERGIAS RENOVABLES DE LA RIVERA S.A. DE C.V</v>
      </c>
      <c r="Z191" s="650"/>
      <c r="AA191" s="652" t="s">
        <v>1759</v>
      </c>
      <c r="AB191" s="650" t="s">
        <v>1760</v>
      </c>
      <c r="AC191" s="650"/>
      <c r="AD191" s="200" t="str">
        <f>OBRA!V189</f>
        <v>ING. J. GUADALUPE IBARRA RAMIREZ</v>
      </c>
      <c r="AE191" s="609">
        <v>14</v>
      </c>
      <c r="AF191" s="202" t="s">
        <v>1761</v>
      </c>
      <c r="AG191" s="694">
        <f t="shared" si="4"/>
        <v>41263.947857142855</v>
      </c>
      <c r="AH191" s="202">
        <v>21500</v>
      </c>
      <c r="AI191" s="249" t="s">
        <v>1455</v>
      </c>
      <c r="AJ191" s="566"/>
      <c r="AK191" s="566"/>
      <c r="AL191" s="566"/>
      <c r="AM191" s="900"/>
      <c r="AN191" s="510" t="s">
        <v>1860</v>
      </c>
      <c r="AO191" s="510" t="s">
        <v>1861</v>
      </c>
      <c r="AP191" s="580" t="s">
        <v>1862</v>
      </c>
      <c r="AQ191" s="804" t="s">
        <v>1863</v>
      </c>
      <c r="AR191" s="552"/>
      <c r="AS191" s="552"/>
      <c r="AT191" s="552"/>
      <c r="AU191" s="552"/>
      <c r="AV191" s="180" t="s">
        <v>551</v>
      </c>
      <c r="AW191" s="329"/>
    </row>
    <row r="192" spans="1:49" s="110" customFormat="1" ht="51" hidden="1" customHeight="1">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2"/>
      <c r="R192" s="93" t="s">
        <v>68</v>
      </c>
      <c r="S192" s="1327" t="str">
        <f>OBRA!T190</f>
        <v>-</v>
      </c>
      <c r="T192" s="94" t="s">
        <v>68</v>
      </c>
      <c r="U192" s="95" t="s">
        <v>68</v>
      </c>
      <c r="V192" s="374"/>
      <c r="W192" s="934" t="e">
        <f>OBRA!AQ190+OBRA!AR190</f>
        <v>#VALUE!</v>
      </c>
      <c r="X192" s="947"/>
      <c r="Y192" s="935">
        <f>OBRA!U190</f>
        <v>0</v>
      </c>
      <c r="Z192" s="935"/>
      <c r="AA192" s="460">
        <f t="shared" si="5"/>
        <v>0</v>
      </c>
      <c r="AB192" s="935" t="s">
        <v>68</v>
      </c>
      <c r="AC192" s="935"/>
      <c r="AD192" s="199">
        <f>OBRA!V190</f>
        <v>0</v>
      </c>
      <c r="AE192" s="90"/>
      <c r="AF192" s="91"/>
      <c r="AG192" s="936" t="e">
        <f t="shared" si="4"/>
        <v>#VALUE!</v>
      </c>
      <c r="AH192" s="91"/>
      <c r="AI192" s="634"/>
      <c r="AJ192" s="564"/>
      <c r="AK192" s="564"/>
      <c r="AL192" s="564"/>
      <c r="AM192" s="564"/>
      <c r="AN192" s="564"/>
      <c r="AO192" s="91"/>
      <c r="AP192" s="942"/>
      <c r="AQ192" s="941"/>
      <c r="AR192" s="1124"/>
      <c r="AS192" s="1124"/>
      <c r="AT192" s="1124"/>
      <c r="AU192" s="1124"/>
      <c r="AV192" s="564"/>
      <c r="AW192" s="109"/>
    </row>
    <row r="193" spans="1:49" s="110" customFormat="1" ht="51" hidden="1" customHeight="1">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2"/>
      <c r="R193" s="93" t="s">
        <v>68</v>
      </c>
      <c r="S193" s="1327" t="str">
        <f>OBRA!T191</f>
        <v>-</v>
      </c>
      <c r="T193" s="94" t="s">
        <v>68</v>
      </c>
      <c r="U193" s="95" t="s">
        <v>68</v>
      </c>
      <c r="V193" s="374"/>
      <c r="W193" s="934" t="e">
        <f>OBRA!AQ191+OBRA!AR191</f>
        <v>#VALUE!</v>
      </c>
      <c r="X193" s="947"/>
      <c r="Y193" s="935">
        <f>OBRA!U191</f>
        <v>0</v>
      </c>
      <c r="Z193" s="935"/>
      <c r="AA193" s="460">
        <f t="shared" si="5"/>
        <v>0</v>
      </c>
      <c r="AB193" s="935" t="s">
        <v>68</v>
      </c>
      <c r="AC193" s="935"/>
      <c r="AD193" s="199">
        <f>OBRA!V191</f>
        <v>0</v>
      </c>
      <c r="AE193" s="90"/>
      <c r="AF193" s="91"/>
      <c r="AG193" s="936" t="e">
        <f t="shared" si="4"/>
        <v>#VALUE!</v>
      </c>
      <c r="AH193" s="91"/>
      <c r="AI193" s="634"/>
      <c r="AJ193" s="583"/>
      <c r="AK193" s="583"/>
      <c r="AL193" s="583"/>
      <c r="AM193" s="583"/>
      <c r="AN193" s="583"/>
      <c r="AO193" s="747"/>
      <c r="AP193" s="940"/>
      <c r="AQ193" s="941"/>
      <c r="AR193" s="1124"/>
      <c r="AS193" s="1124"/>
      <c r="AT193" s="1124"/>
      <c r="AU193" s="1124"/>
      <c r="AV193" s="564"/>
      <c r="AW193" s="109"/>
    </row>
    <row r="194" spans="1:49" ht="81" hidden="1" customHeight="1">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85"/>
      <c r="R194" s="69"/>
      <c r="S194" s="1327" t="str">
        <f>OBRA!T192</f>
        <v>-</v>
      </c>
      <c r="T194" s="255">
        <f>OBRA!R192</f>
        <v>42720</v>
      </c>
      <c r="U194" s="245">
        <f>OBRA!S192</f>
        <v>42794</v>
      </c>
      <c r="V194" s="387"/>
      <c r="W194" s="651">
        <f>OBRA!AQ192+OBRA!AR192</f>
        <v>1779922.8</v>
      </c>
      <c r="X194" s="1198"/>
      <c r="Y194" s="650" t="str">
        <f>OBRA!U192</f>
        <v>ING. GEOLOGO: J. TRINIDAD NUÑEZ BRITO</v>
      </c>
      <c r="Z194" s="650"/>
      <c r="AA194" s="652" t="str">
        <f t="shared" si="5"/>
        <v>ING. GEOLOGO: J. TRINIDAD NUÑEZ BRITO</v>
      </c>
      <c r="AB194" s="675" t="s">
        <v>2995</v>
      </c>
      <c r="AC194" s="650" t="s">
        <v>2995</v>
      </c>
      <c r="AD194" s="200" t="str">
        <f>OBRA!V192</f>
        <v>ING. RIGOBERTO OLMEDO RAMOS</v>
      </c>
      <c r="AE194" s="609">
        <v>1</v>
      </c>
      <c r="AF194" s="202" t="s">
        <v>1466</v>
      </c>
      <c r="AG194" s="653">
        <f t="shared" si="4"/>
        <v>1779922.8</v>
      </c>
      <c r="AH194" s="202">
        <v>3500</v>
      </c>
      <c r="AI194" s="249" t="s">
        <v>1455</v>
      </c>
      <c r="AJ194" s="566"/>
      <c r="AK194" s="566"/>
      <c r="AL194" s="566"/>
      <c r="AM194" s="900"/>
      <c r="AN194" s="510" t="s">
        <v>1867</v>
      </c>
      <c r="AO194" s="510" t="s">
        <v>1868</v>
      </c>
      <c r="AP194" s="580" t="s">
        <v>1869</v>
      </c>
      <c r="AQ194" s="806" t="s">
        <v>1870</v>
      </c>
      <c r="AR194" s="551"/>
      <c r="AS194" s="551"/>
      <c r="AT194" s="551"/>
      <c r="AU194" s="551"/>
      <c r="AV194" s="180" t="s">
        <v>1484</v>
      </c>
      <c r="AW194" s="71"/>
    </row>
    <row r="195" spans="1:49" ht="76.5" hidden="1" customHeight="1">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85"/>
      <c r="R195" s="69">
        <f>OBRA!Q193</f>
        <v>42779</v>
      </c>
      <c r="S195" s="1327" t="str">
        <f>OBRA!T193</f>
        <v>-</v>
      </c>
      <c r="T195" s="255">
        <f>OBRA!R193</f>
        <v>42779</v>
      </c>
      <c r="U195" s="245">
        <f>OBRA!S193</f>
        <v>43039</v>
      </c>
      <c r="V195" s="387"/>
      <c r="W195" s="651">
        <f>OBRA!AQ193+OBRA!AR193</f>
        <v>1800176.82</v>
      </c>
      <c r="X195" s="1198"/>
      <c r="Y195" s="650" t="str">
        <f>OBRA!U193</f>
        <v>ARQ. LUIS MIGUEL ARGUELLES ALCALÁ</v>
      </c>
      <c r="Z195" s="650"/>
      <c r="AA195" s="652" t="str">
        <f t="shared" si="5"/>
        <v>ARQ. LUIS MIGUEL ARGUELLES ALCALÁ</v>
      </c>
      <c r="AB195" s="652" t="s">
        <v>2995</v>
      </c>
      <c r="AC195" s="650" t="s">
        <v>2995</v>
      </c>
      <c r="AD195" s="200" t="str">
        <f>OBRA!V193</f>
        <v>ARQ. FRANCISCO SALAZAR</v>
      </c>
      <c r="AE195" s="609">
        <v>1</v>
      </c>
      <c r="AF195" s="202" t="s">
        <v>1577</v>
      </c>
      <c r="AG195" s="653">
        <f t="shared" si="4"/>
        <v>1800176.82</v>
      </c>
      <c r="AH195" s="202">
        <v>18000</v>
      </c>
      <c r="AI195" s="249" t="s">
        <v>1455</v>
      </c>
      <c r="AJ195" s="566"/>
      <c r="AK195" s="566"/>
      <c r="AL195" s="566"/>
      <c r="AM195" s="1004"/>
      <c r="AN195" s="717" t="s">
        <v>1874</v>
      </c>
      <c r="AO195" s="717" t="s">
        <v>1875</v>
      </c>
      <c r="AP195" s="717" t="s">
        <v>1876</v>
      </c>
      <c r="AQ195" s="806" t="s">
        <v>1848</v>
      </c>
      <c r="AR195" s="551"/>
      <c r="AS195" s="551"/>
      <c r="AT195" s="551"/>
      <c r="AU195" s="551"/>
      <c r="AV195" s="180" t="s">
        <v>551</v>
      </c>
      <c r="AW195" s="329"/>
    </row>
    <row r="196" spans="1:49" ht="110.25" hidden="1" customHeight="1">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8">O196/1.16</f>
        <v>1724137.9310344828</v>
      </c>
      <c r="Q196" s="1208"/>
      <c r="R196" s="6">
        <f>OBRA!Q194</f>
        <v>42566</v>
      </c>
      <c r="S196" s="1327" t="str">
        <f>OBRA!T194</f>
        <v>-</v>
      </c>
      <c r="T196" s="5" t="str">
        <f>OBRA!R194</f>
        <v>-</v>
      </c>
      <c r="U196" s="12" t="str">
        <f>OBRA!S194</f>
        <v>-</v>
      </c>
      <c r="V196" s="243"/>
      <c r="W196" s="637">
        <f>OBRA!AQ194+OBRA!AR194</f>
        <v>0</v>
      </c>
      <c r="X196" s="305"/>
      <c r="Y196" s="639" t="str">
        <f>OBRA!U194</f>
        <v>-</v>
      </c>
      <c r="Z196" s="639"/>
      <c r="AA196" s="640" t="str">
        <f t="shared" si="5"/>
        <v>-</v>
      </c>
      <c r="AB196" s="639" t="s">
        <v>68</v>
      </c>
      <c r="AC196" s="639"/>
      <c r="AD196" s="198" t="str">
        <f>OBRA!V194</f>
        <v>-</v>
      </c>
      <c r="AE196" s="20"/>
      <c r="AF196" s="2"/>
      <c r="AG196" s="638" t="e">
        <f t="shared" si="4"/>
        <v>#DIV/0!</v>
      </c>
      <c r="AH196" s="2"/>
      <c r="AI196" s="164"/>
      <c r="AJ196" s="563"/>
      <c r="AK196" s="563"/>
      <c r="AL196" s="563"/>
      <c r="AM196" s="563"/>
      <c r="AN196" s="563"/>
      <c r="AO196" s="2"/>
      <c r="AP196" s="629"/>
      <c r="AQ196" s="803"/>
      <c r="AR196" s="901"/>
      <c r="AS196" s="901"/>
      <c r="AT196" s="901"/>
      <c r="AU196" s="901"/>
      <c r="AV196" s="563"/>
      <c r="AW196" s="13"/>
    </row>
    <row r="197" spans="1:49" ht="75" hidden="1" customHeight="1">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8"/>
        <v>8620689.6551724151</v>
      </c>
      <c r="Q197" s="1208"/>
      <c r="R197" s="6">
        <f>OBRA!Q195</f>
        <v>42614</v>
      </c>
      <c r="S197" s="1327" t="str">
        <f>OBRA!T195</f>
        <v>-</v>
      </c>
      <c r="T197" s="5" t="str">
        <f>OBRA!R195</f>
        <v>-</v>
      </c>
      <c r="U197" s="12" t="str">
        <f>OBRA!S195</f>
        <v>-</v>
      </c>
      <c r="V197" s="243"/>
      <c r="W197" s="637">
        <f>OBRA!AQ195+OBRA!AR195</f>
        <v>0</v>
      </c>
      <c r="X197" s="305"/>
      <c r="Y197" s="639" t="str">
        <f>OBRA!U195</f>
        <v>-</v>
      </c>
      <c r="Z197" s="639"/>
      <c r="AA197" s="640" t="str">
        <f t="shared" si="5"/>
        <v>-</v>
      </c>
      <c r="AB197" s="639" t="s">
        <v>68</v>
      </c>
      <c r="AC197" s="639"/>
      <c r="AD197" s="198" t="str">
        <f>OBRA!V195</f>
        <v>-</v>
      </c>
      <c r="AE197" s="20"/>
      <c r="AF197" s="2"/>
      <c r="AG197" s="638" t="e">
        <f t="shared" si="4"/>
        <v>#DIV/0!</v>
      </c>
      <c r="AH197" s="2"/>
      <c r="AI197" s="164"/>
      <c r="AJ197" s="563"/>
      <c r="AK197" s="563"/>
      <c r="AL197" s="563"/>
      <c r="AM197" s="563"/>
      <c r="AN197" s="563"/>
      <c r="AO197" s="2"/>
      <c r="AP197" s="629"/>
      <c r="AQ197" s="803"/>
      <c r="AR197" s="901"/>
      <c r="AS197" s="901"/>
      <c r="AT197" s="901"/>
      <c r="AU197" s="901"/>
      <c r="AV197" s="563"/>
      <c r="AW197" s="13"/>
    </row>
    <row r="198" spans="1:49" ht="53.25" hidden="1" customHeight="1">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8"/>
        <v>393317.24137931038</v>
      </c>
      <c r="Q198" s="1208"/>
      <c r="R198" s="6">
        <f>OBRA!Q196</f>
        <v>42583</v>
      </c>
      <c r="S198" s="1327" t="str">
        <f>OBRA!T196</f>
        <v>-</v>
      </c>
      <c r="T198" s="5" t="str">
        <f>OBRA!R196</f>
        <v>-</v>
      </c>
      <c r="U198" s="12" t="str">
        <f>OBRA!S196</f>
        <v>-</v>
      </c>
      <c r="V198" s="243"/>
      <c r="W198" s="637">
        <f>OBRA!AQ196+OBRA!AR196</f>
        <v>0</v>
      </c>
      <c r="X198" s="305"/>
      <c r="Y198" s="639" t="str">
        <f>OBRA!U196</f>
        <v>-</v>
      </c>
      <c r="Z198" s="639"/>
      <c r="AA198" s="640" t="str">
        <f t="shared" si="5"/>
        <v>-</v>
      </c>
      <c r="AB198" s="639" t="s">
        <v>68</v>
      </c>
      <c r="AC198" s="639"/>
      <c r="AD198" s="198" t="str">
        <f>OBRA!V196</f>
        <v>-</v>
      </c>
      <c r="AE198" s="20"/>
      <c r="AF198" s="2"/>
      <c r="AG198" s="638" t="e">
        <f t="shared" si="4"/>
        <v>#DIV/0!</v>
      </c>
      <c r="AH198" s="2"/>
      <c r="AI198" s="164"/>
      <c r="AJ198" s="563"/>
      <c r="AK198" s="563"/>
      <c r="AL198" s="563"/>
      <c r="AM198" s="563"/>
      <c r="AN198" s="563"/>
      <c r="AO198" s="2"/>
      <c r="AP198" s="629"/>
      <c r="AQ198" s="803"/>
      <c r="AR198" s="901"/>
      <c r="AS198" s="901"/>
      <c r="AT198" s="901"/>
      <c r="AU198" s="901"/>
      <c r="AV198" s="563"/>
      <c r="AW198" s="13"/>
    </row>
    <row r="199" spans="1:49" ht="94.5" hidden="1" customHeight="1">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54"/>
      <c r="O199" s="4">
        <f>OBRA!P197</f>
        <v>245400</v>
      </c>
      <c r="P199" s="1208">
        <f t="shared" si="8"/>
        <v>211551.72413793104</v>
      </c>
      <c r="Q199" s="1208"/>
      <c r="R199" s="6">
        <f>OBRA!Q197</f>
        <v>42583</v>
      </c>
      <c r="S199" s="1327" t="str">
        <f>OBRA!T197</f>
        <v>-</v>
      </c>
      <c r="T199" s="5" t="str">
        <f>OBRA!R197</f>
        <v>-</v>
      </c>
      <c r="U199" s="12" t="str">
        <f>OBRA!S197</f>
        <v>-</v>
      </c>
      <c r="V199" s="243"/>
      <c r="W199" s="637">
        <f>OBRA!AQ197+OBRA!AR197</f>
        <v>0</v>
      </c>
      <c r="X199" s="305"/>
      <c r="Y199" s="639" t="str">
        <f>OBRA!U197</f>
        <v>-</v>
      </c>
      <c r="Z199" s="639"/>
      <c r="AA199" s="640" t="str">
        <f t="shared" si="5"/>
        <v>-</v>
      </c>
      <c r="AB199" s="639" t="s">
        <v>68</v>
      </c>
      <c r="AC199" s="639"/>
      <c r="AD199" s="198" t="str">
        <f>OBRA!V197</f>
        <v>-</v>
      </c>
      <c r="AE199" s="20"/>
      <c r="AF199" s="2"/>
      <c r="AG199" s="638" t="e">
        <f t="shared" si="4"/>
        <v>#DIV/0!</v>
      </c>
      <c r="AH199" s="2"/>
      <c r="AI199" s="164"/>
      <c r="AJ199" s="563"/>
      <c r="AK199" s="563"/>
      <c r="AL199" s="563"/>
      <c r="AM199" s="563"/>
      <c r="AN199" s="563"/>
      <c r="AO199" s="2"/>
      <c r="AP199" s="629"/>
      <c r="AQ199" s="803"/>
      <c r="AR199" s="901"/>
      <c r="AS199" s="901"/>
      <c r="AT199" s="901"/>
      <c r="AU199" s="901"/>
      <c r="AV199" s="563"/>
      <c r="AW199" s="13"/>
    </row>
    <row r="200" spans="1:49" ht="79.5" hidden="1" customHeight="1">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54"/>
      <c r="O200" s="4">
        <f>OBRA!P198</f>
        <v>100336</v>
      </c>
      <c r="P200" s="1208">
        <f t="shared" si="8"/>
        <v>86496.551724137942</v>
      </c>
      <c r="Q200" s="1208"/>
      <c r="R200" s="6">
        <f>OBRA!Q198</f>
        <v>42583</v>
      </c>
      <c r="S200" s="1327" t="str">
        <f>OBRA!T198</f>
        <v>-</v>
      </c>
      <c r="T200" s="5" t="str">
        <f>OBRA!R198</f>
        <v>-</v>
      </c>
      <c r="U200" s="12" t="str">
        <f>OBRA!S198</f>
        <v>-</v>
      </c>
      <c r="V200" s="243"/>
      <c r="W200" s="637">
        <f>OBRA!AQ198+OBRA!AR198</f>
        <v>0</v>
      </c>
      <c r="X200" s="305"/>
      <c r="Y200" s="639" t="str">
        <f>OBRA!U198</f>
        <v>-</v>
      </c>
      <c r="Z200" s="639"/>
      <c r="AA200" s="640" t="str">
        <f t="shared" si="5"/>
        <v>-</v>
      </c>
      <c r="AB200" s="639" t="s">
        <v>68</v>
      </c>
      <c r="AC200" s="639"/>
      <c r="AD200" s="198" t="str">
        <f>OBRA!V198</f>
        <v>-</v>
      </c>
      <c r="AE200" s="20"/>
      <c r="AF200" s="2"/>
      <c r="AG200" s="638" t="e">
        <f t="shared" ref="AG200:AG263" si="9">W200/AE200</f>
        <v>#DIV/0!</v>
      </c>
      <c r="AH200" s="2"/>
      <c r="AI200" s="164"/>
      <c r="AJ200" s="563"/>
      <c r="AK200" s="563"/>
      <c r="AL200" s="563"/>
      <c r="AM200" s="563"/>
      <c r="AN200" s="563"/>
      <c r="AO200" s="2"/>
      <c r="AP200" s="629"/>
      <c r="AQ200" s="803"/>
      <c r="AR200" s="901"/>
      <c r="AS200" s="901"/>
      <c r="AT200" s="901"/>
      <c r="AU200" s="901"/>
      <c r="AV200" s="563"/>
      <c r="AW200" s="13"/>
    </row>
    <row r="201" spans="1:49" ht="87.75" hidden="1" customHeight="1">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54"/>
      <c r="O201" s="4">
        <f>OBRA!P199</f>
        <v>214516</v>
      </c>
      <c r="P201" s="1208">
        <f t="shared" si="8"/>
        <v>184927.58620689655</v>
      </c>
      <c r="Q201" s="1208"/>
      <c r="R201" s="6">
        <f>OBRA!Q199</f>
        <v>42583</v>
      </c>
      <c r="S201" s="1327" t="str">
        <f>OBRA!T199</f>
        <v>-</v>
      </c>
      <c r="T201" s="5" t="str">
        <f>OBRA!R199</f>
        <v>-</v>
      </c>
      <c r="U201" s="12" t="str">
        <f>OBRA!S199</f>
        <v>-</v>
      </c>
      <c r="V201" s="243"/>
      <c r="W201" s="637">
        <f>OBRA!AQ199+OBRA!AR199</f>
        <v>0</v>
      </c>
      <c r="X201" s="305"/>
      <c r="Y201" s="639" t="str">
        <f>OBRA!U199</f>
        <v>-</v>
      </c>
      <c r="Z201" s="639"/>
      <c r="AA201" s="640" t="str">
        <f t="shared" ref="AA201:AA263" si="10">Y201</f>
        <v>-</v>
      </c>
      <c r="AB201" s="639" t="s">
        <v>68</v>
      </c>
      <c r="AC201" s="639"/>
      <c r="AD201" s="198" t="str">
        <f>OBRA!V199</f>
        <v>-</v>
      </c>
      <c r="AE201" s="20"/>
      <c r="AF201" s="2"/>
      <c r="AG201" s="638" t="e">
        <f t="shared" si="9"/>
        <v>#DIV/0!</v>
      </c>
      <c r="AH201" s="2"/>
      <c r="AI201" s="164"/>
      <c r="AJ201" s="563"/>
      <c r="AK201" s="563"/>
      <c r="AL201" s="563"/>
      <c r="AM201" s="563"/>
      <c r="AN201" s="563"/>
      <c r="AO201" s="2"/>
      <c r="AP201" s="629"/>
      <c r="AQ201" s="803"/>
      <c r="AR201" s="901"/>
      <c r="AS201" s="901"/>
      <c r="AT201" s="901"/>
      <c r="AU201" s="901"/>
      <c r="AV201" s="563"/>
      <c r="AW201" s="13"/>
    </row>
    <row r="202" spans="1:49" ht="94.5" hidden="1" customHeight="1">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8"/>
        <v>201206.89655172414</v>
      </c>
      <c r="Q202" s="1208"/>
      <c r="R202" s="6">
        <f>OBRA!Q200</f>
        <v>42583</v>
      </c>
      <c r="S202" s="1327" t="str">
        <f>OBRA!T200</f>
        <v>-</v>
      </c>
      <c r="T202" s="5" t="str">
        <f>OBRA!R200</f>
        <v>-</v>
      </c>
      <c r="U202" s="12" t="str">
        <f>OBRA!S200</f>
        <v>-</v>
      </c>
      <c r="V202" s="243"/>
      <c r="W202" s="637">
        <f>OBRA!AQ200+OBRA!AR200</f>
        <v>0</v>
      </c>
      <c r="X202" s="305"/>
      <c r="Y202" s="639" t="str">
        <f>OBRA!U200</f>
        <v>-</v>
      </c>
      <c r="Z202" s="639"/>
      <c r="AA202" s="640" t="str">
        <f t="shared" si="10"/>
        <v>-</v>
      </c>
      <c r="AB202" s="639" t="s">
        <v>68</v>
      </c>
      <c r="AC202" s="639"/>
      <c r="AD202" s="198" t="str">
        <f>OBRA!V200</f>
        <v>-</v>
      </c>
      <c r="AE202" s="20"/>
      <c r="AF202" s="2"/>
      <c r="AG202" s="638" t="e">
        <f t="shared" si="9"/>
        <v>#DIV/0!</v>
      </c>
      <c r="AH202" s="2"/>
      <c r="AI202" s="164"/>
      <c r="AJ202" s="563"/>
      <c r="AK202" s="563"/>
      <c r="AL202" s="563"/>
      <c r="AM202" s="563"/>
      <c r="AN202" s="563"/>
      <c r="AO202" s="2"/>
      <c r="AP202" s="629"/>
      <c r="AQ202" s="803"/>
      <c r="AR202" s="901"/>
      <c r="AS202" s="901"/>
      <c r="AT202" s="901"/>
      <c r="AU202" s="901"/>
      <c r="AV202" s="563"/>
      <c r="AW202" s="13"/>
    </row>
    <row r="203" spans="1:49" ht="93" hidden="1" customHeight="1">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54"/>
      <c r="O203" s="4">
        <f>OBRA!P201</f>
        <v>136120</v>
      </c>
      <c r="P203" s="1208">
        <f t="shared" si="8"/>
        <v>117344.8275862069</v>
      </c>
      <c r="Q203" s="1208"/>
      <c r="R203" s="6">
        <f>OBRA!Q201</f>
        <v>42583</v>
      </c>
      <c r="S203" s="1327" t="str">
        <f>OBRA!T201</f>
        <v>-</v>
      </c>
      <c r="T203" s="5" t="str">
        <f>OBRA!R201</f>
        <v>-</v>
      </c>
      <c r="U203" s="12" t="str">
        <f>OBRA!S201</f>
        <v>-</v>
      </c>
      <c r="V203" s="243"/>
      <c r="W203" s="637">
        <f>OBRA!AQ201+OBRA!AR201</f>
        <v>0</v>
      </c>
      <c r="X203" s="305"/>
      <c r="Y203" s="639" t="str">
        <f>OBRA!U201</f>
        <v>-</v>
      </c>
      <c r="Z203" s="639"/>
      <c r="AA203" s="640" t="str">
        <f t="shared" si="10"/>
        <v>-</v>
      </c>
      <c r="AB203" s="639" t="s">
        <v>68</v>
      </c>
      <c r="AC203" s="639"/>
      <c r="AD203" s="198" t="str">
        <f>OBRA!V201</f>
        <v>-</v>
      </c>
      <c r="AE203" s="20"/>
      <c r="AF203" s="2"/>
      <c r="AG203" s="638" t="e">
        <f t="shared" si="9"/>
        <v>#DIV/0!</v>
      </c>
      <c r="AH203" s="2"/>
      <c r="AI203" s="164"/>
      <c r="AJ203" s="563"/>
      <c r="AK203" s="563"/>
      <c r="AL203" s="563"/>
      <c r="AM203" s="563"/>
      <c r="AN203" s="563"/>
      <c r="AO203" s="2"/>
      <c r="AP203" s="629"/>
      <c r="AQ203" s="803"/>
      <c r="AR203" s="901"/>
      <c r="AS203" s="901"/>
      <c r="AT203" s="901"/>
      <c r="AU203" s="901"/>
      <c r="AV203" s="563"/>
      <c r="AW203" s="13"/>
    </row>
    <row r="204" spans="1:49" ht="90.75" hidden="1" customHeight="1">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54"/>
      <c r="O204" s="4">
        <f>OBRA!P202</f>
        <v>525186</v>
      </c>
      <c r="P204" s="1208">
        <f t="shared" si="8"/>
        <v>452746.55172413797</v>
      </c>
      <c r="Q204" s="1208"/>
      <c r="R204" s="6">
        <f>OBRA!Q202</f>
        <v>42583</v>
      </c>
      <c r="S204" s="1327" t="str">
        <f>OBRA!T202</f>
        <v>-</v>
      </c>
      <c r="T204" s="5" t="str">
        <f>OBRA!R202</f>
        <v>-</v>
      </c>
      <c r="U204" s="12" t="str">
        <f>OBRA!S202</f>
        <v>-</v>
      </c>
      <c r="V204" s="243"/>
      <c r="W204" s="637">
        <f>OBRA!AQ202+OBRA!AR202</f>
        <v>0</v>
      </c>
      <c r="X204" s="305"/>
      <c r="Y204" s="639" t="str">
        <f>OBRA!U202</f>
        <v>-</v>
      </c>
      <c r="Z204" s="639"/>
      <c r="AA204" s="640" t="str">
        <f t="shared" si="10"/>
        <v>-</v>
      </c>
      <c r="AB204" s="639" t="s">
        <v>68</v>
      </c>
      <c r="AC204" s="639"/>
      <c r="AD204" s="198" t="str">
        <f>OBRA!V202</f>
        <v>-</v>
      </c>
      <c r="AE204" s="20"/>
      <c r="AF204" s="2"/>
      <c r="AG204" s="638" t="e">
        <f t="shared" si="9"/>
        <v>#DIV/0!</v>
      </c>
      <c r="AH204" s="2"/>
      <c r="AI204" s="164"/>
      <c r="AJ204" s="563"/>
      <c r="AK204" s="563"/>
      <c r="AL204" s="563"/>
      <c r="AM204" s="563"/>
      <c r="AN204" s="563"/>
      <c r="AO204" s="2"/>
      <c r="AP204" s="629"/>
      <c r="AQ204" s="803"/>
      <c r="AR204" s="901"/>
      <c r="AS204" s="901"/>
      <c r="AT204" s="901"/>
      <c r="AU204" s="901"/>
      <c r="AV204" s="563"/>
      <c r="AW204" s="13"/>
    </row>
    <row r="205" spans="1:49" ht="92.25" hidden="1" customHeight="1">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54"/>
      <c r="O205" s="4">
        <f>OBRA!P203</f>
        <v>678342</v>
      </c>
      <c r="P205" s="1208">
        <f t="shared" si="8"/>
        <v>584777.58620689658</v>
      </c>
      <c r="Q205" s="1208"/>
      <c r="R205" s="6">
        <f>OBRA!Q203</f>
        <v>42583</v>
      </c>
      <c r="S205" s="1327" t="str">
        <f>OBRA!T203</f>
        <v>-</v>
      </c>
      <c r="T205" s="5" t="str">
        <f>OBRA!R203</f>
        <v>-</v>
      </c>
      <c r="U205" s="12" t="str">
        <f>OBRA!S203</f>
        <v>-</v>
      </c>
      <c r="V205" s="243"/>
      <c r="W205" s="637">
        <f>OBRA!AQ203+OBRA!AR203</f>
        <v>0</v>
      </c>
      <c r="X205" s="305"/>
      <c r="Y205" s="639" t="str">
        <f>OBRA!U203</f>
        <v>-</v>
      </c>
      <c r="Z205" s="639"/>
      <c r="AA205" s="640" t="str">
        <f t="shared" si="10"/>
        <v>-</v>
      </c>
      <c r="AB205" s="639" t="s">
        <v>68</v>
      </c>
      <c r="AC205" s="639"/>
      <c r="AD205" s="198" t="str">
        <f>OBRA!V203</f>
        <v>-</v>
      </c>
      <c r="AE205" s="20"/>
      <c r="AF205" s="2"/>
      <c r="AG205" s="638" t="e">
        <f t="shared" si="9"/>
        <v>#DIV/0!</v>
      </c>
      <c r="AH205" s="2"/>
      <c r="AI205" s="164"/>
      <c r="AJ205" s="563"/>
      <c r="AK205" s="563"/>
      <c r="AL205" s="563"/>
      <c r="AM205" s="563"/>
      <c r="AN205" s="563"/>
      <c r="AO205" s="2"/>
      <c r="AP205" s="629"/>
      <c r="AQ205" s="803"/>
      <c r="AR205" s="901"/>
      <c r="AS205" s="901"/>
      <c r="AT205" s="901"/>
      <c r="AU205" s="901"/>
      <c r="AV205" s="563"/>
      <c r="AW205" s="13"/>
    </row>
    <row r="206" spans="1:49" ht="66" hidden="1" customHeight="1">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2640</v>
      </c>
      <c r="N206" s="554"/>
      <c r="O206" s="4">
        <f>OBRA!P204</f>
        <v>2426000</v>
      </c>
      <c r="P206" s="1208">
        <f t="shared" si="8"/>
        <v>2091379.3103448278</v>
      </c>
      <c r="Q206" s="1208"/>
      <c r="R206" s="6">
        <f>OBRA!Q204</f>
        <v>42583</v>
      </c>
      <c r="S206" s="1327" t="str">
        <f>OBRA!T204</f>
        <v>-</v>
      </c>
      <c r="T206" s="5" t="str">
        <f>OBRA!R204</f>
        <v>-</v>
      </c>
      <c r="U206" s="12" t="str">
        <f>OBRA!S204</f>
        <v>-</v>
      </c>
      <c r="V206" s="243"/>
      <c r="W206" s="637">
        <f>OBRA!AQ204+OBRA!AR204</f>
        <v>0</v>
      </c>
      <c r="X206" s="305"/>
      <c r="Y206" s="639" t="str">
        <f>OBRA!U204</f>
        <v>-</v>
      </c>
      <c r="Z206" s="639"/>
      <c r="AA206" s="640" t="str">
        <f t="shared" si="10"/>
        <v>-</v>
      </c>
      <c r="AB206" s="639" t="s">
        <v>68</v>
      </c>
      <c r="AC206" s="639"/>
      <c r="AD206" s="198" t="str">
        <f>OBRA!V204</f>
        <v>-</v>
      </c>
      <c r="AE206" s="20"/>
      <c r="AF206" s="2"/>
      <c r="AG206" s="638" t="e">
        <f t="shared" si="9"/>
        <v>#DIV/0!</v>
      </c>
      <c r="AH206" s="2"/>
      <c r="AI206" s="164"/>
      <c r="AJ206" s="563"/>
      <c r="AK206" s="563"/>
      <c r="AL206" s="563"/>
      <c r="AM206" s="563"/>
      <c r="AN206" s="563"/>
      <c r="AO206" s="2"/>
      <c r="AP206" s="629"/>
      <c r="AQ206" s="803"/>
      <c r="AR206" s="901"/>
      <c r="AS206" s="901"/>
      <c r="AT206" s="901"/>
      <c r="AU206" s="901"/>
      <c r="AV206" s="563"/>
      <c r="AW206" s="13"/>
    </row>
    <row r="207" spans="1:49" ht="105" hidden="1" customHeight="1">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54"/>
      <c r="O207" s="4">
        <f>OBRA!P205</f>
        <v>236752</v>
      </c>
      <c r="P207" s="1208">
        <f t="shared" si="8"/>
        <v>204096.55172413794</v>
      </c>
      <c r="Q207" s="1208"/>
      <c r="R207" s="6">
        <f>OBRA!Q205</f>
        <v>42583</v>
      </c>
      <c r="S207" s="1327" t="str">
        <f>OBRA!T205</f>
        <v>-</v>
      </c>
      <c r="T207" s="5" t="str">
        <f>OBRA!R205</f>
        <v>-</v>
      </c>
      <c r="U207" s="12" t="str">
        <f>OBRA!S205</f>
        <v>-</v>
      </c>
      <c r="V207" s="243"/>
      <c r="W207" s="637">
        <f>OBRA!AQ205+OBRA!AR205</f>
        <v>0</v>
      </c>
      <c r="X207" s="305"/>
      <c r="Y207" s="639" t="str">
        <f>OBRA!U205</f>
        <v>-</v>
      </c>
      <c r="Z207" s="639"/>
      <c r="AA207" s="640" t="str">
        <f t="shared" si="10"/>
        <v>-</v>
      </c>
      <c r="AB207" s="639" t="s">
        <v>68</v>
      </c>
      <c r="AC207" s="639"/>
      <c r="AD207" s="198" t="str">
        <f>OBRA!V205</f>
        <v>-</v>
      </c>
      <c r="AE207" s="20"/>
      <c r="AF207" s="2"/>
      <c r="AG207" s="638" t="e">
        <f t="shared" si="9"/>
        <v>#DIV/0!</v>
      </c>
      <c r="AH207" s="2"/>
      <c r="AI207" s="164"/>
      <c r="AJ207" s="563"/>
      <c r="AK207" s="563"/>
      <c r="AL207" s="563"/>
      <c r="AM207" s="563"/>
      <c r="AN207" s="563"/>
      <c r="AO207" s="2"/>
      <c r="AP207" s="629"/>
      <c r="AQ207" s="803"/>
      <c r="AR207" s="901"/>
      <c r="AS207" s="901"/>
      <c r="AT207" s="901"/>
      <c r="AU207" s="901"/>
      <c r="AV207" s="563"/>
      <c r="AW207" s="13"/>
    </row>
    <row r="208" spans="1:49" ht="96.75" hidden="1" customHeight="1">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54"/>
      <c r="O208" s="4">
        <f>OBRA!P206</f>
        <v>259860</v>
      </c>
      <c r="P208" s="1208">
        <f t="shared" si="8"/>
        <v>224017.24137931035</v>
      </c>
      <c r="Q208" s="1208"/>
      <c r="R208" s="6">
        <f>OBRA!Q206</f>
        <v>42583</v>
      </c>
      <c r="S208" s="1327" t="str">
        <f>OBRA!T206</f>
        <v>-</v>
      </c>
      <c r="T208" s="5" t="str">
        <f>OBRA!R206</f>
        <v>-</v>
      </c>
      <c r="U208" s="12" t="str">
        <f>OBRA!S206</f>
        <v>-</v>
      </c>
      <c r="V208" s="243"/>
      <c r="W208" s="637">
        <f>OBRA!AQ206+OBRA!AR206</f>
        <v>0</v>
      </c>
      <c r="X208" s="305"/>
      <c r="Y208" s="639" t="str">
        <f>OBRA!U206</f>
        <v>-</v>
      </c>
      <c r="Z208" s="639"/>
      <c r="AA208" s="640" t="str">
        <f t="shared" si="10"/>
        <v>-</v>
      </c>
      <c r="AB208" s="639" t="s">
        <v>68</v>
      </c>
      <c r="AC208" s="639"/>
      <c r="AD208" s="198" t="str">
        <f>OBRA!V206</f>
        <v>-</v>
      </c>
      <c r="AE208" s="20"/>
      <c r="AF208" s="2"/>
      <c r="AG208" s="638" t="e">
        <f t="shared" si="9"/>
        <v>#DIV/0!</v>
      </c>
      <c r="AH208" s="2"/>
      <c r="AI208" s="164"/>
      <c r="AJ208" s="582"/>
      <c r="AK208" s="582"/>
      <c r="AL208" s="582"/>
      <c r="AM208" s="582"/>
      <c r="AN208" s="582"/>
      <c r="AO208" s="185"/>
      <c r="AP208" s="902"/>
      <c r="AQ208" s="803"/>
      <c r="AR208" s="1125"/>
      <c r="AS208" s="1125"/>
      <c r="AT208" s="1125"/>
      <c r="AU208" s="1125"/>
      <c r="AV208" s="582"/>
      <c r="AW208" s="13"/>
    </row>
    <row r="209" spans="1:49" ht="96.75" hidden="1" customHeight="1">
      <c r="A209" s="17">
        <f>OBRA!I207</f>
        <v>2017</v>
      </c>
      <c r="B209" s="895" t="s">
        <v>1567</v>
      </c>
      <c r="C209" s="895"/>
      <c r="D209" s="895"/>
      <c r="E209" s="2" t="str">
        <f>OBRA!K207</f>
        <v>FONDEREG</v>
      </c>
      <c r="F209" s="691" t="s">
        <v>3260</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3526</v>
      </c>
      <c r="O209" s="4">
        <f>OBRA!P207</f>
        <v>2068965.52</v>
      </c>
      <c r="P209" s="1208">
        <f t="shared" si="8"/>
        <v>1783590.9655172415</v>
      </c>
      <c r="Q209" s="1208"/>
      <c r="R209" s="6">
        <f>OBRA!Q207</f>
        <v>42898</v>
      </c>
      <c r="S209" s="1327" t="str">
        <f>OBRA!T207</f>
        <v>-</v>
      </c>
      <c r="T209" s="5" t="str">
        <f>OBRA!R207</f>
        <v>-</v>
      </c>
      <c r="U209" s="12" t="str">
        <f>OBRA!S207</f>
        <v>-</v>
      </c>
      <c r="V209" s="1357">
        <v>0</v>
      </c>
      <c r="W209" s="637">
        <f>OBRA!AQ207+OBRA!AR207</f>
        <v>0</v>
      </c>
      <c r="X209" s="305" t="s">
        <v>68</v>
      </c>
      <c r="Y209" s="639" t="str">
        <f>OBRA!U207</f>
        <v>N/A</v>
      </c>
      <c r="Z209" s="639"/>
      <c r="AA209" s="640" t="str">
        <f>Y209</f>
        <v>N/A</v>
      </c>
      <c r="AB209" s="639" t="s">
        <v>68</v>
      </c>
      <c r="AC209" s="639"/>
      <c r="AD209" s="198" t="str">
        <f>OBRA!V207</f>
        <v>-</v>
      </c>
      <c r="AE209" s="20"/>
      <c r="AF209" s="2"/>
      <c r="AG209" s="638" t="e">
        <f t="shared" si="9"/>
        <v>#DIV/0!</v>
      </c>
      <c r="AH209" s="2"/>
      <c r="AI209" s="164"/>
      <c r="AJ209" s="582"/>
      <c r="AK209" s="582"/>
      <c r="AL209" s="582"/>
      <c r="AM209" s="1426"/>
      <c r="AN209" s="582"/>
      <c r="AO209" s="185"/>
      <c r="AP209" s="902"/>
      <c r="AQ209" s="803"/>
      <c r="AR209" s="1125"/>
      <c r="AS209" s="1125"/>
      <c r="AT209" s="1125"/>
      <c r="AU209" s="1125"/>
      <c r="AV209" s="582"/>
      <c r="AW209" s="13"/>
    </row>
    <row r="210" spans="1:49" ht="96.75" hidden="1" customHeight="1">
      <c r="A210" s="17">
        <f>OBRA!I208</f>
        <v>2017</v>
      </c>
      <c r="B210" s="895" t="s">
        <v>1567</v>
      </c>
      <c r="C210" s="895"/>
      <c r="D210" s="895"/>
      <c r="E210" s="2" t="str">
        <f>OBRA!K208</f>
        <v>FOCOCI</v>
      </c>
      <c r="F210" s="691" t="s">
        <v>3259</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3526</v>
      </c>
      <c r="O210" s="4">
        <f>OBRA!P208</f>
        <v>2940000</v>
      </c>
      <c r="P210" s="1208">
        <f t="shared" si="8"/>
        <v>2534482.7586206896</v>
      </c>
      <c r="Q210" s="1208"/>
      <c r="R210" s="6">
        <f>OBRA!Q208</f>
        <v>42879</v>
      </c>
      <c r="S210" s="1327" t="str">
        <f>OBRA!T208</f>
        <v>-</v>
      </c>
      <c r="T210" s="5" t="str">
        <f>OBRA!R208</f>
        <v>-</v>
      </c>
      <c r="U210" s="12" t="str">
        <f>OBRA!S208</f>
        <v>-</v>
      </c>
      <c r="V210" s="1357">
        <v>0</v>
      </c>
      <c r="W210" s="637">
        <f>OBRA!AQ208+OBRA!AR208</f>
        <v>0</v>
      </c>
      <c r="X210" s="305" t="s">
        <v>68</v>
      </c>
      <c r="Y210" s="639" t="str">
        <f>OBRA!U208</f>
        <v>N/A</v>
      </c>
      <c r="Z210" s="639"/>
      <c r="AA210" s="640" t="str">
        <f>Y210</f>
        <v>N/A</v>
      </c>
      <c r="AB210" s="639" t="s">
        <v>68</v>
      </c>
      <c r="AC210" s="639"/>
      <c r="AD210" s="198" t="str">
        <f>OBRA!V208</f>
        <v>-</v>
      </c>
      <c r="AE210" s="20"/>
      <c r="AF210" s="2"/>
      <c r="AG210" s="638" t="e">
        <f t="shared" si="9"/>
        <v>#DIV/0!</v>
      </c>
      <c r="AH210" s="2"/>
      <c r="AI210" s="164"/>
      <c r="AJ210" s="582"/>
      <c r="AK210" s="582"/>
      <c r="AL210" s="582"/>
      <c r="AM210" s="1426"/>
      <c r="AN210" s="582"/>
      <c r="AO210" s="185"/>
      <c r="AP210" s="902"/>
      <c r="AQ210" s="803"/>
      <c r="AR210" s="1125"/>
      <c r="AS210" s="1125"/>
      <c r="AT210" s="1125"/>
      <c r="AU210" s="1125"/>
      <c r="AV210" s="582"/>
      <c r="AW210" s="13"/>
    </row>
    <row r="211" spans="1:49" ht="96.75" hidden="1" customHeight="1">
      <c r="A211" s="17">
        <f>OBRA!I209</f>
        <v>2017</v>
      </c>
      <c r="B211" s="895" t="s">
        <v>1567</v>
      </c>
      <c r="C211" s="895"/>
      <c r="D211" s="895"/>
      <c r="E211" s="2" t="str">
        <f>OBRA!K209</f>
        <v xml:space="preserve">PROYECTOS DESARROLLO REGIONAL </v>
      </c>
      <c r="F211" s="691" t="s">
        <v>3263</v>
      </c>
      <c r="G211" s="281" t="s">
        <v>68</v>
      </c>
      <c r="H211" s="180" t="str">
        <f>OBRA!L209</f>
        <v xml:space="preserve">PROYECTOS DESARROLLO REGIONAL </v>
      </c>
      <c r="I211" s="2" t="str">
        <f>OBRA!M209</f>
        <v>CONVENIO</v>
      </c>
      <c r="J211" s="3" t="str">
        <f>OBRA!N209</f>
        <v>-</v>
      </c>
      <c r="K211" s="597" t="s">
        <v>68</v>
      </c>
      <c r="L211" s="597" t="s">
        <v>68</v>
      </c>
      <c r="M211" s="597"/>
      <c r="N211" s="554" t="s">
        <v>3526</v>
      </c>
      <c r="O211" s="4">
        <f>OBRA!P209</f>
        <v>2910056.73</v>
      </c>
      <c r="P211" s="1208">
        <f t="shared" si="8"/>
        <v>2508669.5948275863</v>
      </c>
      <c r="Q211" s="1208"/>
      <c r="R211" s="6">
        <f>OBRA!Q209</f>
        <v>42863</v>
      </c>
      <c r="S211" s="1327" t="str">
        <f>OBRA!T209</f>
        <v>-</v>
      </c>
      <c r="T211" s="5" t="str">
        <f>OBRA!R209</f>
        <v>-</v>
      </c>
      <c r="U211" s="12" t="str">
        <f>OBRA!S209</f>
        <v>-</v>
      </c>
      <c r="V211" s="1357">
        <v>0</v>
      </c>
      <c r="W211" s="637">
        <f>OBRA!AQ209+OBRA!AR209</f>
        <v>0</v>
      </c>
      <c r="X211" s="305" t="s">
        <v>68</v>
      </c>
      <c r="Y211" s="639" t="str">
        <f>OBRA!U209</f>
        <v>N/A</v>
      </c>
      <c r="Z211" s="639"/>
      <c r="AA211" s="640" t="str">
        <f>Y211</f>
        <v>N/A</v>
      </c>
      <c r="AB211" s="639" t="s">
        <v>68</v>
      </c>
      <c r="AC211" s="639"/>
      <c r="AD211" s="198" t="str">
        <f>OBRA!V209</f>
        <v>-</v>
      </c>
      <c r="AE211" s="20"/>
      <c r="AF211" s="2"/>
      <c r="AG211" s="638" t="e">
        <f t="shared" si="9"/>
        <v>#DIV/0!</v>
      </c>
      <c r="AH211" s="2"/>
      <c r="AI211" s="164"/>
      <c r="AJ211" s="582"/>
      <c r="AK211" s="582"/>
      <c r="AL211" s="582"/>
      <c r="AM211" s="1426"/>
      <c r="AN211" s="582"/>
      <c r="AO211" s="185"/>
      <c r="AP211" s="902"/>
      <c r="AQ211" s="803"/>
      <c r="AR211" s="1125"/>
      <c r="AS211" s="1125"/>
      <c r="AT211" s="1125"/>
      <c r="AU211" s="1125"/>
      <c r="AV211" s="582"/>
      <c r="AW211" s="13"/>
    </row>
    <row r="212" spans="1:49" ht="267" hidden="1" customHeight="1">
      <c r="A212" s="17">
        <f>OBRA!I210</f>
        <v>2017</v>
      </c>
      <c r="B212" s="895" t="s">
        <v>1567</v>
      </c>
      <c r="C212" s="895"/>
      <c r="D212" s="895"/>
      <c r="E212" s="202" t="str">
        <f>OBRA!K210</f>
        <v xml:space="preserve">PROYECTOS DESARROLLO REGIONAL </v>
      </c>
      <c r="F212" s="691" t="s">
        <v>3264</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3266</v>
      </c>
      <c r="M212" s="328" t="s">
        <v>1979</v>
      </c>
      <c r="N212" s="554" t="s">
        <v>3526</v>
      </c>
      <c r="O212" s="4">
        <f>OBRA!P210</f>
        <v>3089943.27</v>
      </c>
      <c r="P212" s="1208">
        <f t="shared" si="8"/>
        <v>2663744.1982758623</v>
      </c>
      <c r="Q212" s="1208"/>
      <c r="R212" s="6">
        <f>OBRA!Q210</f>
        <v>42885</v>
      </c>
      <c r="S212" s="1327" t="str">
        <f>OBRA!T210</f>
        <v>-</v>
      </c>
      <c r="T212" s="5" t="str">
        <f>OBRA!R210</f>
        <v>-</v>
      </c>
      <c r="U212" s="12" t="str">
        <f>OBRA!S210</f>
        <v>-</v>
      </c>
      <c r="V212" s="1357">
        <v>0</v>
      </c>
      <c r="W212" s="637">
        <f>OBRA!AQ210+OBRA!AR210</f>
        <v>0</v>
      </c>
      <c r="X212" s="305" t="s">
        <v>68</v>
      </c>
      <c r="Y212" s="639" t="str">
        <f>OBRA!U210</f>
        <v>N/A</v>
      </c>
      <c r="Z212" s="639"/>
      <c r="AA212" s="640" t="str">
        <f>Y212</f>
        <v>N/A</v>
      </c>
      <c r="AB212" s="639" t="s">
        <v>68</v>
      </c>
      <c r="AC212" s="639"/>
      <c r="AD212" s="198" t="str">
        <f>OBRA!V210</f>
        <v>-</v>
      </c>
      <c r="AE212" s="20"/>
      <c r="AF212" s="2"/>
      <c r="AG212" s="638" t="e">
        <f t="shared" si="9"/>
        <v>#DIV/0!</v>
      </c>
      <c r="AH212" s="2"/>
      <c r="AI212" s="164"/>
      <c r="AJ212" s="582"/>
      <c r="AK212" s="582"/>
      <c r="AL212" s="582"/>
      <c r="AM212" s="1426"/>
      <c r="AN212" s="582"/>
      <c r="AO212" s="185"/>
      <c r="AP212" s="902"/>
      <c r="AQ212" s="803"/>
      <c r="AR212" s="1125"/>
      <c r="AS212" s="1125"/>
      <c r="AT212" s="1125"/>
      <c r="AU212" s="1125"/>
      <c r="AV212" s="582"/>
      <c r="AW212" s="13"/>
    </row>
    <row r="213" spans="1:49" ht="100.5" hidden="1" customHeight="1">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8"/>
        <v>140365.43965517243</v>
      </c>
      <c r="Q213" s="1208"/>
      <c r="R213" s="69">
        <f>OBRA!Q211</f>
        <v>42755</v>
      </c>
      <c r="S213" s="1327" t="str">
        <f>OBRA!T211</f>
        <v>-</v>
      </c>
      <c r="T213" s="255">
        <f>OBRA!R211</f>
        <v>42740</v>
      </c>
      <c r="U213" s="245">
        <f>OBRA!S211</f>
        <v>42746</v>
      </c>
      <c r="V213" s="387"/>
      <c r="W213" s="651">
        <f>OBRA!AQ211+OBRA!AR211</f>
        <v>131561.34</v>
      </c>
      <c r="X213" s="1198"/>
      <c r="Y213" s="650" t="str">
        <f>OBRA!U211</f>
        <v>N/A</v>
      </c>
      <c r="Z213" s="650"/>
      <c r="AA213" s="652" t="str">
        <f t="shared" si="10"/>
        <v>N/A</v>
      </c>
      <c r="AB213" s="650" t="s">
        <v>68</v>
      </c>
      <c r="AC213" s="650"/>
      <c r="AD213" s="200" t="str">
        <f>OBRA!V211</f>
        <v>ARQ. JAIME CONDE GOMEZ</v>
      </c>
      <c r="AE213" s="609">
        <v>310.54000000000002</v>
      </c>
      <c r="AF213" s="202" t="s">
        <v>1552</v>
      </c>
      <c r="AG213" s="694">
        <f t="shared" si="9"/>
        <v>423.65344239067429</v>
      </c>
      <c r="AH213" s="202">
        <v>50000</v>
      </c>
      <c r="AI213" s="249" t="s">
        <v>1455</v>
      </c>
      <c r="AJ213" s="566"/>
      <c r="AK213" s="566"/>
      <c r="AL213" s="566"/>
      <c r="AM213" s="1427"/>
      <c r="AN213" s="717" t="s">
        <v>1878</v>
      </c>
      <c r="AO213" s="717" t="s">
        <v>1879</v>
      </c>
      <c r="AP213" s="510" t="s">
        <v>1880</v>
      </c>
      <c r="AQ213" s="801" t="s">
        <v>1881</v>
      </c>
      <c r="AR213" s="900"/>
      <c r="AS213" s="900"/>
      <c r="AT213" s="900"/>
      <c r="AU213" s="900"/>
      <c r="AV213" s="180" t="s">
        <v>551</v>
      </c>
      <c r="AW213" s="329"/>
    </row>
    <row r="214" spans="1:49" ht="60.75" hidden="1" customHeight="1">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2560</v>
      </c>
      <c r="N214" s="996"/>
      <c r="O214" s="85">
        <f>OBRA!P212</f>
        <v>313594.21000000002</v>
      </c>
      <c r="P214" s="1208">
        <f t="shared" si="8"/>
        <v>270339.83620689658</v>
      </c>
      <c r="Q214" s="1208"/>
      <c r="R214" s="69">
        <f>OBRA!Q212</f>
        <v>42872</v>
      </c>
      <c r="S214" s="1327" t="str">
        <f>OBRA!T212</f>
        <v>-</v>
      </c>
      <c r="T214" s="255">
        <f>OBRA!R212</f>
        <v>42893</v>
      </c>
      <c r="U214" s="245">
        <f>OBRA!S212</f>
        <v>43046</v>
      </c>
      <c r="V214" s="387"/>
      <c r="W214" s="651">
        <f>OBRA!AQ212+OBRA!AR212</f>
        <v>151338.45000000001</v>
      </c>
      <c r="X214" s="1198"/>
      <c r="Y214" s="650" t="str">
        <f>OBRA!U212</f>
        <v>N/A</v>
      </c>
      <c r="Z214" s="650"/>
      <c r="AA214" s="652" t="str">
        <f t="shared" si="10"/>
        <v>N/A</v>
      </c>
      <c r="AB214" s="650" t="s">
        <v>68</v>
      </c>
      <c r="AC214" s="650"/>
      <c r="AD214" s="200" t="str">
        <f>OBRA!V212</f>
        <v>ARQ. JAIME CONDE GOMEZ</v>
      </c>
      <c r="AE214" s="174">
        <v>80</v>
      </c>
      <c r="AF214" s="202" t="s">
        <v>1845</v>
      </c>
      <c r="AG214" s="694">
        <f t="shared" si="9"/>
        <v>1891.7306250000001</v>
      </c>
      <c r="AH214" s="202">
        <v>7800</v>
      </c>
      <c r="AI214" s="249" t="s">
        <v>1455</v>
      </c>
      <c r="AJ214" s="566"/>
      <c r="AK214" s="566"/>
      <c r="AL214" s="566"/>
      <c r="AM214" s="1427"/>
      <c r="AN214" s="717" t="s">
        <v>1884</v>
      </c>
      <c r="AO214" s="717" t="s">
        <v>1885</v>
      </c>
      <c r="AP214" s="510" t="s">
        <v>1886</v>
      </c>
      <c r="AQ214" s="802"/>
      <c r="AR214" s="899"/>
      <c r="AS214" s="899"/>
      <c r="AT214" s="899"/>
      <c r="AU214" s="899"/>
      <c r="AV214" s="180" t="s">
        <v>1295</v>
      </c>
      <c r="AW214" s="329"/>
    </row>
    <row r="215" spans="1:49" ht="66.75" hidden="1" customHeight="1">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2542</v>
      </c>
      <c r="N215" s="996"/>
      <c r="O215" s="85">
        <f>OBRA!P213</f>
        <v>129065</v>
      </c>
      <c r="P215" s="1208">
        <f t="shared" si="8"/>
        <v>111262.93103448277</v>
      </c>
      <c r="Q215" s="1208"/>
      <c r="R215" s="69">
        <f>OBRA!Q213</f>
        <v>42947</v>
      </c>
      <c r="S215" s="1327" t="str">
        <f>OBRA!T213</f>
        <v>-</v>
      </c>
      <c r="T215" s="255">
        <f>OBRA!R213</f>
        <v>42948</v>
      </c>
      <c r="U215" s="245">
        <f>OBRA!S213</f>
        <v>42959</v>
      </c>
      <c r="V215" s="387"/>
      <c r="W215" s="651">
        <f>OBRA!AQ213+OBRA!AR213</f>
        <v>144009.45000000001</v>
      </c>
      <c r="X215" s="1198"/>
      <c r="Y215" s="650" t="str">
        <f>OBRA!U213</f>
        <v>N/A</v>
      </c>
      <c r="Z215" s="650"/>
      <c r="AA215" s="652" t="str">
        <f t="shared" si="10"/>
        <v>N/A</v>
      </c>
      <c r="AB215" s="650" t="s">
        <v>68</v>
      </c>
      <c r="AC215" s="650"/>
      <c r="AD215" s="200" t="str">
        <f>OBRA!V213</f>
        <v>ING. RIGOBERTO OLMEDO RAMOS</v>
      </c>
      <c r="AE215" s="609">
        <v>192</v>
      </c>
      <c r="AF215" s="202" t="s">
        <v>1454</v>
      </c>
      <c r="AG215" s="694">
        <f t="shared" si="9"/>
        <v>750.04921875000002</v>
      </c>
      <c r="AH215" s="202">
        <v>1270</v>
      </c>
      <c r="AI215" s="249" t="s">
        <v>1455</v>
      </c>
      <c r="AJ215" s="566"/>
      <c r="AK215" s="566"/>
      <c r="AL215" s="566"/>
      <c r="AM215" s="1427"/>
      <c r="AN215" s="585"/>
      <c r="AO215" s="585"/>
      <c r="AP215" s="510" t="s">
        <v>1888</v>
      </c>
      <c r="AQ215" s="801" t="s">
        <v>1889</v>
      </c>
      <c r="AR215" s="900"/>
      <c r="AS215" s="900"/>
      <c r="AT215" s="900"/>
      <c r="AU215" s="900"/>
      <c r="AV215" s="180" t="s">
        <v>1295</v>
      </c>
      <c r="AW215" s="329"/>
    </row>
    <row r="216" spans="1:49" ht="95.25" hidden="1" customHeight="1">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2560</v>
      </c>
      <c r="N216" s="996"/>
      <c r="O216" s="85">
        <f>OBRA!P214</f>
        <v>75540.72</v>
      </c>
      <c r="P216" s="1208">
        <f t="shared" si="8"/>
        <v>65121.310344827594</v>
      </c>
      <c r="Q216" s="1208"/>
      <c r="R216" s="69">
        <f>OBRA!Q214</f>
        <v>42947</v>
      </c>
      <c r="S216" s="1327" t="str">
        <f>OBRA!T214</f>
        <v>-</v>
      </c>
      <c r="T216" s="255">
        <f>OBRA!R214</f>
        <v>42947</v>
      </c>
      <c r="U216" s="245">
        <f>OBRA!S214</f>
        <v>42959</v>
      </c>
      <c r="V216" s="387"/>
      <c r="W216" s="651">
        <f>OBRA!AQ214+OBRA!AR214</f>
        <v>72226.92</v>
      </c>
      <c r="X216" s="1198"/>
      <c r="Y216" s="650" t="str">
        <f>OBRA!U214</f>
        <v>N/A</v>
      </c>
      <c r="Z216" s="650"/>
      <c r="AA216" s="652" t="str">
        <f t="shared" si="10"/>
        <v>N/A</v>
      </c>
      <c r="AB216" s="650" t="s">
        <v>68</v>
      </c>
      <c r="AC216" s="650"/>
      <c r="AD216" s="200" t="str">
        <f>OBRA!V214</f>
        <v>ING. RIGOBERTO OLMEDO RAMOS</v>
      </c>
      <c r="AE216" s="174">
        <v>126</v>
      </c>
      <c r="AF216" s="202" t="s">
        <v>1454</v>
      </c>
      <c r="AG216" s="694">
        <f t="shared" si="9"/>
        <v>573.22952380952381</v>
      </c>
      <c r="AH216" s="202">
        <v>200</v>
      </c>
      <c r="AI216" s="249" t="s">
        <v>1447</v>
      </c>
      <c r="AJ216" s="566"/>
      <c r="AK216" s="566"/>
      <c r="AL216" s="566"/>
      <c r="AM216" s="1427"/>
      <c r="AN216" s="585"/>
      <c r="AO216" s="717" t="s">
        <v>1891</v>
      </c>
      <c r="AP216" s="510" t="s">
        <v>1892</v>
      </c>
      <c r="AQ216" s="801" t="s">
        <v>1893</v>
      </c>
      <c r="AR216" s="900"/>
      <c r="AS216" s="900"/>
      <c r="AT216" s="900"/>
      <c r="AU216" s="900"/>
      <c r="AV216" s="180" t="s">
        <v>1295</v>
      </c>
      <c r="AW216" s="329"/>
    </row>
    <row r="217" spans="1:49" ht="116.25" hidden="1" customHeight="1">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2551</v>
      </c>
      <c r="N217" s="996"/>
      <c r="O217" s="85">
        <f>OBRA!P215</f>
        <v>266570.25</v>
      </c>
      <c r="P217" s="1208">
        <f t="shared" si="8"/>
        <v>229801.93965517243</v>
      </c>
      <c r="Q217" s="1208"/>
      <c r="R217" s="69">
        <f>OBRA!Q215</f>
        <v>42947</v>
      </c>
      <c r="S217" s="1327" t="str">
        <f>OBRA!T215</f>
        <v>-</v>
      </c>
      <c r="T217" s="255">
        <f>OBRA!R215</f>
        <v>42947</v>
      </c>
      <c r="U217" s="245">
        <f>OBRA!S215</f>
        <v>43008</v>
      </c>
      <c r="V217" s="387"/>
      <c r="W217" s="683">
        <f>OBRA!AQ215+OBRA!AR215</f>
        <v>0</v>
      </c>
      <c r="X217" s="1199"/>
      <c r="Y217" s="650" t="str">
        <f>OBRA!U215</f>
        <v>N/A</v>
      </c>
      <c r="Z217" s="650"/>
      <c r="AA217" s="652" t="str">
        <f t="shared" si="10"/>
        <v>N/A</v>
      </c>
      <c r="AB217" s="650" t="s">
        <v>68</v>
      </c>
      <c r="AC217" s="650"/>
      <c r="AD217" s="200" t="str">
        <f>OBRA!V215</f>
        <v>ING. J. GUADALUPE IBARRA RAMIREZ</v>
      </c>
      <c r="AE217" s="174">
        <v>1</v>
      </c>
      <c r="AF217" s="202" t="s">
        <v>1577</v>
      </c>
      <c r="AG217" s="682">
        <f t="shared" si="9"/>
        <v>0</v>
      </c>
      <c r="AH217" s="202">
        <v>1750</v>
      </c>
      <c r="AI217" s="249" t="s">
        <v>1455</v>
      </c>
      <c r="AJ217" s="566"/>
      <c r="AK217" s="566"/>
      <c r="AL217" s="566"/>
      <c r="AM217" s="1427"/>
      <c r="AN217" s="717" t="s">
        <v>1896</v>
      </c>
      <c r="AO217" s="717" t="s">
        <v>1897</v>
      </c>
      <c r="AP217" s="510" t="s">
        <v>1898</v>
      </c>
      <c r="AQ217" s="802"/>
      <c r="AR217" s="899"/>
      <c r="AS217" s="899"/>
      <c r="AT217" s="899"/>
      <c r="AU217" s="899"/>
      <c r="AV217" s="180" t="s">
        <v>1295</v>
      </c>
      <c r="AW217" s="329"/>
    </row>
    <row r="218" spans="1:49" s="110" customFormat="1" ht="51" hidden="1" customHeight="1">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2"/>
      <c r="R218" s="93">
        <f>OBRA!Q216</f>
        <v>0</v>
      </c>
      <c r="S218" s="1327" t="str">
        <f>OBRA!T216</f>
        <v>-</v>
      </c>
      <c r="T218" s="94">
        <f>OBRA!R216</f>
        <v>0</v>
      </c>
      <c r="U218" s="95">
        <f>OBRA!S216</f>
        <v>0</v>
      </c>
      <c r="V218" s="374"/>
      <c r="W218" s="934">
        <f>OBRA!AQ216+OBRA!AR216</f>
        <v>0</v>
      </c>
      <c r="X218" s="947"/>
      <c r="Y218" s="935" t="str">
        <f>OBRA!U216</f>
        <v>-</v>
      </c>
      <c r="Z218" s="935"/>
      <c r="AA218" s="460" t="str">
        <f t="shared" si="10"/>
        <v>-</v>
      </c>
      <c r="AB218" s="935" t="s">
        <v>68</v>
      </c>
      <c r="AC218" s="935"/>
      <c r="AD218" s="199">
        <f>OBRA!V216</f>
        <v>0</v>
      </c>
      <c r="AE218" s="90"/>
      <c r="AF218" s="91"/>
      <c r="AG218" s="936" t="e">
        <f t="shared" si="9"/>
        <v>#DIV/0!</v>
      </c>
      <c r="AH218" s="91"/>
      <c r="AI218" s="634" t="s">
        <v>1455</v>
      </c>
      <c r="AJ218" s="583"/>
      <c r="AK218" s="583"/>
      <c r="AL218" s="583"/>
      <c r="AM218" s="1426"/>
      <c r="AN218" s="583"/>
      <c r="AO218" s="747"/>
      <c r="AP218" s="940"/>
      <c r="AQ218" s="941"/>
      <c r="AR218" s="1124"/>
      <c r="AS218" s="1124"/>
      <c r="AT218" s="1124"/>
      <c r="AU218" s="1124"/>
      <c r="AV218" s="462"/>
      <c r="AW218" s="109"/>
    </row>
    <row r="219" spans="1:49" ht="69.75" hidden="1" customHeight="1">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2551</v>
      </c>
      <c r="N219" s="996"/>
      <c r="O219" s="85">
        <f>OBRA!P217</f>
        <v>80202.34</v>
      </c>
      <c r="P219" s="1208">
        <f>O219/1.16</f>
        <v>69139.948275862072</v>
      </c>
      <c r="Q219" s="1208"/>
      <c r="R219" s="69">
        <f>OBRA!Q217</f>
        <v>43046</v>
      </c>
      <c r="S219" s="1327" t="str">
        <f>OBRA!T217</f>
        <v>-</v>
      </c>
      <c r="T219" s="255">
        <f>OBRA!R217</f>
        <v>43054</v>
      </c>
      <c r="U219" s="245">
        <f>OBRA!S217</f>
        <v>43084</v>
      </c>
      <c r="V219" s="387"/>
      <c r="W219" s="651">
        <f>OBRA!AQ217+OBRA!AR217</f>
        <v>57447.290000000008</v>
      </c>
      <c r="X219" s="1198"/>
      <c r="Y219" s="650" t="str">
        <f>OBRA!U217</f>
        <v>N/A</v>
      </c>
      <c r="Z219" s="650"/>
      <c r="AA219" s="652" t="str">
        <f t="shared" si="10"/>
        <v>N/A</v>
      </c>
      <c r="AB219" s="650" t="s">
        <v>68</v>
      </c>
      <c r="AC219" s="650"/>
      <c r="AD219" s="200" t="str">
        <f>OBRA!V217</f>
        <v>ING. JUAN MANUEL GARCIA ESCOTO</v>
      </c>
      <c r="AE219" s="174">
        <v>180</v>
      </c>
      <c r="AF219" s="202" t="s">
        <v>1454</v>
      </c>
      <c r="AG219" s="694">
        <f t="shared" si="9"/>
        <v>319.15161111111115</v>
      </c>
      <c r="AH219" s="202">
        <v>300</v>
      </c>
      <c r="AI219" s="249" t="s">
        <v>1447</v>
      </c>
      <c r="AJ219" s="566"/>
      <c r="AK219" s="566"/>
      <c r="AL219" s="566"/>
      <c r="AM219" s="1427"/>
      <c r="AN219" s="585"/>
      <c r="AO219" s="585"/>
      <c r="AP219" s="585"/>
      <c r="AQ219" s="802"/>
      <c r="AR219" s="899"/>
      <c r="AS219" s="899"/>
      <c r="AT219" s="899"/>
      <c r="AU219" s="899"/>
      <c r="AV219" s="180" t="s">
        <v>1295</v>
      </c>
      <c r="AW219" s="329"/>
    </row>
    <row r="220" spans="1:49" ht="78" hidden="1" customHeight="1">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1208"/>
      <c r="R220" s="69">
        <f>OBRA!Q218</f>
        <v>43054</v>
      </c>
      <c r="S220" s="1327" t="str">
        <f>OBRA!T218</f>
        <v>-</v>
      </c>
      <c r="T220" s="255">
        <f>OBRA!R218</f>
        <v>43052</v>
      </c>
      <c r="U220" s="245">
        <f>OBRA!S218</f>
        <v>43066</v>
      </c>
      <c r="V220" s="387"/>
      <c r="W220" s="651">
        <f>OBRA!AQ218+OBRA!AR218</f>
        <v>79992.180000000008</v>
      </c>
      <c r="X220" s="1198"/>
      <c r="Y220" s="650" t="str">
        <f>OBRA!U218</f>
        <v>N/A</v>
      </c>
      <c r="Z220" s="650"/>
      <c r="AA220" s="652" t="str">
        <f t="shared" si="10"/>
        <v>N/A</v>
      </c>
      <c r="AB220" s="650" t="s">
        <v>68</v>
      </c>
      <c r="AC220" s="650"/>
      <c r="AD220" s="200" t="str">
        <f>OBRA!V218</f>
        <v>ING. ANGEL ALBERTO HERNANDEZ MORA</v>
      </c>
      <c r="AE220" s="609">
        <v>57.52</v>
      </c>
      <c r="AF220" s="202" t="s">
        <v>1454</v>
      </c>
      <c r="AG220" s="694">
        <f t="shared" si="9"/>
        <v>1390.6846314325453</v>
      </c>
      <c r="AH220" s="202">
        <v>3000</v>
      </c>
      <c r="AI220" s="249" t="s">
        <v>1455</v>
      </c>
      <c r="AJ220" s="566"/>
      <c r="AK220" s="566"/>
      <c r="AL220" s="566"/>
      <c r="AM220" s="1427"/>
      <c r="AN220" s="717" t="s">
        <v>1901</v>
      </c>
      <c r="AO220" s="717" t="s">
        <v>1902</v>
      </c>
      <c r="AP220" s="510" t="s">
        <v>1903</v>
      </c>
      <c r="AQ220" s="803" t="s">
        <v>1904</v>
      </c>
      <c r="AR220" s="901"/>
      <c r="AS220" s="901"/>
      <c r="AT220" s="901"/>
      <c r="AU220" s="901"/>
      <c r="AV220" s="180" t="s">
        <v>551</v>
      </c>
      <c r="AW220" s="329"/>
    </row>
    <row r="221" spans="1:49" ht="76.5" hidden="1" customHeight="1">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2640</v>
      </c>
      <c r="N221" s="996"/>
      <c r="O221" s="85">
        <f>OBRA!P219</f>
        <v>54161.63</v>
      </c>
      <c r="P221" s="1208">
        <f>O221/1.16</f>
        <v>46691.060344827587</v>
      </c>
      <c r="Q221" s="1208"/>
      <c r="R221" s="69">
        <f>OBRA!Q219</f>
        <v>43078</v>
      </c>
      <c r="S221" s="1327" t="str">
        <f>OBRA!T219</f>
        <v>-</v>
      </c>
      <c r="T221" s="255">
        <f>OBRA!R219</f>
        <v>43078</v>
      </c>
      <c r="U221" s="245">
        <f>OBRA!S219</f>
        <v>43099</v>
      </c>
      <c r="V221" s="387"/>
      <c r="W221" s="651">
        <f>OBRA!AQ219+OBRA!AR219</f>
        <v>54136.87</v>
      </c>
      <c r="X221" s="1198"/>
      <c r="Y221" s="650" t="str">
        <f>OBRA!U219</f>
        <v>N/A</v>
      </c>
      <c r="Z221" s="650"/>
      <c r="AA221" s="652" t="str">
        <f t="shared" si="10"/>
        <v>N/A</v>
      </c>
      <c r="AB221" s="650" t="s">
        <v>68</v>
      </c>
      <c r="AC221" s="650"/>
      <c r="AD221" s="200" t="str">
        <f>OBRA!V219</f>
        <v>ING. ANGEL ALBERTO HERNANDEZ MORA</v>
      </c>
      <c r="AE221" s="609">
        <v>50</v>
      </c>
      <c r="AF221" s="202" t="s">
        <v>1454</v>
      </c>
      <c r="AG221" s="694">
        <f t="shared" si="9"/>
        <v>1082.7374</v>
      </c>
      <c r="AH221" s="202">
        <v>90</v>
      </c>
      <c r="AI221" s="249" t="s">
        <v>1455</v>
      </c>
      <c r="AJ221" s="566"/>
      <c r="AK221" s="566"/>
      <c r="AL221" s="566"/>
      <c r="AM221" s="1427"/>
      <c r="AN221" s="717" t="s">
        <v>1906</v>
      </c>
      <c r="AO221" s="717" t="s">
        <v>1907</v>
      </c>
      <c r="AP221" s="510" t="s">
        <v>1908</v>
      </c>
      <c r="AQ221" s="801" t="s">
        <v>1909</v>
      </c>
      <c r="AR221" s="900"/>
      <c r="AS221" s="900"/>
      <c r="AT221" s="900"/>
      <c r="AU221" s="900"/>
      <c r="AV221" s="180" t="s">
        <v>551</v>
      </c>
      <c r="AW221" s="329"/>
    </row>
    <row r="222" spans="1:49" ht="76.5" hidden="1" customHeight="1">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2640</v>
      </c>
      <c r="N222" s="996"/>
      <c r="O222" s="85">
        <f>OBRA!P220</f>
        <v>72083.75</v>
      </c>
      <c r="P222" s="1208">
        <f>O222/1.16</f>
        <v>62141.163793103449</v>
      </c>
      <c r="Q222" s="1208"/>
      <c r="R222" s="69">
        <f>OBRA!Q220</f>
        <v>43078</v>
      </c>
      <c r="S222" s="1327" t="str">
        <f>OBRA!T220</f>
        <v>-</v>
      </c>
      <c r="T222" s="255">
        <f>OBRA!R220</f>
        <v>43078</v>
      </c>
      <c r="U222" s="245">
        <f>OBRA!S220</f>
        <v>43099</v>
      </c>
      <c r="V222" s="387"/>
      <c r="W222" s="651">
        <f>OBRA!AQ220+OBRA!AR220</f>
        <v>56957.69</v>
      </c>
      <c r="X222" s="1198"/>
      <c r="Y222" s="650" t="str">
        <f>OBRA!U220</f>
        <v>N/A</v>
      </c>
      <c r="Z222" s="650"/>
      <c r="AA222" s="652" t="str">
        <f t="shared" si="10"/>
        <v>N/A</v>
      </c>
      <c r="AB222" s="650" t="s">
        <v>68</v>
      </c>
      <c r="AC222" s="650"/>
      <c r="AD222" s="200" t="str">
        <f>OBRA!V220</f>
        <v>ING. ANGEL ALBERTO HERNANDEZ MORA</v>
      </c>
      <c r="AE222" s="609">
        <v>50</v>
      </c>
      <c r="AF222" s="202" t="s">
        <v>1454</v>
      </c>
      <c r="AG222" s="694">
        <f t="shared" si="9"/>
        <v>1139.1538</v>
      </c>
      <c r="AH222" s="202">
        <v>90</v>
      </c>
      <c r="AI222" s="249" t="s">
        <v>1455</v>
      </c>
      <c r="AJ222" s="566"/>
      <c r="AK222" s="566"/>
      <c r="AL222" s="566"/>
      <c r="AM222" s="1427"/>
      <c r="AN222" s="717" t="s">
        <v>1910</v>
      </c>
      <c r="AO222" s="717" t="s">
        <v>1911</v>
      </c>
      <c r="AP222" s="510" t="s">
        <v>1912</v>
      </c>
      <c r="AQ222" s="801" t="s">
        <v>1913</v>
      </c>
      <c r="AR222" s="900"/>
      <c r="AS222" s="900"/>
      <c r="AT222" s="900"/>
      <c r="AU222" s="900"/>
      <c r="AV222" s="180" t="s">
        <v>551</v>
      </c>
      <c r="AW222" s="329"/>
    </row>
    <row r="223" spans="1:49" ht="240" hidden="1" customHeight="1">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2560</v>
      </c>
      <c r="N223" s="585"/>
      <c r="O223" s="85">
        <f>OBRA!P221</f>
        <v>574043.4</v>
      </c>
      <c r="P223" s="1208">
        <f>O223/1.16</f>
        <v>494865.00000000006</v>
      </c>
      <c r="Q223" s="1208"/>
      <c r="R223" s="69">
        <f>OBRA!Q221</f>
        <v>42986</v>
      </c>
      <c r="S223" s="1327" t="str">
        <f>OBRA!T221</f>
        <v>-</v>
      </c>
      <c r="T223" s="255">
        <f>OBRA!R221</f>
        <v>42989</v>
      </c>
      <c r="U223" s="245">
        <f>OBRA!S221</f>
        <v>43099</v>
      </c>
      <c r="V223" s="387"/>
      <c r="W223" s="683">
        <f>OBRA!AQ221+OBRA!AR221</f>
        <v>0</v>
      </c>
      <c r="X223" s="1199"/>
      <c r="Y223" s="650" t="str">
        <f>OBRA!U221</f>
        <v>N/A</v>
      </c>
      <c r="Z223" s="650"/>
      <c r="AA223" s="652" t="str">
        <f t="shared" si="10"/>
        <v>N/A</v>
      </c>
      <c r="AB223" s="650" t="s">
        <v>68</v>
      </c>
      <c r="AC223" s="650"/>
      <c r="AD223" s="200" t="str">
        <f>OBRA!V221</f>
        <v>ARQ. JAIME CONDE GOMEZ</v>
      </c>
      <c r="AE223" s="174">
        <v>1</v>
      </c>
      <c r="AF223" s="202" t="s">
        <v>1577</v>
      </c>
      <c r="AG223" s="682">
        <f t="shared" si="9"/>
        <v>0</v>
      </c>
      <c r="AH223" s="202">
        <v>7800</v>
      </c>
      <c r="AI223" s="249" t="s">
        <v>1455</v>
      </c>
      <c r="AJ223" s="566"/>
      <c r="AK223" s="566"/>
      <c r="AL223" s="566"/>
      <c r="AM223" s="1427"/>
      <c r="AN223" s="585"/>
      <c r="AO223" s="585"/>
      <c r="AP223" s="510" t="s">
        <v>1916</v>
      </c>
      <c r="AQ223" s="802"/>
      <c r="AR223" s="1126"/>
      <c r="AS223" s="1126"/>
      <c r="AT223" s="1126"/>
      <c r="AU223" s="1126"/>
      <c r="AV223" s="339" t="s">
        <v>1295</v>
      </c>
      <c r="AW223" s="329"/>
    </row>
    <row r="224" spans="1:49" s="110" customFormat="1" ht="60" hidden="1" customHeight="1">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2"/>
      <c r="R224" s="93">
        <f>OBRA!Q222</f>
        <v>0</v>
      </c>
      <c r="S224" s="1327">
        <f>OBRA!T222</f>
        <v>0</v>
      </c>
      <c r="T224" s="94">
        <f>OBRA!R222</f>
        <v>42979</v>
      </c>
      <c r="U224" s="95">
        <f>OBRA!S222</f>
        <v>42734</v>
      </c>
      <c r="V224" s="374"/>
      <c r="W224" s="934">
        <f>OBRA!AQ222+OBRA!AR222</f>
        <v>0</v>
      </c>
      <c r="X224" s="947"/>
      <c r="Y224" s="935" t="str">
        <f>OBRA!U222</f>
        <v>-</v>
      </c>
      <c r="Z224" s="935"/>
      <c r="AA224" s="460" t="str">
        <f t="shared" si="10"/>
        <v>-</v>
      </c>
      <c r="AB224" s="935" t="s">
        <v>68</v>
      </c>
      <c r="AC224" s="935"/>
      <c r="AD224" s="199">
        <f>OBRA!V222</f>
        <v>0</v>
      </c>
      <c r="AE224" s="90"/>
      <c r="AF224" s="91" t="s">
        <v>1454</v>
      </c>
      <c r="AG224" s="936" t="e">
        <f t="shared" si="9"/>
        <v>#DIV/0!</v>
      </c>
      <c r="AH224" s="91"/>
      <c r="AI224" s="634"/>
      <c r="AJ224" s="564"/>
      <c r="AK224" s="564"/>
      <c r="AL224" s="564"/>
      <c r="AM224" s="556"/>
      <c r="AN224" s="564"/>
      <c r="AO224" s="91"/>
      <c r="AP224" s="942"/>
      <c r="AQ224" s="941"/>
      <c r="AR224" s="1127"/>
      <c r="AS224" s="1127"/>
      <c r="AT224" s="1127"/>
      <c r="AU224" s="1127"/>
      <c r="AV224" s="155"/>
      <c r="AW224" s="109"/>
    </row>
    <row r="225" spans="1:49" s="110" customFormat="1" ht="60" hidden="1" customHeight="1">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2"/>
      <c r="R225" s="93">
        <f>OBRA!Q223</f>
        <v>0</v>
      </c>
      <c r="S225" s="1327">
        <f>OBRA!T223</f>
        <v>0</v>
      </c>
      <c r="T225" s="94">
        <f>OBRA!R223</f>
        <v>43070</v>
      </c>
      <c r="U225" s="95">
        <f>OBRA!S223</f>
        <v>43099</v>
      </c>
      <c r="V225" s="374"/>
      <c r="W225" s="934">
        <f>OBRA!AQ223+OBRA!AR223</f>
        <v>0</v>
      </c>
      <c r="X225" s="947"/>
      <c r="Y225" s="935" t="str">
        <f>OBRA!U223</f>
        <v>-</v>
      </c>
      <c r="Z225" s="935"/>
      <c r="AA225" s="460" t="str">
        <f t="shared" si="10"/>
        <v>-</v>
      </c>
      <c r="AB225" s="935"/>
      <c r="AC225" s="935"/>
      <c r="AD225" s="199">
        <f>OBRA!V223</f>
        <v>0</v>
      </c>
      <c r="AE225" s="90"/>
      <c r="AF225" s="91" t="s">
        <v>1454</v>
      </c>
      <c r="AG225" s="936" t="e">
        <f t="shared" si="9"/>
        <v>#DIV/0!</v>
      </c>
      <c r="AH225" s="91"/>
      <c r="AI225" s="634"/>
      <c r="AJ225" s="583"/>
      <c r="AK225" s="583"/>
      <c r="AL225" s="583"/>
      <c r="AM225" s="1426"/>
      <c r="AN225" s="583"/>
      <c r="AO225" s="747"/>
      <c r="AP225" s="940"/>
      <c r="AQ225" s="941"/>
      <c r="AR225" s="1127"/>
      <c r="AS225" s="1127"/>
      <c r="AT225" s="1127"/>
      <c r="AU225" s="1127"/>
      <c r="AV225" s="155"/>
      <c r="AW225" s="109"/>
    </row>
    <row r="226" spans="1:49" ht="76.5" hidden="1" customHeight="1">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1208"/>
      <c r="R226" s="69">
        <f>OBRA!Q224</f>
        <v>43078</v>
      </c>
      <c r="S226" s="1327" t="str">
        <f>OBRA!T224</f>
        <v>-</v>
      </c>
      <c r="T226" s="255">
        <f>OBRA!R224</f>
        <v>43078</v>
      </c>
      <c r="U226" s="245">
        <f>OBRA!S224</f>
        <v>43099</v>
      </c>
      <c r="V226" s="387"/>
      <c r="W226" s="683">
        <f>OBRA!AQ224+OBRA!AR224</f>
        <v>0</v>
      </c>
      <c r="X226" s="1199"/>
      <c r="Y226" s="650" t="str">
        <f>OBRA!U224</f>
        <v>N/A</v>
      </c>
      <c r="Z226" s="650"/>
      <c r="AA226" s="652" t="str">
        <f t="shared" si="10"/>
        <v>N/A</v>
      </c>
      <c r="AB226" s="650" t="s">
        <v>68</v>
      </c>
      <c r="AC226" s="650"/>
      <c r="AD226" s="200" t="str">
        <f>OBRA!V224</f>
        <v>ING. JUAN MANUEL GARCIA ESCOTO</v>
      </c>
      <c r="AE226" s="609">
        <v>1</v>
      </c>
      <c r="AF226" s="202" t="s">
        <v>1577</v>
      </c>
      <c r="AG226" s="682">
        <f t="shared" si="9"/>
        <v>0</v>
      </c>
      <c r="AH226" s="202">
        <v>25000</v>
      </c>
      <c r="AI226" s="249" t="s">
        <v>1455</v>
      </c>
      <c r="AJ226" s="566"/>
      <c r="AK226" s="566"/>
      <c r="AL226" s="566"/>
      <c r="AM226" s="1427"/>
      <c r="AN226" s="585"/>
      <c r="AO226" s="585"/>
      <c r="AP226" s="510" t="s">
        <v>1919</v>
      </c>
      <c r="AQ226" s="802"/>
      <c r="AR226" s="899"/>
      <c r="AS226" s="899"/>
      <c r="AT226" s="899"/>
      <c r="AU226" s="899"/>
      <c r="AV226" s="180" t="s">
        <v>1295</v>
      </c>
      <c r="AW226" s="329"/>
    </row>
    <row r="227" spans="1:49" s="110" customFormat="1" ht="51" hidden="1" customHeight="1">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2"/>
      <c r="R227" s="93">
        <f>OBRA!Q225</f>
        <v>0</v>
      </c>
      <c r="S227" s="1327">
        <f>OBRA!T225</f>
        <v>0</v>
      </c>
      <c r="T227" s="94">
        <f>OBRA!R225</f>
        <v>0</v>
      </c>
      <c r="U227" s="95">
        <f>OBRA!S225</f>
        <v>0</v>
      </c>
      <c r="V227" s="374"/>
      <c r="W227" s="934">
        <f>OBRA!AQ225+OBRA!AR225</f>
        <v>0</v>
      </c>
      <c r="X227" s="947"/>
      <c r="Y227" s="935" t="str">
        <f>OBRA!U225</f>
        <v>-</v>
      </c>
      <c r="Z227" s="935"/>
      <c r="AA227" s="460" t="str">
        <f>Y227</f>
        <v>-</v>
      </c>
      <c r="AB227" s="935" t="s">
        <v>68</v>
      </c>
      <c r="AC227" s="935"/>
      <c r="AD227" s="199">
        <f>OBRA!V225</f>
        <v>0</v>
      </c>
      <c r="AE227" s="90"/>
      <c r="AF227" s="91"/>
      <c r="AG227" s="936" t="e">
        <f t="shared" si="9"/>
        <v>#DIV/0!</v>
      </c>
      <c r="AH227" s="91"/>
      <c r="AI227" s="634" t="s">
        <v>1455</v>
      </c>
      <c r="AJ227" s="583"/>
      <c r="AK227" s="583"/>
      <c r="AL227" s="583"/>
      <c r="AM227" s="1426"/>
      <c r="AN227" s="583"/>
      <c r="AO227" s="747"/>
      <c r="AP227" s="940"/>
      <c r="AQ227" s="941"/>
      <c r="AR227" s="1127"/>
      <c r="AS227" s="1127"/>
      <c r="AT227" s="1127"/>
      <c r="AU227" s="1127"/>
      <c r="AV227" s="155"/>
      <c r="AW227" s="109"/>
    </row>
    <row r="228" spans="1:49" ht="241.5" hidden="1" customHeight="1">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3527</v>
      </c>
      <c r="O228" s="85">
        <f>OBRA!P226</f>
        <v>1499890.33</v>
      </c>
      <c r="P228" s="1208">
        <f t="shared" ref="P228:P270" si="11">O228/1.16</f>
        <v>1293008.9051724139</v>
      </c>
      <c r="Q228" s="1208"/>
      <c r="R228" s="69">
        <f>OBRA!Q226</f>
        <v>42737</v>
      </c>
      <c r="S228" s="1327">
        <f>OBRA!T226</f>
        <v>42737</v>
      </c>
      <c r="T228" s="255">
        <f>OBRA!R226</f>
        <v>42740</v>
      </c>
      <c r="U228" s="245">
        <f>OBRA!S226</f>
        <v>42746</v>
      </c>
      <c r="V228" s="387"/>
      <c r="W228" s="651">
        <f>OBRA!AQ226+OBRA!AR226</f>
        <v>1499890.33</v>
      </c>
      <c r="X228" s="1198"/>
      <c r="Y228" s="650" t="str">
        <f>OBRA!U226</f>
        <v>ASFALTOS GUADALAJARA, S.A.P.I. DE C.V.</v>
      </c>
      <c r="Z228" s="650"/>
      <c r="AA228" s="652" t="s">
        <v>1922</v>
      </c>
      <c r="AB228" s="650" t="s">
        <v>1923</v>
      </c>
      <c r="AC228" s="650"/>
      <c r="AD228" s="200" t="str">
        <f>OBRA!V226</f>
        <v>ING. ANGEL ALBERTO HERNANDEZ MORA</v>
      </c>
      <c r="AE228" s="174">
        <v>15002</v>
      </c>
      <c r="AF228" s="202" t="s">
        <v>1552</v>
      </c>
      <c r="AG228" s="694">
        <f t="shared" si="9"/>
        <v>99.979358085588586</v>
      </c>
      <c r="AH228" s="202">
        <v>21000</v>
      </c>
      <c r="AI228" s="249" t="s">
        <v>1455</v>
      </c>
      <c r="AJ228" s="566"/>
      <c r="AK228" s="566"/>
      <c r="AL228" s="566"/>
      <c r="AM228" s="1427"/>
      <c r="AN228" s="996"/>
      <c r="AO228" s="996"/>
      <c r="AP228" s="1012"/>
      <c r="AQ228" s="1441"/>
      <c r="AR228" s="552"/>
      <c r="AS228" s="552"/>
      <c r="AT228" s="552"/>
      <c r="AU228" s="552"/>
      <c r="AV228" s="180" t="s">
        <v>551</v>
      </c>
      <c r="AW228" s="329"/>
    </row>
    <row r="229" spans="1:49" ht="265.5" hidden="1" customHeight="1">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3527</v>
      </c>
      <c r="O229" s="85">
        <f>OBRA!P227</f>
        <v>1316020.1499999999</v>
      </c>
      <c r="P229" s="1208">
        <f t="shared" si="11"/>
        <v>1134500.1293103448</v>
      </c>
      <c r="Q229" s="1208"/>
      <c r="R229" s="69">
        <f>OBRA!Q227</f>
        <v>42747</v>
      </c>
      <c r="S229" s="1327">
        <f>OBRA!T227</f>
        <v>42747</v>
      </c>
      <c r="T229" s="255">
        <f>OBRA!R227</f>
        <v>42747</v>
      </c>
      <c r="U229" s="245">
        <f>OBRA!S227</f>
        <v>42837</v>
      </c>
      <c r="V229" s="387"/>
      <c r="W229" s="651">
        <f>OBRA!AQ227+OBRA!AR227</f>
        <v>1316020.1399999999</v>
      </c>
      <c r="X229" s="1198"/>
      <c r="Y229" s="650" t="str">
        <f>OBRA!U227</f>
        <v>ASFALTOS GUADALAJARA, S.A.P.I. DE C.V.</v>
      </c>
      <c r="Z229" s="650"/>
      <c r="AA229" s="652" t="s">
        <v>1922</v>
      </c>
      <c r="AB229" s="650" t="s">
        <v>1923</v>
      </c>
      <c r="AC229" s="650"/>
      <c r="AD229" s="200" t="str">
        <f>OBRA!V227</f>
        <v>ING. ANGEL ALBERTO HERNANDEZ MORA</v>
      </c>
      <c r="AE229" s="174">
        <v>15335.57</v>
      </c>
      <c r="AF229" s="202" t="s">
        <v>1552</v>
      </c>
      <c r="AG229" s="694">
        <f t="shared" si="9"/>
        <v>85.814882655160517</v>
      </c>
      <c r="AH229" s="202">
        <v>21000</v>
      </c>
      <c r="AI229" s="249" t="s">
        <v>1455</v>
      </c>
      <c r="AJ229" s="566"/>
      <c r="AK229" s="566"/>
      <c r="AL229" s="566"/>
      <c r="AM229" s="1427"/>
      <c r="AN229" s="996"/>
      <c r="AO229" s="996"/>
      <c r="AP229" s="1012"/>
      <c r="AQ229" s="1441"/>
      <c r="AR229" s="552"/>
      <c r="AS229" s="552"/>
      <c r="AT229" s="552"/>
      <c r="AU229" s="552"/>
      <c r="AV229" s="180" t="s">
        <v>551</v>
      </c>
      <c r="AW229" s="329"/>
    </row>
    <row r="230" spans="1:49" ht="72" hidden="1" customHeight="1">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3527</v>
      </c>
      <c r="O230" s="85">
        <f>OBRA!P228</f>
        <v>626112.69999999995</v>
      </c>
      <c r="P230" s="1208">
        <f t="shared" si="11"/>
        <v>539752.32758620684</v>
      </c>
      <c r="Q230" s="1208"/>
      <c r="R230" s="69">
        <f>OBRA!Q228</f>
        <v>42857</v>
      </c>
      <c r="S230" s="1327">
        <f>OBRA!T228</f>
        <v>42857</v>
      </c>
      <c r="T230" s="255">
        <f>OBRA!R228</f>
        <v>42860</v>
      </c>
      <c r="U230" s="245">
        <f>OBRA!S228</f>
        <v>42880</v>
      </c>
      <c r="V230" s="387"/>
      <c r="W230" s="651">
        <f>OBRA!AQ228+OBRA!AR228</f>
        <v>673715.91</v>
      </c>
      <c r="X230" s="1198"/>
      <c r="Y230" s="650" t="str">
        <f>OBRA!U228</f>
        <v>ING. SERGIO CABRERA</v>
      </c>
      <c r="Z230" s="650"/>
      <c r="AA230" s="652" t="str">
        <f t="shared" si="10"/>
        <v>ING. SERGIO CABRERA</v>
      </c>
      <c r="AB230" s="675" t="s">
        <v>2999</v>
      </c>
      <c r="AC230" s="650" t="s">
        <v>2999</v>
      </c>
      <c r="AD230" s="200" t="str">
        <f>OBRA!V228</f>
        <v>ING. ANGEL ALBERTO HERNANDEZ MORA</v>
      </c>
      <c r="AE230" s="609">
        <v>213.19</v>
      </c>
      <c r="AF230" s="202" t="s">
        <v>1454</v>
      </c>
      <c r="AG230" s="694">
        <f t="shared" si="9"/>
        <v>3160.1665650358837</v>
      </c>
      <c r="AH230" s="202">
        <v>350</v>
      </c>
      <c r="AI230" s="249" t="s">
        <v>1447</v>
      </c>
      <c r="AJ230" s="566"/>
      <c r="AK230" s="566"/>
      <c r="AL230" s="566"/>
      <c r="AM230" s="1427"/>
      <c r="AN230" s="996"/>
      <c r="AO230" s="996"/>
      <c r="AP230" s="1012"/>
      <c r="AQ230" s="1011"/>
      <c r="AR230" s="552"/>
      <c r="AS230" s="552"/>
      <c r="AT230" s="552"/>
      <c r="AU230" s="552"/>
      <c r="AV230" s="180" t="s">
        <v>551</v>
      </c>
      <c r="AW230" s="329"/>
    </row>
    <row r="231" spans="1:49" ht="74.25" hidden="1" customHeight="1">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3527</v>
      </c>
      <c r="O231" s="85">
        <f>OBRA!P229</f>
        <v>475018.98</v>
      </c>
      <c r="P231" s="1208">
        <f t="shared" si="11"/>
        <v>409499.12068965519</v>
      </c>
      <c r="Q231" s="1208"/>
      <c r="R231" s="69">
        <f>OBRA!Q229</f>
        <v>42857</v>
      </c>
      <c r="S231" s="1327">
        <f>OBRA!T229</f>
        <v>42857</v>
      </c>
      <c r="T231" s="255">
        <f>OBRA!R229</f>
        <v>42860</v>
      </c>
      <c r="U231" s="245">
        <f>OBRA!S229</f>
        <v>42885</v>
      </c>
      <c r="V231" s="387"/>
      <c r="W231" s="651">
        <f>OBRA!AQ229+OBRA!AR229</f>
        <v>502258.4</v>
      </c>
      <c r="X231" s="1198"/>
      <c r="Y231" s="650" t="str">
        <f>OBRA!U229</f>
        <v>ING. SERGIO CABRERA</v>
      </c>
      <c r="Z231" s="650"/>
      <c r="AA231" s="652" t="str">
        <f t="shared" si="10"/>
        <v>ING. SERGIO CABRERA</v>
      </c>
      <c r="AB231" s="675" t="s">
        <v>2999</v>
      </c>
      <c r="AC231" s="650" t="s">
        <v>2999</v>
      </c>
      <c r="AD231" s="200" t="str">
        <f>OBRA!V229</f>
        <v>ING. ANGEL ALBERTO HERNANDEZ MORA</v>
      </c>
      <c r="AE231" s="609">
        <v>213.19</v>
      </c>
      <c r="AF231" s="202" t="s">
        <v>1454</v>
      </c>
      <c r="AG231" s="653">
        <f t="shared" si="9"/>
        <v>2355.919133167597</v>
      </c>
      <c r="AH231" s="202">
        <v>350</v>
      </c>
      <c r="AI231" s="249" t="s">
        <v>1447</v>
      </c>
      <c r="AJ231" s="566"/>
      <c r="AK231" s="566"/>
      <c r="AL231" s="566"/>
      <c r="AM231" s="1427"/>
      <c r="AN231" s="996"/>
      <c r="AO231" s="996"/>
      <c r="AP231" s="1012"/>
      <c r="AQ231" s="1448"/>
      <c r="AR231" s="552"/>
      <c r="AS231" s="552"/>
      <c r="AT231" s="552"/>
      <c r="AU231" s="552"/>
      <c r="AV231" s="180" t="s">
        <v>551</v>
      </c>
      <c r="AW231" s="329"/>
    </row>
    <row r="232" spans="1:49" ht="72" hidden="1" customHeight="1">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3527</v>
      </c>
      <c r="O232" s="85">
        <f>OBRA!P230</f>
        <v>383419.34</v>
      </c>
      <c r="P232" s="1208">
        <f t="shared" si="11"/>
        <v>330533.91379310348</v>
      </c>
      <c r="Q232" s="1208"/>
      <c r="R232" s="69">
        <f>OBRA!Q230</f>
        <v>42857</v>
      </c>
      <c r="S232" s="1327">
        <f>OBRA!T230</f>
        <v>42857</v>
      </c>
      <c r="T232" s="255">
        <f>OBRA!R230</f>
        <v>42861</v>
      </c>
      <c r="U232" s="245">
        <f>OBRA!S230</f>
        <v>42901</v>
      </c>
      <c r="V232" s="387"/>
      <c r="W232" s="651">
        <f>OBRA!AQ230+OBRA!AR230</f>
        <v>380404.63</v>
      </c>
      <c r="X232" s="1198"/>
      <c r="Y232" s="650" t="str">
        <f>OBRA!U230</f>
        <v>ING. SERGIO CABRERA</v>
      </c>
      <c r="Z232" s="650"/>
      <c r="AA232" s="652" t="str">
        <f t="shared" si="10"/>
        <v>ING. SERGIO CABRERA</v>
      </c>
      <c r="AB232" s="675" t="s">
        <v>2999</v>
      </c>
      <c r="AC232" s="650" t="s">
        <v>2999</v>
      </c>
      <c r="AD232" s="200" t="str">
        <f>OBRA!V230</f>
        <v>ING. ANGEL ALBERTO HERNANDEZ MORA</v>
      </c>
      <c r="AE232" s="609">
        <v>262.08</v>
      </c>
      <c r="AF232" s="202" t="s">
        <v>1552</v>
      </c>
      <c r="AG232" s="694">
        <f t="shared" si="9"/>
        <v>1451.4828678266178</v>
      </c>
      <c r="AH232" s="202">
        <v>350</v>
      </c>
      <c r="AI232" s="249" t="s">
        <v>1447</v>
      </c>
      <c r="AJ232" s="566"/>
      <c r="AK232" s="566"/>
      <c r="AL232" s="566"/>
      <c r="AM232" s="1427"/>
      <c r="AN232" s="996"/>
      <c r="AO232" s="996"/>
      <c r="AP232" s="1012"/>
      <c r="AQ232" s="996"/>
      <c r="AR232" s="552"/>
      <c r="AS232" s="552"/>
      <c r="AT232" s="552"/>
      <c r="AU232" s="552"/>
      <c r="AV232" s="180" t="s">
        <v>551</v>
      </c>
      <c r="AW232" s="329"/>
    </row>
    <row r="233" spans="1:49" ht="65.25" hidden="1" customHeight="1">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2574</v>
      </c>
      <c r="N233" s="510" t="s">
        <v>3527</v>
      </c>
      <c r="O233" s="85">
        <f>OBRA!P231</f>
        <v>167666.94</v>
      </c>
      <c r="P233" s="1208">
        <f t="shared" si="11"/>
        <v>144540.46551724139</v>
      </c>
      <c r="Q233" s="1208"/>
      <c r="R233" s="69">
        <f>OBRA!Q231</f>
        <v>42858</v>
      </c>
      <c r="S233" s="1327">
        <f>OBRA!T231</f>
        <v>42857</v>
      </c>
      <c r="T233" s="255">
        <f>OBRA!R231</f>
        <v>42859</v>
      </c>
      <c r="U233" s="245">
        <f>OBRA!S231</f>
        <v>42875</v>
      </c>
      <c r="V233" s="387"/>
      <c r="W233" s="651">
        <f>OBRA!AQ231+OBRA!AR231</f>
        <v>166947.16</v>
      </c>
      <c r="X233" s="1198"/>
      <c r="Y233" s="650" t="str">
        <f>OBRA!U231</f>
        <v xml:space="preserve">GRUPO DESARROLLADOR INMOBILIARIO CEMERAMA S.A. DE C.V. </v>
      </c>
      <c r="Z233" s="650"/>
      <c r="AA233" s="652" t="s">
        <v>1837</v>
      </c>
      <c r="AB233" s="650" t="s">
        <v>1838</v>
      </c>
      <c r="AC233" s="650"/>
      <c r="AD233" s="205" t="str">
        <f>OBRA!V231</f>
        <v>LIC. SALVADOR CONTRERAS OLGUÍN</v>
      </c>
      <c r="AE233" s="788">
        <v>133</v>
      </c>
      <c r="AF233" s="202" t="s">
        <v>1454</v>
      </c>
      <c r="AG233" s="694">
        <f t="shared" si="9"/>
        <v>1255.2418045112781</v>
      </c>
      <c r="AH233" s="202">
        <v>150</v>
      </c>
      <c r="AI233" s="249" t="s">
        <v>1447</v>
      </c>
      <c r="AJ233" s="566"/>
      <c r="AK233" s="566"/>
      <c r="AL233" s="566"/>
      <c r="AM233" s="1427"/>
      <c r="AN233" s="996"/>
      <c r="AO233" s="996"/>
      <c r="AP233" s="996"/>
      <c r="AQ233" s="996"/>
      <c r="AR233" s="552"/>
      <c r="AS233" s="552"/>
      <c r="AT233" s="552"/>
      <c r="AU233" s="552"/>
      <c r="AV233" s="180" t="s">
        <v>551</v>
      </c>
      <c r="AW233" s="329"/>
    </row>
    <row r="234" spans="1:49" ht="82.5" hidden="1" customHeight="1">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2574</v>
      </c>
      <c r="N234" s="510" t="s">
        <v>3527</v>
      </c>
      <c r="O234" s="85">
        <f>OBRA!P232</f>
        <v>336153.85</v>
      </c>
      <c r="P234" s="1208">
        <f t="shared" si="11"/>
        <v>289787.80172413791</v>
      </c>
      <c r="Q234" s="1208"/>
      <c r="R234" s="69">
        <f>OBRA!Q232</f>
        <v>42857</v>
      </c>
      <c r="S234" s="1327">
        <f>OBRA!T232</f>
        <v>42857</v>
      </c>
      <c r="T234" s="255">
        <f>OBRA!R232</f>
        <v>42868</v>
      </c>
      <c r="U234" s="245">
        <f>OBRA!S232</f>
        <v>42899</v>
      </c>
      <c r="V234" s="387"/>
      <c r="W234" s="651">
        <f>OBRA!AQ232+OBRA!AR232</f>
        <v>334711.14</v>
      </c>
      <c r="X234" s="1198"/>
      <c r="Y234" s="650" t="str">
        <f>OBRA!U232</f>
        <v xml:space="preserve">GRUPO DESARROLLADOR INMOBILIARIO CEMERAMA S.A. DE C.V. </v>
      </c>
      <c r="Z234" s="650"/>
      <c r="AA234" s="652" t="s">
        <v>1837</v>
      </c>
      <c r="AB234" s="650" t="s">
        <v>1838</v>
      </c>
      <c r="AC234" s="650"/>
      <c r="AD234" s="205" t="str">
        <f>OBRA!V232</f>
        <v>LIC. SALVADOR CONTRERAS OLGUÍN</v>
      </c>
      <c r="AE234" s="788">
        <v>235</v>
      </c>
      <c r="AF234" s="202" t="s">
        <v>1454</v>
      </c>
      <c r="AG234" s="694">
        <f t="shared" si="9"/>
        <v>1424.3027234042554</v>
      </c>
      <c r="AH234" s="202">
        <v>1500</v>
      </c>
      <c r="AI234" s="249" t="s">
        <v>1455</v>
      </c>
      <c r="AJ234" s="566"/>
      <c r="AK234" s="566"/>
      <c r="AL234" s="566"/>
      <c r="AM234" s="1427"/>
      <c r="AN234" s="996"/>
      <c r="AO234" s="996"/>
      <c r="AP234" s="996"/>
      <c r="AQ234" s="996"/>
      <c r="AR234" s="552"/>
      <c r="AS234" s="552"/>
      <c r="AT234" s="552"/>
      <c r="AU234" s="552"/>
      <c r="AV234" s="180" t="s">
        <v>551</v>
      </c>
      <c r="AW234" s="329"/>
    </row>
    <row r="235" spans="1:49" ht="69.75" hidden="1" customHeight="1">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3527</v>
      </c>
      <c r="O235" s="85">
        <f>OBRA!P233</f>
        <v>177076.07</v>
      </c>
      <c r="P235" s="1208">
        <f t="shared" si="11"/>
        <v>152651.78448275864</v>
      </c>
      <c r="Q235" s="1208"/>
      <c r="R235" s="69">
        <f>OBRA!Q233</f>
        <v>42857</v>
      </c>
      <c r="S235" s="1327">
        <f>OBRA!T233</f>
        <v>42857</v>
      </c>
      <c r="T235" s="255">
        <f>OBRA!R233</f>
        <v>42859</v>
      </c>
      <c r="U235" s="245">
        <f>OBRA!S233</f>
        <v>42890</v>
      </c>
      <c r="V235" s="387"/>
      <c r="W235" s="651">
        <f>OBRA!AQ233+OBRA!AR233</f>
        <v>175527.04000000001</v>
      </c>
      <c r="X235" s="1198"/>
      <c r="Y235" s="650" t="str">
        <f>OBRA!U233</f>
        <v>CONSTRUCCIONES VIKBRAK, S.A. DE C.V.</v>
      </c>
      <c r="Z235" s="650"/>
      <c r="AA235" s="652" t="s">
        <v>1580</v>
      </c>
      <c r="AB235" s="650" t="s">
        <v>1581</v>
      </c>
      <c r="AC235" s="650"/>
      <c r="AD235" s="172" t="str">
        <f>OBRA!V233</f>
        <v>ARQ. JAIME CONDE GOMEZ</v>
      </c>
      <c r="AE235" s="174">
        <v>104.57</v>
      </c>
      <c r="AF235" s="202" t="s">
        <v>1454</v>
      </c>
      <c r="AG235" s="694">
        <f t="shared" si="9"/>
        <v>1678.5601989098213</v>
      </c>
      <c r="AH235" s="202">
        <v>50</v>
      </c>
      <c r="AI235" s="249" t="s">
        <v>1447</v>
      </c>
      <c r="AJ235" s="566"/>
      <c r="AK235" s="566"/>
      <c r="AL235" s="566"/>
      <c r="AM235" s="1427"/>
      <c r="AN235" s="996"/>
      <c r="AO235" s="996"/>
      <c r="AP235" s="1015"/>
      <c r="AQ235" s="585"/>
      <c r="AR235" s="552"/>
      <c r="AS235" s="552"/>
      <c r="AT235" s="552"/>
      <c r="AU235" s="552"/>
      <c r="AV235" s="180" t="s">
        <v>1295</v>
      </c>
      <c r="AW235" s="329"/>
    </row>
    <row r="236" spans="1:49" ht="62.25" hidden="1" customHeight="1">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3527</v>
      </c>
      <c r="O236" s="85">
        <f>OBRA!P234</f>
        <v>113674.93</v>
      </c>
      <c r="P236" s="1208">
        <f t="shared" si="11"/>
        <v>97995.629310344826</v>
      </c>
      <c r="Q236" s="1208"/>
      <c r="R236" s="69">
        <f>OBRA!Q234</f>
        <v>42858</v>
      </c>
      <c r="S236" s="1327">
        <f>OBRA!T234</f>
        <v>42857</v>
      </c>
      <c r="T236" s="255">
        <f>OBRA!R234</f>
        <v>42870</v>
      </c>
      <c r="U236" s="245">
        <f>OBRA!S234</f>
        <v>42886</v>
      </c>
      <c r="V236" s="387"/>
      <c r="W236" s="651">
        <f>OBRA!AQ234+OBRA!AR234</f>
        <v>113674.77</v>
      </c>
      <c r="X236" s="1198"/>
      <c r="Y236" s="650" t="str">
        <f>OBRA!U234</f>
        <v>CONSTRUCCIONES VIKBRAK, S.A. DE C.V.</v>
      </c>
      <c r="Z236" s="650"/>
      <c r="AA236" s="652" t="s">
        <v>1580</v>
      </c>
      <c r="AB236" s="650" t="s">
        <v>1581</v>
      </c>
      <c r="AC236" s="650"/>
      <c r="AD236" s="172" t="str">
        <f>OBRA!V234</f>
        <v>ARQ. JAIME CONDE GOMEZ</v>
      </c>
      <c r="AE236" s="788">
        <v>103</v>
      </c>
      <c r="AF236" s="202" t="s">
        <v>1454</v>
      </c>
      <c r="AG236" s="694">
        <f t="shared" si="9"/>
        <v>1103.6385436893204</v>
      </c>
      <c r="AH236" s="202">
        <v>50</v>
      </c>
      <c r="AI236" s="249" t="s">
        <v>1447</v>
      </c>
      <c r="AJ236" s="566"/>
      <c r="AK236" s="566"/>
      <c r="AL236" s="566"/>
      <c r="AM236" s="1427"/>
      <c r="AN236" s="996"/>
      <c r="AO236" s="996"/>
      <c r="AP236" s="996"/>
      <c r="AQ236" s="585"/>
      <c r="AR236" s="552"/>
      <c r="AS236" s="552"/>
      <c r="AT236" s="552"/>
      <c r="AU236" s="552"/>
      <c r="AV236" s="180" t="s">
        <v>1295</v>
      </c>
      <c r="AW236" s="329"/>
    </row>
    <row r="237" spans="1:49" ht="58.5" hidden="1" customHeight="1">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3527</v>
      </c>
      <c r="O237" s="85">
        <f>OBRA!P235</f>
        <v>228407.58</v>
      </c>
      <c r="P237" s="1208">
        <f t="shared" si="11"/>
        <v>196903.08620689655</v>
      </c>
      <c r="Q237" s="1208"/>
      <c r="R237" s="69">
        <f>OBRA!Q235</f>
        <v>42857</v>
      </c>
      <c r="S237" s="1327">
        <f>OBRA!T235</f>
        <v>42857</v>
      </c>
      <c r="T237" s="255">
        <f>OBRA!R235</f>
        <v>42859</v>
      </c>
      <c r="U237" s="245">
        <f>OBRA!S235</f>
        <v>42890</v>
      </c>
      <c r="V237" s="387"/>
      <c r="W237" s="651">
        <f>OBRA!AQ235+OBRA!AR235</f>
        <v>228406.51</v>
      </c>
      <c r="X237" s="1198"/>
      <c r="Y237" s="650" t="str">
        <f>OBRA!U235</f>
        <v>CONSTRUCCIONES VIKBRAK, S.A. DE C.V.</v>
      </c>
      <c r="Z237" s="650"/>
      <c r="AA237" s="652" t="s">
        <v>1580</v>
      </c>
      <c r="AB237" s="650" t="s">
        <v>1581</v>
      </c>
      <c r="AC237" s="650"/>
      <c r="AD237" s="172" t="str">
        <f>OBRA!V235</f>
        <v>ARQ. JAIME CONDE GOMEZ</v>
      </c>
      <c r="AE237" s="788">
        <v>130.72999999999999</v>
      </c>
      <c r="AF237" s="202" t="s">
        <v>1454</v>
      </c>
      <c r="AG237" s="694">
        <f t="shared" si="9"/>
        <v>1747.162166296948</v>
      </c>
      <c r="AH237" s="202">
        <v>50</v>
      </c>
      <c r="AI237" s="249" t="s">
        <v>1447</v>
      </c>
      <c r="AJ237" s="566"/>
      <c r="AK237" s="566"/>
      <c r="AL237" s="566"/>
      <c r="AM237" s="1427"/>
      <c r="AN237" s="996"/>
      <c r="AO237" s="996"/>
      <c r="AP237" s="585"/>
      <c r="AQ237" s="585"/>
      <c r="AR237" s="552"/>
      <c r="AS237" s="552"/>
      <c r="AT237" s="552"/>
      <c r="AU237" s="552"/>
      <c r="AV237" s="180" t="s">
        <v>1295</v>
      </c>
      <c r="AW237" s="329"/>
    </row>
    <row r="238" spans="1:49" ht="60.75" hidden="1" customHeight="1">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3527</v>
      </c>
      <c r="O238" s="85">
        <f>OBRA!P236</f>
        <v>147033.21</v>
      </c>
      <c r="P238" s="1208">
        <f t="shared" si="11"/>
        <v>126752.76724137932</v>
      </c>
      <c r="Q238" s="1208"/>
      <c r="R238" s="69">
        <f>OBRA!Q236</f>
        <v>42858</v>
      </c>
      <c r="S238" s="1327">
        <f>OBRA!T236</f>
        <v>42857</v>
      </c>
      <c r="T238" s="255">
        <f>OBRA!R236</f>
        <v>42870</v>
      </c>
      <c r="U238" s="245">
        <f>OBRA!S236</f>
        <v>42886</v>
      </c>
      <c r="V238" s="387"/>
      <c r="W238" s="651">
        <f>OBRA!AQ236+OBRA!AR236</f>
        <v>146402.1</v>
      </c>
      <c r="X238" s="1198"/>
      <c r="Y238" s="650" t="str">
        <f>OBRA!U236</f>
        <v>CONSTRUCCIONES VIKBRAK, S.A. DE C.V.</v>
      </c>
      <c r="Z238" s="650"/>
      <c r="AA238" s="652" t="s">
        <v>1580</v>
      </c>
      <c r="AB238" s="650" t="s">
        <v>1581</v>
      </c>
      <c r="AC238" s="650"/>
      <c r="AD238" s="200" t="str">
        <f>OBRA!V236</f>
        <v>ARQ. JAIME CONDE GOMEZ</v>
      </c>
      <c r="AE238" s="609">
        <v>139</v>
      </c>
      <c r="AF238" s="202" t="s">
        <v>1454</v>
      </c>
      <c r="AG238" s="694">
        <f t="shared" si="9"/>
        <v>1053.2525179856116</v>
      </c>
      <c r="AH238" s="202">
        <v>50</v>
      </c>
      <c r="AI238" s="249" t="s">
        <v>1447</v>
      </c>
      <c r="AJ238" s="566"/>
      <c r="AK238" s="566"/>
      <c r="AL238" s="566"/>
      <c r="AM238" s="1427"/>
      <c r="AN238" s="996"/>
      <c r="AO238" s="996"/>
      <c r="AP238" s="996"/>
      <c r="AQ238" s="585"/>
      <c r="AR238" s="552"/>
      <c r="AS238" s="552"/>
      <c r="AT238" s="552"/>
      <c r="AU238" s="552"/>
      <c r="AV238" s="180" t="s">
        <v>1295</v>
      </c>
      <c r="AW238" s="329"/>
    </row>
    <row r="239" spans="1:49" ht="74.25" hidden="1" customHeight="1">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3527</v>
      </c>
      <c r="O239" s="85">
        <f>OBRA!P237</f>
        <v>81517.39</v>
      </c>
      <c r="P239" s="1208">
        <f t="shared" si="11"/>
        <v>70273.612068965522</v>
      </c>
      <c r="Q239" s="1208"/>
      <c r="R239" s="69">
        <f>OBRA!Q237</f>
        <v>42858</v>
      </c>
      <c r="S239" s="1327">
        <f>OBRA!T237</f>
        <v>42857</v>
      </c>
      <c r="T239" s="255">
        <f>OBRA!R237</f>
        <v>42859</v>
      </c>
      <c r="U239" s="245">
        <f>OBRA!S237</f>
        <v>42890</v>
      </c>
      <c r="V239" s="387"/>
      <c r="W239" s="651">
        <f>OBRA!AQ237+OBRA!AR237</f>
        <v>81517.22</v>
      </c>
      <c r="X239" s="1198"/>
      <c r="Y239" s="650" t="str">
        <f>OBRA!U237</f>
        <v>CONSTRUCCIONES VIKBRAK, S.A. DE C.V.</v>
      </c>
      <c r="Z239" s="650"/>
      <c r="AA239" s="652" t="s">
        <v>1580</v>
      </c>
      <c r="AB239" s="650" t="s">
        <v>1581</v>
      </c>
      <c r="AC239" s="650"/>
      <c r="AD239" s="200" t="str">
        <f>OBRA!V237</f>
        <v>ARQ. JAIME CONDE GOMEZ</v>
      </c>
      <c r="AE239" s="609">
        <v>57.82</v>
      </c>
      <c r="AF239" s="202" t="s">
        <v>1454</v>
      </c>
      <c r="AG239" s="694">
        <f t="shared" si="9"/>
        <v>1409.8446904185403</v>
      </c>
      <c r="AH239" s="202">
        <v>100</v>
      </c>
      <c r="AI239" s="249" t="s">
        <v>1447</v>
      </c>
      <c r="AJ239" s="566"/>
      <c r="AK239" s="566"/>
      <c r="AL239" s="566"/>
      <c r="AM239" s="1427"/>
      <c r="AN239" s="996"/>
      <c r="AO239" s="996"/>
      <c r="AP239" s="996"/>
      <c r="AQ239" s="585"/>
      <c r="AR239" s="552"/>
      <c r="AS239" s="552"/>
      <c r="AT239" s="552"/>
      <c r="AU239" s="552"/>
      <c r="AV239" s="180" t="s">
        <v>1295</v>
      </c>
      <c r="AW239" s="329"/>
    </row>
    <row r="240" spans="1:49" ht="70.5" hidden="1" customHeight="1">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3527</v>
      </c>
      <c r="O240" s="85">
        <f>OBRA!P238</f>
        <v>52148.39</v>
      </c>
      <c r="P240" s="1208">
        <f t="shared" si="11"/>
        <v>44955.508620689659</v>
      </c>
      <c r="Q240" s="1208"/>
      <c r="R240" s="69">
        <f>OBRA!Q238</f>
        <v>42858</v>
      </c>
      <c r="S240" s="1327">
        <f>OBRA!T238</f>
        <v>42857</v>
      </c>
      <c r="T240" s="255">
        <f>OBRA!R238</f>
        <v>42870</v>
      </c>
      <c r="U240" s="245">
        <f>OBRA!S238</f>
        <v>42886</v>
      </c>
      <c r="V240" s="387"/>
      <c r="W240" s="651">
        <f>OBRA!AQ238+OBRA!AR238</f>
        <v>53036.21</v>
      </c>
      <c r="X240" s="1198"/>
      <c r="Y240" s="650" t="str">
        <f>OBRA!U238</f>
        <v>CONSTRUCCIONES VIKBRAK, S.A. DE C.V.</v>
      </c>
      <c r="Z240" s="650"/>
      <c r="AA240" s="652" t="s">
        <v>1580</v>
      </c>
      <c r="AB240" s="650" t="s">
        <v>1581</v>
      </c>
      <c r="AC240" s="650"/>
      <c r="AD240" s="200" t="str">
        <f>OBRA!V238</f>
        <v>ARQ. JAIME CONDE GOMEZ</v>
      </c>
      <c r="AE240" s="609">
        <v>50</v>
      </c>
      <c r="AF240" s="202" t="s">
        <v>1454</v>
      </c>
      <c r="AG240" s="694">
        <f t="shared" si="9"/>
        <v>1060.7241999999999</v>
      </c>
      <c r="AH240" s="202">
        <v>100</v>
      </c>
      <c r="AI240" s="249" t="s">
        <v>1447</v>
      </c>
      <c r="AJ240" s="566"/>
      <c r="AK240" s="566"/>
      <c r="AL240" s="566"/>
      <c r="AM240" s="1427"/>
      <c r="AN240" s="996"/>
      <c r="AO240" s="996"/>
      <c r="AP240" s="996"/>
      <c r="AQ240" s="585"/>
      <c r="AR240" s="552"/>
      <c r="AS240" s="552"/>
      <c r="AT240" s="552"/>
      <c r="AU240" s="552"/>
      <c r="AV240" s="180" t="s">
        <v>1295</v>
      </c>
      <c r="AW240" s="329"/>
    </row>
    <row r="241" spans="1:49" ht="63.75" hidden="1" customHeight="1">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3527</v>
      </c>
      <c r="O241" s="85">
        <f>OBRA!P239</f>
        <v>206557.32</v>
      </c>
      <c r="P241" s="1208">
        <f t="shared" si="11"/>
        <v>178066.6551724138</v>
      </c>
      <c r="Q241" s="1208"/>
      <c r="R241" s="69">
        <f>OBRA!Q239</f>
        <v>42888</v>
      </c>
      <c r="S241" s="1327">
        <f>OBRA!T239</f>
        <v>42887</v>
      </c>
      <c r="T241" s="255">
        <f>OBRA!R239</f>
        <v>42888</v>
      </c>
      <c r="U241" s="245">
        <f>OBRA!S239</f>
        <v>42902</v>
      </c>
      <c r="V241" s="387"/>
      <c r="W241" s="651">
        <f>OBRA!AQ239+OBRA!AR239</f>
        <v>187754.15</v>
      </c>
      <c r="X241" s="1198"/>
      <c r="Y241" s="650" t="str">
        <f>OBRA!U239</f>
        <v>SERVICIOS ARQUITECTÓNICOS MOAPAL S.A. DE C.V.</v>
      </c>
      <c r="Z241" s="650"/>
      <c r="AA241" s="652" t="s">
        <v>1931</v>
      </c>
      <c r="AB241" s="650" t="s">
        <v>1932</v>
      </c>
      <c r="AC241" s="650"/>
      <c r="AD241" s="200" t="str">
        <f>OBRA!V239</f>
        <v>ING. J. GUADALUPE IBARRA RAMIREZ</v>
      </c>
      <c r="AE241" s="609">
        <v>109.58</v>
      </c>
      <c r="AF241" s="202" t="s">
        <v>1454</v>
      </c>
      <c r="AG241" s="694">
        <f t="shared" si="9"/>
        <v>1713.3979740828618</v>
      </c>
      <c r="AH241" s="202">
        <v>100</v>
      </c>
      <c r="AI241" s="249" t="s">
        <v>1447</v>
      </c>
      <c r="AJ241" s="566"/>
      <c r="AK241" s="566"/>
      <c r="AL241" s="566"/>
      <c r="AM241" s="1427"/>
      <c r="AN241" s="996"/>
      <c r="AO241" s="996"/>
      <c r="AP241" s="585"/>
      <c r="AQ241" s="585"/>
      <c r="AR241" s="552"/>
      <c r="AS241" s="552"/>
      <c r="AT241" s="552"/>
      <c r="AU241" s="552"/>
      <c r="AV241" s="180" t="s">
        <v>551</v>
      </c>
      <c r="AW241" s="329"/>
    </row>
    <row r="242" spans="1:49" ht="64.5" hidden="1" customHeight="1">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3527</v>
      </c>
      <c r="O242" s="85">
        <f>OBRA!P240</f>
        <v>125546.81</v>
      </c>
      <c r="P242" s="1208">
        <f t="shared" si="11"/>
        <v>108230.00862068967</v>
      </c>
      <c r="Q242" s="1208"/>
      <c r="R242" s="69">
        <f>OBRA!Q240</f>
        <v>42887</v>
      </c>
      <c r="S242" s="1327">
        <f>OBRA!T240</f>
        <v>42887</v>
      </c>
      <c r="T242" s="255">
        <f>OBRA!R240</f>
        <v>42888</v>
      </c>
      <c r="U242" s="245">
        <f>OBRA!S240</f>
        <v>42902</v>
      </c>
      <c r="V242" s="387"/>
      <c r="W242" s="651">
        <f>OBRA!AQ240+OBRA!AR240</f>
        <v>125655.98</v>
      </c>
      <c r="X242" s="1198"/>
      <c r="Y242" s="650" t="str">
        <f>OBRA!U240</f>
        <v>SERVICIOS ARQUITECTÓNICOS MOAPAL S.A. DE C.V.</v>
      </c>
      <c r="Z242" s="650"/>
      <c r="AA242" s="652" t="s">
        <v>1931</v>
      </c>
      <c r="AB242" s="650" t="s">
        <v>1932</v>
      </c>
      <c r="AC242" s="650"/>
      <c r="AD242" s="200" t="str">
        <f>OBRA!V240</f>
        <v>ING. J. GUADALUPE IBARRA RAMIREZ</v>
      </c>
      <c r="AE242" s="609">
        <v>106.14</v>
      </c>
      <c r="AF242" s="202" t="s">
        <v>1454</v>
      </c>
      <c r="AG242" s="694">
        <f t="shared" si="9"/>
        <v>1183.8701714716412</v>
      </c>
      <c r="AH242" s="202">
        <v>100</v>
      </c>
      <c r="AI242" s="249" t="s">
        <v>1447</v>
      </c>
      <c r="AJ242" s="566"/>
      <c r="AK242" s="566"/>
      <c r="AL242" s="566"/>
      <c r="AM242" s="1427"/>
      <c r="AN242" s="996"/>
      <c r="AO242" s="996"/>
      <c r="AP242" s="585"/>
      <c r="AQ242" s="585"/>
      <c r="AR242" s="552"/>
      <c r="AS242" s="552"/>
      <c r="AT242" s="552"/>
      <c r="AU242" s="552"/>
      <c r="AV242" s="180" t="s">
        <v>551</v>
      </c>
      <c r="AW242" s="329"/>
    </row>
    <row r="243" spans="1:49" ht="135" hidden="1" customHeight="1">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3527</v>
      </c>
      <c r="O243" s="85">
        <f>OBRA!P241</f>
        <v>1570967.83</v>
      </c>
      <c r="P243" s="1208">
        <f t="shared" si="11"/>
        <v>1354282.6120689656</v>
      </c>
      <c r="Q243" s="1208"/>
      <c r="R243" s="69">
        <f>OBRA!Q241</f>
        <v>42893</v>
      </c>
      <c r="S243" s="1327">
        <f>OBRA!T241</f>
        <v>42893</v>
      </c>
      <c r="T243" s="255">
        <f>OBRA!R241</f>
        <v>42905</v>
      </c>
      <c r="U243" s="245">
        <f>OBRA!S241</f>
        <v>43027</v>
      </c>
      <c r="V243" s="387"/>
      <c r="W243" s="651">
        <f>OBRA!AQ241+OBRA!AR241</f>
        <v>1577830.51</v>
      </c>
      <c r="X243" s="1198"/>
      <c r="Y243" s="650" t="str">
        <f>OBRA!U241</f>
        <v>ARGUELLES ARQUITECTOS S.A. DE C.V.</v>
      </c>
      <c r="Z243" s="650"/>
      <c r="AA243" s="652" t="s">
        <v>1575</v>
      </c>
      <c r="AB243" s="650" t="s">
        <v>1576</v>
      </c>
      <c r="AC243" s="650"/>
      <c r="AD243" s="200" t="str">
        <f>OBRA!V241</f>
        <v>ARQ. JAIME CONDE GOMEZ</v>
      </c>
      <c r="AE243" s="609">
        <f>1748/2</f>
        <v>874</v>
      </c>
      <c r="AF243" s="202" t="s">
        <v>1552</v>
      </c>
      <c r="AG243" s="694">
        <f t="shared" si="9"/>
        <v>1805.298066361556</v>
      </c>
      <c r="AH243" s="202">
        <v>21500</v>
      </c>
      <c r="AI243" s="249" t="s">
        <v>1455</v>
      </c>
      <c r="AJ243" s="566"/>
      <c r="AK243" s="566"/>
      <c r="AL243" s="566"/>
      <c r="AM243" s="1427"/>
      <c r="AN243" s="996"/>
      <c r="AO243" s="996"/>
      <c r="AP243" s="1015"/>
      <c r="AQ243" s="585"/>
      <c r="AR243" s="552"/>
      <c r="AS243" s="552"/>
      <c r="AT243" s="552"/>
      <c r="AU243" s="552"/>
      <c r="AV243" s="180" t="s">
        <v>551</v>
      </c>
      <c r="AW243" s="329"/>
    </row>
    <row r="244" spans="1:49" ht="61.5" hidden="1" customHeight="1">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3527</v>
      </c>
      <c r="O244" s="85">
        <f>OBRA!P242</f>
        <v>143878.99</v>
      </c>
      <c r="P244" s="1208">
        <f t="shared" si="11"/>
        <v>124033.61206896552</v>
      </c>
      <c r="Q244" s="1208"/>
      <c r="R244" s="69">
        <f>OBRA!Q242</f>
        <v>42902</v>
      </c>
      <c r="S244" s="1327">
        <f>OBRA!T242</f>
        <v>42902</v>
      </c>
      <c r="T244" s="255">
        <f>OBRA!R242</f>
        <v>42907</v>
      </c>
      <c r="U244" s="245">
        <f>OBRA!S242</f>
        <v>42968</v>
      </c>
      <c r="V244" s="387"/>
      <c r="W244" s="651">
        <f>OBRA!AQ242+OBRA!AR242</f>
        <v>157116</v>
      </c>
      <c r="X244" s="1198"/>
      <c r="Y244" s="650" t="str">
        <f>OBRA!U242</f>
        <v>ING. SERGIO CABRERA</v>
      </c>
      <c r="Z244" s="650"/>
      <c r="AA244" s="652" t="str">
        <f t="shared" si="10"/>
        <v>ING. SERGIO CABRERA</v>
      </c>
      <c r="AB244" s="675" t="s">
        <v>2999</v>
      </c>
      <c r="AC244" s="650" t="s">
        <v>2999</v>
      </c>
      <c r="AD244" s="200" t="str">
        <f>OBRA!V242</f>
        <v>ING. J. GUADALUPE IBARRA RAMIREZ</v>
      </c>
      <c r="AE244" s="609">
        <v>88.22</v>
      </c>
      <c r="AF244" s="202" t="s">
        <v>1454</v>
      </c>
      <c r="AG244" s="694">
        <f t="shared" si="9"/>
        <v>1780.956699161188</v>
      </c>
      <c r="AH244" s="202">
        <v>50</v>
      </c>
      <c r="AI244" s="249" t="s">
        <v>1455</v>
      </c>
      <c r="AJ244" s="566"/>
      <c r="AK244" s="566"/>
      <c r="AL244" s="566"/>
      <c r="AM244" s="1427"/>
      <c r="AN244" s="996"/>
      <c r="AO244" s="996"/>
      <c r="AP244" s="1012"/>
      <c r="AQ244" s="585"/>
      <c r="AR244" s="552"/>
      <c r="AS244" s="552"/>
      <c r="AT244" s="552"/>
      <c r="AU244" s="552"/>
      <c r="AV244" s="180" t="s">
        <v>551</v>
      </c>
      <c r="AW244" s="329"/>
    </row>
    <row r="245" spans="1:49" ht="67.5" hidden="1" customHeight="1">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3527</v>
      </c>
      <c r="O245" s="85">
        <f>OBRA!P243</f>
        <v>88991.13</v>
      </c>
      <c r="P245" s="1208">
        <f t="shared" si="11"/>
        <v>76716.491379310348</v>
      </c>
      <c r="Q245" s="1208"/>
      <c r="R245" s="69">
        <f>OBRA!Q243</f>
        <v>42902</v>
      </c>
      <c r="S245" s="1327">
        <f>OBRA!T243</f>
        <v>42902</v>
      </c>
      <c r="T245" s="255">
        <f>OBRA!R243</f>
        <v>42907</v>
      </c>
      <c r="U245" s="245">
        <f>OBRA!S243</f>
        <v>42968</v>
      </c>
      <c r="V245" s="387"/>
      <c r="W245" s="651">
        <f>OBRA!AQ243+OBRA!AR243</f>
        <v>409917.97</v>
      </c>
      <c r="X245" s="1198"/>
      <c r="Y245" s="650" t="str">
        <f>OBRA!U243</f>
        <v>ING. SERGIO CABRERA</v>
      </c>
      <c r="Z245" s="650"/>
      <c r="AA245" s="652" t="str">
        <f t="shared" si="10"/>
        <v>ING. SERGIO CABRERA</v>
      </c>
      <c r="AB245" s="675" t="s">
        <v>2999</v>
      </c>
      <c r="AC245" s="650" t="s">
        <v>2999</v>
      </c>
      <c r="AD245" s="200" t="str">
        <f>OBRA!V243</f>
        <v>ING. J. GUADALUPE IBARRA RAMIREZ</v>
      </c>
      <c r="AE245" s="609">
        <v>85.09</v>
      </c>
      <c r="AF245" s="202" t="s">
        <v>1454</v>
      </c>
      <c r="AG245" s="694">
        <f t="shared" si="9"/>
        <v>4817.4635092255257</v>
      </c>
      <c r="AH245" s="202">
        <v>50</v>
      </c>
      <c r="AI245" s="249" t="s">
        <v>1455</v>
      </c>
      <c r="AJ245" s="566"/>
      <c r="AK245" s="566"/>
      <c r="AL245" s="566"/>
      <c r="AM245" s="1427"/>
      <c r="AN245" s="996"/>
      <c r="AO245" s="996"/>
      <c r="AP245" s="1012"/>
      <c r="AQ245" s="1000"/>
      <c r="AR245" s="552"/>
      <c r="AS245" s="552"/>
      <c r="AT245" s="552"/>
      <c r="AU245" s="552"/>
      <c r="AV245" s="180" t="s">
        <v>1295</v>
      </c>
      <c r="AW245" s="329"/>
    </row>
    <row r="246" spans="1:49" ht="69" hidden="1" customHeight="1">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3527</v>
      </c>
      <c r="O246" s="85">
        <f>OBRA!P244</f>
        <v>120964.57</v>
      </c>
      <c r="P246" s="1208">
        <f t="shared" si="11"/>
        <v>104279.80172413794</v>
      </c>
      <c r="Q246" s="1208"/>
      <c r="R246" s="69">
        <f>OBRA!Q244</f>
        <v>42902</v>
      </c>
      <c r="S246" s="1327">
        <f>OBRA!T244</f>
        <v>42902</v>
      </c>
      <c r="T246" s="255">
        <f>OBRA!R244</f>
        <v>42907</v>
      </c>
      <c r="U246" s="245">
        <f>OBRA!S244</f>
        <v>42968</v>
      </c>
      <c r="V246" s="387"/>
      <c r="W246" s="651">
        <f>OBRA!AQ244+OBRA!AR244</f>
        <v>144956.81</v>
      </c>
      <c r="X246" s="1198"/>
      <c r="Y246" s="650" t="str">
        <f>OBRA!U244</f>
        <v>ING. SERGIO CABRERA</v>
      </c>
      <c r="Z246" s="650"/>
      <c r="AA246" s="652" t="str">
        <f t="shared" si="10"/>
        <v>ING. SERGIO CABRERA</v>
      </c>
      <c r="AB246" s="675" t="s">
        <v>2999</v>
      </c>
      <c r="AC246" s="650" t="s">
        <v>2999</v>
      </c>
      <c r="AD246" s="200" t="str">
        <f>OBRA!V244</f>
        <v>ING. J. GUADALUPE IBARRA RAMIREZ</v>
      </c>
      <c r="AE246" s="609">
        <v>74.44</v>
      </c>
      <c r="AF246" s="202" t="s">
        <v>1454</v>
      </c>
      <c r="AG246" s="694">
        <f t="shared" si="9"/>
        <v>1947.2972864051585</v>
      </c>
      <c r="AH246" s="202">
        <v>30</v>
      </c>
      <c r="AI246" s="249" t="s">
        <v>1455</v>
      </c>
      <c r="AJ246" s="566"/>
      <c r="AK246" s="566"/>
      <c r="AL246" s="566"/>
      <c r="AM246" s="1427"/>
      <c r="AN246" s="996"/>
      <c r="AO246" s="996"/>
      <c r="AP246" s="1012"/>
      <c r="AQ246" s="1000"/>
      <c r="AR246" s="552"/>
      <c r="AS246" s="552"/>
      <c r="AT246" s="552"/>
      <c r="AU246" s="552"/>
      <c r="AV246" s="180" t="s">
        <v>1295</v>
      </c>
      <c r="AW246" s="329"/>
    </row>
    <row r="247" spans="1:49" ht="69.75" hidden="1" customHeight="1">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3527</v>
      </c>
      <c r="O247" s="85">
        <f>OBRA!P245</f>
        <v>77992.240000000005</v>
      </c>
      <c r="P247" s="1208">
        <f t="shared" si="11"/>
        <v>67234.68965517242</v>
      </c>
      <c r="Q247" s="1208"/>
      <c r="R247" s="69">
        <f>OBRA!Q245</f>
        <v>42902</v>
      </c>
      <c r="S247" s="1327">
        <f>OBRA!T245</f>
        <v>42902</v>
      </c>
      <c r="T247" s="255">
        <f>OBRA!R245</f>
        <v>42907</v>
      </c>
      <c r="U247" s="245">
        <f>OBRA!S245</f>
        <v>42968</v>
      </c>
      <c r="V247" s="387"/>
      <c r="W247" s="651">
        <f>OBRA!AQ245+OBRA!AR245</f>
        <v>93230.1</v>
      </c>
      <c r="X247" s="1198"/>
      <c r="Y247" s="650" t="str">
        <f>OBRA!U245</f>
        <v>ING. SERGIO CABRERA</v>
      </c>
      <c r="Z247" s="650"/>
      <c r="AA247" s="652" t="str">
        <f t="shared" si="10"/>
        <v>ING. SERGIO CABRERA</v>
      </c>
      <c r="AB247" s="675" t="s">
        <v>2999</v>
      </c>
      <c r="AC247" s="650" t="s">
        <v>2999</v>
      </c>
      <c r="AD247" s="200" t="str">
        <f>OBRA!V245</f>
        <v>ING. J. GUADALUPE IBARRA RAMIREZ</v>
      </c>
      <c r="AE247" s="609">
        <v>76.69</v>
      </c>
      <c r="AF247" s="202" t="s">
        <v>1454</v>
      </c>
      <c r="AG247" s="694">
        <f t="shared" si="9"/>
        <v>1215.6747946277221</v>
      </c>
      <c r="AH247" s="202">
        <v>30</v>
      </c>
      <c r="AI247" s="249" t="s">
        <v>1455</v>
      </c>
      <c r="AJ247" s="566"/>
      <c r="AK247" s="566"/>
      <c r="AL247" s="566"/>
      <c r="AM247" s="1427"/>
      <c r="AN247" s="996"/>
      <c r="AO247" s="996"/>
      <c r="AP247" s="1012"/>
      <c r="AQ247" s="1000"/>
      <c r="AR247" s="552"/>
      <c r="AS247" s="552"/>
      <c r="AT247" s="552"/>
      <c r="AU247" s="552"/>
      <c r="AV247" s="180" t="s">
        <v>1295</v>
      </c>
      <c r="AW247" s="329"/>
    </row>
    <row r="248" spans="1:49" ht="69.75" hidden="1" customHeight="1">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3527</v>
      </c>
      <c r="O248" s="85">
        <f>OBRA!P246</f>
        <v>125684.46</v>
      </c>
      <c r="P248" s="1208">
        <f t="shared" si="11"/>
        <v>108348.67241379312</v>
      </c>
      <c r="Q248" s="1208"/>
      <c r="R248" s="69">
        <f>OBRA!Q246</f>
        <v>42944</v>
      </c>
      <c r="S248" s="1327">
        <f>OBRA!T246</f>
        <v>42944</v>
      </c>
      <c r="T248" s="255">
        <f>OBRA!R246</f>
        <v>42948</v>
      </c>
      <c r="U248" s="245">
        <f>OBRA!S246</f>
        <v>42978</v>
      </c>
      <c r="V248" s="387"/>
      <c r="W248" s="651">
        <f>OBRA!AQ246+OBRA!AR246</f>
        <v>125684.46</v>
      </c>
      <c r="X248" s="1198"/>
      <c r="Y248" s="650" t="str">
        <f>OBRA!U246</f>
        <v>GILCO INGENIERIA S.A. DE C.V.</v>
      </c>
      <c r="Z248" s="650"/>
      <c r="AA248" s="652" t="s">
        <v>1935</v>
      </c>
      <c r="AB248" s="650" t="s">
        <v>1936</v>
      </c>
      <c r="AC248" s="650"/>
      <c r="AD248" s="200" t="str">
        <f>OBRA!V246</f>
        <v>ING. J. GUADALUPE IBARRA RAMIREZ</v>
      </c>
      <c r="AE248" s="609">
        <v>78.900000000000006</v>
      </c>
      <c r="AF248" s="202" t="s">
        <v>1454</v>
      </c>
      <c r="AG248" s="694">
        <f t="shared" si="9"/>
        <v>1592.9589353612166</v>
      </c>
      <c r="AH248" s="202">
        <v>20</v>
      </c>
      <c r="AI248" s="249" t="s">
        <v>1447</v>
      </c>
      <c r="AJ248" s="566"/>
      <c r="AK248" s="566"/>
      <c r="AL248" s="566"/>
      <c r="AM248" s="1427"/>
      <c r="AN248" s="996"/>
      <c r="AO248" s="996"/>
      <c r="AP248" s="1012"/>
      <c r="AQ248" s="807"/>
      <c r="AR248" s="552"/>
      <c r="AS248" s="552"/>
      <c r="AT248" s="552"/>
      <c r="AU248" s="552"/>
      <c r="AV248" s="180" t="s">
        <v>551</v>
      </c>
      <c r="AW248" s="329"/>
    </row>
    <row r="249" spans="1:49" ht="66" hidden="1" customHeight="1">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3527</v>
      </c>
      <c r="O249" s="85">
        <f>OBRA!P247</f>
        <v>79897.39</v>
      </c>
      <c r="P249" s="1208">
        <f t="shared" si="11"/>
        <v>68877.060344827594</v>
      </c>
      <c r="Q249" s="1208"/>
      <c r="R249" s="69">
        <f>OBRA!Q247</f>
        <v>42944</v>
      </c>
      <c r="S249" s="1327">
        <f>OBRA!T247</f>
        <v>42944</v>
      </c>
      <c r="T249" s="255">
        <f>OBRA!R247</f>
        <v>42948</v>
      </c>
      <c r="U249" s="245">
        <f>OBRA!S247</f>
        <v>42978</v>
      </c>
      <c r="V249" s="387"/>
      <c r="W249" s="651">
        <f>OBRA!AQ247+OBRA!AR247</f>
        <v>79839.72</v>
      </c>
      <c r="X249" s="1198"/>
      <c r="Y249" s="650" t="str">
        <f>OBRA!U247</f>
        <v>GILCO INGENIERIA S.A. DE C.V.</v>
      </c>
      <c r="Z249" s="650"/>
      <c r="AA249" s="652" t="s">
        <v>1935</v>
      </c>
      <c r="AB249" s="650" t="s">
        <v>1936</v>
      </c>
      <c r="AC249" s="650"/>
      <c r="AD249" s="200" t="str">
        <f>OBRA!V247</f>
        <v>ING. J. GUADALUPE IBARRA RAMIREZ</v>
      </c>
      <c r="AE249" s="609">
        <v>76.75</v>
      </c>
      <c r="AF249" s="202" t="s">
        <v>1454</v>
      </c>
      <c r="AG249" s="694">
        <f t="shared" si="9"/>
        <v>1040.2569381107492</v>
      </c>
      <c r="AH249" s="202">
        <v>20</v>
      </c>
      <c r="AI249" s="249" t="s">
        <v>1447</v>
      </c>
      <c r="AJ249" s="566"/>
      <c r="AK249" s="566"/>
      <c r="AL249" s="566"/>
      <c r="AM249" s="1427"/>
      <c r="AN249" s="996"/>
      <c r="AO249" s="996"/>
      <c r="AP249" s="1012"/>
      <c r="AQ249" s="1000"/>
      <c r="AR249" s="552"/>
      <c r="AS249" s="552"/>
      <c r="AT249" s="552"/>
      <c r="AU249" s="552"/>
      <c r="AV249" s="180" t="s">
        <v>1295</v>
      </c>
      <c r="AW249" s="329"/>
    </row>
    <row r="250" spans="1:49" ht="65.25" hidden="1" customHeight="1">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3527</v>
      </c>
      <c r="O250" s="85">
        <f>OBRA!P248</f>
        <v>119278.43</v>
      </c>
      <c r="P250" s="1208">
        <f t="shared" si="11"/>
        <v>102826.2327586207</v>
      </c>
      <c r="Q250" s="1208"/>
      <c r="R250" s="69">
        <f>OBRA!Q248</f>
        <v>42957</v>
      </c>
      <c r="S250" s="1327">
        <f>OBRA!T248</f>
        <v>42957</v>
      </c>
      <c r="T250" s="255">
        <f>OBRA!R248</f>
        <v>42961</v>
      </c>
      <c r="U250" s="245">
        <f>OBRA!S248</f>
        <v>42994</v>
      </c>
      <c r="V250" s="387"/>
      <c r="W250" s="651">
        <f>OBRA!AQ248+OBRA!AR248</f>
        <v>108518.67</v>
      </c>
      <c r="X250" s="1198"/>
      <c r="Y250" s="650" t="str">
        <f>OBRA!U248</f>
        <v>GILCO INGENIERIA S.A. DE C.V.</v>
      </c>
      <c r="Z250" s="650"/>
      <c r="AA250" s="652" t="s">
        <v>1935</v>
      </c>
      <c r="AB250" s="650" t="s">
        <v>1936</v>
      </c>
      <c r="AC250" s="650"/>
      <c r="AD250" s="200" t="str">
        <f>OBRA!V248</f>
        <v>ING. J. GUADALUPE IBARRA RAMIREZ</v>
      </c>
      <c r="AE250" s="609">
        <v>74.83</v>
      </c>
      <c r="AF250" s="202" t="s">
        <v>1454</v>
      </c>
      <c r="AG250" s="694">
        <f t="shared" si="9"/>
        <v>1450.2027261793398</v>
      </c>
      <c r="AH250" s="202">
        <v>40</v>
      </c>
      <c r="AI250" s="249" t="s">
        <v>1447</v>
      </c>
      <c r="AJ250" s="566"/>
      <c r="AK250" s="566"/>
      <c r="AL250" s="566"/>
      <c r="AM250" s="1427"/>
      <c r="AN250" s="996"/>
      <c r="AO250" s="996"/>
      <c r="AP250" s="1012"/>
      <c r="AQ250" s="807"/>
      <c r="AR250" s="552"/>
      <c r="AS250" s="552"/>
      <c r="AT250" s="552"/>
      <c r="AU250" s="552"/>
      <c r="AV250" s="180" t="s">
        <v>551</v>
      </c>
      <c r="AW250" s="329"/>
    </row>
    <row r="251" spans="1:49" ht="69.75" hidden="1" customHeight="1">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3527</v>
      </c>
      <c r="O251" s="85">
        <f>OBRA!P249</f>
        <v>77217.95</v>
      </c>
      <c r="P251" s="1208">
        <f t="shared" si="11"/>
        <v>66567.198275862072</v>
      </c>
      <c r="Q251" s="1208"/>
      <c r="R251" s="69">
        <f>OBRA!Q249</f>
        <v>42957</v>
      </c>
      <c r="S251" s="1327">
        <f>OBRA!T249</f>
        <v>42902</v>
      </c>
      <c r="T251" s="255">
        <f>OBRA!R249</f>
        <v>42961</v>
      </c>
      <c r="U251" s="245">
        <f>OBRA!S249</f>
        <v>42994</v>
      </c>
      <c r="V251" s="387"/>
      <c r="W251" s="651">
        <f>OBRA!AQ249+OBRA!AR249</f>
        <v>77160.37</v>
      </c>
      <c r="X251" s="1198"/>
      <c r="Y251" s="650" t="str">
        <f>OBRA!U249</f>
        <v>GILCO INGENIERIA S.A. DE C.V.</v>
      </c>
      <c r="Z251" s="650"/>
      <c r="AA251" s="652" t="s">
        <v>1935</v>
      </c>
      <c r="AB251" s="650" t="s">
        <v>1936</v>
      </c>
      <c r="AC251" s="650"/>
      <c r="AD251" s="200" t="str">
        <f>OBRA!V249</f>
        <v>ING. J. GUADALUPE IBARRA RAMIREZ</v>
      </c>
      <c r="AE251" s="609">
        <v>76.099999999999994</v>
      </c>
      <c r="AF251" s="202" t="s">
        <v>1454</v>
      </c>
      <c r="AG251" s="694">
        <f t="shared" si="9"/>
        <v>1013.933902759527</v>
      </c>
      <c r="AH251" s="202">
        <v>40</v>
      </c>
      <c r="AI251" s="249" t="s">
        <v>1447</v>
      </c>
      <c r="AJ251" s="566"/>
      <c r="AK251" s="566"/>
      <c r="AL251" s="566"/>
      <c r="AM251" s="1427"/>
      <c r="AN251" s="996"/>
      <c r="AO251" s="996"/>
      <c r="AP251" s="1012"/>
      <c r="AQ251" s="1000"/>
      <c r="AR251" s="552"/>
      <c r="AS251" s="552"/>
      <c r="AT251" s="552"/>
      <c r="AU251" s="552"/>
      <c r="AV251" s="180" t="s">
        <v>1295</v>
      </c>
      <c r="AW251" s="329"/>
    </row>
    <row r="252" spans="1:49" ht="69" hidden="1" customHeight="1">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3527</v>
      </c>
      <c r="O252" s="85">
        <f>OBRA!P250</f>
        <v>101100.81</v>
      </c>
      <c r="P252" s="1208">
        <f t="shared" si="11"/>
        <v>87155.870689655174</v>
      </c>
      <c r="Q252" s="1208"/>
      <c r="R252" s="69">
        <f>OBRA!Q250</f>
        <v>42977</v>
      </c>
      <c r="S252" s="1327">
        <f>OBRA!T250</f>
        <v>42977</v>
      </c>
      <c r="T252" s="255">
        <f>OBRA!R250</f>
        <v>42982</v>
      </c>
      <c r="U252" s="245">
        <f>OBRA!S250</f>
        <v>43008</v>
      </c>
      <c r="V252" s="387"/>
      <c r="W252" s="651">
        <f>OBRA!AQ250+OBRA!AR250</f>
        <v>101100.8</v>
      </c>
      <c r="X252" s="1198"/>
      <c r="Y252" s="650" t="str">
        <f>OBRA!U250</f>
        <v>GILCO INGENIERIA S.A. DE C.V.</v>
      </c>
      <c r="Z252" s="650"/>
      <c r="AA252" s="652" t="s">
        <v>1935</v>
      </c>
      <c r="AB252" s="650" t="s">
        <v>1936</v>
      </c>
      <c r="AC252" s="650"/>
      <c r="AD252" s="200" t="str">
        <f>OBRA!V250</f>
        <v>ING. J. GUADALUPE IBARRA RAMIREZ</v>
      </c>
      <c r="AE252" s="609">
        <v>68.56</v>
      </c>
      <c r="AF252" s="202" t="s">
        <v>1454</v>
      </c>
      <c r="AG252" s="694">
        <f t="shared" si="9"/>
        <v>1474.6324387397899</v>
      </c>
      <c r="AH252" s="202">
        <v>50</v>
      </c>
      <c r="AI252" s="249" t="s">
        <v>1447</v>
      </c>
      <c r="AJ252" s="566"/>
      <c r="AK252" s="566"/>
      <c r="AL252" s="566"/>
      <c r="AM252" s="1427"/>
      <c r="AN252" s="996"/>
      <c r="AO252" s="996"/>
      <c r="AP252" s="1012"/>
      <c r="AQ252" s="807"/>
      <c r="AR252" s="552"/>
      <c r="AS252" s="552"/>
      <c r="AT252" s="552"/>
      <c r="AU252" s="552"/>
      <c r="AV252" s="180" t="s">
        <v>551</v>
      </c>
      <c r="AW252" s="329"/>
    </row>
    <row r="253" spans="1:49" ht="69.75" hidden="1" customHeight="1">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3527</v>
      </c>
      <c r="O253" s="85">
        <f>OBRA!P251</f>
        <v>62348.13</v>
      </c>
      <c r="P253" s="1208">
        <f t="shared" si="11"/>
        <v>53748.387931034486</v>
      </c>
      <c r="Q253" s="1208"/>
      <c r="R253" s="69">
        <f>OBRA!Q251</f>
        <v>42977</v>
      </c>
      <c r="S253" s="1327">
        <f>OBRA!T251</f>
        <v>42977</v>
      </c>
      <c r="T253" s="255">
        <f>OBRA!R251</f>
        <v>42982</v>
      </c>
      <c r="U253" s="245">
        <f>OBRA!S251</f>
        <v>43008</v>
      </c>
      <c r="V253" s="387"/>
      <c r="W253" s="651">
        <f>OBRA!AQ251+OBRA!AR251</f>
        <v>62291.82</v>
      </c>
      <c r="X253" s="1198"/>
      <c r="Y253" s="650" t="str">
        <f>OBRA!U251</f>
        <v>GILCO INGENIERIA S.A. DE C.V.</v>
      </c>
      <c r="Z253" s="650"/>
      <c r="AA253" s="652" t="s">
        <v>1935</v>
      </c>
      <c r="AB253" s="650" t="s">
        <v>1936</v>
      </c>
      <c r="AC253" s="650"/>
      <c r="AD253" s="200" t="str">
        <f>OBRA!V251</f>
        <v>ING. J. GUADALUPE IBARRA RAMIREZ</v>
      </c>
      <c r="AE253" s="609">
        <v>66.14</v>
      </c>
      <c r="AF253" s="202" t="s">
        <v>1454</v>
      </c>
      <c r="AG253" s="694">
        <f t="shared" si="9"/>
        <v>941.81765951013006</v>
      </c>
      <c r="AH253" s="202">
        <v>50</v>
      </c>
      <c r="AI253" s="249" t="s">
        <v>1455</v>
      </c>
      <c r="AJ253" s="566"/>
      <c r="AK253" s="566"/>
      <c r="AL253" s="566"/>
      <c r="AM253" s="1427"/>
      <c r="AN253" s="996"/>
      <c r="AO253" s="996"/>
      <c r="AP253" s="1012"/>
      <c r="AQ253" s="807"/>
      <c r="AR253" s="552"/>
      <c r="AS253" s="552"/>
      <c r="AT253" s="552"/>
      <c r="AU253" s="552"/>
      <c r="AV253" s="180" t="s">
        <v>551</v>
      </c>
      <c r="AW253" s="329"/>
    </row>
    <row r="254" spans="1:49" ht="114" hidden="1" customHeight="1">
      <c r="A254" s="327">
        <f>OBRA!I252</f>
        <v>2017</v>
      </c>
      <c r="B254" s="896" t="s">
        <v>1567</v>
      </c>
      <c r="C254" s="896"/>
      <c r="D254" s="896"/>
      <c r="E254" s="202" t="str">
        <f>OBRA!K252</f>
        <v>Fondo de proyectos para el Desarrollo Regional</v>
      </c>
      <c r="F254" s="1447"/>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3527</v>
      </c>
      <c r="O254" s="85">
        <f>OBRA!P252</f>
        <v>527048.46</v>
      </c>
      <c r="P254" s="1208">
        <f t="shared" si="11"/>
        <v>454352.12068965519</v>
      </c>
      <c r="Q254" s="1208"/>
      <c r="R254" s="69">
        <f>OBRA!Q252</f>
        <v>42895</v>
      </c>
      <c r="S254" s="1327">
        <f>OBRA!T252</f>
        <v>42923</v>
      </c>
      <c r="T254" s="255">
        <f>OBRA!R252</f>
        <v>42901</v>
      </c>
      <c r="U254" s="245">
        <f>OBRA!S252</f>
        <v>42922</v>
      </c>
      <c r="V254" s="387"/>
      <c r="W254" s="651">
        <f>OBRA!AQ252+OBRA!AR252</f>
        <v>471639.52</v>
      </c>
      <c r="X254" s="1198"/>
      <c r="Y254" s="650" t="str">
        <f>OBRA!U252</f>
        <v>SERVICIOS ARQUITECTÓNICOS MOAPAL S.A. DE C.V.</v>
      </c>
      <c r="Z254" s="650"/>
      <c r="AA254" s="652" t="s">
        <v>1931</v>
      </c>
      <c r="AB254" s="650" t="s">
        <v>1932</v>
      </c>
      <c r="AC254" s="650"/>
      <c r="AD254" s="200" t="str">
        <f>OBRA!V252</f>
        <v>ING. J. GUADALUPE IBARRA RAMIREZ</v>
      </c>
      <c r="AE254" s="609">
        <v>837.59</v>
      </c>
      <c r="AF254" s="202" t="s">
        <v>1552</v>
      </c>
      <c r="AG254" s="694">
        <f t="shared" si="9"/>
        <v>563.0911543834095</v>
      </c>
      <c r="AH254" s="202">
        <v>80</v>
      </c>
      <c r="AI254" s="249" t="s">
        <v>1455</v>
      </c>
      <c r="AJ254" s="566"/>
      <c r="AK254" s="566"/>
      <c r="AL254" s="566"/>
      <c r="AM254" s="1427"/>
      <c r="AN254" s="996"/>
      <c r="AO254" s="996"/>
      <c r="AP254" s="1012"/>
      <c r="AQ254" s="1000"/>
      <c r="AR254" s="552"/>
      <c r="AS254" s="552"/>
      <c r="AT254" s="552"/>
      <c r="AU254" s="552"/>
      <c r="AV254" s="180" t="s">
        <v>1295</v>
      </c>
      <c r="AW254" s="329"/>
    </row>
    <row r="255" spans="1:49" ht="195" hidden="1" customHeight="1">
      <c r="A255" s="327">
        <f>OBRA!I253</f>
        <v>2017</v>
      </c>
      <c r="B255" s="896" t="s">
        <v>1567</v>
      </c>
      <c r="C255" s="896"/>
      <c r="D255" s="896"/>
      <c r="E255" s="202" t="str">
        <f>OBRA!K253</f>
        <v>Fondo de proyectos para el Desarrollo Regional</v>
      </c>
      <c r="F255" s="1447"/>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3527</v>
      </c>
      <c r="O255" s="85">
        <f>OBRA!P253</f>
        <v>887214.12</v>
      </c>
      <c r="P255" s="1208">
        <f t="shared" si="11"/>
        <v>764839.75862068974</v>
      </c>
      <c r="Q255" s="1208"/>
      <c r="R255" s="69">
        <f>OBRA!Q253</f>
        <v>42951</v>
      </c>
      <c r="S255" s="1327">
        <f>OBRA!T253</f>
        <v>42950</v>
      </c>
      <c r="T255" s="255">
        <f>OBRA!R253</f>
        <v>42955</v>
      </c>
      <c r="U255" s="245">
        <f>OBRA!S253</f>
        <v>42986</v>
      </c>
      <c r="V255" s="387"/>
      <c r="W255" s="651">
        <f>OBRA!AQ253+OBRA!AR253</f>
        <v>897371.43</v>
      </c>
      <c r="X255" s="1198"/>
      <c r="Y255" s="650" t="str">
        <f>OBRA!U253</f>
        <v>ING. SERGIO CABRERA</v>
      </c>
      <c r="Z255" s="650"/>
      <c r="AA255" s="652" t="str">
        <f t="shared" si="10"/>
        <v>ING. SERGIO CABRERA</v>
      </c>
      <c r="AB255" s="675" t="s">
        <v>2999</v>
      </c>
      <c r="AC255" s="650" t="s">
        <v>2999</v>
      </c>
      <c r="AD255" s="200" t="str">
        <f>OBRA!V253</f>
        <v>ING. J. GUADALUPE IBARRA RAMIREZ</v>
      </c>
      <c r="AE255" s="609">
        <v>240</v>
      </c>
      <c r="AF255" s="202" t="s">
        <v>1552</v>
      </c>
      <c r="AG255" s="694">
        <f t="shared" si="9"/>
        <v>3739.0476250000002</v>
      </c>
      <c r="AH255" s="202">
        <v>1000</v>
      </c>
      <c r="AI255" s="249" t="s">
        <v>1455</v>
      </c>
      <c r="AJ255" s="566"/>
      <c r="AK255" s="566"/>
      <c r="AL255" s="566"/>
      <c r="AM255" s="1427"/>
      <c r="AN255" s="996"/>
      <c r="AO255" s="996"/>
      <c r="AP255" s="1012"/>
      <c r="AQ255" s="807"/>
      <c r="AR255" s="552"/>
      <c r="AS255" s="552"/>
      <c r="AT255" s="552"/>
      <c r="AU255" s="552"/>
      <c r="AV255" s="180" t="s">
        <v>551</v>
      </c>
      <c r="AW255" s="329"/>
    </row>
    <row r="256" spans="1:49" ht="180" hidden="1" customHeight="1">
      <c r="A256" s="327">
        <f>OBRA!I254</f>
        <v>2017</v>
      </c>
      <c r="B256" s="896" t="s">
        <v>1567</v>
      </c>
      <c r="C256" s="896"/>
      <c r="D256" s="896"/>
      <c r="E256" s="202" t="str">
        <f>OBRA!K254</f>
        <v>Fondo de proyectos para el Desarrollo Regional</v>
      </c>
      <c r="F256" s="1447"/>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3527</v>
      </c>
      <c r="O256" s="85">
        <f>OBRA!P254</f>
        <v>197219.12</v>
      </c>
      <c r="P256" s="1208">
        <f t="shared" si="11"/>
        <v>170016.4827586207</v>
      </c>
      <c r="Q256" s="1208"/>
      <c r="R256" s="69">
        <f>OBRA!Q254</f>
        <v>43021</v>
      </c>
      <c r="S256" s="1327">
        <f>OBRA!T254</f>
        <v>43017</v>
      </c>
      <c r="T256" s="255">
        <f>OBRA!R254</f>
        <v>43038</v>
      </c>
      <c r="U256" s="245">
        <f>OBRA!S254</f>
        <v>43100</v>
      </c>
      <c r="V256" s="387"/>
      <c r="W256" s="651">
        <f>OBRA!AQ254+OBRA!AR254</f>
        <v>113086.79</v>
      </c>
      <c r="X256" s="1198"/>
      <c r="Y256" s="650" t="str">
        <f>OBRA!U254</f>
        <v>GILCO INGENIERIA S.A. DE C.V.</v>
      </c>
      <c r="Z256" s="2058"/>
      <c r="AA256" s="693" t="s">
        <v>1935</v>
      </c>
      <c r="AB256" s="650" t="s">
        <v>1936</v>
      </c>
      <c r="AC256" s="650"/>
      <c r="AD256" s="200" t="str">
        <f>OBRA!V254</f>
        <v>ING. J. GUADALUPE IBARRA RAMIREZ</v>
      </c>
      <c r="AE256" s="609">
        <v>880.6</v>
      </c>
      <c r="AF256" s="202" t="s">
        <v>1552</v>
      </c>
      <c r="AG256" s="694">
        <f t="shared" si="9"/>
        <v>128.42015671133316</v>
      </c>
      <c r="AH256" s="202">
        <v>1000</v>
      </c>
      <c r="AI256" s="249" t="s">
        <v>1455</v>
      </c>
      <c r="AJ256" s="566"/>
      <c r="AK256" s="566"/>
      <c r="AL256" s="566"/>
      <c r="AM256" s="1427"/>
      <c r="AN256" s="996"/>
      <c r="AO256" s="996"/>
      <c r="AP256" s="239"/>
      <c r="AQ256" s="1000"/>
      <c r="AR256" s="552"/>
      <c r="AS256" s="552"/>
      <c r="AT256" s="552"/>
      <c r="AU256" s="552"/>
      <c r="AV256" s="180" t="s">
        <v>1295</v>
      </c>
      <c r="AW256" s="329"/>
    </row>
    <row r="257" spans="1:49" ht="189.75" hidden="1" customHeight="1">
      <c r="A257" s="327">
        <f>OBRA!I255</f>
        <v>2017</v>
      </c>
      <c r="B257" s="896" t="s">
        <v>1567</v>
      </c>
      <c r="C257" s="896"/>
      <c r="D257" s="896"/>
      <c r="E257" s="202" t="str">
        <f>OBRA!K255</f>
        <v>Fondo de proyectos para el Desarrollo Regional</v>
      </c>
      <c r="F257" s="1447"/>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3527</v>
      </c>
      <c r="O257" s="85">
        <f>OBRA!P255</f>
        <v>1185389.8899999999</v>
      </c>
      <c r="P257" s="1208">
        <f t="shared" si="11"/>
        <v>1021887.8362068966</v>
      </c>
      <c r="Q257" s="1208"/>
      <c r="R257" s="69">
        <f>OBRA!Q255</f>
        <v>43021</v>
      </c>
      <c r="S257" s="1327">
        <f>OBRA!T255</f>
        <v>43017</v>
      </c>
      <c r="T257" s="255">
        <f>OBRA!R255</f>
        <v>43031</v>
      </c>
      <c r="U257" s="245">
        <f>OBRA!S255</f>
        <v>43100</v>
      </c>
      <c r="V257" s="387"/>
      <c r="W257" s="651">
        <f>OBRA!AQ255+OBRA!AR255</f>
        <v>1185389.8799999999</v>
      </c>
      <c r="X257" s="1198"/>
      <c r="Y257" s="650" t="str">
        <f>OBRA!U255</f>
        <v>A&amp;G URBANIZADORA S.A. DE C.V.</v>
      </c>
      <c r="Z257" s="650"/>
      <c r="AA257" s="675" t="s">
        <v>1812</v>
      </c>
      <c r="AB257" s="650" t="s">
        <v>1813</v>
      </c>
      <c r="AC257" s="650"/>
      <c r="AD257" s="200" t="str">
        <f>OBRA!V255</f>
        <v>ING. J. GUADALUPE IBARRA RAMIREZ</v>
      </c>
      <c r="AE257" s="609">
        <v>1745.77</v>
      </c>
      <c r="AF257" s="202" t="s">
        <v>1552</v>
      </c>
      <c r="AG257" s="694">
        <f t="shared" si="9"/>
        <v>679.00690239836854</v>
      </c>
      <c r="AH257" s="202">
        <v>1000</v>
      </c>
      <c r="AI257" s="249" t="s">
        <v>1455</v>
      </c>
      <c r="AJ257" s="566"/>
      <c r="AK257" s="566"/>
      <c r="AL257" s="566"/>
      <c r="AM257" s="1427"/>
      <c r="AN257" s="996"/>
      <c r="AO257" s="996"/>
      <c r="AP257" s="1012"/>
      <c r="AQ257" s="1442"/>
      <c r="AR257" s="552"/>
      <c r="AS257" s="552"/>
      <c r="AT257" s="552"/>
      <c r="AU257" s="552"/>
      <c r="AV257" s="180" t="s">
        <v>551</v>
      </c>
      <c r="AW257" s="329"/>
    </row>
    <row r="258" spans="1:49" ht="90" hidden="1" customHeight="1">
      <c r="A258" s="327">
        <f>OBRA!I256</f>
        <v>2017</v>
      </c>
      <c r="B258" s="896" t="s">
        <v>1567</v>
      </c>
      <c r="C258" s="896"/>
      <c r="D258" s="896"/>
      <c r="E258" s="202" t="str">
        <f>OBRA!K256</f>
        <v>Fondo de proyectos para el Desarrollo Regional</v>
      </c>
      <c r="F258" s="1447"/>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3527</v>
      </c>
      <c r="O258" s="85">
        <f>OBRA!P256</f>
        <v>227599.71</v>
      </c>
      <c r="P258" s="1208">
        <f t="shared" si="11"/>
        <v>196206.64655172414</v>
      </c>
      <c r="Q258" s="1208"/>
      <c r="R258" s="69">
        <f>OBRA!Q256</f>
        <v>42926</v>
      </c>
      <c r="S258" s="1327">
        <f>OBRA!T256</f>
        <v>42926</v>
      </c>
      <c r="T258" s="255">
        <f>OBRA!R256</f>
        <v>42928</v>
      </c>
      <c r="U258" s="245">
        <f>OBRA!S256</f>
        <v>43035</v>
      </c>
      <c r="V258" s="387"/>
      <c r="W258" s="651">
        <f>OBRA!AQ256+OBRA!AR256</f>
        <v>227557.25</v>
      </c>
      <c r="X258" s="1198"/>
      <c r="Y258" s="650" t="str">
        <f>OBRA!U256</f>
        <v>CONSTRUCCIONES VIKBRAK, S.A. DE C.V.</v>
      </c>
      <c r="Z258" s="650"/>
      <c r="AA258" s="652" t="s">
        <v>1580</v>
      </c>
      <c r="AB258" s="650" t="s">
        <v>1581</v>
      </c>
      <c r="AC258" s="650"/>
      <c r="AD258" s="200" t="str">
        <f>OBRA!V256</f>
        <v>ING. J. GUADALUPE IBARRA RAMIREZ</v>
      </c>
      <c r="AE258" s="609">
        <v>594.89</v>
      </c>
      <c r="AF258" s="202" t="s">
        <v>1552</v>
      </c>
      <c r="AG258" s="694">
        <f t="shared" si="9"/>
        <v>382.5198776244348</v>
      </c>
      <c r="AH258" s="202">
        <v>70</v>
      </c>
      <c r="AI258" s="249" t="s">
        <v>1455</v>
      </c>
      <c r="AJ258" s="566"/>
      <c r="AK258" s="566"/>
      <c r="AL258" s="566"/>
      <c r="AM258" s="1427"/>
      <c r="AN258" s="585"/>
      <c r="AO258" s="585"/>
      <c r="AP258" s="1015"/>
      <c r="AQ258" s="807"/>
      <c r="AR258" s="552"/>
      <c r="AS258" s="552"/>
      <c r="AT258" s="552"/>
      <c r="AU258" s="552"/>
      <c r="AV258" s="180" t="s">
        <v>1295</v>
      </c>
      <c r="AW258" s="329"/>
    </row>
    <row r="259" spans="1:49" ht="132.75" hidden="1" customHeight="1">
      <c r="A259" s="327">
        <f>OBRA!I257</f>
        <v>2017</v>
      </c>
      <c r="B259" s="896" t="s">
        <v>1567</v>
      </c>
      <c r="C259" s="896"/>
      <c r="D259" s="896"/>
      <c r="E259" s="202" t="str">
        <f>OBRA!K257</f>
        <v>Fondo de proyectos para el Desarrollo Regional</v>
      </c>
      <c r="F259" s="1447"/>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3527</v>
      </c>
      <c r="O259" s="85">
        <f>OBRA!P257</f>
        <v>1522376.56</v>
      </c>
      <c r="P259" s="1208">
        <f t="shared" si="11"/>
        <v>1312393.5862068967</v>
      </c>
      <c r="Q259" s="1208"/>
      <c r="R259" s="69">
        <f>OBRA!Q257</f>
        <v>42927</v>
      </c>
      <c r="S259" s="1327">
        <f>OBRA!T257</f>
        <v>42926</v>
      </c>
      <c r="T259" s="255">
        <f>OBRA!R257</f>
        <v>42928</v>
      </c>
      <c r="U259" s="245">
        <f>OBRA!S257</f>
        <v>43035</v>
      </c>
      <c r="V259" s="387"/>
      <c r="W259" s="651">
        <v>1522375.65</v>
      </c>
      <c r="X259" s="1198"/>
      <c r="Y259" s="650" t="str">
        <f>OBRA!U257</f>
        <v>COLYEST S.A. DE C.V.</v>
      </c>
      <c r="Z259" s="650"/>
      <c r="AA259" s="652" t="s">
        <v>1944</v>
      </c>
      <c r="AB259" s="650" t="s">
        <v>1945</v>
      </c>
      <c r="AC259" s="650"/>
      <c r="AD259" s="200" t="str">
        <f>OBRA!V257</f>
        <v>ING. J. GUADALUPE IBARRA RAMIREZ</v>
      </c>
      <c r="AE259" s="609">
        <v>2264.0100000000002</v>
      </c>
      <c r="AF259" s="202" t="s">
        <v>1552</v>
      </c>
      <c r="AG259" s="694">
        <f t="shared" si="9"/>
        <v>672.42443717121375</v>
      </c>
      <c r="AH259" s="202">
        <v>6000</v>
      </c>
      <c r="AI259" s="249" t="s">
        <v>1455</v>
      </c>
      <c r="AJ259" s="566"/>
      <c r="AK259" s="566"/>
      <c r="AL259" s="566"/>
      <c r="AM259" s="1427"/>
      <c r="AN259" s="996"/>
      <c r="AO259" s="996"/>
      <c r="AP259" s="1012"/>
      <c r="AQ259" s="807"/>
      <c r="AR259" s="552"/>
      <c r="AS259" s="552"/>
      <c r="AT259" s="552"/>
      <c r="AU259" s="552"/>
      <c r="AV259" s="180" t="s">
        <v>551</v>
      </c>
      <c r="AW259" s="329"/>
    </row>
    <row r="260" spans="1:49" ht="90.75" hidden="1" customHeight="1">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3527</v>
      </c>
      <c r="O260" s="85">
        <f>OBRA!P258</f>
        <v>275105.09999999998</v>
      </c>
      <c r="P260" s="1208">
        <f t="shared" si="11"/>
        <v>237159.56896551725</v>
      </c>
      <c r="Q260" s="1208"/>
      <c r="R260" s="69">
        <f>OBRA!Q258</f>
        <v>43028</v>
      </c>
      <c r="S260" s="1327">
        <f>OBRA!T258</f>
        <v>43024</v>
      </c>
      <c r="T260" s="255">
        <f>OBRA!R258</f>
        <v>43031</v>
      </c>
      <c r="U260" s="245">
        <f>OBRA!S258</f>
        <v>43039</v>
      </c>
      <c r="V260" s="387"/>
      <c r="W260" s="651">
        <f>OBRA!AQ258+OBRA!AR258</f>
        <v>293530.17</v>
      </c>
      <c r="X260" s="1198"/>
      <c r="Y260" s="650" t="str">
        <f>OBRA!U258</f>
        <v>ING. SERGIO CABRERA</v>
      </c>
      <c r="Z260" s="650"/>
      <c r="AA260" s="652" t="str">
        <f t="shared" si="10"/>
        <v>ING. SERGIO CABRERA</v>
      </c>
      <c r="AB260" s="675" t="s">
        <v>2999</v>
      </c>
      <c r="AC260" s="650" t="s">
        <v>2999</v>
      </c>
      <c r="AD260" s="200" t="str">
        <f>OBRA!V258</f>
        <v>ING. J. GUADALUPE IBARRA RAMIREZ</v>
      </c>
      <c r="AE260" s="609">
        <v>95.61</v>
      </c>
      <c r="AF260" s="202" t="s">
        <v>1454</v>
      </c>
      <c r="AG260" s="694">
        <f t="shared" si="9"/>
        <v>3070.0781299027299</v>
      </c>
      <c r="AH260" s="202">
        <v>400</v>
      </c>
      <c r="AI260" s="249" t="s">
        <v>1447</v>
      </c>
      <c r="AJ260" s="566"/>
      <c r="AK260" s="566"/>
      <c r="AL260" s="566"/>
      <c r="AM260" s="1427"/>
      <c r="AN260" s="996"/>
      <c r="AO260" s="996"/>
      <c r="AP260" s="1012"/>
      <c r="AQ260" s="807"/>
      <c r="AR260" s="552"/>
      <c r="AS260" s="552"/>
      <c r="AT260" s="552"/>
      <c r="AU260" s="552"/>
      <c r="AV260" s="180" t="s">
        <v>1295</v>
      </c>
      <c r="AW260" s="329"/>
    </row>
    <row r="261" spans="1:49" ht="66" hidden="1" customHeight="1">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3527</v>
      </c>
      <c r="O261" s="85">
        <f>OBRA!P259</f>
        <v>185828.12</v>
      </c>
      <c r="P261" s="1208">
        <f t="shared" si="11"/>
        <v>160196.6551724138</v>
      </c>
      <c r="Q261" s="1208"/>
      <c r="R261" s="69">
        <f>OBRA!Q259</f>
        <v>43028</v>
      </c>
      <c r="S261" s="1327">
        <f>OBRA!T259</f>
        <v>43024</v>
      </c>
      <c r="T261" s="255">
        <f>OBRA!R259</f>
        <v>43035</v>
      </c>
      <c r="U261" s="245">
        <f>OBRA!S259</f>
        <v>43041</v>
      </c>
      <c r="V261" s="387"/>
      <c r="W261" s="651">
        <f>OBRA!AQ259+OBRA!AR259</f>
        <v>171505.29</v>
      </c>
      <c r="X261" s="1198"/>
      <c r="Y261" s="650" t="str">
        <f>OBRA!U259</f>
        <v>ING. SERGIO CABRERA</v>
      </c>
      <c r="Z261" s="650"/>
      <c r="AA261" s="652" t="str">
        <f t="shared" si="10"/>
        <v>ING. SERGIO CABRERA</v>
      </c>
      <c r="AB261" s="675" t="s">
        <v>2999</v>
      </c>
      <c r="AC261" s="650" t="s">
        <v>2999</v>
      </c>
      <c r="AD261" s="200" t="str">
        <f>OBRA!V259</f>
        <v>ING. J. GUADALUPE IBARRA RAMIREZ</v>
      </c>
      <c r="AE261" s="609">
        <v>95.61</v>
      </c>
      <c r="AF261" s="202" t="s">
        <v>1454</v>
      </c>
      <c r="AG261" s="694">
        <f t="shared" si="9"/>
        <v>1793.8007530593036</v>
      </c>
      <c r="AH261" s="202">
        <v>100</v>
      </c>
      <c r="AI261" s="249" t="s">
        <v>1455</v>
      </c>
      <c r="AJ261" s="566"/>
      <c r="AK261" s="566"/>
      <c r="AL261" s="566"/>
      <c r="AM261" s="1427"/>
      <c r="AN261" s="996"/>
      <c r="AO261" s="996"/>
      <c r="AP261" s="1012"/>
      <c r="AQ261" s="807"/>
      <c r="AR261" s="552"/>
      <c r="AS261" s="552"/>
      <c r="AT261" s="552"/>
      <c r="AU261" s="552"/>
      <c r="AV261" s="266" t="s">
        <v>551</v>
      </c>
      <c r="AW261" s="329"/>
    </row>
    <row r="262" spans="1:49" ht="71.25" hidden="1" customHeight="1">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2613</v>
      </c>
      <c r="N262" s="510" t="s">
        <v>3527</v>
      </c>
      <c r="O262" s="85">
        <f>OBRA!P260</f>
        <v>181893.05</v>
      </c>
      <c r="P262" s="1208">
        <f t="shared" si="11"/>
        <v>156804.35344827586</v>
      </c>
      <c r="Q262" s="1208"/>
      <c r="R262" s="69">
        <f>OBRA!Q260</f>
        <v>42954</v>
      </c>
      <c r="S262" s="1327">
        <f>OBRA!T260</f>
        <v>42954</v>
      </c>
      <c r="T262" s="255">
        <f>OBRA!R260</f>
        <v>42956</v>
      </c>
      <c r="U262" s="245">
        <f>OBRA!S260</f>
        <v>42970</v>
      </c>
      <c r="V262" s="387"/>
      <c r="W262" s="651">
        <f>OBRA!AQ260+OBRA!AR260</f>
        <v>217256.38</v>
      </c>
      <c r="X262" s="1198"/>
      <c r="Y262" s="650" t="str">
        <f>OBRA!U260</f>
        <v>ING. SERGIO CABRERA</v>
      </c>
      <c r="Z262" s="650"/>
      <c r="AA262" s="652" t="str">
        <f t="shared" si="10"/>
        <v>ING. SERGIO CABRERA</v>
      </c>
      <c r="AB262" s="675" t="s">
        <v>2999</v>
      </c>
      <c r="AC262" s="650" t="s">
        <v>2999</v>
      </c>
      <c r="AD262" s="200" t="str">
        <f>OBRA!V260</f>
        <v>ING. ANGEL ALBERTO HERNANDEZ MORA</v>
      </c>
      <c r="AE262" s="609">
        <v>103</v>
      </c>
      <c r="AF262" s="202" t="s">
        <v>1454</v>
      </c>
      <c r="AG262" s="694">
        <f t="shared" si="9"/>
        <v>2109.2852427184466</v>
      </c>
      <c r="AH262" s="202">
        <v>120</v>
      </c>
      <c r="AI262" s="249" t="s">
        <v>1455</v>
      </c>
      <c r="AJ262" s="566"/>
      <c r="AK262" s="566"/>
      <c r="AL262" s="566"/>
      <c r="AM262" s="1427"/>
      <c r="AN262" s="996"/>
      <c r="AO262" s="996"/>
      <c r="AP262" s="1012"/>
      <c r="AQ262" s="807"/>
      <c r="AR262" s="552"/>
      <c r="AS262" s="552"/>
      <c r="AT262" s="552"/>
      <c r="AU262" s="552"/>
      <c r="AV262" s="180" t="s">
        <v>551</v>
      </c>
      <c r="AW262" s="329"/>
    </row>
    <row r="263" spans="1:49" ht="66.75" hidden="1" customHeight="1">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2613</v>
      </c>
      <c r="N263" s="510" t="s">
        <v>3527</v>
      </c>
      <c r="O263" s="85">
        <f>OBRA!P261</f>
        <v>237009.82</v>
      </c>
      <c r="P263" s="1208">
        <f t="shared" si="11"/>
        <v>204318.81034482759</v>
      </c>
      <c r="Q263" s="1208"/>
      <c r="R263" s="69">
        <f>OBRA!Q261</f>
        <v>42968</v>
      </c>
      <c r="S263" s="1327">
        <f>OBRA!T261</f>
        <v>42968</v>
      </c>
      <c r="T263" s="255">
        <f>OBRA!R261</f>
        <v>42970</v>
      </c>
      <c r="U263" s="245">
        <f>OBRA!S261</f>
        <v>42985</v>
      </c>
      <c r="V263" s="387"/>
      <c r="W263" s="651">
        <f>OBRA!AQ261+OBRA!AR261</f>
        <v>234292.09</v>
      </c>
      <c r="X263" s="1198"/>
      <c r="Y263" s="650" t="str">
        <f>OBRA!U261</f>
        <v>ING. SERGIO CABRERA</v>
      </c>
      <c r="Z263" s="650"/>
      <c r="AA263" s="652" t="str">
        <f t="shared" si="10"/>
        <v>ING. SERGIO CABRERA</v>
      </c>
      <c r="AB263" s="675" t="s">
        <v>2999</v>
      </c>
      <c r="AC263" s="650" t="s">
        <v>2999</v>
      </c>
      <c r="AD263" s="200" t="str">
        <f>OBRA!V261</f>
        <v>ING. ANGEL ALBERTO HERNANDEZ MORA</v>
      </c>
      <c r="AE263" s="609">
        <v>424</v>
      </c>
      <c r="AF263" s="202" t="s">
        <v>1552</v>
      </c>
      <c r="AG263" s="694">
        <f t="shared" si="9"/>
        <v>552.57568396226418</v>
      </c>
      <c r="AH263" s="202">
        <v>120</v>
      </c>
      <c r="AI263" s="249" t="s">
        <v>1455</v>
      </c>
      <c r="AJ263" s="566"/>
      <c r="AK263" s="566"/>
      <c r="AL263" s="566"/>
      <c r="AM263" s="1427"/>
      <c r="AN263" s="996"/>
      <c r="AO263" s="996"/>
      <c r="AP263" s="1012"/>
      <c r="AQ263" s="807"/>
      <c r="AR263" s="552"/>
      <c r="AS263" s="552"/>
      <c r="AT263" s="552"/>
      <c r="AU263" s="552"/>
      <c r="AV263" s="180" t="s">
        <v>1295</v>
      </c>
      <c r="AW263" s="329"/>
    </row>
    <row r="264" spans="1:49" ht="68.25" hidden="1" customHeight="1">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2613</v>
      </c>
      <c r="N264" s="510" t="s">
        <v>3527</v>
      </c>
      <c r="O264" s="85">
        <f>OBRA!P262</f>
        <v>93422.64</v>
      </c>
      <c r="P264" s="1208">
        <f t="shared" si="11"/>
        <v>80536.758620689667</v>
      </c>
      <c r="Q264" s="1208"/>
      <c r="R264" s="69">
        <f>OBRA!Q262</f>
        <v>42948</v>
      </c>
      <c r="S264" s="1327">
        <f>OBRA!T262</f>
        <v>42948</v>
      </c>
      <c r="T264" s="255">
        <f>OBRA!R262</f>
        <v>42950</v>
      </c>
      <c r="U264" s="245">
        <f>OBRA!S262</f>
        <v>42957</v>
      </c>
      <c r="V264" s="387"/>
      <c r="W264" s="651">
        <f>OBRA!AQ262+OBRA!AR262</f>
        <v>97471.05</v>
      </c>
      <c r="X264" s="1198"/>
      <c r="Y264" s="650" t="str">
        <f>OBRA!U262</f>
        <v>ING. SERGIO CABRERA</v>
      </c>
      <c r="Z264" s="650"/>
      <c r="AA264" s="652" t="str">
        <f>Y264</f>
        <v>ING. SERGIO CABRERA</v>
      </c>
      <c r="AB264" s="675" t="s">
        <v>2999</v>
      </c>
      <c r="AC264" s="650" t="s">
        <v>2999</v>
      </c>
      <c r="AD264" s="200" t="str">
        <f>OBRA!V262</f>
        <v>ING. ANGEL ALBERTO HERNANDEZ MORA</v>
      </c>
      <c r="AE264" s="609">
        <v>124</v>
      </c>
      <c r="AF264" s="202" t="s">
        <v>1454</v>
      </c>
      <c r="AG264" s="653">
        <f t="shared" ref="AG264:AG292" si="12">W264/AE264</f>
        <v>786.05685483870968</v>
      </c>
      <c r="AH264" s="202">
        <v>270</v>
      </c>
      <c r="AI264" s="249" t="s">
        <v>1455</v>
      </c>
      <c r="AJ264" s="566"/>
      <c r="AK264" s="566"/>
      <c r="AL264" s="566"/>
      <c r="AM264" s="1427"/>
      <c r="AN264" s="996"/>
      <c r="AO264" s="996"/>
      <c r="AP264" s="1012"/>
      <c r="AQ264" s="807"/>
      <c r="AR264" s="552"/>
      <c r="AS264" s="552"/>
      <c r="AT264" s="552"/>
      <c r="AU264" s="552"/>
      <c r="AV264" s="180" t="s">
        <v>551</v>
      </c>
      <c r="AW264" s="329"/>
    </row>
    <row r="265" spans="1:49" ht="62.25" hidden="1" customHeight="1">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2613</v>
      </c>
      <c r="N265" s="510" t="s">
        <v>3527</v>
      </c>
      <c r="O265" s="85">
        <f>OBRA!P263</f>
        <v>329150.28999999998</v>
      </c>
      <c r="P265" s="1208">
        <f t="shared" si="11"/>
        <v>283750.25</v>
      </c>
      <c r="Q265" s="1208"/>
      <c r="R265" s="69">
        <f>OBRA!Q263</f>
        <v>42983</v>
      </c>
      <c r="S265" s="1327">
        <f>OBRA!T263</f>
        <v>42983</v>
      </c>
      <c r="T265" s="255">
        <f>OBRA!R263</f>
        <v>42985</v>
      </c>
      <c r="U265" s="245">
        <f>OBRA!S263</f>
        <v>42995</v>
      </c>
      <c r="V265" s="387"/>
      <c r="W265" s="651">
        <f>OBRA!AQ263+OBRA!AR263</f>
        <v>372953.49</v>
      </c>
      <c r="X265" s="1198"/>
      <c r="Y265" s="650" t="str">
        <f>OBRA!U263</f>
        <v>ING. SERGIO CABRERA</v>
      </c>
      <c r="Z265" s="650"/>
      <c r="AA265" s="652" t="str">
        <f>Y265</f>
        <v>ING. SERGIO CABRERA</v>
      </c>
      <c r="AB265" s="675" t="s">
        <v>2999</v>
      </c>
      <c r="AC265" s="650" t="s">
        <v>2999</v>
      </c>
      <c r="AD265" s="200" t="str">
        <f>OBRA!V263</f>
        <v>ING. ANGEL ALBERTO HERNANDEZ MORA</v>
      </c>
      <c r="AE265" s="609">
        <v>428.3</v>
      </c>
      <c r="AF265" s="202" t="s">
        <v>1552</v>
      </c>
      <c r="AG265" s="653">
        <f t="shared" si="12"/>
        <v>870.77630165771654</v>
      </c>
      <c r="AH265" s="202">
        <v>270</v>
      </c>
      <c r="AI265" s="249" t="s">
        <v>1455</v>
      </c>
      <c r="AJ265" s="566"/>
      <c r="AK265" s="566"/>
      <c r="AL265" s="566"/>
      <c r="AM265" s="1427"/>
      <c r="AN265" s="996"/>
      <c r="AO265" s="996"/>
      <c r="AP265" s="1012"/>
      <c r="AQ265" s="807"/>
      <c r="AR265" s="552"/>
      <c r="AS265" s="552"/>
      <c r="AT265" s="552"/>
      <c r="AU265" s="552"/>
      <c r="AV265" s="180" t="s">
        <v>551</v>
      </c>
      <c r="AW265" s="329"/>
    </row>
    <row r="266" spans="1:49" s="110" customFormat="1" ht="51" hidden="1" customHeight="1">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2"/>
      <c r="R266" s="93">
        <f>OBRA!Q264</f>
        <v>0</v>
      </c>
      <c r="S266" s="1327">
        <f>OBRA!T264</f>
        <v>0</v>
      </c>
      <c r="T266" s="94">
        <f>OBRA!R264</f>
        <v>0</v>
      </c>
      <c r="U266" s="95">
        <f>OBRA!S264</f>
        <v>0</v>
      </c>
      <c r="V266" s="374"/>
      <c r="W266" s="934">
        <f>OBRA!AQ264+OBRA!AR264</f>
        <v>0</v>
      </c>
      <c r="X266" s="947"/>
      <c r="Y266" s="935">
        <f>OBRA!U264</f>
        <v>0</v>
      </c>
      <c r="Z266" s="935"/>
      <c r="AA266" s="460">
        <f>Y266</f>
        <v>0</v>
      </c>
      <c r="AB266" s="639" t="s">
        <v>1431</v>
      </c>
      <c r="AC266" s="1234" t="s">
        <v>1431</v>
      </c>
      <c r="AD266" s="199">
        <f>OBRA!V264</f>
        <v>0</v>
      </c>
      <c r="AE266" s="90"/>
      <c r="AF266" s="91"/>
      <c r="AG266" s="936" t="e">
        <f t="shared" si="12"/>
        <v>#DIV/0!</v>
      </c>
      <c r="AH266" s="91"/>
      <c r="AI266" s="634"/>
      <c r="AJ266" s="583"/>
      <c r="AK266" s="583"/>
      <c r="AL266" s="583"/>
      <c r="AM266" s="1426"/>
      <c r="AN266" s="583"/>
      <c r="AO266" s="747"/>
      <c r="AP266" s="583"/>
      <c r="AQ266" s="634"/>
      <c r="AR266" s="564"/>
      <c r="AS266" s="564"/>
      <c r="AT266" s="564"/>
      <c r="AU266" s="564"/>
      <c r="AV266" s="564"/>
      <c r="AW266" s="109"/>
    </row>
    <row r="267" spans="1:49" ht="70.5" hidden="1" customHeight="1">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2640</v>
      </c>
      <c r="N267" s="510" t="s">
        <v>3527</v>
      </c>
      <c r="O267" s="85">
        <f>OBRA!P265</f>
        <v>965876.67</v>
      </c>
      <c r="P267" s="1208">
        <f t="shared" si="11"/>
        <v>832652.30172413797</v>
      </c>
      <c r="Q267" s="1208"/>
      <c r="R267" s="69">
        <f>OBRA!Q265</f>
        <v>42965</v>
      </c>
      <c r="S267" s="1327">
        <f>OBRA!T265</f>
        <v>42933</v>
      </c>
      <c r="T267" s="255">
        <f>OBRA!R265</f>
        <v>42968</v>
      </c>
      <c r="U267" s="245">
        <f>OBRA!S265</f>
        <v>43000</v>
      </c>
      <c r="V267" s="387"/>
      <c r="W267" s="651">
        <f>OBRA!AQ265+OBRA!AR265</f>
        <v>965876.66</v>
      </c>
      <c r="X267" s="1198"/>
      <c r="Y267" s="650" t="str">
        <f>OBRA!U265</f>
        <v>SERVICIOS ARQUITECTÓNICOS MOAPAL S.A. DE C.V.</v>
      </c>
      <c r="Z267" s="650"/>
      <c r="AA267" s="652" t="s">
        <v>1931</v>
      </c>
      <c r="AB267" s="650" t="s">
        <v>1932</v>
      </c>
      <c r="AC267" s="650"/>
      <c r="AD267" s="200" t="str">
        <f>OBRA!V265</f>
        <v>ING. ANGEL ALBERTO HERNANDEZ MORA</v>
      </c>
      <c r="AE267" s="609">
        <v>726.72</v>
      </c>
      <c r="AF267" s="202" t="s">
        <v>1454</v>
      </c>
      <c r="AG267" s="653">
        <f t="shared" si="12"/>
        <v>1329.0905162923823</v>
      </c>
      <c r="AH267" s="202">
        <v>200</v>
      </c>
      <c r="AI267" s="249" t="s">
        <v>1455</v>
      </c>
      <c r="AJ267" s="566"/>
      <c r="AK267" s="566"/>
      <c r="AL267" s="566"/>
      <c r="AM267" s="1427"/>
      <c r="AN267" s="996"/>
      <c r="AO267" s="996"/>
      <c r="AP267" s="1012"/>
      <c r="AQ267" s="807"/>
      <c r="AR267" s="552"/>
      <c r="AS267" s="552"/>
      <c r="AT267" s="552"/>
      <c r="AU267" s="552"/>
      <c r="AV267" s="180" t="s">
        <v>551</v>
      </c>
      <c r="AW267" s="329"/>
    </row>
    <row r="268" spans="1:49" ht="81" hidden="1" customHeight="1">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2574</v>
      </c>
      <c r="N268" s="510" t="s">
        <v>3527</v>
      </c>
      <c r="O268" s="85">
        <f>OBRA!P266</f>
        <v>185695.33</v>
      </c>
      <c r="P268" s="1208">
        <f t="shared" si="11"/>
        <v>160082.18103448275</v>
      </c>
      <c r="Q268" s="1208"/>
      <c r="R268" s="69">
        <f>OBRA!Q266</f>
        <v>42948</v>
      </c>
      <c r="S268" s="1327">
        <f>OBRA!T266</f>
        <v>42948</v>
      </c>
      <c r="T268" s="255">
        <f>OBRA!R266</f>
        <v>42950</v>
      </c>
      <c r="U268" s="245">
        <f>OBRA!S266</f>
        <v>42978</v>
      </c>
      <c r="V268" s="387"/>
      <c r="W268" s="651">
        <f>OBRA!AQ266+OBRA!AR266</f>
        <v>185067.76</v>
      </c>
      <c r="X268" s="1198"/>
      <c r="Y268" s="650" t="str">
        <f>OBRA!U266</f>
        <v xml:space="preserve">GRUPO DESARROLLADOR INMOBILIARIO CEMERAMA S.A. DE C.V. </v>
      </c>
      <c r="Z268" s="650"/>
      <c r="AA268" s="652" t="s">
        <v>1837</v>
      </c>
      <c r="AB268" s="650" t="s">
        <v>1838</v>
      </c>
      <c r="AC268" s="650"/>
      <c r="AD268" s="200" t="str">
        <f>OBRA!V266</f>
        <v>LIC. SALVADOR CONTRERAS OLGUÍN</v>
      </c>
      <c r="AE268" s="609">
        <v>50.5</v>
      </c>
      <c r="AF268" s="202" t="s">
        <v>1552</v>
      </c>
      <c r="AG268" s="694">
        <f t="shared" si="12"/>
        <v>3664.7081188118814</v>
      </c>
      <c r="AH268" s="202">
        <v>1500</v>
      </c>
      <c r="AI268" s="249" t="s">
        <v>1455</v>
      </c>
      <c r="AJ268" s="566"/>
      <c r="AK268" s="566"/>
      <c r="AL268" s="566"/>
      <c r="AM268" s="1427"/>
      <c r="AN268" s="996"/>
      <c r="AO268" s="996"/>
      <c r="AP268" s="1012"/>
      <c r="AQ268" s="807"/>
      <c r="AR268" s="552"/>
      <c r="AS268" s="552"/>
      <c r="AT268" s="552"/>
      <c r="AU268" s="552"/>
      <c r="AV268" s="180" t="s">
        <v>551</v>
      </c>
      <c r="AW268" s="329"/>
    </row>
    <row r="269" spans="1:49" ht="77.25" hidden="1" customHeight="1">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85"/>
      <c r="R269" s="69">
        <f>OBRA!Q267</f>
        <v>42951</v>
      </c>
      <c r="S269" s="1327">
        <f>OBRA!T267</f>
        <v>42948</v>
      </c>
      <c r="T269" s="255">
        <f>OBRA!R267</f>
        <v>42954</v>
      </c>
      <c r="U269" s="245">
        <f>OBRA!S267</f>
        <v>42973</v>
      </c>
      <c r="V269" s="387"/>
      <c r="W269" s="651">
        <f>OBRA!AQ267+OBRA!AR267</f>
        <v>359963.34</v>
      </c>
      <c r="X269" s="1198"/>
      <c r="Y269" s="650" t="str">
        <f>OBRA!U267</f>
        <v>ENERGIAS RENOVABLES DE LA RIVERA S.A. DE C.V</v>
      </c>
      <c r="Z269" s="650"/>
      <c r="AA269" s="652" t="s">
        <v>1759</v>
      </c>
      <c r="AB269" s="650" t="s">
        <v>1760</v>
      </c>
      <c r="AC269" s="650"/>
      <c r="AD269" s="200" t="str">
        <f>OBRA!V267</f>
        <v>ING. RIGOBERTO OLMEDO RAMOS</v>
      </c>
      <c r="AE269" s="609">
        <v>1</v>
      </c>
      <c r="AF269" s="202" t="s">
        <v>1577</v>
      </c>
      <c r="AG269" s="694">
        <f t="shared" si="12"/>
        <v>359963.34</v>
      </c>
      <c r="AH269" s="202">
        <v>800</v>
      </c>
      <c r="AI269" s="249" t="s">
        <v>1455</v>
      </c>
      <c r="AJ269" s="566"/>
      <c r="AK269" s="566"/>
      <c r="AL269" s="566"/>
      <c r="AM269" s="900"/>
      <c r="AN269" s="510" t="s">
        <v>1951</v>
      </c>
      <c r="AO269" s="510" t="s">
        <v>1952</v>
      </c>
      <c r="AP269" s="580" t="s">
        <v>1953</v>
      </c>
      <c r="AQ269" s="1288" t="s">
        <v>1954</v>
      </c>
      <c r="AR269" s="542"/>
      <c r="AS269" s="542"/>
      <c r="AT269" s="542"/>
      <c r="AU269" s="542"/>
      <c r="AV269" s="180" t="s">
        <v>551</v>
      </c>
      <c r="AW269" s="329"/>
    </row>
    <row r="270" spans="1:49" ht="72" hidden="1" customHeight="1">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3527</v>
      </c>
      <c r="O270" s="85">
        <f>OBRA!P268</f>
        <v>729291.31</v>
      </c>
      <c r="P270" s="1208">
        <f t="shared" si="11"/>
        <v>628699.40517241391</v>
      </c>
      <c r="Q270" s="1208"/>
      <c r="R270" s="767">
        <f>OBRA!Q268</f>
        <v>42916</v>
      </c>
      <c r="S270" s="1327">
        <f>OBRA!T268</f>
        <v>42912</v>
      </c>
      <c r="T270" s="255">
        <f>OBRA!R268</f>
        <v>42917</v>
      </c>
      <c r="U270" s="245">
        <f>OBRA!S268</f>
        <v>43158</v>
      </c>
      <c r="V270" s="387"/>
      <c r="W270" s="683">
        <f>OBRA!AQ268+OBRA!AR268</f>
        <v>0</v>
      </c>
      <c r="X270" s="1199"/>
      <c r="Y270" s="650" t="str">
        <f>OBRA!U268</f>
        <v>ELECTRIFICACIONES MUGA, S.A. DE C.V.</v>
      </c>
      <c r="Z270" s="650"/>
      <c r="AA270" s="652" t="str">
        <f>Y270</f>
        <v>ELECTRIFICACIONES MUGA, S.A. DE C.V.</v>
      </c>
      <c r="AB270" s="650" t="s">
        <v>1926</v>
      </c>
      <c r="AC270" s="650"/>
      <c r="AD270" s="200" t="str">
        <f>OBRA!V268</f>
        <v>C. DANIEL RODRIGUEZ VALENZUELA</v>
      </c>
      <c r="AE270" s="609">
        <v>81.11</v>
      </c>
      <c r="AF270" s="202" t="s">
        <v>1454</v>
      </c>
      <c r="AG270" s="720">
        <f t="shared" si="12"/>
        <v>0</v>
      </c>
      <c r="AH270" s="426">
        <v>500</v>
      </c>
      <c r="AI270" s="1003" t="s">
        <v>1455</v>
      </c>
      <c r="AJ270" s="1796"/>
      <c r="AK270" s="1796"/>
      <c r="AL270" s="1796"/>
      <c r="AM270" s="1427"/>
      <c r="AN270" s="585"/>
      <c r="AO270" s="996"/>
      <c r="AP270" s="996"/>
      <c r="AQ270" s="1128"/>
      <c r="AR270" s="552"/>
      <c r="AS270" s="552"/>
      <c r="AT270" s="552"/>
      <c r="AU270" s="552"/>
      <c r="AV270" s="180" t="s">
        <v>1295</v>
      </c>
      <c r="AW270" s="329"/>
    </row>
    <row r="271" spans="1:49" s="110" customFormat="1" ht="65.25" hidden="1" customHeight="1">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2"/>
      <c r="R271" s="93">
        <f>OBRA!Q269</f>
        <v>0</v>
      </c>
      <c r="S271" s="1327">
        <f>OBRA!T269</f>
        <v>0</v>
      </c>
      <c r="T271" s="94">
        <f>OBRA!R269</f>
        <v>0</v>
      </c>
      <c r="U271" s="95">
        <f>OBRA!S269</f>
        <v>0</v>
      </c>
      <c r="V271" s="374"/>
      <c r="W271" s="934">
        <f>OBRA!AQ269+OBRA!AR269</f>
        <v>0</v>
      </c>
      <c r="X271" s="947"/>
      <c r="Y271" s="935" t="str">
        <f>OBRA!U269</f>
        <v>-</v>
      </c>
      <c r="Z271" s="935"/>
      <c r="AA271" s="460" t="str">
        <f>Y271</f>
        <v>-</v>
      </c>
      <c r="AB271" s="935" t="s">
        <v>1926</v>
      </c>
      <c r="AC271" s="935"/>
      <c r="AD271" s="199" t="str">
        <f>OBRA!V269</f>
        <v>-</v>
      </c>
      <c r="AE271" s="943">
        <v>81.61</v>
      </c>
      <c r="AF271" s="91" t="s">
        <v>1454</v>
      </c>
      <c r="AG271" s="936">
        <f t="shared" si="12"/>
        <v>0</v>
      </c>
      <c r="AH271" s="91"/>
      <c r="AI271" s="634" t="s">
        <v>1455</v>
      </c>
      <c r="AJ271" s="583"/>
      <c r="AK271" s="583"/>
      <c r="AL271" s="583"/>
      <c r="AM271" s="1426"/>
      <c r="AN271" s="583"/>
      <c r="AO271" s="747"/>
      <c r="AP271" s="944"/>
      <c r="AQ271" s="634"/>
      <c r="AR271" s="564"/>
      <c r="AS271" s="564"/>
      <c r="AT271" s="564"/>
      <c r="AU271" s="564"/>
      <c r="AV271" s="564"/>
      <c r="AW271" s="109"/>
    </row>
    <row r="272" spans="1:49" ht="138" hidden="1" customHeight="1">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3527</v>
      </c>
      <c r="O272" s="85">
        <f>OBRA!P270</f>
        <v>3445881.8</v>
      </c>
      <c r="P272" s="1208">
        <f>O272/1.16</f>
        <v>2970587.7586206896</v>
      </c>
      <c r="Q272" s="1208"/>
      <c r="R272" s="69">
        <f>OBRA!Q270</f>
        <v>42976</v>
      </c>
      <c r="S272" s="1327" t="str">
        <f>OBRA!T270</f>
        <v>-</v>
      </c>
      <c r="T272" s="255">
        <f>OBRA!R270</f>
        <v>42979</v>
      </c>
      <c r="U272" s="245">
        <f>OBRA!S270</f>
        <v>43054</v>
      </c>
      <c r="V272" s="761">
        <f>O272*0.25</f>
        <v>861470.45</v>
      </c>
      <c r="W272" s="651">
        <f>OBRA!AQ270+OBRA!AR270</f>
        <v>3450804.48</v>
      </c>
      <c r="X272" s="1303" t="s">
        <v>2938</v>
      </c>
      <c r="Y272" s="650" t="str">
        <f>OBRA!U270</f>
        <v xml:space="preserve">GRUPO DESARROLLADOR INMOBILIARIO CEMERAMA S.A. DE C.V. </v>
      </c>
      <c r="Z272" s="650"/>
      <c r="AA272" s="652" t="s">
        <v>1837</v>
      </c>
      <c r="AB272" s="650" t="s">
        <v>1838</v>
      </c>
      <c r="AC272" s="650" t="s">
        <v>2936</v>
      </c>
      <c r="AD272" s="200" t="str">
        <f>OBRA!V270</f>
        <v xml:space="preserve">LIC. SALVADOR CONTRERAS </v>
      </c>
      <c r="AE272" s="609">
        <v>216.54</v>
      </c>
      <c r="AF272" s="202" t="s">
        <v>1454</v>
      </c>
      <c r="AG272" s="653">
        <f t="shared" si="12"/>
        <v>15936.106400665005</v>
      </c>
      <c r="AH272" s="202">
        <v>5000</v>
      </c>
      <c r="AI272" s="249" t="s">
        <v>1455</v>
      </c>
      <c r="AJ272" s="566"/>
      <c r="AK272" s="566"/>
      <c r="AL272" s="566"/>
      <c r="AM272" s="1427"/>
      <c r="AN272" s="585"/>
      <c r="AO272" s="717" t="s">
        <v>1957</v>
      </c>
      <c r="AP272" s="580" t="s">
        <v>1958</v>
      </c>
      <c r="AQ272" s="1288" t="s">
        <v>1959</v>
      </c>
      <c r="AR272" s="542"/>
      <c r="AS272" s="542"/>
      <c r="AT272" s="542"/>
      <c r="AU272" s="542"/>
      <c r="AV272" s="180" t="s">
        <v>1295</v>
      </c>
      <c r="AW272" s="329"/>
    </row>
    <row r="273" spans="1:49" ht="152.25" hidden="1" customHeight="1">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3527</v>
      </c>
      <c r="O273" s="85">
        <f>OBRA!P271</f>
        <v>2995704.85</v>
      </c>
      <c r="P273" s="1208">
        <f>O273/1.16</f>
        <v>2582504.181034483</v>
      </c>
      <c r="Q273" s="1208"/>
      <c r="R273" s="69">
        <f>OBRA!Q271</f>
        <v>42949</v>
      </c>
      <c r="S273" s="1327" t="str">
        <f>OBRA!T271</f>
        <v>-</v>
      </c>
      <c r="T273" s="255">
        <f>OBRA!R271</f>
        <v>42982</v>
      </c>
      <c r="U273" s="245">
        <f>OBRA!S271</f>
        <v>43049</v>
      </c>
      <c r="V273" s="761">
        <v>0</v>
      </c>
      <c r="W273" s="651">
        <f>OBRA!AQ271+OBRA!AR271</f>
        <v>2923704.83</v>
      </c>
      <c r="X273" s="1303" t="s">
        <v>2939</v>
      </c>
      <c r="Y273" s="650" t="str">
        <f>OBRA!U271</f>
        <v>PROYECCION INTEGRAL ZURE S.A. DE C.V.</v>
      </c>
      <c r="Z273" s="650"/>
      <c r="AA273" s="652" t="s">
        <v>1961</v>
      </c>
      <c r="AB273" s="650" t="s">
        <v>1962</v>
      </c>
      <c r="AC273" s="650" t="s">
        <v>2937</v>
      </c>
      <c r="AD273" s="200" t="str">
        <f>OBRA!V271</f>
        <v xml:space="preserve">LIC. SALVADOR CONTRERAS </v>
      </c>
      <c r="AE273" s="609">
        <v>927.73</v>
      </c>
      <c r="AF273" s="202" t="s">
        <v>1552</v>
      </c>
      <c r="AG273" s="694">
        <f t="shared" si="12"/>
        <v>3151.4609099630279</v>
      </c>
      <c r="AH273" s="202">
        <v>50000</v>
      </c>
      <c r="AI273" s="249" t="s">
        <v>1455</v>
      </c>
      <c r="AJ273" s="566"/>
      <c r="AK273" s="566"/>
      <c r="AL273" s="566"/>
      <c r="AM273" s="1427"/>
      <c r="AN273" s="717" t="s">
        <v>1963</v>
      </c>
      <c r="AO273" s="717" t="s">
        <v>1964</v>
      </c>
      <c r="AP273" s="580" t="s">
        <v>1965</v>
      </c>
      <c r="AQ273" s="581" t="s">
        <v>1966</v>
      </c>
      <c r="AR273" s="1122"/>
      <c r="AS273" s="1122"/>
      <c r="AT273" s="1122"/>
      <c r="AU273" s="1122"/>
      <c r="AV273" s="180" t="s">
        <v>551</v>
      </c>
      <c r="AW273" s="329"/>
    </row>
    <row r="274" spans="1:49" ht="112.5" hidden="1" customHeight="1">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85"/>
      <c r="R274" s="69">
        <f>OBRA!Q272</f>
        <v>42943</v>
      </c>
      <c r="S274" s="1327">
        <f>OBRA!T272</f>
        <v>42964</v>
      </c>
      <c r="T274" s="255">
        <f>OBRA!R272</f>
        <v>43017</v>
      </c>
      <c r="U274" s="245">
        <f>OBRA!S272</f>
        <v>43087</v>
      </c>
      <c r="V274" s="387"/>
      <c r="W274" s="651">
        <f>OBRA!AQ272+OBRA!AR272</f>
        <v>440285.77</v>
      </c>
      <c r="X274" s="1198"/>
      <c r="Y274" s="650" t="str">
        <f>OBRA!U272</f>
        <v>CONSTRUCTORA DALMA S.A. DE C.V.</v>
      </c>
      <c r="Z274" s="650"/>
      <c r="AA274" s="652" t="s">
        <v>1971</v>
      </c>
      <c r="AB274" s="650" t="s">
        <v>1972</v>
      </c>
      <c r="AC274" s="650"/>
      <c r="AD274" s="200" t="str">
        <f>OBRA!V272</f>
        <v>ARQ. FRANCISCO SALAZAR</v>
      </c>
      <c r="AE274" s="609">
        <v>132</v>
      </c>
      <c r="AF274" s="202" t="s">
        <v>1454</v>
      </c>
      <c r="AG274" s="694">
        <f t="shared" si="12"/>
        <v>3335.4982575757576</v>
      </c>
      <c r="AH274" s="202">
        <v>7810</v>
      </c>
      <c r="AI274" s="249" t="s">
        <v>1455</v>
      </c>
      <c r="AJ274" s="566"/>
      <c r="AK274" s="566"/>
      <c r="AL274" s="566"/>
      <c r="AM274" s="900"/>
      <c r="AN274" s="510" t="s">
        <v>1973</v>
      </c>
      <c r="AO274" s="510" t="s">
        <v>1974</v>
      </c>
      <c r="AP274" s="580" t="s">
        <v>1975</v>
      </c>
      <c r="AQ274" s="581" t="s">
        <v>1976</v>
      </c>
      <c r="AR274" s="1122"/>
      <c r="AS274" s="1122"/>
      <c r="AT274" s="1122"/>
      <c r="AU274" s="1122"/>
      <c r="AV274" s="180" t="s">
        <v>551</v>
      </c>
      <c r="AW274" s="329"/>
    </row>
    <row r="275" spans="1:49" ht="69" hidden="1" customHeight="1">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2640</v>
      </c>
      <c r="N275" s="510" t="s">
        <v>3527</v>
      </c>
      <c r="O275" s="85">
        <f>OBRA!P273</f>
        <v>1254850.92</v>
      </c>
      <c r="P275" s="1208">
        <f>O275/1.16</f>
        <v>1081768.0344827587</v>
      </c>
      <c r="Q275" s="1208"/>
      <c r="R275" s="69">
        <f>OBRA!Q273</f>
        <v>42977</v>
      </c>
      <c r="S275" s="1327">
        <f>OBRA!T273</f>
        <v>42977</v>
      </c>
      <c r="T275" s="255">
        <f>OBRA!R273</f>
        <v>42977</v>
      </c>
      <c r="U275" s="245">
        <f>OBRA!S273</f>
        <v>43008</v>
      </c>
      <c r="V275" s="387"/>
      <c r="W275" s="651">
        <f>OBRA!AQ273+OBRA!AR273</f>
        <v>1254850.9099999999</v>
      </c>
      <c r="X275" s="1198"/>
      <c r="Y275" s="650" t="str">
        <f>OBRA!U273</f>
        <v>ASFALTOS GUADALAJARA, S.A.P.I. DE C.V.</v>
      </c>
      <c r="Z275" s="650"/>
      <c r="AA275" s="652" t="s">
        <v>1978</v>
      </c>
      <c r="AB275" s="650" t="s">
        <v>1923</v>
      </c>
      <c r="AC275" s="650"/>
      <c r="AD275" s="200" t="str">
        <f>OBRA!V273</f>
        <v>ING. ANGEL ALBERTO HERNANDEZ MORA</v>
      </c>
      <c r="AE275" s="174">
        <v>7021</v>
      </c>
      <c r="AF275" s="202" t="s">
        <v>1552</v>
      </c>
      <c r="AG275" s="694">
        <f t="shared" si="12"/>
        <v>178.72823102122203</v>
      </c>
      <c r="AH275" s="202">
        <v>3860</v>
      </c>
      <c r="AI275" s="249" t="s">
        <v>1455</v>
      </c>
      <c r="AJ275" s="566"/>
      <c r="AK275" s="566"/>
      <c r="AL275" s="566"/>
      <c r="AM275" s="1427"/>
      <c r="AN275" s="996"/>
      <c r="AO275" s="996"/>
      <c r="AP275" s="1012"/>
      <c r="AQ275" s="807"/>
      <c r="AR275" s="552"/>
      <c r="AS275" s="552"/>
      <c r="AT275" s="552"/>
      <c r="AU275" s="552"/>
      <c r="AV275" s="180" t="s">
        <v>551</v>
      </c>
      <c r="AW275" s="329"/>
    </row>
    <row r="276" spans="1:49" ht="64.5" hidden="1" customHeight="1">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3527</v>
      </c>
      <c r="O276" s="85">
        <f>OBRA!P274</f>
        <v>1053156.1299999999</v>
      </c>
      <c r="P276" s="1208">
        <f>O276/1.16</f>
        <v>907893.21551724139</v>
      </c>
      <c r="Q276" s="1208"/>
      <c r="R276" s="69">
        <f>OBRA!Q274</f>
        <v>42977</v>
      </c>
      <c r="S276" s="1327">
        <f>OBRA!T274</f>
        <v>42977</v>
      </c>
      <c r="T276" s="255">
        <f>OBRA!R274</f>
        <v>42977</v>
      </c>
      <c r="U276" s="245">
        <f>OBRA!S274</f>
        <v>43053</v>
      </c>
      <c r="V276" s="387"/>
      <c r="W276" s="651">
        <f>OBRA!AQ274+OBRA!AR274</f>
        <v>1053156.97</v>
      </c>
      <c r="X276" s="1198"/>
      <c r="Y276" s="650" t="str">
        <f>OBRA!U274</f>
        <v>ASFALTOS GUADALAJARA, S.A.P.I. DE C.V.</v>
      </c>
      <c r="Z276" s="650"/>
      <c r="AA276" s="652" t="s">
        <v>1978</v>
      </c>
      <c r="AB276" s="650" t="s">
        <v>1923</v>
      </c>
      <c r="AC276" s="650"/>
      <c r="AD276" s="200" t="str">
        <f>OBRA!V274</f>
        <v>ING. ANGEL ALBERTO HERNANDEZ MORA</v>
      </c>
      <c r="AE276" s="174">
        <v>4131.18</v>
      </c>
      <c r="AF276" s="202" t="s">
        <v>1552</v>
      </c>
      <c r="AG276" s="694">
        <f t="shared" si="12"/>
        <v>254.9288508368069</v>
      </c>
      <c r="AH276" s="202">
        <v>10000</v>
      </c>
      <c r="AI276" s="249" t="s">
        <v>1455</v>
      </c>
      <c r="AJ276" s="566"/>
      <c r="AK276" s="566"/>
      <c r="AL276" s="566"/>
      <c r="AM276" s="1427"/>
      <c r="AN276" s="996"/>
      <c r="AO276" s="996"/>
      <c r="AP276" s="1012"/>
      <c r="AQ276" s="807"/>
      <c r="AR276" s="552"/>
      <c r="AS276" s="552"/>
      <c r="AT276" s="552"/>
      <c r="AU276" s="552"/>
      <c r="AV276" s="180" t="s">
        <v>551</v>
      </c>
      <c r="AW276" s="329"/>
    </row>
    <row r="277" spans="1:49" ht="79.5" hidden="1" customHeight="1">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3527</v>
      </c>
      <c r="O277" s="85">
        <f>OBRA!P275</f>
        <v>614358.76</v>
      </c>
      <c r="P277" s="1208">
        <f>O277/1.16</f>
        <v>529619.62068965519</v>
      </c>
      <c r="Q277" s="1208"/>
      <c r="R277" s="69">
        <f>OBRA!Q275</f>
        <v>43007</v>
      </c>
      <c r="S277" s="1327">
        <f>OBRA!T275</f>
        <v>42977</v>
      </c>
      <c r="T277" s="255">
        <f>OBRA!R275</f>
        <v>43010</v>
      </c>
      <c r="U277" s="245">
        <f>OBRA!S275</f>
        <v>43017</v>
      </c>
      <c r="V277" s="387"/>
      <c r="W277" s="651">
        <f>OBRA!AQ275+OBRA!AR275</f>
        <v>614358.76</v>
      </c>
      <c r="X277" s="1198"/>
      <c r="Y277" s="650" t="str">
        <f>OBRA!U275</f>
        <v>ASFALTOS GUADALAJARA, S.A.P.I. DE C.V.</v>
      </c>
      <c r="Z277" s="650"/>
      <c r="AA277" s="652" t="s">
        <v>1978</v>
      </c>
      <c r="AB277" s="650" t="s">
        <v>1923</v>
      </c>
      <c r="AC277" s="650"/>
      <c r="AD277" s="200" t="str">
        <f>OBRA!V275</f>
        <v>ING. ANGEL ALBERTO HERNANDEZ MORA</v>
      </c>
      <c r="AE277" s="174">
        <v>2581.35</v>
      </c>
      <c r="AF277" s="202" t="s">
        <v>1552</v>
      </c>
      <c r="AG277" s="694">
        <f t="shared" si="12"/>
        <v>237.9990160187499</v>
      </c>
      <c r="AH277" s="202">
        <v>800</v>
      </c>
      <c r="AI277" s="249" t="s">
        <v>1455</v>
      </c>
      <c r="AJ277" s="566"/>
      <c r="AK277" s="566"/>
      <c r="AL277" s="566"/>
      <c r="AM277" s="1427"/>
      <c r="AN277" s="996"/>
      <c r="AO277" s="996"/>
      <c r="AP277" s="1012"/>
      <c r="AQ277" s="807"/>
      <c r="AR277" s="552"/>
      <c r="AS277" s="552"/>
      <c r="AT277" s="552"/>
      <c r="AU277" s="552"/>
      <c r="AV277" s="180" t="s">
        <v>551</v>
      </c>
      <c r="AW277" s="329"/>
    </row>
    <row r="278" spans="1:49" ht="105" hidden="1" customHeight="1">
      <c r="A278" s="327">
        <f>OBRA!I276</f>
        <v>2017</v>
      </c>
      <c r="B278" s="896" t="s">
        <v>1567</v>
      </c>
      <c r="C278" s="896"/>
      <c r="D278" s="896"/>
      <c r="E278" s="202" t="str">
        <f>OBRA!K276</f>
        <v>Fondo de proyectos para el Desarrollo Regional</v>
      </c>
      <c r="F278" s="1447"/>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3527</v>
      </c>
      <c r="O278" s="85">
        <f>OBRA!P276</f>
        <v>607706.15</v>
      </c>
      <c r="P278" s="1208">
        <f>O278/1.16</f>
        <v>523884.61206896557</v>
      </c>
      <c r="Q278" s="1208"/>
      <c r="R278" s="69">
        <f>OBRA!Q276</f>
        <v>42992</v>
      </c>
      <c r="S278" s="1327">
        <f>OBRA!T276</f>
        <v>42989</v>
      </c>
      <c r="T278" s="255">
        <f>OBRA!R276</f>
        <v>43059</v>
      </c>
      <c r="U278" s="245">
        <f>OBRA!S276</f>
        <v>43084</v>
      </c>
      <c r="V278" s="387"/>
      <c r="W278" s="651">
        <f>OBRA!AQ276+OBRA!AR276</f>
        <v>607430.92000000004</v>
      </c>
      <c r="X278" s="1198"/>
      <c r="Y278" s="650" t="str">
        <f>OBRA!U276</f>
        <v>ING. SERGIO CABRERA</v>
      </c>
      <c r="Z278" s="650"/>
      <c r="AA278" s="652" t="str">
        <f>Y278</f>
        <v>ING. SERGIO CABRERA</v>
      </c>
      <c r="AB278" s="675" t="s">
        <v>2999</v>
      </c>
      <c r="AC278" s="650" t="s">
        <v>2999</v>
      </c>
      <c r="AD278" s="200" t="str">
        <f>OBRA!V276</f>
        <v>ING. J. GUADALUPE IBARRA RAMIREZ</v>
      </c>
      <c r="AE278" s="174">
        <v>1229.3</v>
      </c>
      <c r="AF278" s="202" t="s">
        <v>1552</v>
      </c>
      <c r="AG278" s="694">
        <f t="shared" si="12"/>
        <v>494.12748718783052</v>
      </c>
      <c r="AH278" s="202">
        <v>6000</v>
      </c>
      <c r="AI278" s="249" t="s">
        <v>1455</v>
      </c>
      <c r="AJ278" s="566"/>
      <c r="AK278" s="566"/>
      <c r="AL278" s="566"/>
      <c r="AM278" s="1427"/>
      <c r="AN278" s="585"/>
      <c r="AO278" s="585"/>
      <c r="AP278" s="1012"/>
      <c r="AQ278" s="807"/>
      <c r="AR278" s="552"/>
      <c r="AS278" s="552"/>
      <c r="AT278" s="552"/>
      <c r="AU278" s="552"/>
      <c r="AV278" s="180" t="s">
        <v>1295</v>
      </c>
      <c r="AW278" s="329"/>
    </row>
    <row r="279" spans="1:49" s="110" customFormat="1" ht="51" hidden="1" customHeight="1">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2"/>
      <c r="R279" s="93">
        <f>OBRA!Q277</f>
        <v>0</v>
      </c>
      <c r="S279" s="1327">
        <f>OBRA!T277</f>
        <v>0</v>
      </c>
      <c r="T279" s="94">
        <f>OBRA!R277</f>
        <v>0</v>
      </c>
      <c r="U279" s="95">
        <f>OBRA!S277</f>
        <v>0</v>
      </c>
      <c r="V279" s="374"/>
      <c r="W279" s="934">
        <f>OBRA!AQ277+OBRA!AR277</f>
        <v>0</v>
      </c>
      <c r="X279" s="947"/>
      <c r="Y279" s="935">
        <f>OBRA!U277</f>
        <v>0</v>
      </c>
      <c r="Z279" s="935"/>
      <c r="AA279" s="460">
        <f>Y279</f>
        <v>0</v>
      </c>
      <c r="AB279" s="935"/>
      <c r="AC279" s="935"/>
      <c r="AD279" s="199">
        <f>OBRA!V277</f>
        <v>0</v>
      </c>
      <c r="AE279" s="90"/>
      <c r="AF279" s="91"/>
      <c r="AG279" s="936" t="e">
        <f t="shared" si="12"/>
        <v>#DIV/0!</v>
      </c>
      <c r="AH279" s="91"/>
      <c r="AI279" s="634"/>
      <c r="AJ279" s="583"/>
      <c r="AK279" s="583"/>
      <c r="AL279" s="583"/>
      <c r="AM279" s="1426"/>
      <c r="AN279" s="583"/>
      <c r="AO279" s="747"/>
      <c r="AP279" s="583"/>
      <c r="AQ279" s="634"/>
      <c r="AR279" s="564"/>
      <c r="AS279" s="564"/>
      <c r="AT279" s="564"/>
      <c r="AU279" s="564"/>
      <c r="AV279" s="564"/>
      <c r="AW279" s="109"/>
    </row>
    <row r="280" spans="1:49" ht="95.25" hidden="1" customHeight="1">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85"/>
      <c r="R280" s="69">
        <f>OBRA!Q278</f>
        <v>43000</v>
      </c>
      <c r="S280" s="1327">
        <f>OBRA!T278</f>
        <v>42999</v>
      </c>
      <c r="T280" s="255">
        <f>OBRA!R278</f>
        <v>43003</v>
      </c>
      <c r="U280" s="245">
        <f>OBRA!S278</f>
        <v>43023</v>
      </c>
      <c r="V280" s="387"/>
      <c r="W280" s="651">
        <f>OBRA!AQ278+OBRA!AR278</f>
        <v>335569.36</v>
      </c>
      <c r="X280" s="1198"/>
      <c r="Y280" s="650" t="str">
        <f>OBRA!U278</f>
        <v>C. JESSICA MONSERRAT RIVERA TORRES</v>
      </c>
      <c r="Z280" s="650"/>
      <c r="AA280" s="652" t="str">
        <f>Y280</f>
        <v>C. JESSICA MONSERRAT RIVERA TORRES</v>
      </c>
      <c r="AB280" s="675" t="s">
        <v>2995</v>
      </c>
      <c r="AC280" s="650" t="s">
        <v>2995</v>
      </c>
      <c r="AD280" s="200" t="str">
        <f>OBRA!V278</f>
        <v>ING. RIGOBERTO OLMEDO RAMOS</v>
      </c>
      <c r="AE280" s="609">
        <v>1</v>
      </c>
      <c r="AF280" s="202" t="s">
        <v>1577</v>
      </c>
      <c r="AG280" s="694">
        <f t="shared" si="12"/>
        <v>335569.36</v>
      </c>
      <c r="AH280" s="202">
        <v>800</v>
      </c>
      <c r="AI280" s="249" t="s">
        <v>1455</v>
      </c>
      <c r="AJ280" s="566"/>
      <c r="AK280" s="566"/>
      <c r="AL280" s="566"/>
      <c r="AM280" s="1427"/>
      <c r="AN280" s="510" t="s">
        <v>1985</v>
      </c>
      <c r="AO280" s="510" t="s">
        <v>1986</v>
      </c>
      <c r="AP280" s="580" t="s">
        <v>1987</v>
      </c>
      <c r="AQ280" s="681" t="s">
        <v>1988</v>
      </c>
      <c r="AR280" s="551"/>
      <c r="AS280" s="551"/>
      <c r="AT280" s="551"/>
      <c r="AU280" s="551"/>
      <c r="AV280" s="180" t="s">
        <v>551</v>
      </c>
      <c r="AW280" s="329"/>
    </row>
    <row r="281" spans="1:49" ht="91.5" hidden="1" customHeight="1">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71" t="s">
        <v>2613</v>
      </c>
      <c r="N281" s="510" t="s">
        <v>3527</v>
      </c>
      <c r="O281" s="85">
        <f>OBRA!P279</f>
        <v>240397.92</v>
      </c>
      <c r="P281" s="1208">
        <f t="shared" ref="P281:P292" si="13">O281/1.16</f>
        <v>207239.58620689658</v>
      </c>
      <c r="Q281" s="1208"/>
      <c r="R281" s="69">
        <f>OBRA!Q279</f>
        <v>42979</v>
      </c>
      <c r="S281" s="1327">
        <f>OBRA!T279</f>
        <v>42978</v>
      </c>
      <c r="T281" s="255">
        <f>OBRA!R279</f>
        <v>42980</v>
      </c>
      <c r="U281" s="245">
        <f>OBRA!S279</f>
        <v>43007</v>
      </c>
      <c r="V281" s="387"/>
      <c r="W281" s="683">
        <f>OBRA!AQ279+OBRA!AR279</f>
        <v>0</v>
      </c>
      <c r="X281" s="1199"/>
      <c r="Y281" s="650" t="str">
        <f>OBRA!U279</f>
        <v>ING. MANUEL PALOS VACA</v>
      </c>
      <c r="Z281" s="650"/>
      <c r="AA281" s="652" t="str">
        <f>Y281</f>
        <v>ING. MANUEL PALOS VACA</v>
      </c>
      <c r="AB281" s="675" t="s">
        <v>2999</v>
      </c>
      <c r="AC281" s="650" t="s">
        <v>2999</v>
      </c>
      <c r="AD281" s="200" t="str">
        <f>OBRA!V279</f>
        <v>ING. ANGEL ALBERTO HERNANDEZ MORA</v>
      </c>
      <c r="AE281" s="1007">
        <v>579.5</v>
      </c>
      <c r="AF281" s="202" t="s">
        <v>1552</v>
      </c>
      <c r="AG281" s="721">
        <f t="shared" si="12"/>
        <v>0</v>
      </c>
      <c r="AH281" s="202">
        <v>100</v>
      </c>
      <c r="AI281" s="249" t="s">
        <v>1447</v>
      </c>
      <c r="AJ281" s="566"/>
      <c r="AK281" s="566"/>
      <c r="AL281" s="566"/>
      <c r="AM281" s="1427"/>
      <c r="AN281" s="585"/>
      <c r="AO281" s="996"/>
      <c r="AP281" s="1012"/>
      <c r="AQ281" s="807"/>
      <c r="AR281" s="552"/>
      <c r="AS281" s="552"/>
      <c r="AT281" s="552"/>
      <c r="AU281" s="552"/>
      <c r="AV281" s="180" t="s">
        <v>1295</v>
      </c>
      <c r="AW281" s="329"/>
    </row>
    <row r="282" spans="1:49" ht="98.25" hidden="1" customHeight="1">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3527</v>
      </c>
      <c r="O282" s="85">
        <f>OBRA!P280</f>
        <v>743056.9</v>
      </c>
      <c r="P282" s="1208">
        <f t="shared" si="13"/>
        <v>640566.29310344835</v>
      </c>
      <c r="Q282" s="1208"/>
      <c r="R282" s="69">
        <f>OBRA!Q280</f>
        <v>43052</v>
      </c>
      <c r="S282" s="1327">
        <f>OBRA!T280</f>
        <v>43049</v>
      </c>
      <c r="T282" s="255">
        <f>OBRA!R280</f>
        <v>43061</v>
      </c>
      <c r="U282" s="245">
        <f>OBRA!S280</f>
        <v>43084</v>
      </c>
      <c r="V282" s="387"/>
      <c r="W282" s="651">
        <f>OBRA!AQ280+OBRA!AR280</f>
        <v>743056.9</v>
      </c>
      <c r="X282" s="1198"/>
      <c r="Y282" s="650" t="str">
        <f>OBRA!U280</f>
        <v>AGUA Y SANEAMIENTO AMBIENTAL S.A. DE C.V.</v>
      </c>
      <c r="Z282" s="650"/>
      <c r="AA282" s="652" t="s">
        <v>1992</v>
      </c>
      <c r="AB282" s="650" t="s">
        <v>1993</v>
      </c>
      <c r="AC282" s="650"/>
      <c r="AD282" s="200" t="str">
        <f>OBRA!V280</f>
        <v>ING. JUAN MANUEL GARCIA ESCOTO</v>
      </c>
      <c r="AE282" s="609">
        <v>1</v>
      </c>
      <c r="AF282" s="202" t="s">
        <v>1577</v>
      </c>
      <c r="AG282" s="694">
        <f t="shared" si="12"/>
        <v>743056.9</v>
      </c>
      <c r="AH282" s="202">
        <v>25000</v>
      </c>
      <c r="AI282" s="249" t="s">
        <v>1455</v>
      </c>
      <c r="AJ282" s="566"/>
      <c r="AK282" s="566"/>
      <c r="AL282" s="566"/>
      <c r="AM282" s="1427"/>
      <c r="AN282" s="996"/>
      <c r="AO282" s="996"/>
      <c r="AP282" s="1012"/>
      <c r="AQ282" s="807"/>
      <c r="AR282" s="552"/>
      <c r="AS282" s="552"/>
      <c r="AT282" s="552"/>
      <c r="AU282" s="552"/>
      <c r="AV282" s="180" t="s">
        <v>551</v>
      </c>
      <c r="AW282" s="329"/>
    </row>
    <row r="283" spans="1:49" ht="92.25" hidden="1" customHeight="1">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2560</v>
      </c>
      <c r="N283" s="510" t="s">
        <v>3527</v>
      </c>
      <c r="O283" s="85">
        <f>OBRA!P281</f>
        <v>493878.63</v>
      </c>
      <c r="P283" s="1208">
        <f t="shared" si="13"/>
        <v>425757.43965517246</v>
      </c>
      <c r="Q283" s="1208"/>
      <c r="R283" s="69">
        <f>OBRA!Q281</f>
        <v>43047</v>
      </c>
      <c r="S283" s="1327">
        <f>OBRA!T281</f>
        <v>43046</v>
      </c>
      <c r="T283" s="255">
        <f>OBRA!R281</f>
        <v>43048</v>
      </c>
      <c r="U283" s="245">
        <f>OBRA!S281</f>
        <v>43086</v>
      </c>
      <c r="V283" s="387"/>
      <c r="W283" s="683">
        <f>OBRA!AQ281+OBRA!AR281</f>
        <v>0</v>
      </c>
      <c r="X283" s="1199"/>
      <c r="Y283" s="650" t="str">
        <f>OBRA!U281</f>
        <v>C. JOSÉ MIGUEL GARCIA VALLE</v>
      </c>
      <c r="Z283" s="650"/>
      <c r="AA283" s="652" t="str">
        <f>Y283</f>
        <v>C. JOSÉ MIGUEL GARCIA VALLE</v>
      </c>
      <c r="AB283" s="675" t="s">
        <v>2999</v>
      </c>
      <c r="AC283" s="650" t="s">
        <v>2999</v>
      </c>
      <c r="AD283" s="200" t="str">
        <f>OBRA!V281</f>
        <v>ARQ. JAIME CONDE GOMEZ</v>
      </c>
      <c r="AE283" s="609">
        <v>340.8</v>
      </c>
      <c r="AF283" s="202" t="s">
        <v>1454</v>
      </c>
      <c r="AG283" s="720">
        <f t="shared" si="12"/>
        <v>0</v>
      </c>
      <c r="AH283" s="202">
        <v>2000</v>
      </c>
      <c r="AI283" s="249" t="s">
        <v>1455</v>
      </c>
      <c r="AJ283" s="566"/>
      <c r="AK283" s="566"/>
      <c r="AL283" s="566"/>
      <c r="AM283" s="1427"/>
      <c r="AN283" s="996"/>
      <c r="AO283" s="996"/>
      <c r="AP283" s="996"/>
      <c r="AQ283" s="632"/>
      <c r="AR283" s="552"/>
      <c r="AS283" s="552"/>
      <c r="AT283" s="552"/>
      <c r="AU283" s="552"/>
      <c r="AV283" s="180"/>
      <c r="AW283" s="329"/>
    </row>
    <row r="284" spans="1:49" ht="108" hidden="1" customHeight="1">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2560</v>
      </c>
      <c r="N284" s="510" t="s">
        <v>3527</v>
      </c>
      <c r="O284" s="85">
        <f>OBRA!P282</f>
        <v>515747.25</v>
      </c>
      <c r="P284" s="1208">
        <f t="shared" si="13"/>
        <v>444609.69827586209</v>
      </c>
      <c r="Q284" s="1208"/>
      <c r="R284" s="69">
        <f>OBRA!Q282</f>
        <v>43047</v>
      </c>
      <c r="S284" s="1327">
        <f>OBRA!T282</f>
        <v>43046</v>
      </c>
      <c r="T284" s="255">
        <f>OBRA!R282</f>
        <v>43048</v>
      </c>
      <c r="U284" s="245">
        <f>OBRA!S282</f>
        <v>43081</v>
      </c>
      <c r="V284" s="387"/>
      <c r="W284" s="683">
        <f>OBRA!AQ282+OBRA!AR282</f>
        <v>0</v>
      </c>
      <c r="X284" s="1199"/>
      <c r="Y284" s="650" t="str">
        <f>OBRA!U282</f>
        <v>C. JOSÉ MIGUEL GARCIA VALLE</v>
      </c>
      <c r="Z284" s="650"/>
      <c r="AA284" s="652" t="str">
        <f>Y284</f>
        <v>C. JOSÉ MIGUEL GARCIA VALLE</v>
      </c>
      <c r="AB284" s="675" t="s">
        <v>2999</v>
      </c>
      <c r="AC284" s="650" t="s">
        <v>2999</v>
      </c>
      <c r="AD284" s="200" t="str">
        <f>OBRA!V282</f>
        <v>ARQ. JAIME CONDE GOMEZ</v>
      </c>
      <c r="AE284" s="609">
        <v>123</v>
      </c>
      <c r="AF284" s="202" t="s">
        <v>1454</v>
      </c>
      <c r="AG284" s="720">
        <f t="shared" si="12"/>
        <v>0</v>
      </c>
      <c r="AH284" s="202">
        <v>2000</v>
      </c>
      <c r="AI284" s="249" t="s">
        <v>1455</v>
      </c>
      <c r="AJ284" s="566"/>
      <c r="AK284" s="566"/>
      <c r="AL284" s="566"/>
      <c r="AM284" s="1427"/>
      <c r="AN284" s="996"/>
      <c r="AO284" s="996"/>
      <c r="AP284" s="996"/>
      <c r="AQ284" s="632"/>
      <c r="AR284" s="552"/>
      <c r="AS284" s="552"/>
      <c r="AT284" s="552"/>
      <c r="AU284" s="552"/>
      <c r="AV284" s="180"/>
      <c r="AW284" s="329"/>
    </row>
    <row r="285" spans="1:49" ht="87" hidden="1" customHeight="1">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2548</v>
      </c>
      <c r="N285" s="510" t="s">
        <v>3527</v>
      </c>
      <c r="O285" s="85">
        <f>OBRA!P283</f>
        <v>392640.25</v>
      </c>
      <c r="P285" s="1208">
        <f t="shared" si="13"/>
        <v>338482.97413793107</v>
      </c>
      <c r="Q285" s="1208"/>
      <c r="R285" s="69">
        <f>OBRA!Q283</f>
        <v>43046</v>
      </c>
      <c r="S285" s="1327">
        <f>OBRA!T283</f>
        <v>43045</v>
      </c>
      <c r="T285" s="255">
        <f>OBRA!R283</f>
        <v>43047</v>
      </c>
      <c r="U285" s="245">
        <f>OBRA!S283</f>
        <v>43078</v>
      </c>
      <c r="V285" s="387"/>
      <c r="W285" s="651">
        <f>OBRA!AQ283+OBRA!AR283</f>
        <v>430050.61</v>
      </c>
      <c r="X285" s="1198"/>
      <c r="Y285" s="650" t="str">
        <f>OBRA!U283</f>
        <v>ING. PEDRO TOPETE LOPEZ</v>
      </c>
      <c r="Z285" s="650"/>
      <c r="AA285" s="652" t="str">
        <f>Y285</f>
        <v>ING. PEDRO TOPETE LOPEZ</v>
      </c>
      <c r="AB285" s="675" t="s">
        <v>2999</v>
      </c>
      <c r="AC285" s="650" t="s">
        <v>2999</v>
      </c>
      <c r="AD285" s="200" t="str">
        <f>OBRA!V283</f>
        <v>ING. ANGEL ALBERTO HERNANDEZ MORA</v>
      </c>
      <c r="AE285" s="609">
        <v>345</v>
      </c>
      <c r="AF285" s="202" t="s">
        <v>1454</v>
      </c>
      <c r="AG285" s="694">
        <f t="shared" si="12"/>
        <v>1246.5235072463768</v>
      </c>
      <c r="AH285" s="202">
        <v>400</v>
      </c>
      <c r="AI285" s="249" t="s">
        <v>1455</v>
      </c>
      <c r="AJ285" s="566"/>
      <c r="AK285" s="566"/>
      <c r="AL285" s="566"/>
      <c r="AM285" s="1427"/>
      <c r="AN285" s="996"/>
      <c r="AO285" s="996"/>
      <c r="AP285" s="1012"/>
      <c r="AQ285" s="1441"/>
      <c r="AR285" s="552"/>
      <c r="AS285" s="552"/>
      <c r="AT285" s="552"/>
      <c r="AU285" s="552"/>
      <c r="AV285" s="180" t="s">
        <v>551</v>
      </c>
      <c r="AW285" s="329"/>
    </row>
    <row r="286" spans="1:49" ht="168.75" hidden="1" customHeight="1">
      <c r="A286" s="327">
        <f>OBRA!I284</f>
        <v>2017</v>
      </c>
      <c r="B286" s="896" t="s">
        <v>1567</v>
      </c>
      <c r="C286" s="896"/>
      <c r="D286" s="896"/>
      <c r="E286" s="202" t="str">
        <f>OBRA!K284</f>
        <v>Fondo de proyectos para el Desarrollo Regional</v>
      </c>
      <c r="F286" s="1447"/>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3527</v>
      </c>
      <c r="O286" s="85">
        <f>OBRA!P284</f>
        <v>794788.72</v>
      </c>
      <c r="P286" s="1208">
        <f t="shared" si="13"/>
        <v>685162.68965517241</v>
      </c>
      <c r="Q286" s="1208"/>
      <c r="R286" s="69">
        <f>OBRA!Q284</f>
        <v>43038</v>
      </c>
      <c r="S286" s="1327">
        <f>OBRA!T284</f>
        <v>43031</v>
      </c>
      <c r="T286" s="255">
        <f>OBRA!R284</f>
        <v>43061</v>
      </c>
      <c r="U286" s="245">
        <f>OBRA!S284</f>
        <v>43084</v>
      </c>
      <c r="V286" s="387"/>
      <c r="W286" s="651">
        <f>OBRA!AQ284+OBRA!AR284</f>
        <v>794762.56</v>
      </c>
      <c r="X286" s="1198"/>
      <c r="Y286" s="650" t="str">
        <f>OBRA!U284</f>
        <v>ING. SERGIO CABRERA</v>
      </c>
      <c r="Z286" s="650"/>
      <c r="AA286" s="652" t="str">
        <f>Y286</f>
        <v>ING. SERGIO CABRERA</v>
      </c>
      <c r="AB286" s="675" t="s">
        <v>2999</v>
      </c>
      <c r="AC286" s="650" t="s">
        <v>2999</v>
      </c>
      <c r="AD286" s="200" t="str">
        <f>OBRA!V284</f>
        <v>ING. J. GUADALUPE IBARRA RAMIREZ</v>
      </c>
      <c r="AE286" s="609">
        <v>1440.01</v>
      </c>
      <c r="AF286" s="202" t="s">
        <v>1552</v>
      </c>
      <c r="AG286" s="653">
        <f t="shared" si="12"/>
        <v>551.91461170408547</v>
      </c>
      <c r="AH286" s="202">
        <v>1000</v>
      </c>
      <c r="AI286" s="249" t="s">
        <v>1455</v>
      </c>
      <c r="AJ286" s="566"/>
      <c r="AK286" s="566"/>
      <c r="AL286" s="566"/>
      <c r="AM286" s="1427"/>
      <c r="AN286" s="996"/>
      <c r="AO286" s="996"/>
      <c r="AP286" s="1012"/>
      <c r="AQ286" s="807"/>
      <c r="AR286" s="552"/>
      <c r="AS286" s="552"/>
      <c r="AT286" s="552"/>
      <c r="AU286" s="552"/>
      <c r="AV286" s="180" t="s">
        <v>551</v>
      </c>
      <c r="AW286" s="329"/>
    </row>
    <row r="287" spans="1:49" ht="84" hidden="1" customHeight="1">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3527</v>
      </c>
      <c r="O287" s="4">
        <f>OBRA!P285</f>
        <v>773560.6</v>
      </c>
      <c r="P287" s="1208">
        <f t="shared" si="13"/>
        <v>666862.58620689658</v>
      </c>
      <c r="Q287" s="1208"/>
      <c r="R287" s="6">
        <f>OBRA!Q285</f>
        <v>43059</v>
      </c>
      <c r="S287" s="1327">
        <f>OBRA!T285</f>
        <v>43003</v>
      </c>
      <c r="T287" s="5">
        <f>OBRA!R285</f>
        <v>43059</v>
      </c>
      <c r="U287" s="12">
        <f>OBRA!S285</f>
        <v>43075</v>
      </c>
      <c r="V287" s="243"/>
      <c r="W287" s="651">
        <f>OBRA!AQ285+OBRA!AR285</f>
        <v>773560.6</v>
      </c>
      <c r="X287" s="1198"/>
      <c r="Y287" s="639" t="str">
        <f>OBRA!U285</f>
        <v>ASFALTOS GUADALAJARA, S.A.P.I. DE C.V.</v>
      </c>
      <c r="Z287" s="639"/>
      <c r="AA287" s="652" t="s">
        <v>1978</v>
      </c>
      <c r="AB287" s="650" t="s">
        <v>1923</v>
      </c>
      <c r="AC287" s="650"/>
      <c r="AD287" s="198" t="str">
        <f>OBRA!V285</f>
        <v>ING. ANGEL ALBERTO HERNANDEZ MORA</v>
      </c>
      <c r="AE287" s="609">
        <v>1969.62</v>
      </c>
      <c r="AF287" s="202" t="s">
        <v>1552</v>
      </c>
      <c r="AG287" s="653">
        <f t="shared" si="12"/>
        <v>392.74611346351071</v>
      </c>
      <c r="AH287" s="202">
        <v>21500</v>
      </c>
      <c r="AI287" s="249" t="s">
        <v>1447</v>
      </c>
      <c r="AJ287" s="566"/>
      <c r="AK287" s="566"/>
      <c r="AL287" s="566"/>
      <c r="AM287" s="1427"/>
      <c r="AN287" s="996"/>
      <c r="AO287" s="996"/>
      <c r="AP287" s="1012"/>
      <c r="AQ287" s="807"/>
      <c r="AR287" s="552"/>
      <c r="AS287" s="552"/>
      <c r="AT287" s="552"/>
      <c r="AU287" s="552"/>
      <c r="AV287" s="180" t="s">
        <v>551</v>
      </c>
      <c r="AW287" s="13"/>
    </row>
    <row r="288" spans="1:49" ht="91.5" hidden="1" customHeight="1">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3527</v>
      </c>
      <c r="O288" s="85">
        <f>OBRA!P286</f>
        <v>928575.62</v>
      </c>
      <c r="P288" s="1208">
        <f t="shared" si="13"/>
        <v>800496.22413793113</v>
      </c>
      <c r="Q288" s="1208"/>
      <c r="R288" s="69">
        <f>OBRA!Q286</f>
        <v>43078</v>
      </c>
      <c r="S288" s="1327">
        <f>OBRA!T286</f>
        <v>43078</v>
      </c>
      <c r="T288" s="255">
        <f>OBRA!R286</f>
        <v>43078</v>
      </c>
      <c r="U288" s="245">
        <f>OBRA!S286</f>
        <v>43099</v>
      </c>
      <c r="V288" s="387"/>
      <c r="W288" s="651">
        <f>OBRA!AQ286+OBRA!AR286</f>
        <v>928575.62</v>
      </c>
      <c r="X288" s="1198"/>
      <c r="Y288" s="650" t="str">
        <f>OBRA!U286</f>
        <v>C. NORMA GORETY DOMINGUEZ CALVARIO</v>
      </c>
      <c r="Z288" s="650"/>
      <c r="AA288" s="652" t="str">
        <f>Y288</f>
        <v>C. NORMA GORETY DOMINGUEZ CALVARIO</v>
      </c>
      <c r="AB288" s="675" t="s">
        <v>2999</v>
      </c>
      <c r="AC288" s="650" t="s">
        <v>2999</v>
      </c>
      <c r="AD288" s="200" t="str">
        <f>OBRA!V286</f>
        <v>ING. JUAN MANUEL GARCIA ESCOTO</v>
      </c>
      <c r="AE288" s="609">
        <v>271.8</v>
      </c>
      <c r="AF288" s="202" t="s">
        <v>1454</v>
      </c>
      <c r="AG288" s="653">
        <f t="shared" si="12"/>
        <v>3416.393009565857</v>
      </c>
      <c r="AH288" s="202">
        <v>21500</v>
      </c>
      <c r="AI288" s="249" t="s">
        <v>1455</v>
      </c>
      <c r="AJ288" s="566"/>
      <c r="AK288" s="566"/>
      <c r="AL288" s="566"/>
      <c r="AM288" s="1427"/>
      <c r="AN288" s="996"/>
      <c r="AO288" s="996"/>
      <c r="AP288" s="1012"/>
      <c r="AQ288" s="807"/>
      <c r="AR288" s="552"/>
      <c r="AS288" s="552"/>
      <c r="AT288" s="552"/>
      <c r="AU288" s="552"/>
      <c r="AV288" s="180" t="s">
        <v>551</v>
      </c>
      <c r="AW288" s="329"/>
    </row>
    <row r="289" spans="1:49" ht="98.25" hidden="1" customHeight="1">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3527</v>
      </c>
      <c r="O289" s="85">
        <f>OBRA!P287</f>
        <v>831598.75</v>
      </c>
      <c r="P289" s="1208">
        <f t="shared" si="13"/>
        <v>716895.47413793113</v>
      </c>
      <c r="Q289" s="1208"/>
      <c r="R289" s="69">
        <f>OBRA!Q287</f>
        <v>43078</v>
      </c>
      <c r="S289" s="1327">
        <f>OBRA!T287</f>
        <v>43078</v>
      </c>
      <c r="T289" s="255">
        <f>OBRA!R287</f>
        <v>43078</v>
      </c>
      <c r="U289" s="245">
        <f>OBRA!S287</f>
        <v>43099</v>
      </c>
      <c r="V289" s="387"/>
      <c r="W289" s="651">
        <f>OBRA!AQ287+OBRA!AR287</f>
        <v>831598.76</v>
      </c>
      <c r="X289" s="1198"/>
      <c r="Y289" s="650" t="str">
        <f>OBRA!U287</f>
        <v>C. NORMA GORETY DOMINGUEZ CALVARIO</v>
      </c>
      <c r="Z289" s="650"/>
      <c r="AA289" s="652" t="str">
        <f>Y289</f>
        <v>C. NORMA GORETY DOMINGUEZ CALVARIO</v>
      </c>
      <c r="AB289" s="675" t="s">
        <v>2999</v>
      </c>
      <c r="AC289" s="650" t="s">
        <v>2999</v>
      </c>
      <c r="AD289" s="200" t="str">
        <f>OBRA!V287</f>
        <v>ING. JUAN MANUEL GARCIA ESCOTO</v>
      </c>
      <c r="AE289" s="609">
        <v>271</v>
      </c>
      <c r="AF289" s="202" t="s">
        <v>1454</v>
      </c>
      <c r="AG289" s="653">
        <f t="shared" si="12"/>
        <v>3068.6301107011072</v>
      </c>
      <c r="AH289" s="202">
        <v>21500</v>
      </c>
      <c r="AI289" s="249" t="s">
        <v>1455</v>
      </c>
      <c r="AJ289" s="566"/>
      <c r="AK289" s="566"/>
      <c r="AL289" s="566"/>
      <c r="AM289" s="1427"/>
      <c r="AN289" s="996"/>
      <c r="AO289" s="996"/>
      <c r="AP289" s="1012"/>
      <c r="AQ289" s="807"/>
      <c r="AR289" s="552"/>
      <c r="AS289" s="552"/>
      <c r="AT289" s="552"/>
      <c r="AU289" s="552"/>
      <c r="AV289" s="180" t="s">
        <v>551</v>
      </c>
      <c r="AW289" s="329"/>
    </row>
    <row r="290" spans="1:49" ht="93.75" hidden="1" customHeight="1">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2548</v>
      </c>
      <c r="N290" s="510" t="s">
        <v>3527</v>
      </c>
      <c r="O290" s="85">
        <f>OBRA!P288</f>
        <v>394058.8</v>
      </c>
      <c r="P290" s="1208">
        <f t="shared" si="13"/>
        <v>339705.86206896551</v>
      </c>
      <c r="Q290" s="1208"/>
      <c r="R290" s="69">
        <f>OBRA!Q288</f>
        <v>43078</v>
      </c>
      <c r="S290" s="1327">
        <f>OBRA!T288</f>
        <v>43078</v>
      </c>
      <c r="T290" s="255">
        <f>OBRA!R288</f>
        <v>43078</v>
      </c>
      <c r="U290" s="245">
        <f>OBRA!S288</f>
        <v>43099</v>
      </c>
      <c r="V290" s="387"/>
      <c r="W290" s="651">
        <f>OBRA!AQ288+OBRA!AR288</f>
        <v>392367.57</v>
      </c>
      <c r="X290" s="1198"/>
      <c r="Y290" s="650" t="str">
        <f>OBRA!U288</f>
        <v>ING. PEDRO TOPETE LOPEZ</v>
      </c>
      <c r="Z290" s="650"/>
      <c r="AA290" s="652" t="str">
        <f>Y290</f>
        <v>ING. PEDRO TOPETE LOPEZ</v>
      </c>
      <c r="AB290" s="675" t="s">
        <v>2999</v>
      </c>
      <c r="AC290" s="650" t="s">
        <v>2999</v>
      </c>
      <c r="AD290" s="200" t="str">
        <f>OBRA!V288</f>
        <v>ING. ANGEL ALBERTO HERNANDEZ MORA</v>
      </c>
      <c r="AE290" s="609">
        <v>250</v>
      </c>
      <c r="AF290" s="202" t="s">
        <v>1454</v>
      </c>
      <c r="AG290" s="694">
        <f t="shared" si="12"/>
        <v>1569.47028</v>
      </c>
      <c r="AH290" s="202">
        <v>400</v>
      </c>
      <c r="AI290" s="249" t="s">
        <v>1455</v>
      </c>
      <c r="AJ290" s="566"/>
      <c r="AK290" s="566"/>
      <c r="AL290" s="566"/>
      <c r="AM290" s="1427"/>
      <c r="AN290" s="996"/>
      <c r="AO290" s="996"/>
      <c r="AP290" s="1012"/>
      <c r="AQ290" s="807"/>
      <c r="AR290" s="552"/>
      <c r="AS290" s="552"/>
      <c r="AT290" s="552"/>
      <c r="AU290" s="552"/>
      <c r="AV290" s="180" t="s">
        <v>551</v>
      </c>
      <c r="AW290" s="329"/>
    </row>
    <row r="291" spans="1:49" ht="99" hidden="1" customHeight="1">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2560</v>
      </c>
      <c r="N291" s="510" t="s">
        <v>3527</v>
      </c>
      <c r="O291" s="85">
        <f>OBRA!P289</f>
        <v>46522.28</v>
      </c>
      <c r="P291" s="1208">
        <f t="shared" si="13"/>
        <v>40105.413793103449</v>
      </c>
      <c r="Q291" s="1208"/>
      <c r="R291" s="69">
        <f>OBRA!Q289</f>
        <v>43077</v>
      </c>
      <c r="S291" s="1327">
        <f>OBRA!T289</f>
        <v>43073</v>
      </c>
      <c r="T291" s="255">
        <f>OBRA!R289</f>
        <v>43078</v>
      </c>
      <c r="U291" s="245">
        <f>OBRA!S289</f>
        <v>43099</v>
      </c>
      <c r="V291" s="387"/>
      <c r="W291" s="651">
        <f>OBRA!AQ289+OBRA!AR289</f>
        <v>46522.58</v>
      </c>
      <c r="X291" s="1198"/>
      <c r="Y291" s="650" t="str">
        <f>OBRA!U289</f>
        <v>C. JOSÉ MIGUEL GARCIA VALLE</v>
      </c>
      <c r="Z291" s="650"/>
      <c r="AA291" s="652" t="str">
        <f>Y291</f>
        <v>C. JOSÉ MIGUEL GARCIA VALLE</v>
      </c>
      <c r="AB291" s="675" t="s">
        <v>2999</v>
      </c>
      <c r="AC291" s="650" t="s">
        <v>2999</v>
      </c>
      <c r="AD291" s="200" t="str">
        <f>OBRA!V289</f>
        <v>LIC. SALVADOR CONTRERAS OLGUÍN</v>
      </c>
      <c r="AE291" s="609">
        <v>15.5</v>
      </c>
      <c r="AF291" s="202" t="s">
        <v>1552</v>
      </c>
      <c r="AG291" s="653">
        <f t="shared" si="12"/>
        <v>3001.4567741935484</v>
      </c>
      <c r="AH291" s="202">
        <v>200</v>
      </c>
      <c r="AI291" s="249" t="s">
        <v>1455</v>
      </c>
      <c r="AJ291" s="566"/>
      <c r="AK291" s="566"/>
      <c r="AL291" s="566"/>
      <c r="AM291" s="1427"/>
      <c r="AN291" s="996"/>
      <c r="AO291" s="996"/>
      <c r="AP291" s="1012"/>
      <c r="AQ291" s="807"/>
      <c r="AR291" s="552"/>
      <c r="AS291" s="552"/>
      <c r="AT291" s="552"/>
      <c r="AU291" s="552"/>
      <c r="AV291" s="180" t="s">
        <v>551</v>
      </c>
      <c r="AW291" s="329"/>
    </row>
    <row r="292" spans="1:49" ht="77.25" hidden="1" customHeight="1">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2560</v>
      </c>
      <c r="N292" s="510" t="s">
        <v>3527</v>
      </c>
      <c r="O292" s="85">
        <f>OBRA!P290</f>
        <v>107544.91</v>
      </c>
      <c r="P292" s="1208">
        <f t="shared" si="13"/>
        <v>92711.129310344841</v>
      </c>
      <c r="Q292" s="1208"/>
      <c r="R292" s="69">
        <f>OBRA!Q290</f>
        <v>43077</v>
      </c>
      <c r="S292" s="1327">
        <f>OBRA!T290</f>
        <v>43073</v>
      </c>
      <c r="T292" s="255">
        <f>OBRA!R290</f>
        <v>43078</v>
      </c>
      <c r="U292" s="245">
        <f>OBRA!S290</f>
        <v>43099</v>
      </c>
      <c r="V292" s="387"/>
      <c r="W292" s="651">
        <f>OBRA!AQ290+OBRA!AR290</f>
        <v>107544.91</v>
      </c>
      <c r="X292" s="1198"/>
      <c r="Y292" s="650" t="str">
        <f>OBRA!U290</f>
        <v>C. JOSÉ MIGUEL GARCIA VALLE</v>
      </c>
      <c r="Z292" s="650"/>
      <c r="AA292" s="652" t="str">
        <f>Y292</f>
        <v>C. JOSÉ MIGUEL GARCIA VALLE</v>
      </c>
      <c r="AB292" s="675" t="s">
        <v>2999</v>
      </c>
      <c r="AC292" s="650" t="s">
        <v>2999</v>
      </c>
      <c r="AD292" s="200" t="str">
        <f>OBRA!V290</f>
        <v>LIC. SALVADOR CONTRERAS OLGUÍN</v>
      </c>
      <c r="AE292" s="609">
        <v>111.83</v>
      </c>
      <c r="AF292" s="202" t="s">
        <v>1454</v>
      </c>
      <c r="AG292" s="653">
        <f t="shared" si="12"/>
        <v>961.6821067692033</v>
      </c>
      <c r="AH292" s="202">
        <v>200</v>
      </c>
      <c r="AI292" s="249" t="s">
        <v>1455</v>
      </c>
      <c r="AJ292" s="566"/>
      <c r="AK292" s="566"/>
      <c r="AL292" s="566"/>
      <c r="AM292" s="1427"/>
      <c r="AN292" s="996"/>
      <c r="AO292" s="996"/>
      <c r="AP292" s="1012"/>
      <c r="AQ292" s="807"/>
      <c r="AR292" s="552"/>
      <c r="AS292" s="552"/>
      <c r="AT292" s="552"/>
      <c r="AU292" s="552"/>
      <c r="AV292" s="180" t="s">
        <v>551</v>
      </c>
      <c r="AW292" s="329"/>
    </row>
    <row r="293" spans="1:49" ht="110.25" hidden="1" customHeight="1">
      <c r="A293" s="327">
        <f>OBRA!I291</f>
        <v>2018</v>
      </c>
      <c r="B293" s="896" t="s">
        <v>1567</v>
      </c>
      <c r="C293" s="896">
        <v>180.1</v>
      </c>
      <c r="D293" s="896"/>
      <c r="E293" s="202" t="str">
        <f>OBRA!K291</f>
        <v>FONDEREG</v>
      </c>
      <c r="F293" s="554" t="s">
        <v>3708</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3270</v>
      </c>
      <c r="M293" s="328" t="s">
        <v>1979</v>
      </c>
      <c r="N293" s="554" t="s">
        <v>3528</v>
      </c>
      <c r="O293" s="85">
        <f>OBRA!P291</f>
        <v>1634531.02</v>
      </c>
      <c r="P293" s="1208">
        <f t="shared" ref="P293:P299" si="14">O293/1.16</f>
        <v>1409078.4655172415</v>
      </c>
      <c r="Q293" s="1208"/>
      <c r="R293" s="69">
        <f>OBRA!Q291</f>
        <v>43223</v>
      </c>
      <c r="S293" s="1327" t="str">
        <f>OBRA!T291</f>
        <v>-</v>
      </c>
      <c r="T293" s="255" t="str">
        <f>OBRA!R291</f>
        <v>-</v>
      </c>
      <c r="U293" s="245" t="str">
        <f>OBRA!S291</f>
        <v>-</v>
      </c>
      <c r="V293" s="761">
        <v>0</v>
      </c>
      <c r="W293" s="651">
        <f>W324+W328</f>
        <v>2724219.4400000004</v>
      </c>
      <c r="X293" s="1390" t="s">
        <v>68</v>
      </c>
      <c r="Y293" s="650" t="str">
        <f>OBRA!U291</f>
        <v>N/A</v>
      </c>
      <c r="Z293" s="650"/>
      <c r="AA293" s="652" t="str">
        <f t="shared" ref="AA293:AA316" si="15">Y293</f>
        <v>N/A</v>
      </c>
      <c r="AB293" s="675" t="s">
        <v>2999</v>
      </c>
      <c r="AC293" s="650" t="s">
        <v>2999</v>
      </c>
      <c r="AD293" s="200" t="str">
        <f>OBRA!V291</f>
        <v>-</v>
      </c>
      <c r="AE293" s="609"/>
      <c r="AF293" s="202"/>
      <c r="AG293" s="653" t="e">
        <f t="shared" ref="AG293:AG324" si="16">W293/AE293</f>
        <v>#DIV/0!</v>
      </c>
      <c r="AH293" s="202"/>
      <c r="AI293" s="249"/>
      <c r="AJ293" s="566"/>
      <c r="AK293" s="566"/>
      <c r="AL293" s="566"/>
      <c r="AM293" s="900" t="s">
        <v>3708</v>
      </c>
      <c r="AN293" s="510" t="s">
        <v>68</v>
      </c>
      <c r="AO293" s="510" t="s">
        <v>68</v>
      </c>
      <c r="AP293" s="580" t="s">
        <v>68</v>
      </c>
      <c r="AQ293" s="581" t="s">
        <v>68</v>
      </c>
      <c r="AR293" s="1139" t="s">
        <v>68</v>
      </c>
      <c r="AS293" s="1139" t="s">
        <v>68</v>
      </c>
      <c r="AT293" s="1139" t="s">
        <v>68</v>
      </c>
      <c r="AU293" s="1139" t="s">
        <v>68</v>
      </c>
      <c r="AV293" s="180" t="s">
        <v>551</v>
      </c>
      <c r="AW293" s="329"/>
    </row>
    <row r="294" spans="1:49" ht="100.5" hidden="1" customHeight="1">
      <c r="A294" s="327">
        <f>OBRA!I292</f>
        <v>2018</v>
      </c>
      <c r="B294" s="896" t="s">
        <v>1567</v>
      </c>
      <c r="C294" s="896">
        <v>180.2</v>
      </c>
      <c r="D294" s="896"/>
      <c r="E294" s="202" t="str">
        <f>OBRA!K292</f>
        <v>FONDEREG</v>
      </c>
      <c r="F294" s="554" t="s">
        <v>3708</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3272</v>
      </c>
      <c r="M294" s="328" t="s">
        <v>1979</v>
      </c>
      <c r="N294" s="554" t="s">
        <v>3528</v>
      </c>
      <c r="O294" s="85">
        <f>OBRA!P292</f>
        <v>724057.5</v>
      </c>
      <c r="P294" s="1208">
        <f t="shared" si="14"/>
        <v>624187.5</v>
      </c>
      <c r="Q294" s="1208"/>
      <c r="R294" s="69">
        <f>OBRA!Q292</f>
        <v>43223</v>
      </c>
      <c r="S294" s="1327">
        <f>OBRA!T292</f>
        <v>0</v>
      </c>
      <c r="T294" s="255" t="str">
        <f>OBRA!R292</f>
        <v>-</v>
      </c>
      <c r="U294" s="245" t="str">
        <f>OBRA!S292</f>
        <v>-</v>
      </c>
      <c r="V294" s="761">
        <v>0</v>
      </c>
      <c r="W294" s="651">
        <f>W327</f>
        <v>724036.92</v>
      </c>
      <c r="X294" s="1391" t="s">
        <v>68</v>
      </c>
      <c r="Y294" s="650" t="str">
        <f>OBRA!U292</f>
        <v>N/A</v>
      </c>
      <c r="Z294" s="650"/>
      <c r="AA294" s="652" t="str">
        <f t="shared" si="15"/>
        <v>N/A</v>
      </c>
      <c r="AB294" s="675" t="s">
        <v>2999</v>
      </c>
      <c r="AC294" s="650" t="s">
        <v>2999</v>
      </c>
      <c r="AD294" s="200" t="str">
        <f>OBRA!V292</f>
        <v>-</v>
      </c>
      <c r="AE294" s="609"/>
      <c r="AF294" s="202"/>
      <c r="AG294" s="653" t="e">
        <f t="shared" si="16"/>
        <v>#DIV/0!</v>
      </c>
      <c r="AH294" s="202"/>
      <c r="AI294" s="249"/>
      <c r="AJ294" s="566"/>
      <c r="AK294" s="566"/>
      <c r="AL294" s="566"/>
      <c r="AM294" s="900" t="s">
        <v>3708</v>
      </c>
      <c r="AN294" s="510" t="s">
        <v>68</v>
      </c>
      <c r="AO294" s="510" t="s">
        <v>68</v>
      </c>
      <c r="AP294" s="580" t="s">
        <v>68</v>
      </c>
      <c r="AQ294" s="581" t="s">
        <v>68</v>
      </c>
      <c r="AR294" s="1139" t="s">
        <v>68</v>
      </c>
      <c r="AS294" s="1139" t="s">
        <v>68</v>
      </c>
      <c r="AT294" s="1139" t="s">
        <v>68</v>
      </c>
      <c r="AU294" s="1139" t="s">
        <v>68</v>
      </c>
      <c r="AV294" s="180" t="s">
        <v>551</v>
      </c>
      <c r="AW294" s="329"/>
    </row>
    <row r="295" spans="1:49" ht="276" hidden="1" customHeight="1">
      <c r="A295" s="327">
        <f>OBRA!I293</f>
        <v>2018</v>
      </c>
      <c r="B295" s="896" t="s">
        <v>1567</v>
      </c>
      <c r="C295" s="896">
        <v>180.3</v>
      </c>
      <c r="D295" s="896"/>
      <c r="E295" s="202" t="str">
        <f>OBRA!K293</f>
        <v xml:space="preserve">PROYECTOS DESARROLLO REGIONAL </v>
      </c>
      <c r="F295" s="554" t="s">
        <v>3708</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3273</v>
      </c>
      <c r="M295" s="328" t="s">
        <v>3274</v>
      </c>
      <c r="N295" s="554" t="s">
        <v>3528</v>
      </c>
      <c r="O295" s="85">
        <f>OBRA!P293</f>
        <v>2900000</v>
      </c>
      <c r="P295" s="1208">
        <f t="shared" si="14"/>
        <v>2500000</v>
      </c>
      <c r="Q295" s="1208"/>
      <c r="R295" s="69">
        <f>OBRA!Q293</f>
        <v>43199</v>
      </c>
      <c r="S295" s="1327">
        <f>OBRA!T293</f>
        <v>0</v>
      </c>
      <c r="T295" s="255" t="str">
        <f>OBRA!R293</f>
        <v>-</v>
      </c>
      <c r="U295" s="245" t="str">
        <f>OBRA!S293</f>
        <v>-</v>
      </c>
      <c r="V295" s="761">
        <v>0</v>
      </c>
      <c r="W295" s="651">
        <f>W306+W311+W312</f>
        <v>2814803.33</v>
      </c>
      <c r="X295" s="1198" t="s">
        <v>68</v>
      </c>
      <c r="Y295" s="650" t="str">
        <f>OBRA!U293</f>
        <v>N/A</v>
      </c>
      <c r="Z295" s="650"/>
      <c r="AA295" s="652" t="str">
        <f t="shared" si="15"/>
        <v>N/A</v>
      </c>
      <c r="AB295" s="675" t="s">
        <v>2999</v>
      </c>
      <c r="AC295" s="650" t="s">
        <v>2999</v>
      </c>
      <c r="AD295" s="200" t="str">
        <f>OBRA!V293</f>
        <v>-</v>
      </c>
      <c r="AE295" s="609"/>
      <c r="AF295" s="202"/>
      <c r="AG295" s="653" t="e">
        <f t="shared" si="16"/>
        <v>#DIV/0!</v>
      </c>
      <c r="AH295" s="202"/>
      <c r="AI295" s="249"/>
      <c r="AJ295" s="566"/>
      <c r="AK295" s="566"/>
      <c r="AL295" s="566"/>
      <c r="AM295" s="900" t="s">
        <v>3708</v>
      </c>
      <c r="AN295" s="510" t="s">
        <v>68</v>
      </c>
      <c r="AO295" s="510" t="s">
        <v>68</v>
      </c>
      <c r="AP295" s="580" t="s">
        <v>68</v>
      </c>
      <c r="AQ295" s="581" t="s">
        <v>68</v>
      </c>
      <c r="AR295" s="1139" t="s">
        <v>68</v>
      </c>
      <c r="AS295" s="1139" t="s">
        <v>68</v>
      </c>
      <c r="AT295" s="1139" t="s">
        <v>68</v>
      </c>
      <c r="AU295" s="1139" t="s">
        <v>68</v>
      </c>
      <c r="AV295" s="180" t="s">
        <v>551</v>
      </c>
      <c r="AW295" s="329"/>
    </row>
    <row r="296" spans="1:49" ht="127.5" hidden="1" customHeight="1">
      <c r="A296" s="327">
        <f>OBRA!I294</f>
        <v>2018</v>
      </c>
      <c r="B296" s="896" t="s">
        <v>1567</v>
      </c>
      <c r="C296" s="896">
        <v>181.01</v>
      </c>
      <c r="D296" s="896"/>
      <c r="E296" s="202" t="str">
        <f>OBRA!K294</f>
        <v>CUENTA CORRIENTE</v>
      </c>
      <c r="F296" s="1705"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4217</v>
      </c>
      <c r="M296" s="597" t="s">
        <v>1979</v>
      </c>
      <c r="N296" s="585" t="s">
        <v>4219</v>
      </c>
      <c r="O296" s="85">
        <f>OBRA!P294</f>
        <v>89200</v>
      </c>
      <c r="P296" s="1208">
        <f t="shared" si="14"/>
        <v>76896.551724137942</v>
      </c>
      <c r="Q296" s="1208"/>
      <c r="R296" s="69">
        <f>OBRA!Q294</f>
        <v>43133</v>
      </c>
      <c r="S296" s="1327" t="str">
        <f>OBRA!T294</f>
        <v>-</v>
      </c>
      <c r="T296" s="255">
        <f>OBRA!R294</f>
        <v>43143</v>
      </c>
      <c r="U296" s="245">
        <f>OBRA!S294</f>
        <v>43210</v>
      </c>
      <c r="V296" s="761">
        <v>0</v>
      </c>
      <c r="W296" s="651">
        <f>OBRA!AQ294+OBRA!AR294</f>
        <v>0</v>
      </c>
      <c r="X296" s="1198" t="s">
        <v>68</v>
      </c>
      <c r="Y296" s="650" t="str">
        <f>OBRA!U294</f>
        <v>N/A</v>
      </c>
      <c r="Z296" s="650"/>
      <c r="AA296" s="652" t="str">
        <f t="shared" si="15"/>
        <v>N/A</v>
      </c>
      <c r="AB296" s="675" t="s">
        <v>1177</v>
      </c>
      <c r="AC296" s="650" t="s">
        <v>1177</v>
      </c>
      <c r="AD296" s="200" t="str">
        <f>OBRA!V294</f>
        <v>ING. JUAN MANUEL GARCIA ESCOTO</v>
      </c>
      <c r="AE296" s="1706"/>
      <c r="AF296" s="560"/>
      <c r="AG296" s="682" t="e">
        <f t="shared" si="16"/>
        <v>#DIV/0!</v>
      </c>
      <c r="AH296" s="560"/>
      <c r="AI296" s="632"/>
      <c r="AJ296" s="556"/>
      <c r="AK296" s="556"/>
      <c r="AL296" s="556"/>
      <c r="AM296" s="1427"/>
      <c r="AN296" s="996"/>
      <c r="AO296" s="996"/>
      <c r="AP296" s="1012"/>
      <c r="AQ296" s="807"/>
      <c r="AR296" s="1139" t="s">
        <v>68</v>
      </c>
      <c r="AS296" s="1139" t="s">
        <v>68</v>
      </c>
      <c r="AT296" s="1139" t="s">
        <v>68</v>
      </c>
      <c r="AU296" s="1139" t="s">
        <v>68</v>
      </c>
      <c r="AV296" s="180"/>
      <c r="AW296" s="329"/>
    </row>
    <row r="297" spans="1:49" ht="108.75" hidden="1" customHeight="1">
      <c r="A297" s="17">
        <f>OBRA!I295</f>
        <v>2018</v>
      </c>
      <c r="B297" s="896" t="s">
        <v>1567</v>
      </c>
      <c r="C297" s="896">
        <v>181.02</v>
      </c>
      <c r="D297" s="896"/>
      <c r="E297" s="2" t="str">
        <f>OBRA!K295</f>
        <v>CUENTA CORRIENTE</v>
      </c>
      <c r="F297" s="1705"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2539</v>
      </c>
      <c r="N297" s="996" t="s">
        <v>4220</v>
      </c>
      <c r="O297" s="4">
        <f>OBRA!P295</f>
        <v>187043.52</v>
      </c>
      <c r="P297" s="1208">
        <f t="shared" si="14"/>
        <v>161244.41379310345</v>
      </c>
      <c r="Q297" s="1208"/>
      <c r="R297" s="6">
        <f>OBRA!Q295</f>
        <v>43133</v>
      </c>
      <c r="S297" s="1327" t="str">
        <f>OBRA!T295</f>
        <v>-</v>
      </c>
      <c r="T297" s="5">
        <f>OBRA!R295</f>
        <v>43137</v>
      </c>
      <c r="U297" s="12">
        <f>OBRA!S295</f>
        <v>43210</v>
      </c>
      <c r="V297" s="240">
        <v>0</v>
      </c>
      <c r="W297" s="651">
        <f>OBRA!AQ295+OBRA!AR295</f>
        <v>0</v>
      </c>
      <c r="X297" s="1199"/>
      <c r="Y297" s="639" t="str">
        <f>OBRA!U295</f>
        <v>N/A</v>
      </c>
      <c r="Z297" s="639"/>
      <c r="AA297" s="640" t="str">
        <f t="shared" si="15"/>
        <v>N/A</v>
      </c>
      <c r="AB297" s="675" t="s">
        <v>1177</v>
      </c>
      <c r="AC297" s="650" t="s">
        <v>1177</v>
      </c>
      <c r="AD297" s="198" t="str">
        <f>OBRA!V295</f>
        <v>ING. JUAN MANUEL GARCIA ESCOTO</v>
      </c>
      <c r="AE297" s="609">
        <v>3142.4</v>
      </c>
      <c r="AF297" s="2" t="s">
        <v>1552</v>
      </c>
      <c r="AG297" s="682">
        <f t="shared" si="16"/>
        <v>0</v>
      </c>
      <c r="AH297" s="202">
        <v>250</v>
      </c>
      <c r="AI297" s="249" t="s">
        <v>1455</v>
      </c>
      <c r="AJ297" s="566"/>
      <c r="AK297" s="566"/>
      <c r="AL297" s="566"/>
      <c r="AM297" s="996"/>
      <c r="AN297" s="585"/>
      <c r="AO297" s="585"/>
      <c r="AP297" s="1012"/>
      <c r="AQ297" s="632"/>
      <c r="AR297" s="1494" t="s">
        <v>68</v>
      </c>
      <c r="AS297" s="1495" t="s">
        <v>68</v>
      </c>
      <c r="AT297" s="1483"/>
      <c r="AU297" s="1488"/>
      <c r="AV297" s="35"/>
      <c r="AW297" s="13"/>
    </row>
    <row r="298" spans="1:49" ht="134.25" hidden="1" customHeight="1">
      <c r="A298" s="17">
        <f>OBRA!I296</f>
        <v>2018</v>
      </c>
      <c r="B298" s="896" t="s">
        <v>1567</v>
      </c>
      <c r="C298" s="896">
        <v>181.03</v>
      </c>
      <c r="D298" s="896"/>
      <c r="E298" s="2" t="str">
        <f>OBRA!K296</f>
        <v>CUENTA CORRIENTE</v>
      </c>
      <c r="F298" s="1705"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2548</v>
      </c>
      <c r="N298" s="996" t="s">
        <v>4221</v>
      </c>
      <c r="O298" s="4">
        <f>OBRA!P296</f>
        <v>22000</v>
      </c>
      <c r="P298" s="1208">
        <f t="shared" si="14"/>
        <v>18965.517241379312</v>
      </c>
      <c r="Q298" s="1208"/>
      <c r="R298" s="6">
        <f>OBRA!Q296</f>
        <v>43130</v>
      </c>
      <c r="S298" s="1327" t="str">
        <f>OBRA!T296</f>
        <v>-</v>
      </c>
      <c r="T298" s="5">
        <f>OBRA!R296</f>
        <v>43131</v>
      </c>
      <c r="U298" s="12">
        <f>OBRA!S296</f>
        <v>43159</v>
      </c>
      <c r="V298" s="240">
        <v>0</v>
      </c>
      <c r="W298" s="651">
        <f>OBRA!AQ296+OBRA!AR296</f>
        <v>0</v>
      </c>
      <c r="X298" s="1199"/>
      <c r="Y298" s="639" t="str">
        <f>OBRA!U296</f>
        <v>N/A</v>
      </c>
      <c r="Z298" s="639"/>
      <c r="AA298" s="640" t="str">
        <f t="shared" si="15"/>
        <v>N/A</v>
      </c>
      <c r="AB298" s="675" t="s">
        <v>1177</v>
      </c>
      <c r="AC298" s="650" t="s">
        <v>1177</v>
      </c>
      <c r="AD298" s="198" t="str">
        <f>OBRA!V296</f>
        <v>ING. JUAN MANUEL GARCIA ESCOTO</v>
      </c>
      <c r="AE298" s="174">
        <f>138+154</f>
        <v>292</v>
      </c>
      <c r="AF298" s="2" t="s">
        <v>1454</v>
      </c>
      <c r="AG298" s="682">
        <f t="shared" si="16"/>
        <v>0</v>
      </c>
      <c r="AH298" s="202">
        <v>1000</v>
      </c>
      <c r="AI298" s="249" t="s">
        <v>1455</v>
      </c>
      <c r="AJ298" s="566"/>
      <c r="AK298" s="566"/>
      <c r="AL298" s="566"/>
      <c r="AM298" s="996"/>
      <c r="AN298" s="585"/>
      <c r="AO298" s="585"/>
      <c r="AP298" s="1012"/>
      <c r="AQ298" s="632"/>
      <c r="AR298" s="1494" t="s">
        <v>68</v>
      </c>
      <c r="AS298" s="1495" t="s">
        <v>68</v>
      </c>
      <c r="AT298" s="1483"/>
      <c r="AU298" s="1488"/>
      <c r="AV298" s="35"/>
      <c r="AW298" s="13"/>
    </row>
    <row r="299" spans="1:49" ht="85.5" hidden="1" customHeight="1">
      <c r="A299" s="17">
        <f>OBRA!I297</f>
        <v>2018</v>
      </c>
      <c r="B299" s="896" t="s">
        <v>1567</v>
      </c>
      <c r="C299" s="896">
        <v>181.04</v>
      </c>
      <c r="D299" s="896"/>
      <c r="E299" s="2" t="str">
        <f>OBRA!K297</f>
        <v>CUENTA CORRIENTE</v>
      </c>
      <c r="F299" s="1705"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4222</v>
      </c>
      <c r="O299" s="4">
        <f>OBRA!P297</f>
        <v>187044.63</v>
      </c>
      <c r="P299" s="1208">
        <f t="shared" si="14"/>
        <v>161245.37068965519</v>
      </c>
      <c r="Q299" s="1208"/>
      <c r="R299" s="6">
        <f>OBRA!Q297</f>
        <v>43140</v>
      </c>
      <c r="S299" s="1327" t="str">
        <f>OBRA!T297</f>
        <v>-</v>
      </c>
      <c r="T299" s="5">
        <f>OBRA!R297</f>
        <v>43143</v>
      </c>
      <c r="U299" s="12">
        <f>OBRA!S297</f>
        <v>43245</v>
      </c>
      <c r="V299" s="240">
        <v>0</v>
      </c>
      <c r="W299" s="651">
        <f>OBRA!AQ297+OBRA!AR297</f>
        <v>40450</v>
      </c>
      <c r="X299" s="1199"/>
      <c r="Y299" s="650" t="str">
        <f>OBRA!U297</f>
        <v>N/A</v>
      </c>
      <c r="Z299" s="650"/>
      <c r="AA299" s="652" t="str">
        <f t="shared" si="15"/>
        <v>N/A</v>
      </c>
      <c r="AB299" s="675" t="s">
        <v>1177</v>
      </c>
      <c r="AC299" s="650" t="s">
        <v>1177</v>
      </c>
      <c r="AD299" s="200" t="str">
        <f>OBRA!V297</f>
        <v>ARQ. JAIME CONDE GOMEZ</v>
      </c>
      <c r="AE299" s="174">
        <v>1</v>
      </c>
      <c r="AF299" s="202" t="s">
        <v>1577</v>
      </c>
      <c r="AG299" s="653">
        <f t="shared" si="16"/>
        <v>40450</v>
      </c>
      <c r="AH299" s="202">
        <v>48000</v>
      </c>
      <c r="AI299" s="249" t="s">
        <v>1455</v>
      </c>
      <c r="AJ299" s="566"/>
      <c r="AK299" s="566"/>
      <c r="AL299" s="566"/>
      <c r="AM299" s="996"/>
      <c r="AN299" s="585"/>
      <c r="AO299" s="585"/>
      <c r="AP299" s="1012"/>
      <c r="AQ299" s="632"/>
      <c r="AR299" s="1494" t="s">
        <v>68</v>
      </c>
      <c r="AS299" s="1495" t="s">
        <v>68</v>
      </c>
      <c r="AT299" s="1483"/>
      <c r="AU299" s="1488"/>
      <c r="AV299" s="35"/>
      <c r="AW299" s="13"/>
    </row>
    <row r="300" spans="1:49" s="110" customFormat="1" ht="51" hidden="1" customHeight="1">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2"/>
      <c r="R300" s="93">
        <f>OBRA!Q298</f>
        <v>0</v>
      </c>
      <c r="S300" s="1327" t="str">
        <f>OBRA!T298</f>
        <v>-</v>
      </c>
      <c r="T300" s="94">
        <f>OBRA!R298</f>
        <v>0</v>
      </c>
      <c r="U300" s="95">
        <f>OBRA!S298</f>
        <v>0</v>
      </c>
      <c r="V300" s="374"/>
      <c r="W300" s="934">
        <f>OBRA!AQ298+OBRA!AR298</f>
        <v>0</v>
      </c>
      <c r="X300" s="947"/>
      <c r="Y300" s="935" t="str">
        <f>OBRA!U298</f>
        <v>-</v>
      </c>
      <c r="Z300" s="935"/>
      <c r="AA300" s="460" t="str">
        <f t="shared" si="15"/>
        <v>-</v>
      </c>
      <c r="AB300" s="1237" t="s">
        <v>1177</v>
      </c>
      <c r="AC300" s="935" t="s">
        <v>1177</v>
      </c>
      <c r="AD300" s="199">
        <f>OBRA!V298</f>
        <v>0</v>
      </c>
      <c r="AE300" s="90"/>
      <c r="AF300" s="91"/>
      <c r="AG300" s="936" t="e">
        <f t="shared" si="16"/>
        <v>#DIV/0!</v>
      </c>
      <c r="AH300" s="91"/>
      <c r="AI300" s="634"/>
      <c r="AJ300" s="583"/>
      <c r="AK300" s="583"/>
      <c r="AL300" s="583"/>
      <c r="AM300" s="1426"/>
      <c r="AN300" s="583"/>
      <c r="AO300" s="747"/>
      <c r="AP300" s="583"/>
      <c r="AQ300" s="634"/>
      <c r="AR300" s="564"/>
      <c r="AS300" s="564"/>
      <c r="AT300" s="564"/>
      <c r="AU300" s="564"/>
      <c r="AV300" s="564"/>
      <c r="AW300" s="109"/>
    </row>
    <row r="301" spans="1:49" ht="98.25" hidden="1" customHeight="1">
      <c r="A301" s="17">
        <f>OBRA!I299</f>
        <v>2018</v>
      </c>
      <c r="B301" s="896" t="s">
        <v>1567</v>
      </c>
      <c r="C301" s="896">
        <v>181.06</v>
      </c>
      <c r="D301" s="896"/>
      <c r="E301" s="2" t="str">
        <f>OBRA!K299</f>
        <v>CUENTA CORRIENTE</v>
      </c>
      <c r="F301" s="1604"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2542</v>
      </c>
      <c r="N301" s="597"/>
      <c r="O301" s="85">
        <f>OBRA!P299</f>
        <v>2900000</v>
      </c>
      <c r="P301" s="1208">
        <f>O301/1.16</f>
        <v>2500000</v>
      </c>
      <c r="Q301" s="1208"/>
      <c r="R301" s="69">
        <f>OBRA!Q299</f>
        <v>43199</v>
      </c>
      <c r="S301" s="1327" t="str">
        <f>OBRA!T299</f>
        <v>-</v>
      </c>
      <c r="T301" s="521" t="str">
        <f>OBRA!R299</f>
        <v>-</v>
      </c>
      <c r="U301" s="559" t="str">
        <f>OBRA!S299</f>
        <v>-</v>
      </c>
      <c r="V301" s="240">
        <v>0</v>
      </c>
      <c r="W301" s="683">
        <f>OBRA!AQ299+OBRA!AR299</f>
        <v>0</v>
      </c>
      <c r="X301" s="1199"/>
      <c r="Y301" s="650" t="str">
        <f>OBRA!U299</f>
        <v>N/A</v>
      </c>
      <c r="Z301" s="650"/>
      <c r="AA301" s="652" t="str">
        <f t="shared" si="15"/>
        <v>N/A</v>
      </c>
      <c r="AB301" s="675" t="s">
        <v>1177</v>
      </c>
      <c r="AC301" s="650" t="s">
        <v>1177</v>
      </c>
      <c r="AD301" s="608" t="str">
        <f>OBRA!V299</f>
        <v>-</v>
      </c>
      <c r="AE301" s="169"/>
      <c r="AF301" s="426" t="s">
        <v>1454</v>
      </c>
      <c r="AG301" s="682" t="e">
        <f t="shared" si="16"/>
        <v>#DIV/0!</v>
      </c>
      <c r="AH301" s="426">
        <v>100</v>
      </c>
      <c r="AI301" s="1003" t="s">
        <v>1447</v>
      </c>
      <c r="AJ301" s="1796"/>
      <c r="AK301" s="1796"/>
      <c r="AL301" s="1796"/>
      <c r="AM301" s="585"/>
      <c r="AN301" s="585"/>
      <c r="AO301" s="585"/>
      <c r="AP301" s="560"/>
      <c r="AQ301" s="632"/>
      <c r="AR301" s="1494" t="s">
        <v>68</v>
      </c>
      <c r="AS301" s="1495" t="s">
        <v>68</v>
      </c>
      <c r="AT301" s="1483"/>
      <c r="AU301" s="1488"/>
      <c r="AV301" s="35"/>
      <c r="AW301" s="13"/>
    </row>
    <row r="302" spans="1:49" s="110" customFormat="1" ht="51" hidden="1" customHeight="1">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2"/>
      <c r="R302" s="93">
        <f>OBRA!Q300</f>
        <v>0</v>
      </c>
      <c r="S302" s="1327" t="str">
        <f>OBRA!T300</f>
        <v>-</v>
      </c>
      <c r="T302" s="94">
        <f>OBRA!R300</f>
        <v>0</v>
      </c>
      <c r="U302" s="95">
        <f>OBRA!S300</f>
        <v>0</v>
      </c>
      <c r="V302" s="374"/>
      <c r="W302" s="934">
        <f>OBRA!AQ300+OBRA!AR300</f>
        <v>0</v>
      </c>
      <c r="X302" s="947"/>
      <c r="Y302" s="935" t="str">
        <f>OBRA!U300</f>
        <v>-</v>
      </c>
      <c r="Z302" s="935"/>
      <c r="AA302" s="460" t="str">
        <f t="shared" si="15"/>
        <v>-</v>
      </c>
      <c r="AB302" s="1237" t="s">
        <v>1177</v>
      </c>
      <c r="AC302" s="935" t="s">
        <v>1177</v>
      </c>
      <c r="AD302" s="199" t="str">
        <f>OBRA!V300</f>
        <v>ING. J. GUADALUPE IBARRA RAMIREZ</v>
      </c>
      <c r="AE302" s="90"/>
      <c r="AF302" s="91"/>
      <c r="AG302" s="936" t="e">
        <f t="shared" si="16"/>
        <v>#DIV/0!</v>
      </c>
      <c r="AH302" s="91"/>
      <c r="AI302" s="634"/>
      <c r="AJ302" s="564"/>
      <c r="AK302" s="564"/>
      <c r="AL302" s="564"/>
      <c r="AM302" s="556"/>
      <c r="AN302" s="564"/>
      <c r="AO302" s="91"/>
      <c r="AP302" s="564"/>
      <c r="AQ302" s="634"/>
      <c r="AR302" s="564"/>
      <c r="AS302" s="564"/>
      <c r="AT302" s="564"/>
      <c r="AU302" s="564"/>
      <c r="AV302" s="564"/>
      <c r="AW302" s="109"/>
    </row>
    <row r="303" spans="1:49" s="110" customFormat="1" ht="51" hidden="1" customHeight="1">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2"/>
      <c r="R303" s="93">
        <f>OBRA!Q301</f>
        <v>0</v>
      </c>
      <c r="S303" s="1327" t="str">
        <f>OBRA!T301</f>
        <v>-</v>
      </c>
      <c r="T303" s="94">
        <f>OBRA!R301</f>
        <v>0</v>
      </c>
      <c r="U303" s="95">
        <f>OBRA!S301</f>
        <v>0</v>
      </c>
      <c r="V303" s="374"/>
      <c r="W303" s="934">
        <f>OBRA!AQ301+OBRA!AR301</f>
        <v>0</v>
      </c>
      <c r="X303" s="947"/>
      <c r="Y303" s="935" t="str">
        <f>OBRA!U301</f>
        <v>-</v>
      </c>
      <c r="Z303" s="935"/>
      <c r="AA303" s="460" t="str">
        <f t="shared" si="15"/>
        <v>-</v>
      </c>
      <c r="AB303" s="1237" t="s">
        <v>1177</v>
      </c>
      <c r="AC303" s="935" t="s">
        <v>1177</v>
      </c>
      <c r="AD303" s="199">
        <f>OBRA!V301</f>
        <v>0</v>
      </c>
      <c r="AE303" s="90"/>
      <c r="AF303" s="91"/>
      <c r="AG303" s="936" t="e">
        <f t="shared" si="16"/>
        <v>#DIV/0!</v>
      </c>
      <c r="AH303" s="91"/>
      <c r="AI303" s="634"/>
      <c r="AJ303" s="564"/>
      <c r="AK303" s="564"/>
      <c r="AL303" s="564"/>
      <c r="AM303" s="556"/>
      <c r="AN303" s="564"/>
      <c r="AO303" s="91"/>
      <c r="AP303" s="564"/>
      <c r="AQ303" s="634"/>
      <c r="AR303" s="564"/>
      <c r="AS303" s="564"/>
      <c r="AT303" s="564"/>
      <c r="AU303" s="564"/>
      <c r="AV303" s="564"/>
      <c r="AW303" s="109"/>
    </row>
    <row r="304" spans="1:49" s="110" customFormat="1" ht="51" hidden="1" customHeight="1">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2"/>
      <c r="R304" s="93">
        <f>OBRA!Q302</f>
        <v>0</v>
      </c>
      <c r="S304" s="1327" t="str">
        <f>OBRA!T302</f>
        <v>-</v>
      </c>
      <c r="T304" s="94">
        <f>OBRA!R302</f>
        <v>0</v>
      </c>
      <c r="U304" s="95">
        <f>OBRA!S302</f>
        <v>0</v>
      </c>
      <c r="V304" s="374"/>
      <c r="W304" s="934">
        <f>OBRA!AQ302+OBRA!AR302</f>
        <v>0</v>
      </c>
      <c r="X304" s="947"/>
      <c r="Y304" s="935" t="str">
        <f>OBRA!U302</f>
        <v>-</v>
      </c>
      <c r="Z304" s="935"/>
      <c r="AA304" s="460" t="str">
        <f t="shared" si="15"/>
        <v>-</v>
      </c>
      <c r="AB304" s="1237" t="s">
        <v>1177</v>
      </c>
      <c r="AC304" s="935" t="s">
        <v>1177</v>
      </c>
      <c r="AD304" s="199">
        <f>OBRA!V302</f>
        <v>0</v>
      </c>
      <c r="AE304" s="90"/>
      <c r="AF304" s="91"/>
      <c r="AG304" s="936" t="e">
        <f t="shared" si="16"/>
        <v>#DIV/0!</v>
      </c>
      <c r="AH304" s="91"/>
      <c r="AI304" s="634"/>
      <c r="AJ304" s="583"/>
      <c r="AK304" s="583"/>
      <c r="AL304" s="583"/>
      <c r="AM304" s="1426"/>
      <c r="AN304" s="583"/>
      <c r="AO304" s="747"/>
      <c r="AP304" s="583"/>
      <c r="AQ304" s="634"/>
      <c r="AR304" s="564"/>
      <c r="AS304" s="564"/>
      <c r="AT304" s="564"/>
      <c r="AU304" s="564"/>
      <c r="AV304" s="564"/>
      <c r="AW304" s="109"/>
    </row>
    <row r="305" spans="1:49" ht="114.75" hidden="1" customHeight="1">
      <c r="A305" s="17">
        <f>OBRA!I303</f>
        <v>2018</v>
      </c>
      <c r="B305" s="896" t="s">
        <v>1567</v>
      </c>
      <c r="C305" s="896">
        <v>181.1</v>
      </c>
      <c r="D305" s="896"/>
      <c r="E305" s="2" t="str">
        <f>OBRA!K303</f>
        <v>RAMO 33</v>
      </c>
      <c r="F305" s="1604"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4215</v>
      </c>
      <c r="O305" s="4">
        <f>OBRA!P303</f>
        <v>606708.96</v>
      </c>
      <c r="P305" s="1208">
        <f>O305/1.16</f>
        <v>523024.96551724139</v>
      </c>
      <c r="Q305" s="1208"/>
      <c r="R305" s="6">
        <f>OBRA!Q303</f>
        <v>43228</v>
      </c>
      <c r="S305" s="1327" t="str">
        <f>OBRA!T303</f>
        <v>-</v>
      </c>
      <c r="T305" s="5">
        <f>OBRA!R303</f>
        <v>43229</v>
      </c>
      <c r="U305" s="12">
        <f>OBRA!S303</f>
        <v>43262</v>
      </c>
      <c r="V305" s="240">
        <v>0</v>
      </c>
      <c r="W305" s="651">
        <f>OBRA!AQ303+OBRA!AR303</f>
        <v>595485.52</v>
      </c>
      <c r="X305" s="1198" t="s">
        <v>3221</v>
      </c>
      <c r="Y305" s="650" t="str">
        <f>OBRA!U303</f>
        <v>N/A</v>
      </c>
      <c r="Z305" s="650"/>
      <c r="AA305" s="652" t="str">
        <f t="shared" si="15"/>
        <v>N/A</v>
      </c>
      <c r="AB305" s="675" t="s">
        <v>1177</v>
      </c>
      <c r="AC305" s="650" t="s">
        <v>1177</v>
      </c>
      <c r="AD305" s="200" t="str">
        <f>OBRA!V303</f>
        <v>ING. J. GUADALUPE IBARRA RAMIREZ</v>
      </c>
      <c r="AE305" s="609">
        <v>1032</v>
      </c>
      <c r="AF305" s="2" t="s">
        <v>1552</v>
      </c>
      <c r="AG305" s="694">
        <f t="shared" si="16"/>
        <v>577.02085271317833</v>
      </c>
      <c r="AH305" s="202">
        <v>1000</v>
      </c>
      <c r="AI305" s="249" t="s">
        <v>1455</v>
      </c>
      <c r="AJ305" s="566"/>
      <c r="AK305" s="566"/>
      <c r="AL305" s="566"/>
      <c r="AM305" s="996"/>
      <c r="AN305" s="585"/>
      <c r="AO305" s="585"/>
      <c r="AP305" s="1012"/>
      <c r="AQ305" s="632"/>
      <c r="AR305" s="1494" t="s">
        <v>68</v>
      </c>
      <c r="AS305" s="1495" t="s">
        <v>68</v>
      </c>
      <c r="AT305" s="1483"/>
      <c r="AU305" s="1488"/>
      <c r="AV305" s="35"/>
      <c r="AW305" s="13"/>
    </row>
    <row r="306" spans="1:49" ht="125.25" hidden="1" customHeight="1">
      <c r="A306" s="17">
        <f>OBRA!I304</f>
        <v>2018</v>
      </c>
      <c r="B306" s="896" t="s">
        <v>1567</v>
      </c>
      <c r="C306" s="896">
        <v>181.11</v>
      </c>
      <c r="D306" s="896"/>
      <c r="E306" s="2" t="str">
        <f>OBRA!K304</f>
        <v>Fondo de proyectos para el Desarrollo Regional</v>
      </c>
      <c r="F306" s="554" t="s">
        <v>3708</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2542</v>
      </c>
      <c r="N306" s="996" t="s">
        <v>4216</v>
      </c>
      <c r="O306" s="4">
        <f>OBRA!P304</f>
        <v>989000</v>
      </c>
      <c r="P306" s="1208">
        <f>O306/1.16</f>
        <v>852586.20689655177</v>
      </c>
      <c r="Q306" s="1208"/>
      <c r="R306" s="6">
        <f>OBRA!Q304</f>
        <v>43241</v>
      </c>
      <c r="S306" s="1327" t="str">
        <f>OBRA!T304</f>
        <v>-</v>
      </c>
      <c r="T306" s="5">
        <f>OBRA!R304</f>
        <v>43257</v>
      </c>
      <c r="U306" s="12">
        <f>OBRA!S304</f>
        <v>43322</v>
      </c>
      <c r="V306" s="240">
        <v>0</v>
      </c>
      <c r="W306" s="651">
        <f>OBRA!AQ304+OBRA!AR304</f>
        <v>935696.02999999991</v>
      </c>
      <c r="X306" s="1199"/>
      <c r="Y306" s="650" t="str">
        <f>OBRA!U304</f>
        <v>N/A</v>
      </c>
      <c r="Z306" s="650"/>
      <c r="AA306" s="652" t="str">
        <f t="shared" si="15"/>
        <v>N/A</v>
      </c>
      <c r="AB306" s="675" t="s">
        <v>1177</v>
      </c>
      <c r="AC306" s="650" t="s">
        <v>1177</v>
      </c>
      <c r="AD306" s="200" t="str">
        <f>OBRA!V304</f>
        <v>ING. J. GUADALUPE IBARRA RAMIREZ</v>
      </c>
      <c r="AE306" s="174">
        <v>1627.73</v>
      </c>
      <c r="AF306" s="202" t="s">
        <v>1552</v>
      </c>
      <c r="AG306" s="694">
        <f t="shared" si="16"/>
        <v>574.84719824540923</v>
      </c>
      <c r="AH306" s="202">
        <v>1250</v>
      </c>
      <c r="AI306" s="249" t="s">
        <v>1455</v>
      </c>
      <c r="AJ306" s="566"/>
      <c r="AK306" s="566"/>
      <c r="AL306" s="566"/>
      <c r="AM306" s="996"/>
      <c r="AN306" s="996"/>
      <c r="AO306" s="996"/>
      <c r="AP306" s="1012"/>
      <c r="AQ306" s="1442"/>
      <c r="AR306" s="1494" t="s">
        <v>68</v>
      </c>
      <c r="AS306" s="1495" t="s">
        <v>68</v>
      </c>
      <c r="AT306" s="1483"/>
      <c r="AU306" s="1488"/>
      <c r="AV306" s="35"/>
      <c r="AW306" s="13"/>
    </row>
    <row r="307" spans="1:49" ht="106.5" hidden="1" customHeight="1">
      <c r="A307" s="17">
        <f>OBRA!I305</f>
        <v>2018</v>
      </c>
      <c r="B307" s="896" t="s">
        <v>1567</v>
      </c>
      <c r="C307" s="896">
        <v>181.12</v>
      </c>
      <c r="D307" s="896"/>
      <c r="E307" s="2" t="str">
        <f>OBRA!K305</f>
        <v>CUENTA CORRIENTE</v>
      </c>
      <c r="F307" s="1604"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2542</v>
      </c>
      <c r="N307" s="585" t="s">
        <v>4223</v>
      </c>
      <c r="O307" s="4">
        <f>OBRA!P305</f>
        <v>354409.68</v>
      </c>
      <c r="P307" s="1208">
        <f>O307/1.16</f>
        <v>305525.58620689658</v>
      </c>
      <c r="Q307" s="1208"/>
      <c r="R307" s="6">
        <f>OBRA!Q305</f>
        <v>43257</v>
      </c>
      <c r="S307" s="1327" t="str">
        <f>OBRA!T305</f>
        <v>-</v>
      </c>
      <c r="T307" s="5">
        <f>OBRA!R305</f>
        <v>43257</v>
      </c>
      <c r="U307" s="12">
        <f>OBRA!S305</f>
        <v>43318</v>
      </c>
      <c r="V307" s="240">
        <v>0</v>
      </c>
      <c r="W307" s="637">
        <f>OBRA!AQ305+OBRA!AR305</f>
        <v>354179.75</v>
      </c>
      <c r="X307" s="1199"/>
      <c r="Y307" s="650" t="str">
        <f>OBRA!U305</f>
        <v>N/A</v>
      </c>
      <c r="Z307" s="650"/>
      <c r="AA307" s="652" t="str">
        <f t="shared" si="15"/>
        <v>N/A</v>
      </c>
      <c r="AB307" s="675" t="s">
        <v>1177</v>
      </c>
      <c r="AC307" s="650" t="s">
        <v>1177</v>
      </c>
      <c r="AD307" s="198" t="str">
        <f>OBRA!V305</f>
        <v>ING. J. GUADALUPE IBARRA RAMIREZ</v>
      </c>
      <c r="AE307" s="174">
        <v>248.12</v>
      </c>
      <c r="AF307" s="202" t="s">
        <v>1454</v>
      </c>
      <c r="AG307" s="694">
        <f t="shared" si="16"/>
        <v>1427.4534499435756</v>
      </c>
      <c r="AH307" s="202">
        <v>250</v>
      </c>
      <c r="AI307" s="249" t="s">
        <v>1447</v>
      </c>
      <c r="AJ307" s="566"/>
      <c r="AK307" s="566"/>
      <c r="AL307" s="566"/>
      <c r="AM307" s="996"/>
      <c r="AN307" s="996"/>
      <c r="AO307" s="996"/>
      <c r="AP307" s="996"/>
      <c r="AQ307" s="1128"/>
      <c r="AR307" s="1494" t="s">
        <v>68</v>
      </c>
      <c r="AS307" s="1495" t="s">
        <v>68</v>
      </c>
      <c r="AT307" s="1483"/>
      <c r="AU307" s="1488"/>
      <c r="AV307" s="35"/>
      <c r="AW307" s="13"/>
    </row>
    <row r="308" spans="1:49" ht="76.5" hidden="1" customHeight="1">
      <c r="A308" s="17">
        <f>OBRA!I306</f>
        <v>2018</v>
      </c>
      <c r="B308" s="896" t="s">
        <v>1567</v>
      </c>
      <c r="C308" s="896">
        <v>181.13</v>
      </c>
      <c r="D308" s="896"/>
      <c r="E308" s="2" t="str">
        <f>OBRA!K306</f>
        <v>CUENTA CORRIENTE</v>
      </c>
      <c r="F308" s="1604"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2542</v>
      </c>
      <c r="N308" s="996" t="s">
        <v>4224</v>
      </c>
      <c r="O308" s="4">
        <f>OBRA!P306</f>
        <v>95341.6</v>
      </c>
      <c r="P308" s="1208">
        <f>O308/1.16</f>
        <v>82191.034482758638</v>
      </c>
      <c r="Q308" s="1208"/>
      <c r="R308" s="6">
        <f>OBRA!Q306</f>
        <v>43257</v>
      </c>
      <c r="S308" s="1327" t="str">
        <f>OBRA!T306</f>
        <v>-</v>
      </c>
      <c r="T308" s="5">
        <f>OBRA!R306</f>
        <v>43257</v>
      </c>
      <c r="U308" s="12">
        <f>OBRA!S306</f>
        <v>43318</v>
      </c>
      <c r="V308" s="240">
        <v>0</v>
      </c>
      <c r="W308" s="651">
        <f>OBRA!AQ306+OBRA!AR306</f>
        <v>94727.62</v>
      </c>
      <c r="X308" s="1199"/>
      <c r="Y308" s="650" t="str">
        <f>OBRA!U306</f>
        <v>N/A</v>
      </c>
      <c r="Z308" s="650"/>
      <c r="AA308" s="652" t="str">
        <f t="shared" si="15"/>
        <v>N/A</v>
      </c>
      <c r="AB308" s="675" t="s">
        <v>1177</v>
      </c>
      <c r="AC308" s="650" t="s">
        <v>1177</v>
      </c>
      <c r="AD308" s="200" t="str">
        <f>OBRA!V306</f>
        <v>ING. J. GUADALUPE IBARRA RAMIREZ</v>
      </c>
      <c r="AE308" s="174">
        <v>60</v>
      </c>
      <c r="AF308" s="202" t="s">
        <v>1454</v>
      </c>
      <c r="AG308" s="694">
        <f t="shared" si="16"/>
        <v>1578.7936666666667</v>
      </c>
      <c r="AH308" s="202">
        <v>250</v>
      </c>
      <c r="AI308" s="249" t="s">
        <v>1447</v>
      </c>
      <c r="AJ308" s="566"/>
      <c r="AK308" s="566"/>
      <c r="AL308" s="566"/>
      <c r="AM308" s="996"/>
      <c r="AN308" s="585"/>
      <c r="AO308" s="585"/>
      <c r="AP308" s="1015"/>
      <c r="AQ308" s="632"/>
      <c r="AR308" s="1494" t="s">
        <v>68</v>
      </c>
      <c r="AS308" s="1495" t="s">
        <v>68</v>
      </c>
      <c r="AT308" s="1483"/>
      <c r="AU308" s="1488"/>
      <c r="AV308" s="35"/>
      <c r="AW308" s="13"/>
    </row>
    <row r="309" spans="1:49" ht="103.5" hidden="1" customHeight="1">
      <c r="A309" s="17">
        <f>OBRA!I307</f>
        <v>2018</v>
      </c>
      <c r="B309" s="896" t="s">
        <v>1567</v>
      </c>
      <c r="C309" s="896">
        <v>181.14</v>
      </c>
      <c r="D309" s="896"/>
      <c r="E309" s="2" t="str">
        <f>OBRA!K307</f>
        <v>RAMO 33</v>
      </c>
      <c r="F309" s="1604"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2640</v>
      </c>
      <c r="N309" s="996" t="s">
        <v>4225</v>
      </c>
      <c r="O309" s="4">
        <f>OBRA!P307</f>
        <v>114935.87</v>
      </c>
      <c r="P309" s="1208">
        <f>O309/1.16</f>
        <v>99082.646551724145</v>
      </c>
      <c r="Q309" s="1208"/>
      <c r="R309" s="6">
        <f>OBRA!Q307</f>
        <v>43257</v>
      </c>
      <c r="S309" s="1327" t="str">
        <f>OBRA!T307</f>
        <v>-</v>
      </c>
      <c r="T309" s="5">
        <f>OBRA!R307</f>
        <v>43273</v>
      </c>
      <c r="U309" s="12">
        <f>OBRA!S307</f>
        <v>43294</v>
      </c>
      <c r="V309" s="240">
        <v>0</v>
      </c>
      <c r="W309" s="651">
        <f>OBRA!AQ307+OBRA!AR307</f>
        <v>114593.44</v>
      </c>
      <c r="X309" s="1198" t="s">
        <v>3221</v>
      </c>
      <c r="Y309" s="650" t="str">
        <f>OBRA!U307</f>
        <v>N/A</v>
      </c>
      <c r="Z309" s="650"/>
      <c r="AA309" s="652" t="str">
        <f t="shared" si="15"/>
        <v>N/A</v>
      </c>
      <c r="AB309" s="675" t="s">
        <v>1177</v>
      </c>
      <c r="AC309" s="650" t="s">
        <v>1177</v>
      </c>
      <c r="AD309" s="198" t="str">
        <f>OBRA!V307</f>
        <v>ARQ. CESAR ANTONIO ALONSO JIMENEZ</v>
      </c>
      <c r="AE309" s="609">
        <v>120</v>
      </c>
      <c r="AF309" s="202" t="s">
        <v>1454</v>
      </c>
      <c r="AG309" s="694">
        <f t="shared" si="16"/>
        <v>954.94533333333334</v>
      </c>
      <c r="AH309" s="202">
        <v>200</v>
      </c>
      <c r="AI309" s="249" t="s">
        <v>1447</v>
      </c>
      <c r="AJ309" s="566"/>
      <c r="AK309" s="566"/>
      <c r="AL309" s="566"/>
      <c r="AM309" s="996"/>
      <c r="AN309" s="585"/>
      <c r="AO309" s="585"/>
      <c r="AP309" s="1012"/>
      <c r="AQ309" s="632"/>
      <c r="AR309" s="1494" t="s">
        <v>68</v>
      </c>
      <c r="AS309" s="1495" t="s">
        <v>68</v>
      </c>
      <c r="AT309" s="1483"/>
      <c r="AU309" s="1488"/>
      <c r="AV309" s="35"/>
      <c r="AW309" s="13"/>
    </row>
    <row r="310" spans="1:49" s="110" customFormat="1" ht="84.75" hidden="1" customHeight="1">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2"/>
      <c r="R310" s="93">
        <f>OBRA!Q308</f>
        <v>43276</v>
      </c>
      <c r="S310" s="1327" t="str">
        <f>OBRA!T308</f>
        <v>-</v>
      </c>
      <c r="T310" s="94">
        <f>OBRA!R308</f>
        <v>43276</v>
      </c>
      <c r="U310" s="95">
        <f>OBRA!S308</f>
        <v>43288</v>
      </c>
      <c r="V310" s="374"/>
      <c r="W310" s="934">
        <f>OBRA!AQ308+OBRA!AR308</f>
        <v>0</v>
      </c>
      <c r="X310" s="947"/>
      <c r="Y310" s="935" t="str">
        <f>OBRA!U308</f>
        <v>-</v>
      </c>
      <c r="Z310" s="935"/>
      <c r="AA310" s="460" t="str">
        <f t="shared" si="15"/>
        <v>-</v>
      </c>
      <c r="AB310" s="1237" t="s">
        <v>1177</v>
      </c>
      <c r="AC310" s="935" t="s">
        <v>1177</v>
      </c>
      <c r="AD310" s="199" t="str">
        <f>OBRA!V308</f>
        <v>-</v>
      </c>
      <c r="AE310" s="90"/>
      <c r="AF310" s="91" t="s">
        <v>1552</v>
      </c>
      <c r="AG310" s="936" t="e">
        <f t="shared" si="16"/>
        <v>#DIV/0!</v>
      </c>
      <c r="AH310" s="628"/>
      <c r="AI310" s="89" t="s">
        <v>1455</v>
      </c>
      <c r="AJ310" s="583"/>
      <c r="AK310" s="583"/>
      <c r="AL310" s="583"/>
      <c r="AM310" s="1426"/>
      <c r="AN310" s="583"/>
      <c r="AO310" s="747"/>
      <c r="AP310" s="583"/>
      <c r="AQ310" s="634"/>
      <c r="AR310" s="564"/>
      <c r="AS310" s="564"/>
      <c r="AT310" s="564"/>
      <c r="AU310" s="564"/>
      <c r="AV310" s="564"/>
      <c r="AW310" s="109"/>
    </row>
    <row r="311" spans="1:49" ht="102" hidden="1" customHeight="1">
      <c r="A311" s="17">
        <f>OBRA!I309</f>
        <v>2018</v>
      </c>
      <c r="B311" s="896" t="s">
        <v>1567</v>
      </c>
      <c r="C311" s="896">
        <v>181.16</v>
      </c>
      <c r="D311" s="896"/>
      <c r="E311" s="2" t="str">
        <f>OBRA!K309</f>
        <v>Fondo de proyectos para el Desarrollo Regional</v>
      </c>
      <c r="F311" s="554" t="s">
        <v>3708</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2551</v>
      </c>
      <c r="N311" s="996" t="s">
        <v>4226</v>
      </c>
      <c r="O311" s="4">
        <f>OBRA!P309</f>
        <v>989000</v>
      </c>
      <c r="P311" s="1208">
        <f>O311/1.16</f>
        <v>852586.20689655177</v>
      </c>
      <c r="Q311" s="1208"/>
      <c r="R311" s="6">
        <f>OBRA!Q309</f>
        <v>43251</v>
      </c>
      <c r="S311" s="1327" t="str">
        <f>OBRA!T309</f>
        <v>-</v>
      </c>
      <c r="T311" s="5">
        <f>OBRA!R309</f>
        <v>43252</v>
      </c>
      <c r="U311" s="12">
        <f>OBRA!S309</f>
        <v>43311</v>
      </c>
      <c r="V311" s="240">
        <v>0</v>
      </c>
      <c r="W311" s="651">
        <f>OBRA!AQ309+OBRA!AR309</f>
        <v>989001.89</v>
      </c>
      <c r="X311" s="1199"/>
      <c r="Y311" s="650" t="str">
        <f>OBRA!U309</f>
        <v>N/A</v>
      </c>
      <c r="Z311" s="650"/>
      <c r="AA311" s="652" t="str">
        <f t="shared" si="15"/>
        <v>N/A</v>
      </c>
      <c r="AB311" s="675" t="s">
        <v>1177</v>
      </c>
      <c r="AC311" s="650" t="s">
        <v>1177</v>
      </c>
      <c r="AD311" s="198" t="str">
        <f>OBRA!V309</f>
        <v>ING. J. GUADALUPE IBARRA RAMIREZ</v>
      </c>
      <c r="AE311" s="174">
        <v>1798.22</v>
      </c>
      <c r="AF311" s="202" t="s">
        <v>1552</v>
      </c>
      <c r="AG311" s="694">
        <f t="shared" si="16"/>
        <v>549.98937282423731</v>
      </c>
      <c r="AH311" s="202">
        <v>1000</v>
      </c>
      <c r="AI311" s="249" t="s">
        <v>1447</v>
      </c>
      <c r="AJ311" s="566"/>
      <c r="AK311" s="566"/>
      <c r="AL311" s="566"/>
      <c r="AM311" s="996"/>
      <c r="AN311" s="996"/>
      <c r="AO311" s="996"/>
      <c r="AP311" s="1012"/>
      <c r="AQ311" s="1442"/>
      <c r="AR311" s="1494" t="s">
        <v>68</v>
      </c>
      <c r="AS311" s="1495" t="s">
        <v>68</v>
      </c>
      <c r="AT311" s="1483"/>
      <c r="AU311" s="1488"/>
      <c r="AV311" s="35"/>
      <c r="AW311" s="13"/>
    </row>
    <row r="312" spans="1:49" ht="117" hidden="1" customHeight="1">
      <c r="A312" s="17">
        <f>OBRA!I310</f>
        <v>2018</v>
      </c>
      <c r="B312" s="896" t="s">
        <v>1567</v>
      </c>
      <c r="C312" s="896">
        <v>181.17</v>
      </c>
      <c r="D312" s="896"/>
      <c r="E312" s="2" t="str">
        <f>OBRA!K310</f>
        <v>Fondo de proyectos para el Desarrollo Regional</v>
      </c>
      <c r="F312" s="554" t="s">
        <v>3708</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4227</v>
      </c>
      <c r="O312" s="4">
        <f>OBRA!P310</f>
        <v>900000</v>
      </c>
      <c r="P312" s="1208">
        <f>O312/1.16</f>
        <v>775862.06896551733</v>
      </c>
      <c r="Q312" s="1208"/>
      <c r="R312" s="6">
        <f>OBRA!Q310</f>
        <v>43262</v>
      </c>
      <c r="S312" s="1327" t="str">
        <f>OBRA!T310</f>
        <v>-</v>
      </c>
      <c r="T312" s="5">
        <f>OBRA!R310</f>
        <v>43266</v>
      </c>
      <c r="U312" s="12">
        <f>OBRA!S310</f>
        <v>43329</v>
      </c>
      <c r="V312" s="240">
        <v>0</v>
      </c>
      <c r="W312" s="651">
        <f>OBRA!AQ310+OBRA!AR310</f>
        <v>890105.41</v>
      </c>
      <c r="X312" s="1199"/>
      <c r="Y312" s="650" t="str">
        <f>OBRA!U310</f>
        <v>N/A</v>
      </c>
      <c r="Z312" s="650"/>
      <c r="AA312" s="652" t="str">
        <f t="shared" si="15"/>
        <v>N/A</v>
      </c>
      <c r="AB312" s="675" t="s">
        <v>1177</v>
      </c>
      <c r="AC312" s="650" t="s">
        <v>1177</v>
      </c>
      <c r="AD312" s="200" t="str">
        <f>OBRA!V310</f>
        <v>ING. JUAN MANUEL GARCIA ESCOTO</v>
      </c>
      <c r="AE312" s="174">
        <v>1770.77</v>
      </c>
      <c r="AF312" s="202" t="s">
        <v>1552</v>
      </c>
      <c r="AG312" s="694">
        <f t="shared" si="16"/>
        <v>502.66573863347588</v>
      </c>
      <c r="AH312" s="202">
        <v>3000</v>
      </c>
      <c r="AI312" s="249" t="s">
        <v>1455</v>
      </c>
      <c r="AJ312" s="566"/>
      <c r="AK312" s="566"/>
      <c r="AL312" s="566"/>
      <c r="AM312" s="996"/>
      <c r="AN312" s="996"/>
      <c r="AO312" s="996"/>
      <c r="AP312" s="1012"/>
      <c r="AQ312" s="1442"/>
      <c r="AR312" s="1494" t="s">
        <v>68</v>
      </c>
      <c r="AS312" s="1495" t="s">
        <v>68</v>
      </c>
      <c r="AT312" s="1483"/>
      <c r="AU312" s="1488"/>
      <c r="AV312" s="35"/>
      <c r="AW312" s="13"/>
    </row>
    <row r="313" spans="1:49" ht="91.5" hidden="1" customHeight="1">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4"/>
      <c r="R313" s="6">
        <f>OBRA!Q311</f>
        <v>43326</v>
      </c>
      <c r="S313" s="1327" t="str">
        <f>OBRA!T311</f>
        <v>-</v>
      </c>
      <c r="T313" s="5">
        <f>OBRA!R311</f>
        <v>43326</v>
      </c>
      <c r="U313" s="12">
        <f>OBRA!S311</f>
        <v>43357</v>
      </c>
      <c r="V313" s="1695"/>
      <c r="W313" s="683">
        <f>OBRA!AQ311+OBRA!AR311</f>
        <v>0</v>
      </c>
      <c r="X313" s="1199"/>
      <c r="Y313" s="650" t="str">
        <f>OBRA!U311</f>
        <v>N/A</v>
      </c>
      <c r="Z313" s="650"/>
      <c r="AA313" s="652" t="str">
        <f t="shared" si="15"/>
        <v>N/A</v>
      </c>
      <c r="AB313" s="675" t="s">
        <v>1177</v>
      </c>
      <c r="AC313" s="650" t="s">
        <v>1177</v>
      </c>
      <c r="AD313" s="608" t="str">
        <f>OBRA!V311</f>
        <v>-</v>
      </c>
      <c r="AE313" s="169">
        <v>0</v>
      </c>
      <c r="AF313" s="202" t="s">
        <v>1552</v>
      </c>
      <c r="AG313" s="682" t="e">
        <f t="shared" si="16"/>
        <v>#DIV/0!</v>
      </c>
      <c r="AH313" s="202">
        <v>150</v>
      </c>
      <c r="AI313" s="249" t="s">
        <v>1447</v>
      </c>
      <c r="AJ313" s="566"/>
      <c r="AK313" s="566"/>
      <c r="AL313" s="566"/>
      <c r="AM313" s="1427"/>
      <c r="AN313" s="585"/>
      <c r="AO313" s="585"/>
      <c r="AP313" s="580" t="s">
        <v>2026</v>
      </c>
      <c r="AQ313" s="632"/>
      <c r="AR313" s="556"/>
      <c r="AS313" s="556"/>
      <c r="AT313" s="556"/>
      <c r="AU313" s="556"/>
      <c r="AV313" s="35"/>
      <c r="AW313" s="13"/>
    </row>
    <row r="314" spans="1:49" s="110" customFormat="1" ht="51" hidden="1" customHeight="1">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2"/>
      <c r="R314" s="93">
        <f>OBRA!Q312</f>
        <v>0</v>
      </c>
      <c r="S314" s="1327" t="str">
        <f>OBRA!T312</f>
        <v>-</v>
      </c>
      <c r="T314" s="94">
        <f>OBRA!R312</f>
        <v>0</v>
      </c>
      <c r="U314" s="95">
        <f>OBRA!S312</f>
        <v>0</v>
      </c>
      <c r="V314" s="374"/>
      <c r="W314" s="934">
        <f>OBRA!AQ312+OBRA!AR312</f>
        <v>0</v>
      </c>
      <c r="X314" s="947"/>
      <c r="Y314" s="935" t="str">
        <f>OBRA!U312</f>
        <v>N/A</v>
      </c>
      <c r="Z314" s="935"/>
      <c r="AA314" s="460" t="str">
        <f t="shared" si="15"/>
        <v>N/A</v>
      </c>
      <c r="AB314" s="1237" t="s">
        <v>1177</v>
      </c>
      <c r="AC314" s="935" t="s">
        <v>1177</v>
      </c>
      <c r="AD314" s="199" t="str">
        <f>OBRA!V312</f>
        <v>-</v>
      </c>
      <c r="AE314" s="90"/>
      <c r="AF314" s="91"/>
      <c r="AG314" s="936" t="e">
        <f t="shared" si="16"/>
        <v>#DIV/0!</v>
      </c>
      <c r="AH314" s="628"/>
      <c r="AI314" s="89"/>
      <c r="AJ314" s="583"/>
      <c r="AK314" s="583"/>
      <c r="AL314" s="583"/>
      <c r="AM314" s="1426"/>
      <c r="AN314" s="583"/>
      <c r="AO314" s="747"/>
      <c r="AP314" s="583"/>
      <c r="AQ314" s="634"/>
      <c r="AR314" s="564"/>
      <c r="AS314" s="564"/>
      <c r="AT314" s="564"/>
      <c r="AU314" s="564"/>
      <c r="AV314" s="564"/>
      <c r="AW314" s="109"/>
    </row>
    <row r="315" spans="1:49" ht="56.25" hidden="1" customHeight="1">
      <c r="A315" s="17">
        <f>OBRA!I313</f>
        <v>2018</v>
      </c>
      <c r="B315" s="896" t="s">
        <v>1567</v>
      </c>
      <c r="C315" s="896">
        <v>181.2</v>
      </c>
      <c r="D315" s="896"/>
      <c r="E315" s="2" t="str">
        <f>OBRA!K313</f>
        <v>CUENTA CORRIENTE</v>
      </c>
      <c r="F315" s="1604"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2611</v>
      </c>
      <c r="N315" s="996" t="s">
        <v>4228</v>
      </c>
      <c r="O315" s="4">
        <f>OBRA!P313</f>
        <v>33408</v>
      </c>
      <c r="P315" s="1208">
        <f t="shared" ref="P315:P321" si="17">O315/1.16</f>
        <v>28800.000000000004</v>
      </c>
      <c r="Q315" s="1208"/>
      <c r="R315" s="6">
        <f>OBRA!Q313</f>
        <v>43349</v>
      </c>
      <c r="S315" s="1327" t="str">
        <f>OBRA!T313</f>
        <v>-</v>
      </c>
      <c r="T315" s="5">
        <f>OBRA!R313</f>
        <v>43350</v>
      </c>
      <c r="U315" s="12">
        <f>OBRA!S313</f>
        <v>43365</v>
      </c>
      <c r="V315" s="240">
        <v>0</v>
      </c>
      <c r="W315" s="683">
        <f>OBRA!AQ313+OBRA!AR313</f>
        <v>0</v>
      </c>
      <c r="X315" s="1199"/>
      <c r="Y315" s="650" t="str">
        <f>OBRA!U313</f>
        <v>N/A</v>
      </c>
      <c r="Z315" s="650"/>
      <c r="AA315" s="652" t="str">
        <f t="shared" si="15"/>
        <v>N/A</v>
      </c>
      <c r="AB315" s="675" t="s">
        <v>1177</v>
      </c>
      <c r="AC315" s="650" t="s">
        <v>1177</v>
      </c>
      <c r="AD315" s="608" t="str">
        <f>OBRA!V313</f>
        <v>-</v>
      </c>
      <c r="AE315" s="20">
        <v>1</v>
      </c>
      <c r="AF315" s="2" t="s">
        <v>1577</v>
      </c>
      <c r="AG315" s="682">
        <f t="shared" si="16"/>
        <v>0</v>
      </c>
      <c r="AH315" s="2">
        <v>23000</v>
      </c>
      <c r="AI315" s="164" t="s">
        <v>1455</v>
      </c>
      <c r="AJ315" s="563"/>
      <c r="AK315" s="563"/>
      <c r="AL315" s="563"/>
      <c r="AM315" s="996"/>
      <c r="AN315" s="1538"/>
      <c r="AO315" s="1538"/>
      <c r="AP315" s="1539"/>
      <c r="AQ315" s="632"/>
      <c r="AR315" s="1494" t="s">
        <v>68</v>
      </c>
      <c r="AS315" s="1495" t="s">
        <v>68</v>
      </c>
      <c r="AT315" s="1483"/>
      <c r="AU315" s="1488"/>
      <c r="AV315" s="35"/>
      <c r="AW315" s="13"/>
    </row>
    <row r="316" spans="1:49" ht="80.25" hidden="1" customHeight="1">
      <c r="A316" s="17">
        <f>OBRA!I314</f>
        <v>2018</v>
      </c>
      <c r="B316" s="896" t="s">
        <v>1567</v>
      </c>
      <c r="C316" s="896">
        <v>186.01</v>
      </c>
      <c r="D316" s="896"/>
      <c r="E316" s="2" t="str">
        <f>OBRA!K314</f>
        <v>RAMO 33</v>
      </c>
      <c r="F316" s="1604"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3529</v>
      </c>
      <c r="O316" s="4">
        <f>OBRA!P314</f>
        <v>844622.8</v>
      </c>
      <c r="P316" s="1208">
        <f t="shared" si="17"/>
        <v>728123.10344827594</v>
      </c>
      <c r="Q316" s="1208"/>
      <c r="R316" s="6">
        <f>OBRA!Q314</f>
        <v>43137</v>
      </c>
      <c r="S316" s="1327">
        <f>OBRA!T314</f>
        <v>43137</v>
      </c>
      <c r="T316" s="5">
        <f>OBRA!R314</f>
        <v>43137</v>
      </c>
      <c r="U316" s="12">
        <f>OBRA!S314</f>
        <v>43168</v>
      </c>
      <c r="V316" s="1695"/>
      <c r="W316" s="651">
        <f>OBRA!AQ314+OBRA!AR314</f>
        <v>844622.8</v>
      </c>
      <c r="X316" s="1390" t="s">
        <v>3222</v>
      </c>
      <c r="Y316" s="650" t="str">
        <f>OBRA!U314</f>
        <v>C. NORMA GORETY DOMINGUEZ CALVARIO</v>
      </c>
      <c r="Z316" s="650"/>
      <c r="AA316" s="652" t="str">
        <f t="shared" si="15"/>
        <v>C. NORMA GORETY DOMINGUEZ CALVARIO</v>
      </c>
      <c r="AB316" s="675" t="s">
        <v>2999</v>
      </c>
      <c r="AC316" s="650" t="s">
        <v>2999</v>
      </c>
      <c r="AD316" s="200" t="str">
        <f>OBRA!V314</f>
        <v>ING. JUAN MANUEL GARCIA ESCOTO</v>
      </c>
      <c r="AE316" s="609">
        <v>1032</v>
      </c>
      <c r="AF316" s="202" t="s">
        <v>1552</v>
      </c>
      <c r="AG316" s="694">
        <f t="shared" si="16"/>
        <v>818.43294573643414</v>
      </c>
      <c r="AH316" s="202">
        <v>21500</v>
      </c>
      <c r="AI316" s="249" t="s">
        <v>1455</v>
      </c>
      <c r="AJ316" s="566"/>
      <c r="AK316" s="566"/>
      <c r="AL316" s="566"/>
      <c r="AM316" s="1521" t="s">
        <v>3709</v>
      </c>
      <c r="AN316" s="996"/>
      <c r="AO316" s="996"/>
      <c r="AP316" s="1012"/>
      <c r="AQ316" s="1442"/>
      <c r="AR316" s="552"/>
      <c r="AS316" s="552"/>
      <c r="AT316" s="552"/>
      <c r="AU316" s="552"/>
      <c r="AV316" s="180"/>
      <c r="AW316" s="13"/>
    </row>
    <row r="317" spans="1:49" ht="117.75" hidden="1" customHeight="1">
      <c r="A317" s="17">
        <f>OBRA!I315</f>
        <v>2018</v>
      </c>
      <c r="B317" s="896" t="s">
        <v>1567</v>
      </c>
      <c r="C317" s="896">
        <v>186.02</v>
      </c>
      <c r="D317" s="896"/>
      <c r="E317" s="2" t="str">
        <f>OBRA!K315</f>
        <v>RAMO 33</v>
      </c>
      <c r="F317" s="1604"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2640</v>
      </c>
      <c r="N317" s="554" t="s">
        <v>3529</v>
      </c>
      <c r="O317" s="4">
        <f>OBRA!P315</f>
        <v>1341538.44</v>
      </c>
      <c r="P317" s="1208">
        <f t="shared" si="17"/>
        <v>1156498.6551724139</v>
      </c>
      <c r="Q317" s="1208"/>
      <c r="R317" s="6">
        <f>OBRA!Q315</f>
        <v>43208</v>
      </c>
      <c r="S317" s="1327" t="str">
        <f>OBRA!T315</f>
        <v>-</v>
      </c>
      <c r="T317" s="5">
        <f>OBRA!R315</f>
        <v>43209</v>
      </c>
      <c r="U317" s="12">
        <f>OBRA!S315</f>
        <v>43239</v>
      </c>
      <c r="V317" s="240">
        <f>O317*0.25</f>
        <v>335384.61</v>
      </c>
      <c r="W317" s="651">
        <f>OBRA!AQ315+OBRA!AR315</f>
        <v>1341537.18</v>
      </c>
      <c r="X317" s="1198" t="s">
        <v>2468</v>
      </c>
      <c r="Y317" s="650" t="str">
        <f>OBRA!U315</f>
        <v xml:space="preserve">DRABSA CONSTRUCTORA S.A. DE C.V. </v>
      </c>
      <c r="Z317" s="650"/>
      <c r="AA317" s="652" t="s">
        <v>2033</v>
      </c>
      <c r="AB317" s="650" t="s">
        <v>2034</v>
      </c>
      <c r="AC317" s="650" t="s">
        <v>2927</v>
      </c>
      <c r="AD317" s="200" t="str">
        <f>OBRA!V315</f>
        <v>ING. JUAN MANUEL GARCIA ESCOTO</v>
      </c>
      <c r="AE317" s="609">
        <v>541</v>
      </c>
      <c r="AF317" s="202" t="s">
        <v>1454</v>
      </c>
      <c r="AG317" s="694">
        <f t="shared" si="16"/>
        <v>2479.7360073937152</v>
      </c>
      <c r="AH317" s="202">
        <v>3900</v>
      </c>
      <c r="AI317" s="249" t="s">
        <v>1455</v>
      </c>
      <c r="AJ317" s="566"/>
      <c r="AK317" s="566"/>
      <c r="AL317" s="566"/>
      <c r="AM317" s="1522" t="s">
        <v>3732</v>
      </c>
      <c r="AN317" s="585"/>
      <c r="AO317" s="1525" t="s">
        <v>3732</v>
      </c>
      <c r="AP317" s="1523" t="s">
        <v>3732</v>
      </c>
      <c r="AQ317" s="1530" t="s">
        <v>3732</v>
      </c>
      <c r="AR317" s="542"/>
      <c r="AS317" s="542"/>
      <c r="AT317" s="542"/>
      <c r="AU317" s="542"/>
      <c r="AV317" s="180"/>
      <c r="AW317" s="13"/>
    </row>
    <row r="318" spans="1:49" ht="119.25" hidden="1" customHeight="1">
      <c r="A318" s="17">
        <f>OBRA!I316</f>
        <v>2018</v>
      </c>
      <c r="B318" s="896" t="s">
        <v>1567</v>
      </c>
      <c r="C318" s="896">
        <v>186.03</v>
      </c>
      <c r="D318" s="896"/>
      <c r="E318" s="2" t="str">
        <f>OBRA!K316</f>
        <v>RAMO 33</v>
      </c>
      <c r="F318" s="1604"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2640</v>
      </c>
      <c r="N318" s="554" t="s">
        <v>3529</v>
      </c>
      <c r="O318" s="4">
        <f>OBRA!P316</f>
        <v>1303478.02</v>
      </c>
      <c r="P318" s="1208">
        <f t="shared" si="17"/>
        <v>1123687.9482758623</v>
      </c>
      <c r="Q318" s="1208"/>
      <c r="R318" s="6">
        <f>OBRA!Q316</f>
        <v>43208</v>
      </c>
      <c r="S318" s="1327" t="str">
        <f>OBRA!T316</f>
        <v>-</v>
      </c>
      <c r="T318" s="5">
        <f>OBRA!R316</f>
        <v>43208</v>
      </c>
      <c r="U318" s="12">
        <f>OBRA!S316</f>
        <v>43239</v>
      </c>
      <c r="V318" s="240">
        <f>O318*0.25</f>
        <v>325869.505</v>
      </c>
      <c r="W318" s="651">
        <f>OBRA!AQ316+OBRA!AR316</f>
        <v>1303477.3400000001</v>
      </c>
      <c r="X318" s="1198" t="s">
        <v>2469</v>
      </c>
      <c r="Y318" s="650" t="str">
        <f>OBRA!U316</f>
        <v xml:space="preserve">DRABSA CONSTRUCTORA S.A. DE C.V. </v>
      </c>
      <c r="Z318" s="650"/>
      <c r="AA318" s="652" t="s">
        <v>2033</v>
      </c>
      <c r="AB318" s="650" t="s">
        <v>2034</v>
      </c>
      <c r="AC318" s="650" t="s">
        <v>2927</v>
      </c>
      <c r="AD318" s="200" t="str">
        <f>OBRA!V316</f>
        <v>ING. JUAN MANUEL GARCIA ESCOTO</v>
      </c>
      <c r="AE318" s="609">
        <v>541</v>
      </c>
      <c r="AF318" s="202" t="s">
        <v>1454</v>
      </c>
      <c r="AG318" s="694">
        <f t="shared" si="16"/>
        <v>2409.3851016635863</v>
      </c>
      <c r="AH318" s="202">
        <v>3900</v>
      </c>
      <c r="AI318" s="249" t="s">
        <v>1455</v>
      </c>
      <c r="AJ318" s="566"/>
      <c r="AK318" s="566"/>
      <c r="AL318" s="566"/>
      <c r="AM318" s="1522" t="s">
        <v>3733</v>
      </c>
      <c r="AN318" s="585"/>
      <c r="AO318" s="1525" t="s">
        <v>3733</v>
      </c>
      <c r="AP318" s="1523" t="s">
        <v>3733</v>
      </c>
      <c r="AQ318" s="1530" t="s">
        <v>3733</v>
      </c>
      <c r="AR318" s="542"/>
      <c r="AS318" s="542"/>
      <c r="AT318" s="542"/>
      <c r="AU318" s="542"/>
      <c r="AV318" s="180"/>
      <c r="AW318" s="13"/>
    </row>
    <row r="319" spans="1:49" ht="81" hidden="1" customHeight="1">
      <c r="A319" s="17">
        <f>OBRA!I317</f>
        <v>2018</v>
      </c>
      <c r="B319" s="896" t="s">
        <v>1567</v>
      </c>
      <c r="C319" s="896">
        <v>186.04</v>
      </c>
      <c r="D319" s="896"/>
      <c r="E319" s="2" t="str">
        <f>OBRA!K317</f>
        <v>CUENTA CORRIENTE</v>
      </c>
      <c r="F319" s="1604"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3529</v>
      </c>
      <c r="O319" s="4">
        <f>OBRA!P317</f>
        <v>500000</v>
      </c>
      <c r="P319" s="1208">
        <f t="shared" si="17"/>
        <v>431034.4827586207</v>
      </c>
      <c r="Q319" s="1208"/>
      <c r="R319" s="6">
        <f>OBRA!Q317</f>
        <v>43224</v>
      </c>
      <c r="S319" s="1327">
        <f>OBRA!T317</f>
        <v>43209</v>
      </c>
      <c r="T319" s="5">
        <f>OBRA!R317</f>
        <v>43228</v>
      </c>
      <c r="U319" s="12">
        <f>OBRA!S317</f>
        <v>43321</v>
      </c>
      <c r="V319" s="1695"/>
      <c r="W319" s="683">
        <f>OBRA!AQ317+OBRA!AR317</f>
        <v>0</v>
      </c>
      <c r="X319" s="1390" t="s">
        <v>3223</v>
      </c>
      <c r="Y319" s="639" t="s">
        <v>2038</v>
      </c>
      <c r="Z319" s="639"/>
      <c r="AA319" s="640" t="s">
        <v>256</v>
      </c>
      <c r="AB319" s="639" t="s">
        <v>2039</v>
      </c>
      <c r="AC319" s="639" t="s">
        <v>3080</v>
      </c>
      <c r="AD319" s="198" t="str">
        <f>OBRA!V317</f>
        <v>ARQ. CESAR ANTONIO ALONSO JIMENEZ</v>
      </c>
      <c r="AE319" s="174">
        <v>1</v>
      </c>
      <c r="AF319" s="202" t="s">
        <v>1577</v>
      </c>
      <c r="AG319" s="682">
        <f t="shared" si="16"/>
        <v>0</v>
      </c>
      <c r="AH319" s="202">
        <v>21500</v>
      </c>
      <c r="AI319" s="249" t="s">
        <v>1455</v>
      </c>
      <c r="AJ319" s="566"/>
      <c r="AK319" s="566"/>
      <c r="AL319" s="566"/>
      <c r="AM319" s="1522" t="s">
        <v>3710</v>
      </c>
      <c r="AN319" s="1525" t="s">
        <v>3710</v>
      </c>
      <c r="AO319" s="996"/>
      <c r="AP319" s="1523" t="s">
        <v>3710</v>
      </c>
      <c r="AQ319" s="632"/>
      <c r="AR319" s="552"/>
      <c r="AS319" s="552"/>
      <c r="AT319" s="552"/>
      <c r="AU319" s="552"/>
      <c r="AV319" s="35"/>
      <c r="AW319" s="13"/>
    </row>
    <row r="320" spans="1:49" ht="105.75" hidden="1" customHeight="1">
      <c r="A320" s="17">
        <f>OBRA!I318</f>
        <v>2018</v>
      </c>
      <c r="B320" s="896" t="s">
        <v>1567</v>
      </c>
      <c r="C320" s="896">
        <v>186.05</v>
      </c>
      <c r="D320" s="896"/>
      <c r="E320" s="2" t="str">
        <f>OBRA!K318</f>
        <v>RAMO 33</v>
      </c>
      <c r="F320" s="1604"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2560</v>
      </c>
      <c r="N320" s="554" t="s">
        <v>3529</v>
      </c>
      <c r="O320" s="4">
        <f>OBRA!P318</f>
        <v>688990.42</v>
      </c>
      <c r="P320" s="1208">
        <f t="shared" si="17"/>
        <v>593957.25862068974</v>
      </c>
      <c r="Q320" s="1208"/>
      <c r="R320" s="6">
        <f>OBRA!Q318</f>
        <v>43221</v>
      </c>
      <c r="S320" s="1327">
        <f>OBRA!T318</f>
        <v>43221</v>
      </c>
      <c r="T320" s="5">
        <f>OBRA!R318</f>
        <v>43224</v>
      </c>
      <c r="U320" s="12">
        <f>OBRA!S318</f>
        <v>43285</v>
      </c>
      <c r="V320" s="1695"/>
      <c r="W320" s="651">
        <f>OBRA!AQ318+OBRA!AR318</f>
        <v>566169.56000000006</v>
      </c>
      <c r="X320" s="1391" t="s">
        <v>3224</v>
      </c>
      <c r="Y320" s="639" t="str">
        <f>OBRA!U318</f>
        <v xml:space="preserve">GRUPO DESARROLLADOR INMOBILIARIO CEMERAMA S.A. DE C.V. </v>
      </c>
      <c r="Z320" s="639"/>
      <c r="AA320" s="640" t="s">
        <v>1837</v>
      </c>
      <c r="AB320" s="650" t="s">
        <v>1838</v>
      </c>
      <c r="AC320" s="650" t="s">
        <v>3081</v>
      </c>
      <c r="AD320" s="198" t="str">
        <f>OBRA!V318</f>
        <v>LIC. SALVADOR CONTRERAS OLGUÍN</v>
      </c>
      <c r="AE320" s="723">
        <v>450</v>
      </c>
      <c r="AF320" s="2" t="s">
        <v>1454</v>
      </c>
      <c r="AG320" s="694">
        <f t="shared" si="16"/>
        <v>1258.1545777777778</v>
      </c>
      <c r="AH320" s="2">
        <v>3400</v>
      </c>
      <c r="AI320" s="249" t="s">
        <v>1455</v>
      </c>
      <c r="AJ320" s="566"/>
      <c r="AK320" s="566"/>
      <c r="AL320" s="566"/>
      <c r="AM320" s="1522" t="s">
        <v>3711</v>
      </c>
      <c r="AN320" s="1520" t="s">
        <v>3711</v>
      </c>
      <c r="AO320" s="1520" t="s">
        <v>3711</v>
      </c>
      <c r="AP320" s="1523" t="s">
        <v>3711</v>
      </c>
      <c r="AQ320" s="1524" t="s">
        <v>3711</v>
      </c>
      <c r="AR320" s="552"/>
      <c r="AS320" s="552"/>
      <c r="AT320" s="552"/>
      <c r="AU320" s="552"/>
      <c r="AV320" s="35" t="s">
        <v>551</v>
      </c>
      <c r="AW320" s="13"/>
    </row>
    <row r="321" spans="1:49" ht="113.25" hidden="1" customHeight="1">
      <c r="A321" s="17">
        <f>OBRA!I319</f>
        <v>2018</v>
      </c>
      <c r="B321" s="896" t="s">
        <v>1567</v>
      </c>
      <c r="C321" s="896">
        <v>186.06</v>
      </c>
      <c r="D321" s="896"/>
      <c r="E321" s="2" t="str">
        <f>OBRA!K319</f>
        <v>RAMO 33</v>
      </c>
      <c r="F321" s="1604"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2560</v>
      </c>
      <c r="N321" s="554" t="s">
        <v>3529</v>
      </c>
      <c r="O321" s="4">
        <f>OBRA!P319</f>
        <v>343705.8</v>
      </c>
      <c r="P321" s="1208">
        <f t="shared" si="17"/>
        <v>296298.10344827588</v>
      </c>
      <c r="Q321" s="1208"/>
      <c r="R321" s="6">
        <f>OBRA!Q319</f>
        <v>43255</v>
      </c>
      <c r="S321" s="1327">
        <f>OBRA!T319</f>
        <v>43252</v>
      </c>
      <c r="T321" s="5">
        <f>OBRA!R319</f>
        <v>43257</v>
      </c>
      <c r="U321" s="12">
        <f>OBRA!S319</f>
        <v>43322</v>
      </c>
      <c r="V321" s="1695"/>
      <c r="W321" s="651">
        <f>OBRA!AQ319+OBRA!AR319</f>
        <v>343705.79</v>
      </c>
      <c r="X321" s="1391" t="s">
        <v>3225</v>
      </c>
      <c r="Y321" s="639" t="s">
        <v>2044</v>
      </c>
      <c r="Z321" s="639"/>
      <c r="AA321" s="640" t="s">
        <v>1028</v>
      </c>
      <c r="AB321" s="639" t="s">
        <v>2045</v>
      </c>
      <c r="AC321" s="639" t="s">
        <v>3082</v>
      </c>
      <c r="AD321" s="198" t="str">
        <f>OBRA!V319</f>
        <v>ARQ. CESAR ANTONIO ALONSO JIMENEZ</v>
      </c>
      <c r="AE321" s="174">
        <v>140.56</v>
      </c>
      <c r="AF321" s="202" t="s">
        <v>1454</v>
      </c>
      <c r="AG321" s="694">
        <f t="shared" si="16"/>
        <v>2445.2603158793395</v>
      </c>
      <c r="AH321" s="202">
        <v>6000</v>
      </c>
      <c r="AI321" s="249" t="s">
        <v>1455</v>
      </c>
      <c r="AJ321" s="566"/>
      <c r="AK321" s="566"/>
      <c r="AL321" s="566"/>
      <c r="AM321" s="1522" t="s">
        <v>3712</v>
      </c>
      <c r="AN321" s="996"/>
      <c r="AO321" s="1525" t="s">
        <v>3712</v>
      </c>
      <c r="AP321" s="1523" t="s">
        <v>3712</v>
      </c>
      <c r="AQ321" s="1524" t="s">
        <v>3712</v>
      </c>
      <c r="AR321" s="552"/>
      <c r="AS321" s="552"/>
      <c r="AT321" s="552"/>
      <c r="AU321" s="552"/>
      <c r="AV321" s="35"/>
      <c r="AW321" s="13"/>
    </row>
    <row r="322" spans="1:49" s="110" customFormat="1" ht="51" hidden="1" customHeight="1">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2"/>
      <c r="R322" s="93">
        <f>OBRA!Q320</f>
        <v>0</v>
      </c>
      <c r="S322" s="1327">
        <f>OBRA!T320</f>
        <v>0</v>
      </c>
      <c r="T322" s="94">
        <f>OBRA!R320</f>
        <v>0</v>
      </c>
      <c r="U322" s="95">
        <f>OBRA!S320</f>
        <v>0</v>
      </c>
      <c r="V322" s="374"/>
      <c r="W322" s="934">
        <f>OBRA!AQ320+OBRA!AR320</f>
        <v>0</v>
      </c>
      <c r="X322" s="947"/>
      <c r="Y322" s="935" t="str">
        <f>OBRA!U320</f>
        <v>-</v>
      </c>
      <c r="Z322" s="935"/>
      <c r="AA322" s="460" t="str">
        <f>Y322</f>
        <v>-</v>
      </c>
      <c r="AB322" s="935" t="s">
        <v>1431</v>
      </c>
      <c r="AC322" s="1237" t="s">
        <v>1431</v>
      </c>
      <c r="AD322" s="199" t="str">
        <f>OBRA!V320</f>
        <v>-</v>
      </c>
      <c r="AE322" s="90"/>
      <c r="AF322" s="91"/>
      <c r="AG322" s="936" t="e">
        <f t="shared" si="16"/>
        <v>#DIV/0!</v>
      </c>
      <c r="AH322" s="628"/>
      <c r="AI322" s="89"/>
      <c r="AJ322" s="583"/>
      <c r="AK322" s="583"/>
      <c r="AL322" s="583"/>
      <c r="AM322" s="1426"/>
      <c r="AN322" s="583"/>
      <c r="AO322" s="747"/>
      <c r="AP322" s="583"/>
      <c r="AQ322" s="89"/>
      <c r="AR322" s="564"/>
      <c r="AS322" s="564"/>
      <c r="AT322" s="564"/>
      <c r="AU322" s="564"/>
      <c r="AV322" s="564"/>
      <c r="AW322" s="109"/>
    </row>
    <row r="323" spans="1:49" ht="108.75" hidden="1" customHeight="1">
      <c r="A323" s="17">
        <f>OBRA!I321</f>
        <v>2018</v>
      </c>
      <c r="B323" s="896" t="s">
        <v>1567</v>
      </c>
      <c r="C323" s="896">
        <v>186.08</v>
      </c>
      <c r="D323" s="896"/>
      <c r="E323" s="2" t="str">
        <f>OBRA!K321</f>
        <v>RAMO 33</v>
      </c>
      <c r="F323" s="1604"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2560</v>
      </c>
      <c r="N323" s="554" t="s">
        <v>3529</v>
      </c>
      <c r="O323" s="4">
        <f>OBRA!P321</f>
        <v>142361.85</v>
      </c>
      <c r="P323" s="1208">
        <f t="shared" ref="P323:P328" si="18">O323/1.16</f>
        <v>122725.73275862071</v>
      </c>
      <c r="Q323" s="1208"/>
      <c r="R323" s="6">
        <f>OBRA!Q321</f>
        <v>43222</v>
      </c>
      <c r="S323" s="1327">
        <f>OBRA!T321</f>
        <v>43221</v>
      </c>
      <c r="T323" s="5">
        <f>OBRA!R321</f>
        <v>43224</v>
      </c>
      <c r="U323" s="12">
        <f>OBRA!S321</f>
        <v>43255</v>
      </c>
      <c r="V323" s="1695"/>
      <c r="W323" s="651">
        <f>OBRA!AQ321+OBRA!AR321</f>
        <v>142049.75</v>
      </c>
      <c r="X323" s="1390" t="s">
        <v>3226</v>
      </c>
      <c r="Y323" s="650" t="str">
        <f>OBRA!U321</f>
        <v xml:space="preserve">GRUPO DESARROLLADOR INMOBILIARIO CEMERAMA S.A. DE C.V. </v>
      </c>
      <c r="Z323" s="650"/>
      <c r="AA323" s="652" t="str">
        <f>Y323</f>
        <v xml:space="preserve">GRUPO DESARROLLADOR INMOBILIARIO CEMERAMA S.A. DE C.V. </v>
      </c>
      <c r="AB323" s="650" t="s">
        <v>1838</v>
      </c>
      <c r="AC323" s="650" t="s">
        <v>3081</v>
      </c>
      <c r="AD323" s="200" t="str">
        <f>OBRA!V321</f>
        <v>LIC. SALVADOR CONTRERAS OLGUÍN</v>
      </c>
      <c r="AE323" s="609">
        <v>92</v>
      </c>
      <c r="AF323" s="202" t="s">
        <v>1454</v>
      </c>
      <c r="AG323" s="694">
        <f t="shared" si="16"/>
        <v>1544.0190217391305</v>
      </c>
      <c r="AH323" s="202">
        <v>150</v>
      </c>
      <c r="AI323" s="249" t="s">
        <v>1447</v>
      </c>
      <c r="AJ323" s="566"/>
      <c r="AK323" s="566"/>
      <c r="AL323" s="566"/>
      <c r="AM323" s="1522" t="s">
        <v>3713</v>
      </c>
      <c r="AN323" s="1525" t="s">
        <v>3713</v>
      </c>
      <c r="AO323" s="1525" t="s">
        <v>3713</v>
      </c>
      <c r="AP323" s="1523" t="s">
        <v>3713</v>
      </c>
      <c r="AQ323" s="561"/>
      <c r="AR323" s="552"/>
      <c r="AS323" s="552"/>
      <c r="AT323" s="552"/>
      <c r="AU323" s="552"/>
      <c r="AV323" s="35"/>
      <c r="AW323" s="13"/>
    </row>
    <row r="324" spans="1:49" ht="144.75" hidden="1" customHeight="1">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3529</v>
      </c>
      <c r="O324" s="4">
        <f>OBRA!P322</f>
        <v>526676.22</v>
      </c>
      <c r="P324" s="1208">
        <f t="shared" si="18"/>
        <v>454031.22413793101</v>
      </c>
      <c r="Q324" s="1208"/>
      <c r="R324" s="6">
        <f>OBRA!Q322</f>
        <v>43253</v>
      </c>
      <c r="S324" s="1327">
        <f>OBRA!T322</f>
        <v>43252</v>
      </c>
      <c r="T324" s="5">
        <f>OBRA!R322</f>
        <v>43261</v>
      </c>
      <c r="U324" s="12">
        <f>OBRA!S322</f>
        <v>43322</v>
      </c>
      <c r="V324" s="1695"/>
      <c r="W324" s="651">
        <f>OBRA!AQ322+OBRA!AR322</f>
        <v>526676.22</v>
      </c>
      <c r="X324" s="1391" t="s">
        <v>3227</v>
      </c>
      <c r="Y324" s="639" t="str">
        <f>OBRA!U322</f>
        <v>ING. JOSE VALENTIN ZARATE RIVERA</v>
      </c>
      <c r="Z324" s="639"/>
      <c r="AA324" s="640" t="str">
        <f>Y324</f>
        <v>ING. JOSE VALENTIN ZARATE RIVERA</v>
      </c>
      <c r="AB324" s="675" t="s">
        <v>2999</v>
      </c>
      <c r="AC324" s="650" t="s">
        <v>2999</v>
      </c>
      <c r="AD324" s="198" t="str">
        <f>OBRA!V322</f>
        <v>ING. JUAN MANUEL GARCIA ESCOTO</v>
      </c>
      <c r="AE324" s="174">
        <v>11</v>
      </c>
      <c r="AF324" s="202" t="s">
        <v>1761</v>
      </c>
      <c r="AG324" s="653">
        <f t="shared" si="16"/>
        <v>47879.656363636364</v>
      </c>
      <c r="AH324" s="202">
        <v>21500</v>
      </c>
      <c r="AI324" s="249" t="s">
        <v>1455</v>
      </c>
      <c r="AJ324" s="566"/>
      <c r="AK324" s="566"/>
      <c r="AL324" s="566"/>
      <c r="AM324" s="1522" t="s">
        <v>3717</v>
      </c>
      <c r="AN324" s="1525" t="s">
        <v>3717</v>
      </c>
      <c r="AO324" s="1525" t="s">
        <v>3717</v>
      </c>
      <c r="AP324" s="1523" t="s">
        <v>3717</v>
      </c>
      <c r="AQ324" s="1524" t="s">
        <v>3717</v>
      </c>
      <c r="AR324" s="552"/>
      <c r="AS324" s="552"/>
      <c r="AT324" s="552"/>
      <c r="AU324" s="552"/>
      <c r="AV324" s="191" t="s">
        <v>551</v>
      </c>
      <c r="AW324" s="16"/>
    </row>
    <row r="325" spans="1:49" ht="67.5" hidden="1" customHeight="1">
      <c r="A325" s="17">
        <f>OBRA!I323</f>
        <v>2018</v>
      </c>
      <c r="B325" s="896" t="s">
        <v>1567</v>
      </c>
      <c r="C325" s="896">
        <v>186.1</v>
      </c>
      <c r="D325" s="896"/>
      <c r="E325" s="2" t="str">
        <f>OBRA!K323</f>
        <v>RAMO 33</v>
      </c>
      <c r="F325" s="1604"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2640</v>
      </c>
      <c r="N325" s="554" t="s">
        <v>3529</v>
      </c>
      <c r="O325" s="4">
        <f>OBRA!P323</f>
        <v>177478.77</v>
      </c>
      <c r="P325" s="1208">
        <f t="shared" si="18"/>
        <v>152998.93965517241</v>
      </c>
      <c r="Q325" s="1208"/>
      <c r="R325" s="6">
        <f>OBRA!Q323</f>
        <v>43242</v>
      </c>
      <c r="S325" s="1327">
        <f>OBRA!T323</f>
        <v>43241</v>
      </c>
      <c r="T325" s="5">
        <f>OBRA!R323</f>
        <v>43243</v>
      </c>
      <c r="U325" s="12">
        <f>OBRA!S323</f>
        <v>43283</v>
      </c>
      <c r="V325" s="1695"/>
      <c r="W325" s="651">
        <f>OBRA!AQ323+OBRA!AR323</f>
        <v>177182.11</v>
      </c>
      <c r="X325" s="1391" t="s">
        <v>3228</v>
      </c>
      <c r="Y325" s="639" t="str">
        <f>OBRA!U323</f>
        <v>LIC. CARLOS MANUEL PELAYO CERVERA</v>
      </c>
      <c r="Z325" s="639"/>
      <c r="AA325" s="640" t="str">
        <f>Y325</f>
        <v>LIC. CARLOS MANUEL PELAYO CERVERA</v>
      </c>
      <c r="AB325" s="675" t="s">
        <v>2999</v>
      </c>
      <c r="AC325" s="650" t="s">
        <v>2999</v>
      </c>
      <c r="AD325" s="200" t="str">
        <f>OBRA!V323</f>
        <v>ARQ. CESAR ANTONIO ALONSO JIMENEZ</v>
      </c>
      <c r="AE325" s="609">
        <v>120</v>
      </c>
      <c r="AF325" s="202" t="s">
        <v>1454</v>
      </c>
      <c r="AG325" s="694">
        <f t="shared" ref="AG325:AG351" si="19">W325/AE325</f>
        <v>1476.5175833333333</v>
      </c>
      <c r="AH325" s="202">
        <v>50</v>
      </c>
      <c r="AI325" s="249" t="s">
        <v>1447</v>
      </c>
      <c r="AJ325" s="566"/>
      <c r="AK325" s="566"/>
      <c r="AL325" s="566"/>
      <c r="AM325" s="1522" t="s">
        <v>3714</v>
      </c>
      <c r="AN325" s="1525" t="s">
        <v>3714</v>
      </c>
      <c r="AO325" s="1525" t="s">
        <v>3714</v>
      </c>
      <c r="AP325" s="1526" t="s">
        <v>3714</v>
      </c>
      <c r="AQ325" s="1527" t="s">
        <v>3714</v>
      </c>
      <c r="AR325" s="552"/>
      <c r="AS325" s="552" t="s">
        <v>1295</v>
      </c>
      <c r="AT325" s="552"/>
      <c r="AU325" s="552"/>
      <c r="AV325" s="810" t="s">
        <v>551</v>
      </c>
      <c r="AW325" s="24"/>
    </row>
    <row r="326" spans="1:49" ht="72" hidden="1" customHeight="1">
      <c r="A326" s="17">
        <f>OBRA!I324</f>
        <v>2018</v>
      </c>
      <c r="B326" s="896" t="s">
        <v>1567</v>
      </c>
      <c r="C326" s="896">
        <v>186.11</v>
      </c>
      <c r="D326" s="896"/>
      <c r="E326" s="2" t="str">
        <f>OBRA!K324</f>
        <v>RAMO 33</v>
      </c>
      <c r="F326" s="1604"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2640</v>
      </c>
      <c r="N326" s="554" t="s">
        <v>3530</v>
      </c>
      <c r="O326" s="4">
        <f>OBRA!P324</f>
        <v>247048.85</v>
      </c>
      <c r="P326" s="1208">
        <f t="shared" si="18"/>
        <v>212973.14655172414</v>
      </c>
      <c r="Q326" s="1208"/>
      <c r="R326" s="6">
        <f>OBRA!Q324</f>
        <v>43242</v>
      </c>
      <c r="S326" s="1327">
        <f>OBRA!T324</f>
        <v>43241</v>
      </c>
      <c r="T326" s="5">
        <f>OBRA!R324</f>
        <v>43243</v>
      </c>
      <c r="U326" s="12">
        <f>OBRA!S324</f>
        <v>43283</v>
      </c>
      <c r="V326" s="1695"/>
      <c r="W326" s="651">
        <f>OBRA!AQ324+OBRA!AR324</f>
        <v>246900.86</v>
      </c>
      <c r="X326" s="1391" t="s">
        <v>3229</v>
      </c>
      <c r="Y326" s="639" t="str">
        <f>OBRA!U324</f>
        <v>LIC. CARLOS MANUEL PELAYO CERVERA</v>
      </c>
      <c r="Z326" s="639"/>
      <c r="AA326" s="640" t="str">
        <f>Y326</f>
        <v>LIC. CARLOS MANUEL PELAYO CERVERA</v>
      </c>
      <c r="AB326" s="675" t="s">
        <v>2999</v>
      </c>
      <c r="AC326" s="650" t="s">
        <v>2999</v>
      </c>
      <c r="AD326" s="200" t="str">
        <f>OBRA!V324</f>
        <v>ARQ. CESAR ANTONIO ALONSO JIMENEZ</v>
      </c>
      <c r="AE326" s="609">
        <v>120</v>
      </c>
      <c r="AF326" s="202" t="s">
        <v>1454</v>
      </c>
      <c r="AG326" s="694">
        <f t="shared" si="19"/>
        <v>2057.5071666666668</v>
      </c>
      <c r="AH326" s="202">
        <v>50</v>
      </c>
      <c r="AI326" s="249" t="s">
        <v>1447</v>
      </c>
      <c r="AJ326" s="566"/>
      <c r="AK326" s="566"/>
      <c r="AL326" s="566"/>
      <c r="AM326" s="1522" t="s">
        <v>3715</v>
      </c>
      <c r="AN326" s="1523" t="s">
        <v>3715</v>
      </c>
      <c r="AO326" s="1523" t="s">
        <v>3715</v>
      </c>
      <c r="AP326" s="1526" t="s">
        <v>3715</v>
      </c>
      <c r="AQ326" s="1527" t="s">
        <v>3715</v>
      </c>
      <c r="AR326" s="552"/>
      <c r="AS326" s="552"/>
      <c r="AT326" s="552"/>
      <c r="AU326" s="552"/>
      <c r="AV326" s="810" t="s">
        <v>551</v>
      </c>
      <c r="AW326" s="24"/>
    </row>
    <row r="327" spans="1:49" ht="123" hidden="1" customHeight="1">
      <c r="A327" s="17">
        <f>OBRA!I325</f>
        <v>2018</v>
      </c>
      <c r="B327" s="896" t="s">
        <v>1567</v>
      </c>
      <c r="C327" s="896">
        <v>186.12</v>
      </c>
      <c r="D327" s="896"/>
      <c r="E327" s="2" t="str">
        <f>OBRA!K325</f>
        <v>FONDEREG</v>
      </c>
      <c r="F327" s="554" t="s">
        <v>3708</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2613</v>
      </c>
      <c r="N327" s="554" t="s">
        <v>3530</v>
      </c>
      <c r="O327" s="85">
        <f>OBRA!P325</f>
        <v>724057.5</v>
      </c>
      <c r="P327" s="1208">
        <f t="shared" si="18"/>
        <v>624187.5</v>
      </c>
      <c r="Q327" s="1208"/>
      <c r="R327" s="69">
        <f>OBRA!Q325</f>
        <v>43304</v>
      </c>
      <c r="S327" s="1327">
        <f>OBRA!T325</f>
        <v>43271</v>
      </c>
      <c r="T327" s="5">
        <f>OBRA!R325</f>
        <v>43306</v>
      </c>
      <c r="U327" s="12">
        <f>OBRA!S325</f>
        <v>43342</v>
      </c>
      <c r="V327" s="1695"/>
      <c r="W327" s="651">
        <f>OBRA!AQ325+OBRA!AR325</f>
        <v>724036.92</v>
      </c>
      <c r="X327" s="1391" t="s">
        <v>3227</v>
      </c>
      <c r="Y327" s="639" t="str">
        <f>OBRA!U325</f>
        <v>BIRMEK CONSTRUCCIONES S.A. DE C.V.</v>
      </c>
      <c r="Z327" s="639"/>
      <c r="AA327" s="640" t="s">
        <v>2053</v>
      </c>
      <c r="AB327" s="675" t="s">
        <v>2054</v>
      </c>
      <c r="AC327" s="675" t="s">
        <v>3083</v>
      </c>
      <c r="AD327" s="200" t="str">
        <f>OBRA!V325</f>
        <v>ING. RIGOBERTO OLMEDO RAMOS</v>
      </c>
      <c r="AE327" s="609">
        <v>30</v>
      </c>
      <c r="AF327" s="202" t="s">
        <v>1761</v>
      </c>
      <c r="AG327" s="653">
        <f t="shared" si="19"/>
        <v>24134.564000000002</v>
      </c>
      <c r="AH327" s="202">
        <v>33000</v>
      </c>
      <c r="AI327" s="249" t="s">
        <v>1455</v>
      </c>
      <c r="AJ327" s="566"/>
      <c r="AK327" s="566"/>
      <c r="AL327" s="566"/>
      <c r="AM327" s="1522" t="s">
        <v>3716</v>
      </c>
      <c r="AN327" s="1525" t="s">
        <v>3716</v>
      </c>
      <c r="AO327" s="1525" t="s">
        <v>3716</v>
      </c>
      <c r="AP327" s="1523" t="s">
        <v>3716</v>
      </c>
      <c r="AQ327" s="1524" t="s">
        <v>3716</v>
      </c>
      <c r="AR327" s="552"/>
      <c r="AS327" s="552"/>
      <c r="AT327" s="552"/>
      <c r="AU327" s="552"/>
      <c r="AV327" s="56" t="s">
        <v>551</v>
      </c>
      <c r="AW327" s="754"/>
    </row>
    <row r="328" spans="1:49" ht="111.75" hidden="1" customHeight="1">
      <c r="A328" s="17">
        <f>OBRA!I326</f>
        <v>2018</v>
      </c>
      <c r="B328" s="896" t="s">
        <v>1567</v>
      </c>
      <c r="C328" s="896">
        <v>186.13</v>
      </c>
      <c r="D328" s="896"/>
      <c r="E328" s="2" t="str">
        <f>OBRA!K326</f>
        <v>FONDEREG</v>
      </c>
      <c r="F328" s="554" t="s">
        <v>3708</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3530</v>
      </c>
      <c r="O328" s="4">
        <f>OBRA!P326</f>
        <v>2197542.15</v>
      </c>
      <c r="P328" s="1208">
        <f t="shared" si="18"/>
        <v>1894432.8879310344</v>
      </c>
      <c r="Q328" s="1208"/>
      <c r="R328" s="6">
        <f>OBRA!Q326</f>
        <v>43240</v>
      </c>
      <c r="S328" s="1327" t="str">
        <f>OBRA!T326</f>
        <v>-</v>
      </c>
      <c r="T328" s="5">
        <f>OBRA!R326</f>
        <v>43248</v>
      </c>
      <c r="U328" s="12">
        <f>OBRA!S326</f>
        <v>43288</v>
      </c>
      <c r="V328" s="240">
        <f>O328*0.25</f>
        <v>549385.53749999998</v>
      </c>
      <c r="W328" s="651">
        <f>OBRA!AQ326+OBRA!AR326</f>
        <v>2197543.2200000002</v>
      </c>
      <c r="X328" s="1198" t="s">
        <v>2472</v>
      </c>
      <c r="Y328" s="1710" t="str">
        <f>OBRA!U326</f>
        <v>ING. SERGIO CABRERA</v>
      </c>
      <c r="Z328" s="2059"/>
      <c r="AA328" s="652" t="str">
        <f>Y328</f>
        <v>ING. SERGIO CABRERA</v>
      </c>
      <c r="AB328" s="675" t="s">
        <v>2999</v>
      </c>
      <c r="AC328" s="650" t="s">
        <v>2999</v>
      </c>
      <c r="AD328" s="200" t="str">
        <f>OBRA!V326</f>
        <v>ING. JUAN MANUEL GARCIA ESCOTO</v>
      </c>
      <c r="AE328" s="609">
        <v>3338.9</v>
      </c>
      <c r="AF328" s="202" t="s">
        <v>1552</v>
      </c>
      <c r="AG328" s="694">
        <f t="shared" si="19"/>
        <v>658.16383239989227</v>
      </c>
      <c r="AH328" s="202">
        <v>21500</v>
      </c>
      <c r="AI328" s="249" t="s">
        <v>1455</v>
      </c>
      <c r="AJ328" s="566"/>
      <c r="AK328" s="566"/>
      <c r="AL328" s="566"/>
      <c r="AM328" s="1522" t="s">
        <v>3734</v>
      </c>
      <c r="AN328" s="1525" t="s">
        <v>3734</v>
      </c>
      <c r="AO328" s="1525" t="s">
        <v>3734</v>
      </c>
      <c r="AP328" s="1475" t="s">
        <v>3734</v>
      </c>
      <c r="AQ328" s="1524" t="s">
        <v>3734</v>
      </c>
      <c r="AR328" s="542"/>
      <c r="AS328" s="542"/>
      <c r="AT328" s="542"/>
      <c r="AU328" s="542"/>
      <c r="AV328" s="180" t="s">
        <v>551</v>
      </c>
      <c r="AW328" s="329"/>
    </row>
    <row r="329" spans="1:49" s="110" customFormat="1" ht="120.75" hidden="1" customHeight="1">
      <c r="A329" s="88">
        <f>OBRA!I327</f>
        <v>2018</v>
      </c>
      <c r="B329" s="897" t="s">
        <v>1567</v>
      </c>
      <c r="C329" s="897">
        <v>186.14</v>
      </c>
      <c r="D329" s="897"/>
      <c r="E329" s="91" t="str">
        <f>OBRA!K327</f>
        <v>Fondo de proyectos para el Desarrollo Regional</v>
      </c>
      <c r="F329" s="1346" t="s">
        <v>2011</v>
      </c>
      <c r="G329" s="1347"/>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2"/>
      <c r="R329" s="93">
        <f>OBRA!Q327</f>
        <v>43251</v>
      </c>
      <c r="S329" s="1327" t="str">
        <f>OBRA!T327</f>
        <v>-</v>
      </c>
      <c r="T329" s="94">
        <f>OBRA!R327</f>
        <v>43252</v>
      </c>
      <c r="U329" s="95">
        <f>OBRA!S327</f>
        <v>43301</v>
      </c>
      <c r="V329" s="374"/>
      <c r="W329" s="934">
        <f>OBRA!AQ327+OBRA!AR327</f>
        <v>0</v>
      </c>
      <c r="X329" s="947"/>
      <c r="Y329" s="935" t="str">
        <f>OBRA!U327</f>
        <v>ING. SERGIO CABRERA</v>
      </c>
      <c r="Z329" s="935"/>
      <c r="AA329" s="460" t="str">
        <f>Y329</f>
        <v>ING. SERGIO CABRERA</v>
      </c>
      <c r="AB329" s="1237" t="s">
        <v>2999</v>
      </c>
      <c r="AC329" s="935" t="s">
        <v>2999</v>
      </c>
      <c r="AD329" s="199" t="str">
        <f>OBRA!V327</f>
        <v>ING. J. GUADALUPE IBARRA RAMIREZ</v>
      </c>
      <c r="AE329" s="90"/>
      <c r="AF329" s="91" t="s">
        <v>1552</v>
      </c>
      <c r="AG329" s="936" t="e">
        <f t="shared" si="19"/>
        <v>#DIV/0!</v>
      </c>
      <c r="AH329" s="628"/>
      <c r="AI329" s="89"/>
      <c r="AJ329" s="583"/>
      <c r="AK329" s="583"/>
      <c r="AL329" s="583"/>
      <c r="AM329" s="1426"/>
      <c r="AN329" s="583"/>
      <c r="AO329" s="747"/>
      <c r="AP329" s="945" t="s">
        <v>2060</v>
      </c>
      <c r="AQ329" s="89"/>
      <c r="AR329" s="564"/>
      <c r="AS329" s="564"/>
      <c r="AT329" s="564"/>
      <c r="AU329" s="564"/>
      <c r="AV329" s="564"/>
      <c r="AW329" s="109"/>
    </row>
    <row r="330" spans="1:49" ht="101.25" hidden="1" customHeight="1">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2560</v>
      </c>
      <c r="N330" s="554" t="s">
        <v>3530</v>
      </c>
      <c r="O330" s="4">
        <f>OBRA!P328</f>
        <v>398019.86</v>
      </c>
      <c r="P330" s="1208">
        <f t="shared" ref="P330:P393" si="20">O330/1.16</f>
        <v>343120.56896551728</v>
      </c>
      <c r="Q330" s="1208"/>
      <c r="R330" s="6">
        <f>OBRA!Q328</f>
        <v>43255</v>
      </c>
      <c r="S330" s="1327">
        <f>OBRA!T328</f>
        <v>43252</v>
      </c>
      <c r="T330" s="5">
        <f>OBRA!R328</f>
        <v>43257</v>
      </c>
      <c r="U330" s="12">
        <f>OBRA!S328</f>
        <v>43322</v>
      </c>
      <c r="V330" s="1695"/>
      <c r="W330" s="651">
        <f>OBRA!AQ328+OBRA!AR328</f>
        <v>387394.93</v>
      </c>
      <c r="X330" s="1390" t="s">
        <v>3230</v>
      </c>
      <c r="Y330" s="639" t="s">
        <v>2044</v>
      </c>
      <c r="Z330" s="639"/>
      <c r="AA330" s="640" t="s">
        <v>1028</v>
      </c>
      <c r="AB330" s="639" t="s">
        <v>2045</v>
      </c>
      <c r="AC330" s="639" t="s">
        <v>3082</v>
      </c>
      <c r="AD330" s="198" t="str">
        <f>OBRA!V328</f>
        <v>ARQ. CESAR ANTONIO ALONSO JIMENEZ</v>
      </c>
      <c r="AE330" s="609">
        <v>140.56</v>
      </c>
      <c r="AF330" s="202" t="s">
        <v>1454</v>
      </c>
      <c r="AG330" s="694">
        <f t="shared" si="19"/>
        <v>2756.082313602732</v>
      </c>
      <c r="AH330" s="202">
        <v>6000</v>
      </c>
      <c r="AI330" s="249" t="s">
        <v>1455</v>
      </c>
      <c r="AJ330" s="566"/>
      <c r="AK330" s="566"/>
      <c r="AL330" s="566"/>
      <c r="AM330" s="1522" t="s">
        <v>3718</v>
      </c>
      <c r="AN330" s="1525" t="s">
        <v>3718</v>
      </c>
      <c r="AO330" s="1523" t="s">
        <v>3718</v>
      </c>
      <c r="AP330" s="1523" t="s">
        <v>3718</v>
      </c>
      <c r="AQ330" s="1524" t="s">
        <v>3718</v>
      </c>
      <c r="AR330" s="552"/>
      <c r="AS330" s="552"/>
      <c r="AT330" s="552"/>
      <c r="AU330" s="552"/>
      <c r="AV330" s="35" t="s">
        <v>551</v>
      </c>
      <c r="AW330" s="13"/>
    </row>
    <row r="331" spans="1:49" ht="84.75" hidden="1" customHeight="1">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3530</v>
      </c>
      <c r="O331" s="4">
        <f>OBRA!P329</f>
        <v>816694.91</v>
      </c>
      <c r="P331" s="1208">
        <f t="shared" si="20"/>
        <v>704047.33620689658</v>
      </c>
      <c r="Q331" s="1208"/>
      <c r="R331" s="6">
        <f>OBRA!Q329</f>
        <v>43102</v>
      </c>
      <c r="S331" s="1327">
        <f>OBRA!T329</f>
        <v>43102</v>
      </c>
      <c r="T331" s="5">
        <f>OBRA!R329</f>
        <v>43104</v>
      </c>
      <c r="U331" s="12">
        <f>OBRA!S329</f>
        <v>43120</v>
      </c>
      <c r="V331" s="1695"/>
      <c r="W331" s="651">
        <f>OBRA!AQ329+OBRA!AR329</f>
        <v>810289.17</v>
      </c>
      <c r="X331" s="1391" t="s">
        <v>3231</v>
      </c>
      <c r="Y331" s="639" t="str">
        <f>OBRA!U329</f>
        <v>C. NORMA GORETY DOMINGUEZ CALVARIO</v>
      </c>
      <c r="Z331" s="639"/>
      <c r="AA331" s="640" t="str">
        <f t="shared" ref="AA331:AA336" si="21">Y331</f>
        <v>C. NORMA GORETY DOMINGUEZ CALVARIO</v>
      </c>
      <c r="AB331" s="675" t="s">
        <v>2999</v>
      </c>
      <c r="AC331" s="650" t="s">
        <v>2999</v>
      </c>
      <c r="AD331" s="198" t="str">
        <f>OBRA!V329</f>
        <v>ING. JUAN MANUEL GARCIA ESCOTO</v>
      </c>
      <c r="AE331" s="174">
        <v>345.04</v>
      </c>
      <c r="AF331" s="202" t="s">
        <v>1552</v>
      </c>
      <c r="AG331" s="694">
        <f t="shared" si="19"/>
        <v>2348.3919835381403</v>
      </c>
      <c r="AH331" s="202">
        <v>21500</v>
      </c>
      <c r="AI331" s="249" t="s">
        <v>1455</v>
      </c>
      <c r="AJ331" s="566"/>
      <c r="AK331" s="566"/>
      <c r="AL331" s="566"/>
      <c r="AM331" s="1427"/>
      <c r="AN331" s="996"/>
      <c r="AO331" s="996"/>
      <c r="AP331" s="1012"/>
      <c r="AQ331" s="1011"/>
      <c r="AR331" s="552"/>
      <c r="AS331" s="552"/>
      <c r="AT331" s="552"/>
      <c r="AU331" s="552"/>
      <c r="AV331" s="35"/>
      <c r="AW331" s="13"/>
    </row>
    <row r="332" spans="1:49" ht="85.5" hidden="1" customHeight="1">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3530</v>
      </c>
      <c r="O332" s="4">
        <f>OBRA!P330</f>
        <v>1079507.02</v>
      </c>
      <c r="P332" s="1208">
        <f t="shared" si="20"/>
        <v>930609.50000000012</v>
      </c>
      <c r="Q332" s="1208"/>
      <c r="R332" s="6">
        <f>OBRA!Q330</f>
        <v>43116</v>
      </c>
      <c r="S332" s="1327">
        <f>OBRA!T330</f>
        <v>43115</v>
      </c>
      <c r="T332" s="5">
        <f>OBRA!R330</f>
        <v>43117</v>
      </c>
      <c r="U332" s="12">
        <f>OBRA!S330</f>
        <v>43155</v>
      </c>
      <c r="V332" s="1695"/>
      <c r="W332" s="651">
        <f>OBRA!AQ330+OBRA!AR330</f>
        <v>1079503.1100000001</v>
      </c>
      <c r="X332" s="1391" t="s">
        <v>3232</v>
      </c>
      <c r="Y332" s="639" t="str">
        <f>OBRA!U330</f>
        <v>C. JOSÉ MIGUEL GARCIA VALLE</v>
      </c>
      <c r="Z332" s="639"/>
      <c r="AA332" s="640" t="str">
        <f t="shared" si="21"/>
        <v>C. JOSÉ MIGUEL GARCIA VALLE</v>
      </c>
      <c r="AB332" s="675" t="s">
        <v>2999</v>
      </c>
      <c r="AC332" s="650" t="s">
        <v>2999</v>
      </c>
      <c r="AD332" s="198" t="str">
        <f>OBRA!V330</f>
        <v>ING. JUAN MANUEL GARCIA ESCOTO</v>
      </c>
      <c r="AE332" s="174">
        <v>467.1</v>
      </c>
      <c r="AF332" s="202" t="s">
        <v>1552</v>
      </c>
      <c r="AG332" s="694">
        <f t="shared" si="19"/>
        <v>2311.0749518304433</v>
      </c>
      <c r="AH332" s="202">
        <v>21500</v>
      </c>
      <c r="AI332" s="249" t="s">
        <v>1455</v>
      </c>
      <c r="AJ332" s="566"/>
      <c r="AK332" s="566"/>
      <c r="AL332" s="566"/>
      <c r="AM332" s="1522" t="s">
        <v>3719</v>
      </c>
      <c r="AN332" s="1525" t="s">
        <v>3719</v>
      </c>
      <c r="AO332" s="1525" t="s">
        <v>3719</v>
      </c>
      <c r="AP332" s="1523" t="s">
        <v>3719</v>
      </c>
      <c r="AQ332" s="1524" t="s">
        <v>3719</v>
      </c>
      <c r="AR332" s="552"/>
      <c r="AS332" s="552"/>
      <c r="AT332" s="552"/>
      <c r="AU332" s="552"/>
      <c r="AV332" s="35" t="s">
        <v>551</v>
      </c>
      <c r="AW332" s="13"/>
    </row>
    <row r="333" spans="1:49" ht="76.5" hidden="1" customHeight="1">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3530</v>
      </c>
      <c r="O333" s="4">
        <f>OBRA!P331</f>
        <v>550277.97</v>
      </c>
      <c r="P333" s="1208">
        <f t="shared" si="20"/>
        <v>474377.56034482759</v>
      </c>
      <c r="Q333" s="1208"/>
      <c r="R333" s="6">
        <f>OBRA!Q331</f>
        <v>43123</v>
      </c>
      <c r="S333" s="1327">
        <f>OBRA!T331</f>
        <v>43153</v>
      </c>
      <c r="T333" s="5">
        <f>OBRA!R331</f>
        <v>43157</v>
      </c>
      <c r="U333" s="12">
        <f>OBRA!S331</f>
        <v>43169</v>
      </c>
      <c r="V333" s="1695"/>
      <c r="W333" s="651">
        <f>OBRA!AQ331+OBRA!AR331</f>
        <v>409917.97</v>
      </c>
      <c r="X333" s="1391" t="s">
        <v>3233</v>
      </c>
      <c r="Y333" s="639" t="str">
        <f>OBRA!U331</f>
        <v>C. NORMA GORETY DOMINGUEZ CALVARIO</v>
      </c>
      <c r="Z333" s="639"/>
      <c r="AA333" s="640" t="str">
        <f t="shared" si="21"/>
        <v>C. NORMA GORETY DOMINGUEZ CALVARIO</v>
      </c>
      <c r="AB333" s="675" t="s">
        <v>2999</v>
      </c>
      <c r="AC333" s="650" t="s">
        <v>2999</v>
      </c>
      <c r="AD333" s="198" t="str">
        <f>OBRA!V331</f>
        <v>ING. JUAN MANUEL GARCIA ESCOTO</v>
      </c>
      <c r="AE333" s="174">
        <v>1</v>
      </c>
      <c r="AF333" s="202" t="s">
        <v>1577</v>
      </c>
      <c r="AG333" s="653">
        <f t="shared" si="19"/>
        <v>409917.97</v>
      </c>
      <c r="AH333" s="202">
        <v>21500</v>
      </c>
      <c r="AI333" s="249" t="s">
        <v>1455</v>
      </c>
      <c r="AJ333" s="566"/>
      <c r="AK333" s="566"/>
      <c r="AL333" s="566"/>
      <c r="AM333" s="1522" t="s">
        <v>3720</v>
      </c>
      <c r="AN333" s="1525" t="s">
        <v>3720</v>
      </c>
      <c r="AO333" s="1525" t="s">
        <v>3720</v>
      </c>
      <c r="AP333" s="1523" t="s">
        <v>3720</v>
      </c>
      <c r="AQ333" s="1524" t="s">
        <v>3720</v>
      </c>
      <c r="AR333" s="552"/>
      <c r="AS333" s="552"/>
      <c r="AT333" s="552"/>
      <c r="AU333" s="552"/>
      <c r="AV333" s="35" t="s">
        <v>551</v>
      </c>
      <c r="AW333" s="13"/>
    </row>
    <row r="334" spans="1:49" ht="114" hidden="1" customHeight="1">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3530</v>
      </c>
      <c r="O334" s="4">
        <f>OBRA!P332</f>
        <v>35653.230000000003</v>
      </c>
      <c r="P334" s="1208">
        <f t="shared" si="20"/>
        <v>30735.543103448279</v>
      </c>
      <c r="Q334" s="1208"/>
      <c r="R334" s="6">
        <f>OBRA!Q332</f>
        <v>43105</v>
      </c>
      <c r="S334" s="1327">
        <f>OBRA!T332</f>
        <v>43104</v>
      </c>
      <c r="T334" s="5">
        <f>OBRA!R332</f>
        <v>43108</v>
      </c>
      <c r="U334" s="12">
        <f>OBRA!S332</f>
        <v>43120</v>
      </c>
      <c r="V334" s="1695"/>
      <c r="W334" s="651">
        <f>OBRA!AQ332+OBRA!AR332</f>
        <v>35653.230000000003</v>
      </c>
      <c r="X334" s="1391" t="s">
        <v>3233</v>
      </c>
      <c r="Y334" s="639" t="str">
        <f>OBRA!U332</f>
        <v>C. NORMA GORETY DOMINGUEZ CALVARIO</v>
      </c>
      <c r="Z334" s="639"/>
      <c r="AA334" s="640" t="str">
        <f t="shared" si="21"/>
        <v>C. NORMA GORETY DOMINGUEZ CALVARIO</v>
      </c>
      <c r="AB334" s="675" t="s">
        <v>2999</v>
      </c>
      <c r="AC334" s="650" t="s">
        <v>2999</v>
      </c>
      <c r="AD334" s="198" t="str">
        <f>OBRA!V332</f>
        <v>ING. JUAN MANUEL GARCIA ESCOTO</v>
      </c>
      <c r="AE334" s="174">
        <v>26.48</v>
      </c>
      <c r="AF334" s="202" t="s">
        <v>1454</v>
      </c>
      <c r="AG334" s="694">
        <f t="shared" si="19"/>
        <v>1346.4210725075529</v>
      </c>
      <c r="AH334" s="202">
        <v>21500</v>
      </c>
      <c r="AI334" s="249" t="s">
        <v>1455</v>
      </c>
      <c r="AJ334" s="566"/>
      <c r="AK334" s="566"/>
      <c r="AL334" s="566"/>
      <c r="AM334" s="1521" t="s">
        <v>3721</v>
      </c>
      <c r="AN334" s="1520" t="s">
        <v>3721</v>
      </c>
      <c r="AO334" s="1525" t="s">
        <v>3721</v>
      </c>
      <c r="AP334" s="1475" t="s">
        <v>3721</v>
      </c>
      <c r="AQ334" s="1524" t="s">
        <v>3721</v>
      </c>
      <c r="AR334" s="552"/>
      <c r="AS334" s="552"/>
      <c r="AT334" s="552"/>
      <c r="AU334" s="552"/>
      <c r="AV334" s="35" t="s">
        <v>551</v>
      </c>
      <c r="AW334" s="13"/>
    </row>
    <row r="335" spans="1:49" ht="99" hidden="1" customHeight="1">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2560</v>
      </c>
      <c r="N335" s="554" t="s">
        <v>3530</v>
      </c>
      <c r="O335" s="4">
        <f>OBRA!P333</f>
        <v>142196.43</v>
      </c>
      <c r="P335" s="1208">
        <f t="shared" si="20"/>
        <v>122583.12931034483</v>
      </c>
      <c r="Q335" s="1208"/>
      <c r="R335" s="6">
        <f>OBRA!Q333</f>
        <v>43258</v>
      </c>
      <c r="S335" s="1327">
        <f>OBRA!T333</f>
        <v>43257</v>
      </c>
      <c r="T335" s="5">
        <f>OBRA!R333</f>
        <v>43258</v>
      </c>
      <c r="U335" s="12">
        <f>OBRA!S333</f>
        <v>43287</v>
      </c>
      <c r="V335" s="1695"/>
      <c r="W335" s="651">
        <f>OBRA!AQ333+OBRA!AR333</f>
        <v>142196.43</v>
      </c>
      <c r="X335" s="1391" t="s">
        <v>3234</v>
      </c>
      <c r="Y335" s="650" t="str">
        <f>OBRA!U333</f>
        <v>C. JOSÉ MIGUEL GARCIA VALLE</v>
      </c>
      <c r="Z335" s="650"/>
      <c r="AA335" s="652" t="str">
        <f t="shared" si="21"/>
        <v>C. JOSÉ MIGUEL GARCIA VALLE</v>
      </c>
      <c r="AB335" s="675" t="s">
        <v>2999</v>
      </c>
      <c r="AC335" s="650" t="s">
        <v>2999</v>
      </c>
      <c r="AD335" s="200" t="str">
        <f>OBRA!V333</f>
        <v>ARQ. JAIME CONDE GOMEZ</v>
      </c>
      <c r="AE335" s="174">
        <v>138.9</v>
      </c>
      <c r="AF335" s="202" t="s">
        <v>1454</v>
      </c>
      <c r="AG335" s="694">
        <f t="shared" si="19"/>
        <v>1023.7323974082072</v>
      </c>
      <c r="AH335" s="202">
        <v>250</v>
      </c>
      <c r="AI335" s="249" t="s">
        <v>1447</v>
      </c>
      <c r="AJ335" s="566"/>
      <c r="AK335" s="566"/>
      <c r="AL335" s="566"/>
      <c r="AM335" s="1521" t="s">
        <v>3722</v>
      </c>
      <c r="AN335" s="1525" t="s">
        <v>3722</v>
      </c>
      <c r="AO335" s="1525" t="s">
        <v>3722</v>
      </c>
      <c r="AP335" s="1523" t="s">
        <v>3722</v>
      </c>
      <c r="AQ335" s="1524" t="s">
        <v>3722</v>
      </c>
      <c r="AR335" s="552"/>
      <c r="AS335" s="552"/>
      <c r="AT335" s="552"/>
      <c r="AU335" s="552"/>
      <c r="AV335" s="35" t="s">
        <v>551</v>
      </c>
      <c r="AW335" s="13"/>
    </row>
    <row r="336" spans="1:49" ht="81.75" hidden="1" customHeight="1">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2560</v>
      </c>
      <c r="N336" s="510" t="s">
        <v>3531</v>
      </c>
      <c r="O336" s="85">
        <f>OBRA!P334</f>
        <v>32872.07</v>
      </c>
      <c r="P336" s="1208">
        <f t="shared" si="20"/>
        <v>28337.991379310348</v>
      </c>
      <c r="Q336" s="1208"/>
      <c r="R336" s="6">
        <f>OBRA!Q334</f>
        <v>43258</v>
      </c>
      <c r="S336" s="1327">
        <f>OBRA!T334</f>
        <v>43257</v>
      </c>
      <c r="T336" s="5">
        <f>OBRA!R334</f>
        <v>43262</v>
      </c>
      <c r="U336" s="12">
        <f>OBRA!S334</f>
        <v>43267</v>
      </c>
      <c r="V336" s="1695"/>
      <c r="W336" s="651">
        <f>OBRA!AQ334+OBRA!AR334</f>
        <v>32872.07</v>
      </c>
      <c r="X336" s="1390" t="s">
        <v>3235</v>
      </c>
      <c r="Y336" s="650" t="str">
        <f>OBRA!U334</f>
        <v>C. JOSÉ MIGUEL GARCIA VALLE</v>
      </c>
      <c r="Z336" s="650"/>
      <c r="AA336" s="652" t="str">
        <f t="shared" si="21"/>
        <v>C. JOSÉ MIGUEL GARCIA VALLE</v>
      </c>
      <c r="AB336" s="675" t="s">
        <v>2999</v>
      </c>
      <c r="AC336" s="650" t="s">
        <v>2999</v>
      </c>
      <c r="AD336" s="200" t="str">
        <f>OBRA!V334</f>
        <v>LIC. SALVADOR CONTRERAS OLGUÍN</v>
      </c>
      <c r="AE336" s="609">
        <v>30</v>
      </c>
      <c r="AF336" s="202" t="s">
        <v>1454</v>
      </c>
      <c r="AG336" s="694">
        <f t="shared" si="19"/>
        <v>1095.7356666666667</v>
      </c>
      <c r="AH336" s="202">
        <v>150</v>
      </c>
      <c r="AI336" s="249" t="s">
        <v>1447</v>
      </c>
      <c r="AJ336" s="566"/>
      <c r="AK336" s="566"/>
      <c r="AL336" s="566"/>
      <c r="AM336" s="1427"/>
      <c r="AN336" s="996"/>
      <c r="AO336" s="996"/>
      <c r="AP336" s="1015"/>
      <c r="AQ336" s="1011"/>
      <c r="AR336" s="552"/>
      <c r="AS336" s="552"/>
      <c r="AT336" s="552"/>
      <c r="AU336" s="552"/>
      <c r="AV336" s="35"/>
      <c r="AW336" s="13"/>
    </row>
    <row r="337" spans="1:49" ht="105" hidden="1" customHeight="1">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3531</v>
      </c>
      <c r="O337" s="4">
        <f>OBRA!P335</f>
        <v>243028.37</v>
      </c>
      <c r="P337" s="1208">
        <f t="shared" si="20"/>
        <v>209507.21551724139</v>
      </c>
      <c r="Q337" s="1208"/>
      <c r="R337" s="69">
        <f>OBRA!Q335</f>
        <v>43274</v>
      </c>
      <c r="S337" s="1327">
        <f>OBRA!T335</f>
        <v>43274</v>
      </c>
      <c r="T337" s="255">
        <f>OBRA!R335</f>
        <v>43274</v>
      </c>
      <c r="U337" s="245">
        <f>OBRA!S335</f>
        <v>43304</v>
      </c>
      <c r="V337" s="1695"/>
      <c r="W337" s="651">
        <f>OBRA!AQ335+OBRA!AR335</f>
        <v>242768.95</v>
      </c>
      <c r="X337" s="1391" t="s">
        <v>3236</v>
      </c>
      <c r="Y337" s="639" t="str">
        <f>OBRA!U335</f>
        <v xml:space="preserve">GRUPO DESARROLLADOR INMOBILIARIO CEMERAMA S.A. DE C.V. </v>
      </c>
      <c r="Z337" s="639"/>
      <c r="AA337" s="640" t="s">
        <v>1837</v>
      </c>
      <c r="AB337" s="650" t="s">
        <v>1838</v>
      </c>
      <c r="AC337" s="650" t="s">
        <v>3081</v>
      </c>
      <c r="AD337" s="200" t="str">
        <f>OBRA!V335</f>
        <v>ING. JUAN MANUEL GARCIA ESCOTO</v>
      </c>
      <c r="AE337" s="174">
        <v>1</v>
      </c>
      <c r="AF337" s="202" t="s">
        <v>1577</v>
      </c>
      <c r="AG337" s="653">
        <f t="shared" si="19"/>
        <v>242768.95</v>
      </c>
      <c r="AH337" s="202">
        <v>50000</v>
      </c>
      <c r="AI337" s="249" t="s">
        <v>1455</v>
      </c>
      <c r="AJ337" s="566"/>
      <c r="AK337" s="566"/>
      <c r="AL337" s="566"/>
      <c r="AM337" s="1522" t="s">
        <v>3723</v>
      </c>
      <c r="AN337" s="585"/>
      <c r="AO337" s="585"/>
      <c r="AP337" s="1523" t="s">
        <v>3723</v>
      </c>
      <c r="AQ337" s="561"/>
      <c r="AR337" s="552"/>
      <c r="AS337" s="552"/>
      <c r="AT337" s="552"/>
      <c r="AU337" s="552"/>
      <c r="AV337" s="35"/>
      <c r="AW337" s="13"/>
    </row>
    <row r="338" spans="1:49" ht="128.25" hidden="1" customHeight="1">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3531</v>
      </c>
      <c r="O338" s="4">
        <f>OBRA!P336</f>
        <v>1099823.45</v>
      </c>
      <c r="P338" s="1208">
        <f t="shared" si="20"/>
        <v>948123.66379310342</v>
      </c>
      <c r="Q338" s="1208"/>
      <c r="R338" s="6">
        <f>OBRA!Q336</f>
        <v>43300</v>
      </c>
      <c r="S338" s="1327">
        <f>OBRA!T336</f>
        <v>43299</v>
      </c>
      <c r="T338" s="255">
        <f>OBRA!R336</f>
        <v>43300</v>
      </c>
      <c r="U338" s="245">
        <f>OBRA!S336</f>
        <v>43364</v>
      </c>
      <c r="V338" s="1695"/>
      <c r="W338" s="651">
        <f>OBRA!AQ336+OBRA!AR336</f>
        <v>1099821.05</v>
      </c>
      <c r="X338" s="1391" t="s">
        <v>3237</v>
      </c>
      <c r="Y338" s="639" t="str">
        <f>OBRA!U336</f>
        <v xml:space="preserve">DRABSA CONSTRUCTORA S.A. DE C.V. </v>
      </c>
      <c r="Z338" s="639"/>
      <c r="AA338" s="640" t="s">
        <v>2033</v>
      </c>
      <c r="AB338" s="650" t="s">
        <v>2034</v>
      </c>
      <c r="AC338" s="650" t="s">
        <v>3084</v>
      </c>
      <c r="AD338" s="769" t="str">
        <f>OBRA!V336</f>
        <v>ING. JUAN MANUEL GARCIA ESCOTO</v>
      </c>
      <c r="AE338" s="609">
        <v>1176</v>
      </c>
      <c r="AF338" s="202" t="s">
        <v>1552</v>
      </c>
      <c r="AG338" s="694">
        <f t="shared" si="19"/>
        <v>935.22198129251706</v>
      </c>
      <c r="AH338" s="202">
        <v>2400</v>
      </c>
      <c r="AI338" s="249" t="s">
        <v>1455</v>
      </c>
      <c r="AJ338" s="179"/>
      <c r="AK338" s="179"/>
      <c r="AL338" s="179"/>
      <c r="AM338" s="1428"/>
      <c r="AN338" s="1012"/>
      <c r="AO338" s="585"/>
      <c r="AP338" s="1012"/>
      <c r="AQ338" s="654"/>
      <c r="AR338" s="552"/>
      <c r="AS338" s="552"/>
      <c r="AT338" s="552"/>
      <c r="AU338" s="552"/>
      <c r="AV338" s="35"/>
      <c r="AW338" s="13"/>
    </row>
    <row r="339" spans="1:49" ht="189.75" hidden="1" customHeight="1">
      <c r="A339" s="17">
        <f>OBRA!I337</f>
        <v>2018</v>
      </c>
      <c r="B339" s="896" t="s">
        <v>1567</v>
      </c>
      <c r="C339" s="896">
        <v>186.24</v>
      </c>
      <c r="D339" s="896"/>
      <c r="E339" s="2" t="str">
        <f>OBRA!K337</f>
        <v>FOCOCI</v>
      </c>
      <c r="F339" s="551" t="s">
        <v>3708</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3531</v>
      </c>
      <c r="O339" s="4">
        <f>OBRA!P337</f>
        <v>2940000</v>
      </c>
      <c r="P339" s="1208">
        <f t="shared" si="20"/>
        <v>2534482.7586206896</v>
      </c>
      <c r="Q339" s="1208"/>
      <c r="R339" s="767">
        <f>OBRA!Q337</f>
        <v>43307</v>
      </c>
      <c r="S339" s="1327" t="str">
        <f>OBRA!T337</f>
        <v>-</v>
      </c>
      <c r="T339" s="5">
        <f>OBRA!R337</f>
        <v>43311</v>
      </c>
      <c r="U339" s="12">
        <f>OBRA!S337</f>
        <v>43373</v>
      </c>
      <c r="V339" s="240">
        <f>O339*0.25</f>
        <v>735000</v>
      </c>
      <c r="W339" s="683">
        <f>OBRA!AQ337+OBRA!AR337</f>
        <v>0</v>
      </c>
      <c r="X339" s="1198" t="s">
        <v>2475</v>
      </c>
      <c r="Y339" s="1389" t="str">
        <f>OBRA!U337</f>
        <v>DRABSA CONSTRUCTORA S.A. DE C.V.</v>
      </c>
      <c r="Z339" s="2060"/>
      <c r="AA339" s="640" t="s">
        <v>2033</v>
      </c>
      <c r="AB339" s="650" t="s">
        <v>2034</v>
      </c>
      <c r="AC339" s="650" t="s">
        <v>2927</v>
      </c>
      <c r="AD339" s="200" t="str">
        <f>OBRA!V337</f>
        <v>ING. RIGOBERTO OLMEDO RAMOS</v>
      </c>
      <c r="AE339" s="174">
        <v>2796.28</v>
      </c>
      <c r="AF339" s="202" t="s">
        <v>1552</v>
      </c>
      <c r="AG339" s="694">
        <f t="shared" si="19"/>
        <v>0</v>
      </c>
      <c r="AH339" s="202">
        <v>50000</v>
      </c>
      <c r="AI339" s="249" t="s">
        <v>1455</v>
      </c>
      <c r="AJ339" s="566"/>
      <c r="AK339" s="566"/>
      <c r="AL339" s="566"/>
      <c r="AM339" s="1522" t="s">
        <v>3735</v>
      </c>
      <c r="AN339" s="1525" t="s">
        <v>3735</v>
      </c>
      <c r="AO339" s="1525" t="s">
        <v>3735</v>
      </c>
      <c r="AP339" s="1523" t="s">
        <v>3735</v>
      </c>
      <c r="AQ339" s="1524" t="s">
        <v>3735</v>
      </c>
      <c r="AR339" s="1129"/>
      <c r="AS339" s="1129"/>
      <c r="AT339" s="1129"/>
      <c r="AU339" s="1129"/>
      <c r="AV339" s="35" t="s">
        <v>551</v>
      </c>
      <c r="AW339" s="13"/>
    </row>
    <row r="340" spans="1:49" ht="87" hidden="1" customHeight="1">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2560</v>
      </c>
      <c r="N340" s="510" t="s">
        <v>3531</v>
      </c>
      <c r="O340" s="85">
        <f>OBRA!P338</f>
        <v>452456.16</v>
      </c>
      <c r="P340" s="1208">
        <f t="shared" si="20"/>
        <v>390048.41379310348</v>
      </c>
      <c r="Q340" s="1208"/>
      <c r="R340" s="6">
        <f>OBRA!Q338</f>
        <v>43326</v>
      </c>
      <c r="S340" s="1327">
        <f>OBRA!T338</f>
        <v>43326</v>
      </c>
      <c r="T340" s="5">
        <f>OBRA!R338</f>
        <v>43326</v>
      </c>
      <c r="U340" s="12">
        <f>OBRA!S338</f>
        <v>43357</v>
      </c>
      <c r="V340" s="1695"/>
      <c r="W340" s="651">
        <f>OBRA!AQ338+OBRA!AR338</f>
        <v>452456.16</v>
      </c>
      <c r="X340" s="1390" t="s">
        <v>3238</v>
      </c>
      <c r="Y340" s="639" t="str">
        <f>OBRA!U338</f>
        <v>BIRMEK CONSTRUCCIONES S.A. DE C.V.</v>
      </c>
      <c r="Z340" s="639"/>
      <c r="AA340" s="640" t="s">
        <v>2053</v>
      </c>
      <c r="AB340" s="650" t="s">
        <v>2054</v>
      </c>
      <c r="AC340" s="650" t="s">
        <v>3083</v>
      </c>
      <c r="AD340" s="198" t="str">
        <f>OBRA!V338</f>
        <v>ING. LUIS RIGOBERTO OLMEDO NAVARRO</v>
      </c>
      <c r="AE340" s="174">
        <v>1</v>
      </c>
      <c r="AF340" s="202" t="s">
        <v>1466</v>
      </c>
      <c r="AG340" s="653">
        <f t="shared" si="19"/>
        <v>452456.16</v>
      </c>
      <c r="AH340" s="202">
        <v>7800</v>
      </c>
      <c r="AI340" s="249" t="s">
        <v>1455</v>
      </c>
      <c r="AJ340" s="566"/>
      <c r="AK340" s="566"/>
      <c r="AL340" s="566"/>
      <c r="AM340" s="1522" t="s">
        <v>3724</v>
      </c>
      <c r="AN340" s="1525" t="s">
        <v>3724</v>
      </c>
      <c r="AO340" s="1525" t="s">
        <v>3724</v>
      </c>
      <c r="AP340" s="1523" t="s">
        <v>3724</v>
      </c>
      <c r="AQ340" s="1524" t="s">
        <v>3724</v>
      </c>
      <c r="AR340" s="552"/>
      <c r="AS340" s="552"/>
      <c r="AT340" s="552"/>
      <c r="AU340" s="552"/>
      <c r="AV340" s="35" t="s">
        <v>551</v>
      </c>
      <c r="AW340" s="13"/>
    </row>
    <row r="341" spans="1:49" ht="81" hidden="1" customHeight="1">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2560</v>
      </c>
      <c r="N341" s="510" t="s">
        <v>3531</v>
      </c>
      <c r="O341" s="85">
        <f>OBRA!P339</f>
        <v>412725.64</v>
      </c>
      <c r="P341" s="1208">
        <f t="shared" si="20"/>
        <v>355797.96551724139</v>
      </c>
      <c r="Q341" s="1208"/>
      <c r="R341" s="6">
        <f>OBRA!Q339</f>
        <v>43326</v>
      </c>
      <c r="S341" s="1327">
        <f>OBRA!T339</f>
        <v>43326</v>
      </c>
      <c r="T341" s="5">
        <f>OBRA!R339</f>
        <v>43326</v>
      </c>
      <c r="U341" s="12">
        <f>OBRA!S339</f>
        <v>43357</v>
      </c>
      <c r="V341" s="1695"/>
      <c r="W341" s="637">
        <f>OBRA!AQ339+OBRA!AR339</f>
        <v>412725.63</v>
      </c>
      <c r="X341" s="1391" t="s">
        <v>3239</v>
      </c>
      <c r="Y341" s="639" t="str">
        <f>OBRA!U339</f>
        <v xml:space="preserve">OBRAS Y EQUIPAMIENTOS HIDRAULICOS S.A. DE C.V. </v>
      </c>
      <c r="Z341" s="639"/>
      <c r="AA341" s="640" t="s">
        <v>2084</v>
      </c>
      <c r="AB341" s="650" t="s">
        <v>2085</v>
      </c>
      <c r="AC341" s="650" t="s">
        <v>3085</v>
      </c>
      <c r="AD341" s="198" t="str">
        <f>OBRA!V339</f>
        <v>ING. LUIS RIGOBERTO OLMEDO NAVARRO</v>
      </c>
      <c r="AE341" s="174">
        <v>1</v>
      </c>
      <c r="AF341" s="202" t="s">
        <v>1466</v>
      </c>
      <c r="AG341" s="653">
        <f t="shared" si="19"/>
        <v>412725.63</v>
      </c>
      <c r="AH341" s="202">
        <v>7800</v>
      </c>
      <c r="AI341" s="249" t="s">
        <v>1455</v>
      </c>
      <c r="AJ341" s="566"/>
      <c r="AK341" s="566"/>
      <c r="AL341" s="566"/>
      <c r="AM341" s="1522" t="s">
        <v>3725</v>
      </c>
      <c r="AN341" s="1525" t="s">
        <v>3725</v>
      </c>
      <c r="AO341" s="1525" t="s">
        <v>3725</v>
      </c>
      <c r="AP341" s="1523" t="s">
        <v>3725</v>
      </c>
      <c r="AQ341" s="1524" t="s">
        <v>3725</v>
      </c>
      <c r="AR341" s="552"/>
      <c r="AS341" s="552"/>
      <c r="AT341" s="552"/>
      <c r="AU341" s="552"/>
      <c r="AV341" s="35" t="s">
        <v>551</v>
      </c>
      <c r="AW341" s="13"/>
    </row>
    <row r="342" spans="1:49" ht="129" hidden="1" customHeight="1">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2574</v>
      </c>
      <c r="N342" s="510" t="s">
        <v>3531</v>
      </c>
      <c r="O342" s="85">
        <f>OBRA!P340</f>
        <v>732027.5</v>
      </c>
      <c r="P342" s="1208">
        <f t="shared" si="20"/>
        <v>631058.18965517241</v>
      </c>
      <c r="Q342" s="1208"/>
      <c r="R342" s="6">
        <f>OBRA!Q340</f>
        <v>43326</v>
      </c>
      <c r="S342" s="1327">
        <f>OBRA!T340</f>
        <v>43326</v>
      </c>
      <c r="T342" s="5">
        <f>OBRA!R340</f>
        <v>43326</v>
      </c>
      <c r="U342" s="12">
        <f>OBRA!S340</f>
        <v>43348</v>
      </c>
      <c r="V342" s="1695"/>
      <c r="W342" s="651">
        <f>OBRA!AQ340+OBRA!AR340</f>
        <v>717111.1</v>
      </c>
      <c r="X342" s="1391" t="s">
        <v>3240</v>
      </c>
      <c r="Y342" s="639" t="str">
        <f>OBRA!U340</f>
        <v>BRAILOGA CONSTRUCTORES S.A. DE C.V.</v>
      </c>
      <c r="Z342" s="639"/>
      <c r="AA342" s="640" t="s">
        <v>2088</v>
      </c>
      <c r="AB342" s="650" t="s">
        <v>2089</v>
      </c>
      <c r="AC342" s="650" t="s">
        <v>3086</v>
      </c>
      <c r="AD342" s="198" t="str">
        <f>OBRA!V340</f>
        <v>ARQ. CESAR ANTONIO ALONSO JIMENEZ</v>
      </c>
      <c r="AE342" s="174">
        <v>300</v>
      </c>
      <c r="AF342" s="202" t="s">
        <v>1454</v>
      </c>
      <c r="AG342" s="694">
        <f t="shared" si="19"/>
        <v>2390.3703333333333</v>
      </c>
      <c r="AH342" s="202">
        <v>3500</v>
      </c>
      <c r="AI342" s="249" t="s">
        <v>1455</v>
      </c>
      <c r="AJ342" s="566"/>
      <c r="AK342" s="566"/>
      <c r="AL342" s="566"/>
      <c r="AM342" s="1522" t="s">
        <v>3726</v>
      </c>
      <c r="AN342" s="1525" t="s">
        <v>3726</v>
      </c>
      <c r="AO342" s="1525" t="s">
        <v>3726</v>
      </c>
      <c r="AP342" s="1523" t="s">
        <v>3726</v>
      </c>
      <c r="AQ342" s="1524" t="s">
        <v>3726</v>
      </c>
      <c r="AR342" s="552"/>
      <c r="AS342" s="552"/>
      <c r="AT342" s="552"/>
      <c r="AU342" s="552"/>
      <c r="AV342" s="35" t="s">
        <v>551</v>
      </c>
      <c r="AW342" s="13"/>
    </row>
    <row r="343" spans="1:49" ht="87" hidden="1" customHeight="1">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2560</v>
      </c>
      <c r="N343" s="510" t="s">
        <v>3531</v>
      </c>
      <c r="O343" s="85">
        <f>OBRA!P341</f>
        <v>87399.62</v>
      </c>
      <c r="P343" s="1208">
        <f t="shared" si="20"/>
        <v>75344.5</v>
      </c>
      <c r="Q343" s="1208"/>
      <c r="R343" s="6">
        <f>OBRA!Q341</f>
        <v>43326</v>
      </c>
      <c r="S343" s="1327">
        <f>OBRA!T341</f>
        <v>43326</v>
      </c>
      <c r="T343" s="5">
        <f>OBRA!R341</f>
        <v>43333</v>
      </c>
      <c r="U343" s="12">
        <f>OBRA!S341</f>
        <v>43358</v>
      </c>
      <c r="V343" s="1695"/>
      <c r="W343" s="651">
        <f>OBRA!AQ341+OBRA!AR341</f>
        <v>86911</v>
      </c>
      <c r="X343" s="1391" t="s">
        <v>3241</v>
      </c>
      <c r="Y343" s="650" t="str">
        <f>OBRA!U341</f>
        <v xml:space="preserve">GRUPO DESARROLLADOR INMOBILIARIO CEMERAMA S.A. DE C.V. </v>
      </c>
      <c r="Z343" s="650"/>
      <c r="AA343" s="652" t="str">
        <f>Y343</f>
        <v xml:space="preserve">GRUPO DESARROLLADOR INMOBILIARIO CEMERAMA S.A. DE C.V. </v>
      </c>
      <c r="AB343" s="650" t="s">
        <v>1838</v>
      </c>
      <c r="AC343" s="650" t="s">
        <v>3081</v>
      </c>
      <c r="AD343" s="200" t="str">
        <f>OBRA!V341</f>
        <v>LIC. SALVADOR CONTRERAS OLGUÍN</v>
      </c>
      <c r="AE343" s="174">
        <v>1</v>
      </c>
      <c r="AF343" s="202" t="s">
        <v>1577</v>
      </c>
      <c r="AG343" s="694">
        <f t="shared" si="19"/>
        <v>86911</v>
      </c>
      <c r="AH343" s="202">
        <v>7800</v>
      </c>
      <c r="AI343" s="249" t="s">
        <v>1455</v>
      </c>
      <c r="AJ343" s="566"/>
      <c r="AK343" s="566"/>
      <c r="AL343" s="566"/>
      <c r="AM343" s="1522" t="s">
        <v>3727</v>
      </c>
      <c r="AN343" s="1525" t="s">
        <v>3727</v>
      </c>
      <c r="AO343" s="1525" t="s">
        <v>3727</v>
      </c>
      <c r="AP343" s="1523" t="s">
        <v>3727</v>
      </c>
      <c r="AQ343" s="1524" t="s">
        <v>3727</v>
      </c>
      <c r="AR343" s="552"/>
      <c r="AS343" s="552"/>
      <c r="AT343" s="552"/>
      <c r="AU343" s="552"/>
      <c r="AV343" s="35" t="s">
        <v>551</v>
      </c>
      <c r="AW343" s="13"/>
    </row>
    <row r="344" spans="1:49" ht="114" hidden="1" customHeight="1">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2574</v>
      </c>
      <c r="N344" s="510" t="s">
        <v>3531</v>
      </c>
      <c r="O344" s="85">
        <f>OBRA!P342</f>
        <v>458709.95</v>
      </c>
      <c r="P344" s="1208">
        <f t="shared" si="20"/>
        <v>395439.61206896557</v>
      </c>
      <c r="Q344" s="1208"/>
      <c r="R344" s="6">
        <f>OBRA!Q342</f>
        <v>43346</v>
      </c>
      <c r="S344" s="1327">
        <f>OBRA!T342</f>
        <v>43332</v>
      </c>
      <c r="T344" s="5">
        <f>OBRA!R342</f>
        <v>43349</v>
      </c>
      <c r="U344" s="12">
        <f>OBRA!S342</f>
        <v>43367</v>
      </c>
      <c r="V344" s="1695"/>
      <c r="W344" s="651">
        <f>OBRA!AQ342+OBRA!AR342</f>
        <v>468130.99</v>
      </c>
      <c r="X344" s="1391" t="s">
        <v>3242</v>
      </c>
      <c r="Y344" s="639" t="str">
        <f>OBRA!U342</f>
        <v>BRAILOGA CONSTRUCTORES S.A. DE C.V.</v>
      </c>
      <c r="Z344" s="639"/>
      <c r="AA344" s="640" t="s">
        <v>2088</v>
      </c>
      <c r="AB344" s="650" t="s">
        <v>2089</v>
      </c>
      <c r="AC344" s="650" t="s">
        <v>3086</v>
      </c>
      <c r="AD344" s="198" t="str">
        <f>OBRA!V342</f>
        <v>ARQ. CESAR ANTONIO ALONSO JIMENEZ</v>
      </c>
      <c r="AE344" s="174">
        <v>432.58</v>
      </c>
      <c r="AF344" s="202" t="s">
        <v>1454</v>
      </c>
      <c r="AG344" s="694">
        <f t="shared" si="19"/>
        <v>1082.1836192149428</v>
      </c>
      <c r="AH344" s="202">
        <v>3500</v>
      </c>
      <c r="AI344" s="249" t="s">
        <v>1455</v>
      </c>
      <c r="AJ344" s="566"/>
      <c r="AK344" s="566"/>
      <c r="AL344" s="566"/>
      <c r="AM344" s="1522" t="s">
        <v>3728</v>
      </c>
      <c r="AN344" s="1525" t="s">
        <v>3728</v>
      </c>
      <c r="AO344" s="1525" t="s">
        <v>3728</v>
      </c>
      <c r="AP344" s="1523" t="s">
        <v>3728</v>
      </c>
      <c r="AQ344" s="1524" t="s">
        <v>3728</v>
      </c>
      <c r="AR344" s="552"/>
      <c r="AS344" s="552"/>
      <c r="AT344" s="552"/>
      <c r="AU344" s="552"/>
      <c r="AV344" s="35" t="s">
        <v>551</v>
      </c>
      <c r="AW344" s="13"/>
    </row>
    <row r="345" spans="1:49" ht="104.25" hidden="1" customHeight="1">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2574</v>
      </c>
      <c r="N345" s="510" t="s">
        <v>3531</v>
      </c>
      <c r="O345" s="85">
        <f>OBRA!P343</f>
        <v>615855.56999999995</v>
      </c>
      <c r="P345" s="1208">
        <f t="shared" si="20"/>
        <v>530909.97413793101</v>
      </c>
      <c r="Q345" s="1208"/>
      <c r="R345" s="6">
        <f>OBRA!Q343</f>
        <v>43326</v>
      </c>
      <c r="S345" s="1327">
        <f>OBRA!T343</f>
        <v>43326</v>
      </c>
      <c r="T345" s="5">
        <f>OBRA!R343</f>
        <v>43326</v>
      </c>
      <c r="U345" s="12">
        <f>OBRA!S343</f>
        <v>43348</v>
      </c>
      <c r="V345" s="1695"/>
      <c r="W345" s="651">
        <f>OBRA!AQ343+OBRA!AR343</f>
        <v>641350.92000000004</v>
      </c>
      <c r="X345" s="1388"/>
      <c r="Y345" s="650" t="str">
        <f>OBRA!U343</f>
        <v>C. JOSÉ MIGUEL GARCIA VALLE</v>
      </c>
      <c r="Z345" s="650"/>
      <c r="AA345" s="652" t="str">
        <f t="shared" ref="AA345:AA379" si="22">Y345</f>
        <v>C. JOSÉ MIGUEL GARCIA VALLE</v>
      </c>
      <c r="AB345" s="675" t="s">
        <v>2999</v>
      </c>
      <c r="AC345" s="650" t="s">
        <v>2999</v>
      </c>
      <c r="AD345" s="200" t="str">
        <f>OBRA!V343</f>
        <v>ARQ. CESAR ANTONIO ALONSO JIMENEZ</v>
      </c>
      <c r="AE345" s="609">
        <v>212</v>
      </c>
      <c r="AF345" s="202" t="s">
        <v>1454</v>
      </c>
      <c r="AG345" s="694">
        <f t="shared" si="19"/>
        <v>3025.2401886792454</v>
      </c>
      <c r="AH345" s="202">
        <v>3500</v>
      </c>
      <c r="AI345" s="249" t="s">
        <v>1455</v>
      </c>
      <c r="AJ345" s="566"/>
      <c r="AK345" s="566"/>
      <c r="AL345" s="566"/>
      <c r="AM345" s="1522" t="s">
        <v>3729</v>
      </c>
      <c r="AN345" s="1525" t="s">
        <v>3729</v>
      </c>
      <c r="AO345" s="1525" t="s">
        <v>3729</v>
      </c>
      <c r="AP345" s="1523" t="s">
        <v>3729</v>
      </c>
      <c r="AQ345" s="1524" t="s">
        <v>3729</v>
      </c>
      <c r="AR345" s="552"/>
      <c r="AS345" s="552"/>
      <c r="AT345" s="552"/>
      <c r="AU345" s="552"/>
      <c r="AV345" s="180" t="s">
        <v>551</v>
      </c>
      <c r="AW345" s="13"/>
    </row>
    <row r="346" spans="1:49" ht="108" hidden="1" customHeight="1">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2548</v>
      </c>
      <c r="N346" s="510" t="s">
        <v>3531</v>
      </c>
      <c r="O346" s="85">
        <f>OBRA!P344</f>
        <v>413195.74</v>
      </c>
      <c r="P346" s="1208">
        <f t="shared" si="20"/>
        <v>356203.22413793107</v>
      </c>
      <c r="Q346" s="1208"/>
      <c r="R346" s="6">
        <f>OBRA!Q344</f>
        <v>43320</v>
      </c>
      <c r="S346" s="1327">
        <f>OBRA!T344</f>
        <v>43318</v>
      </c>
      <c r="T346" s="5">
        <f>OBRA!R344</f>
        <v>43322</v>
      </c>
      <c r="U346" s="12">
        <f>OBRA!S344</f>
        <v>43341</v>
      </c>
      <c r="V346" s="1695"/>
      <c r="W346" s="651">
        <f>OBRA!AQ344+OBRA!AR344</f>
        <v>412331.96</v>
      </c>
      <c r="X346" s="1391" t="s">
        <v>3243</v>
      </c>
      <c r="Y346" s="639" t="str">
        <f>OBRA!U344</f>
        <v>C. NORMA GORETY DOMINGUEZ CALVARIO</v>
      </c>
      <c r="Z346" s="639"/>
      <c r="AA346" s="640" t="str">
        <f t="shared" si="22"/>
        <v>C. NORMA GORETY DOMINGUEZ CALVARIO</v>
      </c>
      <c r="AB346" s="675" t="s">
        <v>2999</v>
      </c>
      <c r="AC346" s="650" t="s">
        <v>2999</v>
      </c>
      <c r="AD346" s="198" t="str">
        <f>OBRA!V344</f>
        <v>ING. JUAN MANUEL GARCIA ESCOTO</v>
      </c>
      <c r="AE346" s="609">
        <v>255</v>
      </c>
      <c r="AF346" s="202" t="s">
        <v>1454</v>
      </c>
      <c r="AG346" s="694">
        <f t="shared" si="19"/>
        <v>1616.9880784313727</v>
      </c>
      <c r="AH346" s="202">
        <v>200</v>
      </c>
      <c r="AI346" s="249" t="s">
        <v>1447</v>
      </c>
      <c r="AJ346" s="566"/>
      <c r="AK346" s="566"/>
      <c r="AL346" s="566"/>
      <c r="AM346" s="1522" t="s">
        <v>3730</v>
      </c>
      <c r="AN346" s="1525" t="s">
        <v>3730</v>
      </c>
      <c r="AO346" s="585"/>
      <c r="AP346" s="1523" t="s">
        <v>3730</v>
      </c>
      <c r="AQ346" s="1524" t="s">
        <v>3730</v>
      </c>
      <c r="AR346" s="552"/>
      <c r="AS346" s="552"/>
      <c r="AT346" s="552"/>
      <c r="AU346" s="552"/>
      <c r="AV346" s="180"/>
      <c r="AW346" s="13"/>
    </row>
    <row r="347" spans="1:49" ht="78" hidden="1" customHeight="1">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2560</v>
      </c>
      <c r="N347" s="510" t="s">
        <v>3531</v>
      </c>
      <c r="O347" s="4">
        <f>OBRA!P345</f>
        <v>229200</v>
      </c>
      <c r="P347" s="1208">
        <f t="shared" si="20"/>
        <v>197586.20689655174</v>
      </c>
      <c r="Q347" s="1208"/>
      <c r="R347" s="6">
        <f>OBRA!Q345</f>
        <v>43329</v>
      </c>
      <c r="S347" s="1327">
        <f>OBRA!T345</f>
        <v>43326</v>
      </c>
      <c r="T347" s="5">
        <f>OBRA!R345</f>
        <v>43332</v>
      </c>
      <c r="U347" s="12">
        <f>OBRA!S345</f>
        <v>43353</v>
      </c>
      <c r="V347" s="1695"/>
      <c r="W347" s="683">
        <f>OBRA!AQ345+OBRA!AR345</f>
        <v>0</v>
      </c>
      <c r="X347" s="1198" t="s">
        <v>3244</v>
      </c>
      <c r="Y347" s="1389" t="str">
        <f>OBRA!U345</f>
        <v>ING. SERGIO CABRERA</v>
      </c>
      <c r="Z347" s="2060"/>
      <c r="AA347" s="640" t="str">
        <f t="shared" si="22"/>
        <v>ING. SERGIO CABRERA</v>
      </c>
      <c r="AB347" s="675" t="s">
        <v>2999</v>
      </c>
      <c r="AC347" s="650" t="s">
        <v>2999</v>
      </c>
      <c r="AD347" s="200" t="str">
        <f>OBRA!V345</f>
        <v>ING. JUAN MANUEL GARCIA ESCOTO</v>
      </c>
      <c r="AE347" s="609">
        <v>125</v>
      </c>
      <c r="AF347" s="202" t="s">
        <v>1454</v>
      </c>
      <c r="AG347" s="1528">
        <f t="shared" si="19"/>
        <v>0</v>
      </c>
      <c r="AH347" s="202">
        <v>500</v>
      </c>
      <c r="AI347" s="249" t="s">
        <v>1455</v>
      </c>
      <c r="AJ347" s="743"/>
      <c r="AK347" s="743"/>
      <c r="AL347" s="743"/>
      <c r="AM347" s="1522" t="s">
        <v>3731</v>
      </c>
      <c r="AN347" s="585"/>
      <c r="AO347" s="585"/>
      <c r="AP347" s="1523" t="s">
        <v>3731</v>
      </c>
      <c r="AQ347" s="1524" t="s">
        <v>3731</v>
      </c>
      <c r="AR347" s="542"/>
      <c r="AS347" s="542"/>
      <c r="AT347" s="542"/>
      <c r="AU347" s="542"/>
      <c r="AV347" s="180"/>
      <c r="AW347" s="13"/>
    </row>
    <row r="348" spans="1:49" ht="105" hidden="1" customHeight="1">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2560</v>
      </c>
      <c r="N348" s="585" t="s">
        <v>4218</v>
      </c>
      <c r="O348" s="4">
        <f>OBRA!P346</f>
        <v>257552.49</v>
      </c>
      <c r="P348" s="1208">
        <f t="shared" si="20"/>
        <v>222028.00862068965</v>
      </c>
      <c r="Q348" s="1208"/>
      <c r="R348" s="6">
        <f>OBRA!Q346</f>
        <v>43431</v>
      </c>
      <c r="S348" s="1327" t="str">
        <f>OBRA!T346</f>
        <v>-</v>
      </c>
      <c r="T348" s="5">
        <f>OBRA!R346</f>
        <v>43431</v>
      </c>
      <c r="U348" s="12">
        <f>OBRA!S346</f>
        <v>43456</v>
      </c>
      <c r="V348" s="240">
        <v>0</v>
      </c>
      <c r="W348" s="651">
        <f>OBRA!AQ346+OBRA!AR346</f>
        <v>256948.51</v>
      </c>
      <c r="X348" s="1199"/>
      <c r="Y348" s="639" t="str">
        <f>OBRA!U346</f>
        <v>N/A</v>
      </c>
      <c r="Z348" s="639" t="s">
        <v>68</v>
      </c>
      <c r="AA348" s="640" t="str">
        <f t="shared" si="22"/>
        <v>N/A</v>
      </c>
      <c r="AB348" s="639" t="s">
        <v>1177</v>
      </c>
      <c r="AC348" s="1234" t="s">
        <v>1177</v>
      </c>
      <c r="AD348" s="198" t="str">
        <f>OBRA!V346</f>
        <v>ARQ. JAIME CONDE GOMEZ</v>
      </c>
      <c r="AE348" s="20">
        <v>222</v>
      </c>
      <c r="AF348" s="2" t="s">
        <v>1454</v>
      </c>
      <c r="AG348" s="694">
        <f t="shared" si="19"/>
        <v>1157.4257207207208</v>
      </c>
      <c r="AH348" s="627">
        <v>1000</v>
      </c>
      <c r="AI348" s="627" t="s">
        <v>1455</v>
      </c>
      <c r="AJ348" s="627"/>
      <c r="AK348" s="1802"/>
      <c r="AL348" s="1803"/>
      <c r="AM348" s="631"/>
      <c r="AN348" s="585"/>
      <c r="AO348" s="585"/>
      <c r="AP348" s="1015"/>
      <c r="AQ348" s="1011"/>
      <c r="AR348" s="1494" t="s">
        <v>68</v>
      </c>
      <c r="AS348" s="1495" t="s">
        <v>68</v>
      </c>
      <c r="AT348" s="1483"/>
      <c r="AU348" s="1488"/>
      <c r="AV348" s="35"/>
      <c r="AW348" s="13"/>
    </row>
    <row r="349" spans="1:49" ht="132" hidden="1" customHeight="1">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2560</v>
      </c>
      <c r="N349" s="585" t="s">
        <v>4229</v>
      </c>
      <c r="O349" s="85">
        <f>OBRA!P347</f>
        <v>352132.79</v>
      </c>
      <c r="P349" s="1208">
        <f t="shared" si="20"/>
        <v>303562.75</v>
      </c>
      <c r="Q349" s="1208"/>
      <c r="R349" s="6">
        <f>OBRA!Q347</f>
        <v>43434</v>
      </c>
      <c r="S349" s="1327" t="str">
        <f>OBRA!T347</f>
        <v>-</v>
      </c>
      <c r="T349" s="5">
        <f>OBRA!R347</f>
        <v>43434</v>
      </c>
      <c r="U349" s="12">
        <f>OBRA!S347</f>
        <v>43456</v>
      </c>
      <c r="V349" s="240">
        <v>0</v>
      </c>
      <c r="W349" s="651">
        <f>OBRA!AQ347+OBRA!AR347</f>
        <v>342261.25</v>
      </c>
      <c r="X349" s="1199"/>
      <c r="Y349" s="639" t="str">
        <f>OBRA!U347</f>
        <v>N/A</v>
      </c>
      <c r="Z349" s="639" t="s">
        <v>68</v>
      </c>
      <c r="AA349" s="640" t="str">
        <f t="shared" si="22"/>
        <v>N/A</v>
      </c>
      <c r="AB349" s="639" t="s">
        <v>1177</v>
      </c>
      <c r="AC349" s="1234" t="s">
        <v>1177</v>
      </c>
      <c r="AD349" s="198" t="str">
        <f>OBRA!V347</f>
        <v>ARQ. JAIME CONDE GOMEZ</v>
      </c>
      <c r="AE349" s="20">
        <v>229</v>
      </c>
      <c r="AF349" s="2" t="s">
        <v>1454</v>
      </c>
      <c r="AG349" s="694">
        <f t="shared" si="19"/>
        <v>1494.5906113537119</v>
      </c>
      <c r="AH349" s="202">
        <v>1000</v>
      </c>
      <c r="AI349" s="566" t="s">
        <v>1455</v>
      </c>
      <c r="AJ349" s="566"/>
      <c r="AK349" s="1802"/>
      <c r="AL349" s="1803"/>
      <c r="AM349" s="631"/>
      <c r="AN349" s="585"/>
      <c r="AO349" s="585"/>
      <c r="AP349" s="1015"/>
      <c r="AQ349" s="1011"/>
      <c r="AR349" s="1494" t="s">
        <v>68</v>
      </c>
      <c r="AS349" s="1495" t="s">
        <v>68</v>
      </c>
      <c r="AT349" s="1483"/>
      <c r="AU349" s="1488"/>
      <c r="AV349" s="35"/>
      <c r="AW349" s="13"/>
    </row>
    <row r="350" spans="1:49" ht="128.25" hidden="1" customHeight="1">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2574</v>
      </c>
      <c r="N350" s="554" t="s">
        <v>4230</v>
      </c>
      <c r="O350" s="85">
        <f>OBRA!P348</f>
        <v>301076.28999999998</v>
      </c>
      <c r="P350" s="1208">
        <f t="shared" si="20"/>
        <v>259548.52586206896</v>
      </c>
      <c r="Q350" s="1208"/>
      <c r="R350" s="6">
        <f>OBRA!Q348</f>
        <v>43449</v>
      </c>
      <c r="S350" s="1327" t="str">
        <f>OBRA!T348</f>
        <v>-</v>
      </c>
      <c r="T350" s="5">
        <f>OBRA!R348</f>
        <v>43449</v>
      </c>
      <c r="U350" s="12">
        <f>OBRA!S348</f>
        <v>43465</v>
      </c>
      <c r="V350" s="240">
        <v>0</v>
      </c>
      <c r="W350" s="651">
        <f>OBRA!AQ348+OBRA!AR348</f>
        <v>305644.31</v>
      </c>
      <c r="X350" s="1199"/>
      <c r="Y350" s="639" t="str">
        <f>OBRA!U348</f>
        <v>N/A</v>
      </c>
      <c r="Z350" s="639" t="s">
        <v>68</v>
      </c>
      <c r="AA350" s="640" t="str">
        <f t="shared" si="22"/>
        <v>N/A</v>
      </c>
      <c r="AB350" s="639" t="s">
        <v>1177</v>
      </c>
      <c r="AC350" s="1234" t="s">
        <v>1177</v>
      </c>
      <c r="AD350" s="198" t="str">
        <f>OBRA!V348</f>
        <v>ARQ. JAIME CONDE GOMEZ</v>
      </c>
      <c r="AE350" s="20">
        <v>70</v>
      </c>
      <c r="AF350" s="2" t="s">
        <v>1454</v>
      </c>
      <c r="AG350" s="694">
        <f t="shared" si="19"/>
        <v>4366.347285714286</v>
      </c>
      <c r="AH350" s="202">
        <v>100</v>
      </c>
      <c r="AI350" s="566" t="s">
        <v>1447</v>
      </c>
      <c r="AJ350" s="566"/>
      <c r="AK350" s="1802"/>
      <c r="AL350" s="1803"/>
      <c r="AM350" s="631"/>
      <c r="AN350" s="585"/>
      <c r="AO350" s="585"/>
      <c r="AP350" s="1015"/>
      <c r="AQ350" s="1011"/>
      <c r="AR350" s="1494" t="s">
        <v>68</v>
      </c>
      <c r="AS350" s="1495" t="s">
        <v>68</v>
      </c>
      <c r="AT350" s="1483"/>
      <c r="AU350" s="1488"/>
      <c r="AV350" s="35"/>
      <c r="AW350" s="13"/>
    </row>
    <row r="351" spans="1:49" ht="116.25" hidden="1" customHeight="1">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2574</v>
      </c>
      <c r="N351" s="554" t="s">
        <v>4231</v>
      </c>
      <c r="O351" s="85">
        <f>OBRA!P349</f>
        <v>212579.41</v>
      </c>
      <c r="P351" s="1208">
        <f t="shared" si="20"/>
        <v>183258.11206896554</v>
      </c>
      <c r="Q351" s="1208"/>
      <c r="R351" s="6">
        <f>OBRA!Q349</f>
        <v>43449</v>
      </c>
      <c r="S351" s="1327" t="str">
        <f>OBRA!T349</f>
        <v>-</v>
      </c>
      <c r="T351" s="5">
        <f>OBRA!R349</f>
        <v>43449</v>
      </c>
      <c r="U351" s="12">
        <f>OBRA!S349</f>
        <v>43465</v>
      </c>
      <c r="V351" s="240">
        <v>0</v>
      </c>
      <c r="W351" s="651">
        <f>OBRA!AQ349+OBRA!AR349</f>
        <v>217283.1</v>
      </c>
      <c r="X351" s="1665"/>
      <c r="Y351" s="639" t="str">
        <f>OBRA!U349</f>
        <v>N/A</v>
      </c>
      <c r="Z351" s="639" t="s">
        <v>68</v>
      </c>
      <c r="AA351" s="640" t="str">
        <f t="shared" si="22"/>
        <v>N/A</v>
      </c>
      <c r="AB351" s="639" t="s">
        <v>1177</v>
      </c>
      <c r="AC351" s="1234" t="s">
        <v>1177</v>
      </c>
      <c r="AD351" s="198" t="str">
        <f>OBRA!V349</f>
        <v>ARQ. JAIME CONDE GOMEZ</v>
      </c>
      <c r="AE351" s="20">
        <v>70</v>
      </c>
      <c r="AF351" s="2" t="s">
        <v>1454</v>
      </c>
      <c r="AG351" s="694">
        <f t="shared" si="19"/>
        <v>3104.0442857142857</v>
      </c>
      <c r="AH351" s="202">
        <v>100</v>
      </c>
      <c r="AI351" s="566" t="s">
        <v>1447</v>
      </c>
      <c r="AJ351" s="566"/>
      <c r="AK351" s="1802"/>
      <c r="AL351" s="1803"/>
      <c r="AM351" s="631"/>
      <c r="AN351" s="585"/>
      <c r="AO351" s="585"/>
      <c r="AP351" s="1015"/>
      <c r="AQ351" s="1011"/>
      <c r="AR351" s="1494" t="s">
        <v>68</v>
      </c>
      <c r="AS351" s="1495" t="s">
        <v>68</v>
      </c>
      <c r="AT351" s="1483"/>
      <c r="AU351" s="1488"/>
      <c r="AV351" s="35"/>
      <c r="AW351" s="13"/>
    </row>
    <row r="352" spans="1:49" ht="69.75" hidden="1" customHeight="1">
      <c r="A352" s="17">
        <f>OBRA!I350</f>
        <v>2019</v>
      </c>
      <c r="B352" s="895" t="s">
        <v>2098</v>
      </c>
      <c r="C352" s="895">
        <v>190.1</v>
      </c>
      <c r="D352" s="895"/>
      <c r="E352" s="2" t="str">
        <f>OBRA!K350</f>
        <v>C.E.A.</v>
      </c>
      <c r="F352" s="681" t="s">
        <v>3748</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2613</v>
      </c>
      <c r="N352" s="545" t="s">
        <v>3532</v>
      </c>
      <c r="O352" s="85">
        <f>OBRA!P350</f>
        <v>885535.63</v>
      </c>
      <c r="P352" s="1208">
        <f t="shared" si="20"/>
        <v>763392.78448275873</v>
      </c>
      <c r="Q352" s="1208"/>
      <c r="R352" s="69">
        <f>OBRA!Q350</f>
        <v>43689</v>
      </c>
      <c r="S352" s="1327">
        <f>OBRA!T350</f>
        <v>0</v>
      </c>
      <c r="T352" s="255">
        <f>OBRA!R350</f>
        <v>43690</v>
      </c>
      <c r="U352" s="245">
        <f>OBRA!S350</f>
        <v>43812</v>
      </c>
      <c r="V352" s="1205" t="s">
        <v>1431</v>
      </c>
      <c r="W352" s="1353">
        <f>W371+W381+W382+W423</f>
        <v>2125398.58</v>
      </c>
      <c r="X352" s="1238" t="s">
        <v>68</v>
      </c>
      <c r="Y352" s="639" t="str">
        <f>OBRA!U350</f>
        <v>N/A</v>
      </c>
      <c r="Z352" s="639" t="s">
        <v>68</v>
      </c>
      <c r="AA352" s="640" t="str">
        <f t="shared" si="22"/>
        <v>N/A</v>
      </c>
      <c r="AB352" s="1236" t="s">
        <v>1431</v>
      </c>
      <c r="AC352" s="1234" t="s">
        <v>1431</v>
      </c>
      <c r="AD352" s="200" t="s">
        <v>68</v>
      </c>
      <c r="AE352" s="174" t="s">
        <v>68</v>
      </c>
      <c r="AF352" s="202" t="s">
        <v>68</v>
      </c>
      <c r="AG352" s="653" t="s">
        <v>68</v>
      </c>
      <c r="AH352" s="202" t="s">
        <v>68</v>
      </c>
      <c r="AI352" s="566" t="s">
        <v>68</v>
      </c>
      <c r="AJ352" s="566"/>
      <c r="AK352" s="1802"/>
      <c r="AL352" s="1803"/>
      <c r="AM352" s="1567" t="s">
        <v>3532</v>
      </c>
      <c r="AN352" s="1136" t="s">
        <v>68</v>
      </c>
      <c r="AO352" s="1136" t="s">
        <v>68</v>
      </c>
      <c r="AP352" s="1137" t="s">
        <v>68</v>
      </c>
      <c r="AQ352" s="1138" t="s">
        <v>68</v>
      </c>
      <c r="AR352" s="1139" t="s">
        <v>68</v>
      </c>
      <c r="AS352" s="1139" t="s">
        <v>68</v>
      </c>
      <c r="AT352" s="1139" t="s">
        <v>68</v>
      </c>
      <c r="AU352" s="1139" t="s">
        <v>68</v>
      </c>
      <c r="AV352" s="180" t="s">
        <v>551</v>
      </c>
      <c r="AW352" s="13"/>
    </row>
    <row r="353" spans="1:50" ht="53.25" hidden="1" customHeight="1">
      <c r="A353" s="17">
        <f>OBRA!I351</f>
        <v>2019</v>
      </c>
      <c r="B353" s="895" t="s">
        <v>2098</v>
      </c>
      <c r="C353" s="895">
        <v>190.2</v>
      </c>
      <c r="D353" s="895"/>
      <c r="E353" s="2" t="str">
        <f>OBRA!K351</f>
        <v>P.I.D.</v>
      </c>
      <c r="F353" s="681" t="s">
        <v>3748</v>
      </c>
      <c r="G353" s="281" t="s">
        <v>2239</v>
      </c>
      <c r="H353" s="633" t="str">
        <f>OBRA!L351</f>
        <v>CONVENIO JOCOTEPEC PID 2019</v>
      </c>
      <c r="I353" s="202" t="str">
        <f>OBRA!M351</f>
        <v>CONVENIO</v>
      </c>
      <c r="J353" s="328" t="str">
        <f>OBRA!N351</f>
        <v>ESTABLECIMIENTO DE DOS PUNTOS INOCUOS DE DESEMBARQUE (PID)"</v>
      </c>
      <c r="K353" s="328" t="s">
        <v>2906</v>
      </c>
      <c r="L353" s="328" t="s">
        <v>2006</v>
      </c>
      <c r="M353" s="328" t="s">
        <v>1979</v>
      </c>
      <c r="N353" s="545" t="s">
        <v>3532</v>
      </c>
      <c r="O353" s="85">
        <f>OBRA!P351</f>
        <v>2551506.64</v>
      </c>
      <c r="P353" s="1208">
        <f t="shared" si="20"/>
        <v>2199574.6896551726</v>
      </c>
      <c r="Q353" s="1208"/>
      <c r="R353" s="69">
        <f>OBRA!Q351</f>
        <v>43677</v>
      </c>
      <c r="S353" s="1327" t="str">
        <f>OBRA!T351</f>
        <v>-</v>
      </c>
      <c r="T353" s="255">
        <f>OBRA!R351</f>
        <v>43677</v>
      </c>
      <c r="U353" s="245">
        <f>OBRA!S351</f>
        <v>43830</v>
      </c>
      <c r="V353" s="1204" t="s">
        <v>1431</v>
      </c>
      <c r="W353" s="1198">
        <f>W380+W408+W409</f>
        <v>4496815.3499999996</v>
      </c>
      <c r="X353" s="1235" t="s">
        <v>68</v>
      </c>
      <c r="Y353" s="639" t="str">
        <f>OBRA!U351</f>
        <v>N/A</v>
      </c>
      <c r="Z353" s="639" t="s">
        <v>68</v>
      </c>
      <c r="AA353" s="640" t="str">
        <f t="shared" si="22"/>
        <v>N/A</v>
      </c>
      <c r="AB353" s="638" t="s">
        <v>1431</v>
      </c>
      <c r="AC353" s="640" t="s">
        <v>1431</v>
      </c>
      <c r="AD353" s="200" t="s">
        <v>68</v>
      </c>
      <c r="AE353" s="174" t="s">
        <v>68</v>
      </c>
      <c r="AF353" s="202" t="s">
        <v>68</v>
      </c>
      <c r="AG353" s="653" t="s">
        <v>68</v>
      </c>
      <c r="AH353" s="202">
        <v>2000</v>
      </c>
      <c r="AI353" s="566">
        <v>47000</v>
      </c>
      <c r="AJ353" s="566"/>
      <c r="AK353" s="1802"/>
      <c r="AL353" s="1803"/>
      <c r="AM353" s="1567" t="s">
        <v>3532</v>
      </c>
      <c r="AN353" s="1136" t="s">
        <v>68</v>
      </c>
      <c r="AO353" s="1136" t="s">
        <v>68</v>
      </c>
      <c r="AP353" s="1137" t="s">
        <v>68</v>
      </c>
      <c r="AQ353" s="1138" t="s">
        <v>68</v>
      </c>
      <c r="AR353" s="1139" t="s">
        <v>68</v>
      </c>
      <c r="AS353" s="1139" t="s">
        <v>68</v>
      </c>
      <c r="AT353" s="1139" t="s">
        <v>68</v>
      </c>
      <c r="AU353" s="1139" t="s">
        <v>68</v>
      </c>
      <c r="AV353" s="180" t="s">
        <v>551</v>
      </c>
      <c r="AW353" s="13"/>
    </row>
    <row r="354" spans="1:50" ht="97.5" hidden="1" customHeight="1">
      <c r="A354" s="17">
        <f>OBRA!I352</f>
        <v>2019</v>
      </c>
      <c r="B354" s="895" t="s">
        <v>2098</v>
      </c>
      <c r="C354" s="895">
        <v>190.3</v>
      </c>
      <c r="D354" s="895"/>
      <c r="E354" s="2" t="str">
        <f>OBRA!K352</f>
        <v>RASTRO DIGNO / CTA-CTE</v>
      </c>
      <c r="F354" s="681" t="s">
        <v>3748</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2699</v>
      </c>
      <c r="N354" s="545" t="s">
        <v>3532</v>
      </c>
      <c r="O354" s="85">
        <f>OBRA!P352</f>
        <v>4496816.92</v>
      </c>
      <c r="P354" s="1208">
        <f t="shared" si="20"/>
        <v>3876566.3103448278</v>
      </c>
      <c r="Q354" s="1208"/>
      <c r="R354" s="69">
        <f>OBRA!Q352</f>
        <v>43687</v>
      </c>
      <c r="S354" s="1327" t="str">
        <f>OBRA!T352</f>
        <v>-</v>
      </c>
      <c r="T354" s="255" t="str">
        <f>OBRA!R352</f>
        <v>-</v>
      </c>
      <c r="U354" s="245">
        <f>OBRA!S352</f>
        <v>43830</v>
      </c>
      <c r="V354" s="1205" t="s">
        <v>1431</v>
      </c>
      <c r="W354" s="1198">
        <f>W362</f>
        <v>615186.80000000005</v>
      </c>
      <c r="X354" s="1235" t="s">
        <v>68</v>
      </c>
      <c r="Y354" s="639" t="s">
        <v>68</v>
      </c>
      <c r="Z354" s="639" t="s">
        <v>68</v>
      </c>
      <c r="AA354" s="640" t="s">
        <v>68</v>
      </c>
      <c r="AB354" s="638" t="s">
        <v>1431</v>
      </c>
      <c r="AC354" s="640" t="s">
        <v>1431</v>
      </c>
      <c r="AD354" s="200" t="s">
        <v>68</v>
      </c>
      <c r="AE354" s="174" t="s">
        <v>68</v>
      </c>
      <c r="AF354" s="202" t="s">
        <v>68</v>
      </c>
      <c r="AG354" s="653" t="s">
        <v>68</v>
      </c>
      <c r="AH354" s="202">
        <v>2000</v>
      </c>
      <c r="AI354" s="566">
        <v>2000</v>
      </c>
      <c r="AJ354" s="566"/>
      <c r="AK354" s="1802"/>
      <c r="AL354" s="1803"/>
      <c r="AM354" s="1567" t="s">
        <v>3532</v>
      </c>
      <c r="AN354" s="1136" t="s">
        <v>68</v>
      </c>
      <c r="AO354" s="1136" t="s">
        <v>68</v>
      </c>
      <c r="AP354" s="1137" t="s">
        <v>68</v>
      </c>
      <c r="AQ354" s="1138" t="s">
        <v>68</v>
      </c>
      <c r="AR354" s="1139" t="s">
        <v>68</v>
      </c>
      <c r="AS354" s="1139" t="s">
        <v>68</v>
      </c>
      <c r="AT354" s="1139" t="s">
        <v>68</v>
      </c>
      <c r="AU354" s="1139" t="s">
        <v>68</v>
      </c>
      <c r="AV354" s="180" t="s">
        <v>551</v>
      </c>
      <c r="AW354" s="13"/>
    </row>
    <row r="355" spans="1:50" ht="148.5" hidden="1" customHeight="1">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3887</v>
      </c>
      <c r="O355" s="4">
        <f>OBRA!P353</f>
        <v>250000</v>
      </c>
      <c r="P355" s="1208">
        <f t="shared" si="20"/>
        <v>215517.24137931035</v>
      </c>
      <c r="Q355" s="1208"/>
      <c r="R355" s="6">
        <f>OBRA!Q353</f>
        <v>43524</v>
      </c>
      <c r="S355" s="1327" t="str">
        <f>OBRA!T353</f>
        <v>-</v>
      </c>
      <c r="T355" s="5">
        <f>OBRA!R353</f>
        <v>43529</v>
      </c>
      <c r="U355" s="12">
        <f>OBRA!S353</f>
        <v>43555</v>
      </c>
      <c r="V355" s="240">
        <v>0</v>
      </c>
      <c r="W355" s="1198">
        <f>OBRA!AQ353+OBRA!AR353</f>
        <v>249936.46</v>
      </c>
      <c r="X355" s="1235" t="s">
        <v>2787</v>
      </c>
      <c r="Y355" s="639" t="str">
        <f>OBRA!U353</f>
        <v>N/A</v>
      </c>
      <c r="Z355" s="639" t="s">
        <v>68</v>
      </c>
      <c r="AA355" s="640" t="str">
        <f t="shared" si="22"/>
        <v>N/A</v>
      </c>
      <c r="AB355" s="639" t="s">
        <v>1177</v>
      </c>
      <c r="AC355" s="1234" t="s">
        <v>1177</v>
      </c>
      <c r="AD355" s="198" t="str">
        <f>OBRA!V353</f>
        <v>ING. RIGOBERTO OLMEDO RAMOS</v>
      </c>
      <c r="AE355" s="174">
        <v>534.25</v>
      </c>
      <c r="AF355" s="202" t="s">
        <v>1552</v>
      </c>
      <c r="AG355" s="694">
        <f t="shared" ref="AG355:AG379" si="23">W355/AE355</f>
        <v>467.8267852129153</v>
      </c>
      <c r="AH355" s="202">
        <v>200</v>
      </c>
      <c r="AI355" s="566" t="s">
        <v>68</v>
      </c>
      <c r="AJ355" s="566"/>
      <c r="AK355" s="1802"/>
      <c r="AL355" s="1803"/>
      <c r="AM355" s="1435" t="s">
        <v>3887</v>
      </c>
      <c r="AN355" s="1520" t="s">
        <v>3887</v>
      </c>
      <c r="AO355" s="1520" t="s">
        <v>3887</v>
      </c>
      <c r="AP355" s="1475" t="s">
        <v>3887</v>
      </c>
      <c r="AQ355" s="1531" t="s">
        <v>3887</v>
      </c>
      <c r="AR355" s="1494" t="s">
        <v>68</v>
      </c>
      <c r="AS355" s="1495" t="s">
        <v>68</v>
      </c>
      <c r="AT355" s="1483"/>
      <c r="AU355" s="1488"/>
      <c r="AV355" s="35"/>
      <c r="AW355" s="13"/>
    </row>
    <row r="356" spans="1:50" s="110" customFormat="1" ht="60" hidden="1" customHeight="1">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20"/>
        <v>64872.353448275862</v>
      </c>
      <c r="Q356" s="1208"/>
      <c r="R356" s="93" t="str">
        <f>OBRA!Q354</f>
        <v>-</v>
      </c>
      <c r="S356" s="1327" t="str">
        <f>OBRA!T354</f>
        <v>-</v>
      </c>
      <c r="T356" s="94" t="str">
        <f>OBRA!R354</f>
        <v>-</v>
      </c>
      <c r="U356" s="95" t="str">
        <f>OBRA!S354</f>
        <v>-</v>
      </c>
      <c r="V356" s="1206" t="s">
        <v>68</v>
      </c>
      <c r="W356" s="947">
        <f>OBRA!AQ354+OBRA!AR354</f>
        <v>0</v>
      </c>
      <c r="X356" s="1200" t="s">
        <v>68</v>
      </c>
      <c r="Y356" s="935" t="str">
        <f>OBRA!U354</f>
        <v>-</v>
      </c>
      <c r="Z356" s="639" t="s">
        <v>68</v>
      </c>
      <c r="AA356" s="460" t="str">
        <f t="shared" si="22"/>
        <v>-</v>
      </c>
      <c r="AB356" s="935" t="s">
        <v>1177</v>
      </c>
      <c r="AC356" s="1237" t="s">
        <v>1177</v>
      </c>
      <c r="AD356" s="199" t="str">
        <f>OBRA!V354</f>
        <v>LIC. SALVADOR CONTRERAS OLGUÍN</v>
      </c>
      <c r="AE356" s="90">
        <v>295.60000000000002</v>
      </c>
      <c r="AF356" s="91" t="s">
        <v>1552</v>
      </c>
      <c r="AG356" s="936">
        <f t="shared" si="23"/>
        <v>0</v>
      </c>
      <c r="AH356" s="91">
        <v>21500</v>
      </c>
      <c r="AI356" s="564">
        <v>21500</v>
      </c>
      <c r="AJ356" s="564"/>
      <c r="AK356" s="1804"/>
      <c r="AL356" s="1805"/>
      <c r="AM356" s="631"/>
      <c r="AN356" s="942" t="s">
        <v>68</v>
      </c>
      <c r="AO356" s="942" t="s">
        <v>68</v>
      </c>
      <c r="AP356" s="564" t="s">
        <v>68</v>
      </c>
      <c r="AQ356" s="89" t="s">
        <v>68</v>
      </c>
      <c r="AR356" s="564"/>
      <c r="AS356" s="564"/>
      <c r="AT356" s="564"/>
      <c r="AU356" s="564"/>
      <c r="AV356" s="96"/>
      <c r="AW356" s="109"/>
    </row>
    <row r="357" spans="1:50" s="110" customFormat="1" ht="51" hidden="1" customHeight="1">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20"/>
        <v>121302.46551724138</v>
      </c>
      <c r="Q357" s="1208"/>
      <c r="R357" s="93" t="str">
        <f>OBRA!Q355</f>
        <v>-</v>
      </c>
      <c r="S357" s="1327" t="str">
        <f>OBRA!T355</f>
        <v>-</v>
      </c>
      <c r="T357" s="94" t="str">
        <f>OBRA!R355</f>
        <v>-</v>
      </c>
      <c r="U357" s="95" t="str">
        <f>OBRA!S355</f>
        <v>-</v>
      </c>
      <c r="V357" s="1206" t="s">
        <v>68</v>
      </c>
      <c r="W357" s="947">
        <f>OBRA!AQ355+OBRA!AR355</f>
        <v>0</v>
      </c>
      <c r="X357" s="1200" t="s">
        <v>68</v>
      </c>
      <c r="Y357" s="935" t="str">
        <f>OBRA!U355</f>
        <v>-</v>
      </c>
      <c r="Z357" s="639" t="s">
        <v>68</v>
      </c>
      <c r="AA357" s="460" t="str">
        <f t="shared" si="22"/>
        <v>-</v>
      </c>
      <c r="AB357" s="935" t="s">
        <v>1177</v>
      </c>
      <c r="AC357" s="1237" t="s">
        <v>1177</v>
      </c>
      <c r="AD357" s="199" t="str">
        <f>OBRA!V355</f>
        <v>LIC. SALVADOR CONTRERAS OLGUÍN</v>
      </c>
      <c r="AE357" s="90">
        <v>1</v>
      </c>
      <c r="AF357" s="91"/>
      <c r="AG357" s="936">
        <f t="shared" si="23"/>
        <v>0</v>
      </c>
      <c r="AH357" s="91">
        <v>0</v>
      </c>
      <c r="AI357" s="564"/>
      <c r="AJ357" s="564"/>
      <c r="AK357" s="1804"/>
      <c r="AL357" s="1805"/>
      <c r="AM357" s="631"/>
      <c r="AN357" s="942" t="s">
        <v>68</v>
      </c>
      <c r="AO357" s="942" t="s">
        <v>68</v>
      </c>
      <c r="AP357" s="564" t="s">
        <v>68</v>
      </c>
      <c r="AQ357" s="89" t="s">
        <v>68</v>
      </c>
      <c r="AR357" s="564"/>
      <c r="AS357" s="564"/>
      <c r="AT357" s="564"/>
      <c r="AU357" s="564"/>
      <c r="AV357" s="96"/>
      <c r="AW357" s="109"/>
    </row>
    <row r="358" spans="1:50" ht="74.25" hidden="1" customHeight="1">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2560</v>
      </c>
      <c r="N358" s="510" t="s">
        <v>3888</v>
      </c>
      <c r="O358" s="4">
        <f>OBRA!P356</f>
        <v>22876.2</v>
      </c>
      <c r="P358" s="1208">
        <f t="shared" si="20"/>
        <v>19720.862068965518</v>
      </c>
      <c r="Q358" s="1208"/>
      <c r="R358" s="6">
        <f>OBRA!Q356</f>
        <v>43588</v>
      </c>
      <c r="S358" s="1327" t="str">
        <f>OBRA!T356</f>
        <v>-</v>
      </c>
      <c r="T358" s="5">
        <f>OBRA!R356</f>
        <v>43592</v>
      </c>
      <c r="U358" s="12">
        <f>OBRA!S356</f>
        <v>43623</v>
      </c>
      <c r="V358" s="240">
        <v>0</v>
      </c>
      <c r="W358" s="1198">
        <f>OBRA!AQ356+OBRA!AR356</f>
        <v>6559.65</v>
      </c>
      <c r="X358" s="1296" t="s">
        <v>2118</v>
      </c>
      <c r="Y358" s="639" t="str">
        <f>OBRA!U356</f>
        <v>N/A</v>
      </c>
      <c r="Z358" s="639" t="s">
        <v>68</v>
      </c>
      <c r="AA358" s="640" t="str">
        <f t="shared" si="22"/>
        <v>N/A</v>
      </c>
      <c r="AB358" s="639" t="s">
        <v>1177</v>
      </c>
      <c r="AC358" s="1234" t="s">
        <v>1177</v>
      </c>
      <c r="AD358" s="200" t="str">
        <f>OBRA!V356</f>
        <v>LIC. SALVADOR CONTRERAS OLGUÍN</v>
      </c>
      <c r="AE358" s="174">
        <v>1</v>
      </c>
      <c r="AF358" s="202" t="s">
        <v>1577</v>
      </c>
      <c r="AG358" s="653">
        <f t="shared" si="23"/>
        <v>6559.65</v>
      </c>
      <c r="AH358" s="560"/>
      <c r="AI358" s="566">
        <v>7800</v>
      </c>
      <c r="AJ358" s="566"/>
      <c r="AK358" s="1802"/>
      <c r="AL358" s="1803"/>
      <c r="AM358" s="1452" t="s">
        <v>3888</v>
      </c>
      <c r="AN358" s="1525" t="s">
        <v>3888</v>
      </c>
      <c r="AO358" s="1525" t="s">
        <v>3888</v>
      </c>
      <c r="AP358" s="1523" t="s">
        <v>3888</v>
      </c>
      <c r="AQ358" s="1531" t="s">
        <v>3888</v>
      </c>
      <c r="AR358" s="1494" t="s">
        <v>68</v>
      </c>
      <c r="AS358" s="1495" t="s">
        <v>68</v>
      </c>
      <c r="AT358" s="1483"/>
      <c r="AU358" s="1488"/>
      <c r="AV358" s="35"/>
      <c r="AW358" s="13"/>
      <c r="AX358" s="589">
        <f>W358+W359+W360</f>
        <v>63502.530000000006</v>
      </c>
    </row>
    <row r="359" spans="1:50" ht="114" hidden="1" customHeight="1">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2560</v>
      </c>
      <c r="N359" s="510" t="s">
        <v>3889</v>
      </c>
      <c r="O359" s="4">
        <f>OBRA!P357</f>
        <v>18491.009999999998</v>
      </c>
      <c r="P359" s="1208">
        <f t="shared" si="20"/>
        <v>15940.525862068966</v>
      </c>
      <c r="Q359" s="1208"/>
      <c r="R359" s="6">
        <f>OBRA!Q357</f>
        <v>43588</v>
      </c>
      <c r="S359" s="1327" t="str">
        <f>OBRA!T357</f>
        <v>-</v>
      </c>
      <c r="T359" s="5">
        <f>OBRA!R357</f>
        <v>43592</v>
      </c>
      <c r="U359" s="12">
        <f>OBRA!S357</f>
        <v>43623</v>
      </c>
      <c r="V359" s="240">
        <v>0</v>
      </c>
      <c r="W359" s="1198">
        <f>OBRA!AQ357+OBRA!AR357</f>
        <v>50740.69</v>
      </c>
      <c r="X359" s="1296" t="s">
        <v>2121</v>
      </c>
      <c r="Y359" s="639" t="str">
        <f>OBRA!U357</f>
        <v>N/A</v>
      </c>
      <c r="Z359" s="639" t="s">
        <v>68</v>
      </c>
      <c r="AA359" s="640" t="str">
        <f t="shared" si="22"/>
        <v>N/A</v>
      </c>
      <c r="AB359" s="639" t="s">
        <v>1177</v>
      </c>
      <c r="AC359" s="1234" t="s">
        <v>1177</v>
      </c>
      <c r="AD359" s="200" t="str">
        <f>OBRA!V357</f>
        <v>LIC. SALVADOR CONTRERAS OLGUÍN</v>
      </c>
      <c r="AE359" s="174">
        <v>1</v>
      </c>
      <c r="AF359" s="202" t="s">
        <v>1577</v>
      </c>
      <c r="AG359" s="653">
        <f t="shared" si="23"/>
        <v>50740.69</v>
      </c>
      <c r="AH359" s="560"/>
      <c r="AI359" s="566">
        <v>7800</v>
      </c>
      <c r="AJ359" s="566"/>
      <c r="AK359" s="1802"/>
      <c r="AL359" s="1803"/>
      <c r="AM359" s="1452" t="s">
        <v>3889</v>
      </c>
      <c r="AN359" s="1525" t="s">
        <v>3889</v>
      </c>
      <c r="AO359" s="1525" t="s">
        <v>3889</v>
      </c>
      <c r="AP359" s="1523" t="s">
        <v>3889</v>
      </c>
      <c r="AQ359" s="561"/>
      <c r="AR359" s="1494" t="s">
        <v>68</v>
      </c>
      <c r="AS359" s="1495" t="s">
        <v>68</v>
      </c>
      <c r="AT359" s="1483"/>
      <c r="AU359" s="1488"/>
      <c r="AV359" s="35"/>
      <c r="AW359" s="13"/>
    </row>
    <row r="360" spans="1:50" ht="87.75" hidden="1" customHeight="1">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2560</v>
      </c>
      <c r="N360" s="510" t="s">
        <v>3890</v>
      </c>
      <c r="O360" s="4">
        <f>OBRA!P358</f>
        <v>13050.14</v>
      </c>
      <c r="P360" s="1208">
        <f t="shared" si="20"/>
        <v>11250.120689655172</v>
      </c>
      <c r="Q360" s="1208"/>
      <c r="R360" s="6">
        <f>OBRA!Q358</f>
        <v>43588</v>
      </c>
      <c r="S360" s="1327" t="str">
        <f>OBRA!T358</f>
        <v>-</v>
      </c>
      <c r="T360" s="5">
        <f>OBRA!R358</f>
        <v>43592</v>
      </c>
      <c r="U360" s="12">
        <f>OBRA!S358</f>
        <v>43623</v>
      </c>
      <c r="V360" s="240">
        <v>0</v>
      </c>
      <c r="W360" s="1198">
        <f>OBRA!AQ358+OBRA!AR358</f>
        <v>6202.19</v>
      </c>
      <c r="X360" s="1296" t="s">
        <v>2123</v>
      </c>
      <c r="Y360" s="639" t="str">
        <f>OBRA!U358</f>
        <v>N/A</v>
      </c>
      <c r="Z360" s="639" t="s">
        <v>68</v>
      </c>
      <c r="AA360" s="640" t="str">
        <f t="shared" si="22"/>
        <v>N/A</v>
      </c>
      <c r="AB360" s="639" t="s">
        <v>1177</v>
      </c>
      <c r="AC360" s="1234" t="s">
        <v>1177</v>
      </c>
      <c r="AD360" s="200" t="str">
        <f>OBRA!V358</f>
        <v>LIC. SALVADOR CONTRERAS OLGUÍN</v>
      </c>
      <c r="AE360" s="609">
        <v>43</v>
      </c>
      <c r="AF360" s="202" t="s">
        <v>1552</v>
      </c>
      <c r="AG360" s="694">
        <f t="shared" si="23"/>
        <v>144.23697674418602</v>
      </c>
      <c r="AH360" s="560"/>
      <c r="AI360" s="566">
        <v>7800</v>
      </c>
      <c r="AJ360" s="566"/>
      <c r="AK360" s="1802"/>
      <c r="AL360" s="1803"/>
      <c r="AM360" s="1452" t="s">
        <v>3890</v>
      </c>
      <c r="AN360" s="1525" t="s">
        <v>3890</v>
      </c>
      <c r="AO360" s="1525" t="s">
        <v>3890</v>
      </c>
      <c r="AP360" s="1523" t="s">
        <v>3890</v>
      </c>
      <c r="AQ360" s="1524" t="s">
        <v>3890</v>
      </c>
      <c r="AR360" s="1494" t="s">
        <v>68</v>
      </c>
      <c r="AS360" s="1495" t="s">
        <v>68</v>
      </c>
      <c r="AT360" s="1483"/>
      <c r="AU360" s="1488"/>
      <c r="AV360" s="35"/>
      <c r="AW360" s="13"/>
    </row>
    <row r="361" spans="1:50" ht="82.5" hidden="1" customHeight="1">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3052</v>
      </c>
      <c r="N361" s="510" t="s">
        <v>3891</v>
      </c>
      <c r="O361" s="4">
        <f>OBRA!P359</f>
        <v>200000</v>
      </c>
      <c r="P361" s="1208">
        <f t="shared" si="20"/>
        <v>172413.79310344829</v>
      </c>
      <c r="Q361" s="1208"/>
      <c r="R361" s="6">
        <f>OBRA!Q359</f>
        <v>43647</v>
      </c>
      <c r="S361" s="1327" t="str">
        <f>OBRA!T359</f>
        <v>-</v>
      </c>
      <c r="T361" s="5">
        <f>OBRA!R359</f>
        <v>43647</v>
      </c>
      <c r="U361" s="12">
        <f>OBRA!S359</f>
        <v>43830</v>
      </c>
      <c r="V361" s="240">
        <v>0</v>
      </c>
      <c r="W361" s="1198">
        <f>OBRA!AQ359+OBRA!AR359</f>
        <v>185312.5</v>
      </c>
      <c r="X361" s="1296" t="s">
        <v>2907</v>
      </c>
      <c r="Y361" s="639" t="str">
        <f>OBRA!U359</f>
        <v>N/A</v>
      </c>
      <c r="Z361" s="639" t="s">
        <v>68</v>
      </c>
      <c r="AA361" s="640" t="str">
        <f t="shared" si="22"/>
        <v>N/A</v>
      </c>
      <c r="AB361" s="639" t="s">
        <v>1177</v>
      </c>
      <c r="AC361" s="1234" t="s">
        <v>1177</v>
      </c>
      <c r="AD361" s="200" t="str">
        <f>OBRA!V359</f>
        <v>ING. LUIS RIGOBERTO OLMEDO NAVARRO</v>
      </c>
      <c r="AE361" s="174">
        <v>1</v>
      </c>
      <c r="AF361" s="202" t="s">
        <v>1577</v>
      </c>
      <c r="AG361" s="694">
        <f t="shared" si="23"/>
        <v>185312.5</v>
      </c>
      <c r="AH361" s="560"/>
      <c r="AI361" s="566">
        <v>15700</v>
      </c>
      <c r="AJ361" s="566"/>
      <c r="AK361" s="1802"/>
      <c r="AL361" s="1803"/>
      <c r="AM361" s="1452" t="s">
        <v>3891</v>
      </c>
      <c r="AN361" s="1525" t="s">
        <v>3891</v>
      </c>
      <c r="AO361" s="1540"/>
      <c r="AP361" s="1523" t="s">
        <v>3891</v>
      </c>
      <c r="AQ361" s="1531" t="s">
        <v>3891</v>
      </c>
      <c r="AR361" s="1494" t="s">
        <v>68</v>
      </c>
      <c r="AS361" s="1495" t="s">
        <v>68</v>
      </c>
      <c r="AT361" s="1483"/>
      <c r="AU361" s="1488"/>
      <c r="AV361" s="35"/>
      <c r="AW361" s="13"/>
    </row>
    <row r="362" spans="1:50" ht="101.25" hidden="1" customHeight="1">
      <c r="A362" s="17">
        <f>OBRA!I360</f>
        <v>2019</v>
      </c>
      <c r="B362" s="895" t="s">
        <v>2098</v>
      </c>
      <c r="C362" s="896">
        <v>191.08</v>
      </c>
      <c r="D362" s="1722" t="s">
        <v>4066</v>
      </c>
      <c r="E362" s="2" t="str">
        <f>OBRA!K360</f>
        <v>CEA / CUENTA CORRIENTE</v>
      </c>
      <c r="F362" s="681" t="s">
        <v>3748</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2699</v>
      </c>
      <c r="N362" s="510" t="s">
        <v>3892</v>
      </c>
      <c r="O362" s="4">
        <f>OBRA!P360</f>
        <v>800000</v>
      </c>
      <c r="P362" s="1208">
        <f t="shared" si="20"/>
        <v>689655.17241379316</v>
      </c>
      <c r="Q362" s="1208"/>
      <c r="R362" s="6">
        <f>OBRA!Q360</f>
        <v>43683</v>
      </c>
      <c r="S362" s="1327" t="str">
        <f>OBRA!T360</f>
        <v>-</v>
      </c>
      <c r="T362" s="5">
        <f>OBRA!R360</f>
        <v>43689</v>
      </c>
      <c r="U362" s="12">
        <f>OBRA!S360</f>
        <v>43830</v>
      </c>
      <c r="V362" s="240">
        <v>0</v>
      </c>
      <c r="W362" s="1198">
        <f>OBRA!AQ360+OBRA!AR360</f>
        <v>615186.80000000005</v>
      </c>
      <c r="X362" s="1296" t="s">
        <v>2788</v>
      </c>
      <c r="Y362" s="639" t="str">
        <f>OBRA!U360</f>
        <v>N/A</v>
      </c>
      <c r="Z362" s="639" t="s">
        <v>68</v>
      </c>
      <c r="AA362" s="640" t="str">
        <f t="shared" si="22"/>
        <v>N/A</v>
      </c>
      <c r="AB362" s="639" t="s">
        <v>1177</v>
      </c>
      <c r="AC362" s="1234" t="s">
        <v>1177</v>
      </c>
      <c r="AD362" s="200" t="str">
        <f>OBRA!V360</f>
        <v>ING. JUAN MANUEL GARCIA ESCOTO</v>
      </c>
      <c r="AE362" s="174">
        <v>1</v>
      </c>
      <c r="AF362" s="202" t="s">
        <v>1466</v>
      </c>
      <c r="AG362" s="694">
        <f t="shared" si="23"/>
        <v>615186.80000000005</v>
      </c>
      <c r="AH362" s="202">
        <v>2000</v>
      </c>
      <c r="AI362" s="566">
        <v>2000</v>
      </c>
      <c r="AJ362" s="566"/>
      <c r="AK362" s="1802"/>
      <c r="AL362" s="1803"/>
      <c r="AM362" s="1452" t="s">
        <v>3892</v>
      </c>
      <c r="AN362" s="1520" t="s">
        <v>3892</v>
      </c>
      <c r="AO362" s="585"/>
      <c r="AP362" s="1475" t="s">
        <v>3892</v>
      </c>
      <c r="AQ362" s="561"/>
      <c r="AR362" s="1494" t="s">
        <v>68</v>
      </c>
      <c r="AS362" s="1495" t="s">
        <v>68</v>
      </c>
      <c r="AT362" s="1483"/>
      <c r="AU362" s="1488"/>
      <c r="AV362" s="35"/>
      <c r="AW362" s="13"/>
    </row>
    <row r="363" spans="1:50" ht="117.75" hidden="1" customHeight="1">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2699</v>
      </c>
      <c r="N363" s="510" t="s">
        <v>3893</v>
      </c>
      <c r="O363" s="4">
        <f>OBRA!P361</f>
        <v>750000</v>
      </c>
      <c r="P363" s="1208">
        <f t="shared" si="20"/>
        <v>646551.72413793113</v>
      </c>
      <c r="Q363" s="1208"/>
      <c r="R363" s="6">
        <f>OBRA!Q361</f>
        <v>43686</v>
      </c>
      <c r="S363" s="1327" t="str">
        <f>OBRA!T361</f>
        <v>-</v>
      </c>
      <c r="T363" s="5">
        <f>OBRA!R361</f>
        <v>43689</v>
      </c>
      <c r="U363" s="12">
        <f>OBRA!S361</f>
        <v>43830</v>
      </c>
      <c r="V363" s="240">
        <v>0</v>
      </c>
      <c r="W363" s="1198">
        <f>OBRA!AQ361+OBRA!AR361</f>
        <v>630687.37</v>
      </c>
      <c r="X363" s="1296" t="s">
        <v>2789</v>
      </c>
      <c r="Y363" s="639" t="str">
        <f>OBRA!U361</f>
        <v>N/A</v>
      </c>
      <c r="Z363" s="639" t="s">
        <v>68</v>
      </c>
      <c r="AA363" s="640" t="str">
        <f t="shared" si="22"/>
        <v>N/A</v>
      </c>
      <c r="AB363" s="639" t="s">
        <v>1177</v>
      </c>
      <c r="AC363" s="1234" t="s">
        <v>1177</v>
      </c>
      <c r="AD363" s="200" t="str">
        <f>OBRA!V361</f>
        <v>ING. JUAN MANUEL GARCIA ESCOTO</v>
      </c>
      <c r="AE363" s="174">
        <v>2787.77</v>
      </c>
      <c r="AF363" s="202" t="s">
        <v>1552</v>
      </c>
      <c r="AG363" s="694">
        <f t="shared" si="23"/>
        <v>226.23364553029842</v>
      </c>
      <c r="AH363" s="560"/>
      <c r="AI363" s="566">
        <v>2000</v>
      </c>
      <c r="AJ363" s="566"/>
      <c r="AK363" s="1802"/>
      <c r="AL363" s="1803"/>
      <c r="AM363" s="1452" t="s">
        <v>3893</v>
      </c>
      <c r="AN363" s="1520" t="s">
        <v>3893</v>
      </c>
      <c r="AO363" s="1520" t="s">
        <v>3893</v>
      </c>
      <c r="AP363" s="1475" t="s">
        <v>3893</v>
      </c>
      <c r="AQ363" s="1531" t="s">
        <v>3893</v>
      </c>
      <c r="AR363" s="1494" t="s">
        <v>68</v>
      </c>
      <c r="AS363" s="1495" t="s">
        <v>68</v>
      </c>
      <c r="AT363" s="1483"/>
      <c r="AU363" s="1488"/>
      <c r="AV363" s="35"/>
      <c r="AW363" s="13"/>
    </row>
    <row r="364" spans="1:50" ht="199.5" hidden="1" customHeight="1">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2568</v>
      </c>
      <c r="N364" s="554" t="s">
        <v>3894</v>
      </c>
      <c r="O364" s="4">
        <f>OBRA!P362</f>
        <v>518279.12</v>
      </c>
      <c r="P364" s="1208">
        <f t="shared" si="20"/>
        <v>446792.34482758626</v>
      </c>
      <c r="Q364" s="1208"/>
      <c r="R364" s="6">
        <f>OBRA!Q362</f>
        <v>43707</v>
      </c>
      <c r="S364" s="1327" t="str">
        <f>OBRA!T362</f>
        <v>-</v>
      </c>
      <c r="T364" s="5">
        <f>OBRA!R362</f>
        <v>43710</v>
      </c>
      <c r="U364" s="12">
        <f>OBRA!S362</f>
        <v>43798</v>
      </c>
      <c r="V364" s="240">
        <v>0</v>
      </c>
      <c r="W364" s="1198">
        <f>OBRA!AQ362+OBRA!AR362</f>
        <v>445239.22</v>
      </c>
      <c r="X364" s="1298" t="s">
        <v>2908</v>
      </c>
      <c r="Y364" s="639" t="str">
        <f>OBRA!U362</f>
        <v>N/A</v>
      </c>
      <c r="Z364" s="639" t="s">
        <v>68</v>
      </c>
      <c r="AA364" s="640" t="str">
        <f t="shared" si="22"/>
        <v>N/A</v>
      </c>
      <c r="AB364" s="639" t="s">
        <v>1177</v>
      </c>
      <c r="AC364" s="1234" t="s">
        <v>1177</v>
      </c>
      <c r="AD364" s="200" t="str">
        <f>OBRA!V362</f>
        <v>ING. J. GUADALUPE IBARRA RAMIREZ</v>
      </c>
      <c r="AE364" s="174">
        <v>351</v>
      </c>
      <c r="AF364" s="202" t="s">
        <v>1454</v>
      </c>
      <c r="AG364" s="694">
        <f t="shared" si="23"/>
        <v>1268.4878062678063</v>
      </c>
      <c r="AH364" s="202">
        <v>80</v>
      </c>
      <c r="AI364" s="566">
        <v>80</v>
      </c>
      <c r="AJ364" s="566"/>
      <c r="AK364" s="1802"/>
      <c r="AL364" s="1803"/>
      <c r="AM364" s="1435" t="s">
        <v>3894</v>
      </c>
      <c r="AN364" s="1520" t="s">
        <v>3894</v>
      </c>
      <c r="AO364" s="1520" t="s">
        <v>3894</v>
      </c>
      <c r="AP364" s="1475" t="s">
        <v>3894</v>
      </c>
      <c r="AQ364" s="561"/>
      <c r="AR364" s="1494" t="s">
        <v>68</v>
      </c>
      <c r="AS364" s="1495" t="s">
        <v>68</v>
      </c>
      <c r="AT364" s="1483"/>
      <c r="AU364" s="1488"/>
      <c r="AV364" s="35"/>
      <c r="AW364" s="13"/>
    </row>
    <row r="365" spans="1:50" ht="131.25" hidden="1" customHeight="1">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3895</v>
      </c>
      <c r="O365" s="85">
        <f>OBRA!P363</f>
        <v>661528.31999999995</v>
      </c>
      <c r="P365" s="1208">
        <f t="shared" si="20"/>
        <v>570283.03448275861</v>
      </c>
      <c r="Q365" s="1208"/>
      <c r="R365" s="6">
        <f>OBRA!Q363</f>
        <v>43754</v>
      </c>
      <c r="S365" s="1327" t="str">
        <f>OBRA!T363</f>
        <v>-</v>
      </c>
      <c r="T365" s="5">
        <f>OBRA!R363</f>
        <v>43759</v>
      </c>
      <c r="U365" s="12">
        <f>OBRA!S363</f>
        <v>43814</v>
      </c>
      <c r="V365" s="240">
        <v>0</v>
      </c>
      <c r="W365" s="1198">
        <f>OBRA!AQ363+OBRA!AR363</f>
        <v>660663.76</v>
      </c>
      <c r="X365" s="1296" t="s">
        <v>2790</v>
      </c>
      <c r="Y365" s="639" t="str">
        <f>OBRA!U363</f>
        <v>N/A</v>
      </c>
      <c r="Z365" s="639" t="s">
        <v>68</v>
      </c>
      <c r="AA365" s="640" t="str">
        <f t="shared" si="22"/>
        <v>N/A</v>
      </c>
      <c r="AB365" s="639" t="s">
        <v>1177</v>
      </c>
      <c r="AC365" s="1234" t="s">
        <v>1177</v>
      </c>
      <c r="AD365" s="200" t="str">
        <f>OBRA!V363</f>
        <v>ING. J. GUADALUPE IBARRA RAMIREZ</v>
      </c>
      <c r="AE365" s="174">
        <v>208.14</v>
      </c>
      <c r="AF365" s="202" t="s">
        <v>1454</v>
      </c>
      <c r="AG365" s="694">
        <f t="shared" si="23"/>
        <v>3174.1316421639285</v>
      </c>
      <c r="AH365" s="202">
        <v>200</v>
      </c>
      <c r="AI365" s="566">
        <v>21500</v>
      </c>
      <c r="AJ365" s="566"/>
      <c r="AK365" s="1802"/>
      <c r="AL365" s="1803"/>
      <c r="AM365" s="1452" t="s">
        <v>3895</v>
      </c>
      <c r="AN365" s="1520" t="s">
        <v>3895</v>
      </c>
      <c r="AO365" s="1520" t="s">
        <v>3895</v>
      </c>
      <c r="AP365" s="1475" t="s">
        <v>3895</v>
      </c>
      <c r="AQ365" s="1531" t="s">
        <v>3895</v>
      </c>
      <c r="AR365" s="1494" t="s">
        <v>68</v>
      </c>
      <c r="AS365" s="1495" t="s">
        <v>68</v>
      </c>
      <c r="AT365" s="1483"/>
      <c r="AU365" s="1488"/>
      <c r="AV365" s="35"/>
      <c r="AW365" s="13"/>
    </row>
    <row r="366" spans="1:50" ht="142.5" hidden="1" customHeight="1">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3896</v>
      </c>
      <c r="O366" s="85">
        <f>OBRA!P364</f>
        <v>886200.09</v>
      </c>
      <c r="P366" s="1208">
        <f t="shared" si="20"/>
        <v>763965.5948275862</v>
      </c>
      <c r="Q366" s="1208"/>
      <c r="R366" s="6">
        <f>OBRA!Q364</f>
        <v>43754</v>
      </c>
      <c r="S366" s="1327" t="str">
        <f>OBRA!T364</f>
        <v>-</v>
      </c>
      <c r="T366" s="5">
        <f>OBRA!R364</f>
        <v>43759</v>
      </c>
      <c r="U366" s="12">
        <f>OBRA!S364</f>
        <v>43814</v>
      </c>
      <c r="V366" s="240">
        <v>0</v>
      </c>
      <c r="W366" s="1198">
        <f>OBRA!AQ364+OBRA!AR364</f>
        <v>885994.40999999992</v>
      </c>
      <c r="X366" s="1296" t="s">
        <v>2791</v>
      </c>
      <c r="Y366" s="639" t="str">
        <f>OBRA!U364</f>
        <v>N/A</v>
      </c>
      <c r="Z366" s="639" t="s">
        <v>68</v>
      </c>
      <c r="AA366" s="640" t="str">
        <f t="shared" si="22"/>
        <v>N/A</v>
      </c>
      <c r="AB366" s="639" t="s">
        <v>1177</v>
      </c>
      <c r="AC366" s="1234" t="s">
        <v>1177</v>
      </c>
      <c r="AD366" s="200" t="str">
        <f>OBRA!V364</f>
        <v>ING. J. GUADALUPE IBARRA RAMIREZ</v>
      </c>
      <c r="AE366" s="174">
        <v>208.14</v>
      </c>
      <c r="AF366" s="202" t="s">
        <v>1454</v>
      </c>
      <c r="AG366" s="694">
        <f t="shared" si="23"/>
        <v>4256.7234073219943</v>
      </c>
      <c r="AH366" s="202">
        <v>200</v>
      </c>
      <c r="AI366" s="566">
        <v>21500</v>
      </c>
      <c r="AJ366" s="566"/>
      <c r="AK366" s="1802"/>
      <c r="AL366" s="1803"/>
      <c r="AM366" s="1452" t="s">
        <v>3896</v>
      </c>
      <c r="AN366" s="1520" t="s">
        <v>3896</v>
      </c>
      <c r="AO366" s="1520" t="s">
        <v>3896</v>
      </c>
      <c r="AP366" s="1475" t="s">
        <v>3896</v>
      </c>
      <c r="AQ366" s="1531" t="s">
        <v>3896</v>
      </c>
      <c r="AR366" s="1494" t="s">
        <v>68</v>
      </c>
      <c r="AS366" s="1495" t="s">
        <v>68</v>
      </c>
      <c r="AT366" s="1483"/>
      <c r="AU366" s="1488"/>
      <c r="AV366" s="35"/>
      <c r="AW366" s="13"/>
    </row>
    <row r="367" spans="1:50" ht="103.5" hidden="1" customHeight="1">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2560</v>
      </c>
      <c r="N367" s="510" t="s">
        <v>3897</v>
      </c>
      <c r="O367" s="85">
        <f>OBRA!P365</f>
        <v>316991.96999999997</v>
      </c>
      <c r="P367" s="1208">
        <f t="shared" si="20"/>
        <v>273268.93965517241</v>
      </c>
      <c r="Q367" s="1208"/>
      <c r="R367" s="6">
        <f>OBRA!Q365</f>
        <v>43773</v>
      </c>
      <c r="S367" s="1327" t="str">
        <f>OBRA!T365</f>
        <v>-</v>
      </c>
      <c r="T367" s="5">
        <f>OBRA!R365</f>
        <v>43775</v>
      </c>
      <c r="U367" s="12">
        <f>OBRA!S365</f>
        <v>43798</v>
      </c>
      <c r="V367" s="240">
        <v>0</v>
      </c>
      <c r="W367" s="1198">
        <f>OBRA!AQ365+OBRA!AR365</f>
        <v>238710.43</v>
      </c>
      <c r="X367" s="1235" t="s">
        <v>3219</v>
      </c>
      <c r="Y367" s="639" t="str">
        <f>OBRA!U365</f>
        <v>N/A</v>
      </c>
      <c r="Z367" s="639" t="s">
        <v>68</v>
      </c>
      <c r="AA367" s="640" t="str">
        <f t="shared" si="22"/>
        <v>N/A</v>
      </c>
      <c r="AB367" s="639" t="s">
        <v>1177</v>
      </c>
      <c r="AC367" s="1234" t="s">
        <v>1177</v>
      </c>
      <c r="AD367" s="200" t="str">
        <f>OBRA!V365</f>
        <v>ING. J. GUADALUPE IBARRA RAMIREZ</v>
      </c>
      <c r="AE367" s="169"/>
      <c r="AF367" s="202" t="s">
        <v>1845</v>
      </c>
      <c r="AG367" s="682" t="e">
        <f t="shared" si="23"/>
        <v>#DIV/0!</v>
      </c>
      <c r="AH367" s="202">
        <v>200</v>
      </c>
      <c r="AI367" s="566">
        <v>4000</v>
      </c>
      <c r="AJ367" s="566"/>
      <c r="AK367" s="1802"/>
      <c r="AL367" s="1803"/>
      <c r="AM367" s="1452" t="s">
        <v>3897</v>
      </c>
      <c r="AN367" s="1520" t="s">
        <v>3897</v>
      </c>
      <c r="AO367" s="1520" t="s">
        <v>3897</v>
      </c>
      <c r="AP367" s="1475" t="s">
        <v>3897</v>
      </c>
      <c r="AQ367" s="1531" t="s">
        <v>3897</v>
      </c>
      <c r="AR367" s="1494" t="s">
        <v>68</v>
      </c>
      <c r="AS367" s="1495" t="s">
        <v>68</v>
      </c>
      <c r="AT367" s="1483"/>
      <c r="AU367" s="1488"/>
      <c r="AV367" s="35"/>
      <c r="AW367" s="13"/>
    </row>
    <row r="368" spans="1:50" ht="123" hidden="1" customHeight="1">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2560</v>
      </c>
      <c r="N368" s="510" t="s">
        <v>3898</v>
      </c>
      <c r="O368" s="85">
        <f>OBRA!P366</f>
        <v>387742.07</v>
      </c>
      <c r="P368" s="1208">
        <f t="shared" si="20"/>
        <v>334260.4051724138</v>
      </c>
      <c r="Q368" s="1208"/>
      <c r="R368" s="6">
        <f>OBRA!Q366</f>
        <v>43773</v>
      </c>
      <c r="S368" s="1327" t="str">
        <f>OBRA!T366</f>
        <v>-</v>
      </c>
      <c r="T368" s="5">
        <f>OBRA!R366</f>
        <v>43775</v>
      </c>
      <c r="U368" s="12">
        <f>OBRA!S366</f>
        <v>43798</v>
      </c>
      <c r="V368" s="240">
        <v>0</v>
      </c>
      <c r="W368" s="1198">
        <f>OBRA!AQ366+OBRA!AR366</f>
        <v>239516.18</v>
      </c>
      <c r="X368" s="1235" t="s">
        <v>3220</v>
      </c>
      <c r="Y368" s="639" t="str">
        <f>OBRA!U366</f>
        <v>N/A</v>
      </c>
      <c r="Z368" s="639" t="s">
        <v>68</v>
      </c>
      <c r="AA368" s="640" t="str">
        <f t="shared" si="22"/>
        <v>N/A</v>
      </c>
      <c r="AB368" s="639" t="s">
        <v>1177</v>
      </c>
      <c r="AC368" s="1234" t="s">
        <v>1177</v>
      </c>
      <c r="AD368" s="200" t="str">
        <f>OBRA!V366</f>
        <v>ING. J. GUADALUPE IBARRA RAMIREZ</v>
      </c>
      <c r="AE368" s="174">
        <v>54</v>
      </c>
      <c r="AF368" s="202" t="s">
        <v>1845</v>
      </c>
      <c r="AG368" s="694">
        <f t="shared" si="23"/>
        <v>4435.4848148148149</v>
      </c>
      <c r="AH368" s="202">
        <v>200</v>
      </c>
      <c r="AI368" s="566">
        <v>4000</v>
      </c>
      <c r="AJ368" s="566"/>
      <c r="AK368" s="1802"/>
      <c r="AL368" s="1803"/>
      <c r="AM368" s="1452" t="s">
        <v>3898</v>
      </c>
      <c r="AN368" s="1520" t="s">
        <v>3898</v>
      </c>
      <c r="AO368" s="1520" t="s">
        <v>3898</v>
      </c>
      <c r="AP368" s="1475" t="s">
        <v>3898</v>
      </c>
      <c r="AQ368" s="1531" t="s">
        <v>3898</v>
      </c>
      <c r="AR368" s="1494" t="s">
        <v>68</v>
      </c>
      <c r="AS368" s="1495" t="s">
        <v>68</v>
      </c>
      <c r="AT368" s="1483"/>
      <c r="AU368" s="1488"/>
      <c r="AV368" s="35"/>
      <c r="AW368" s="13"/>
    </row>
    <row r="369" spans="1:49" ht="162" hidden="1" customHeight="1">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2560</v>
      </c>
      <c r="N369" s="554" t="s">
        <v>3899</v>
      </c>
      <c r="O369" s="4">
        <f>OBRA!P367</f>
        <v>758777.4</v>
      </c>
      <c r="P369" s="1208">
        <f t="shared" si="20"/>
        <v>654118.44827586215</v>
      </c>
      <c r="Q369" s="1208"/>
      <c r="R369" s="6">
        <f>OBRA!Q367</f>
        <v>43773</v>
      </c>
      <c r="S369" s="1327">
        <f>OBRA!T367</f>
        <v>43693</v>
      </c>
      <c r="T369" s="5">
        <f>OBRA!R367</f>
        <v>43775</v>
      </c>
      <c r="U369" s="12">
        <f>OBRA!S367</f>
        <v>43798</v>
      </c>
      <c r="V369" s="240">
        <v>0</v>
      </c>
      <c r="W369" s="1198">
        <f>OBRA!AQ367+OBRA!AR367</f>
        <v>718023.82000000007</v>
      </c>
      <c r="X369" s="1235" t="s">
        <v>2910</v>
      </c>
      <c r="Y369" s="639" t="str">
        <f>OBRA!U367</f>
        <v>N/A</v>
      </c>
      <c r="Z369" s="639" t="s">
        <v>68</v>
      </c>
      <c r="AA369" s="640" t="str">
        <f t="shared" si="22"/>
        <v>N/A</v>
      </c>
      <c r="AB369" s="639" t="s">
        <v>1177</v>
      </c>
      <c r="AC369" s="1234" t="s">
        <v>1177</v>
      </c>
      <c r="AD369" s="200" t="str">
        <f>OBRA!V367</f>
        <v>ING. J. GUADALUPE IBARRA RAMIREZ</v>
      </c>
      <c r="AE369" s="169"/>
      <c r="AF369" s="202" t="s">
        <v>1454</v>
      </c>
      <c r="AG369" s="682" t="e">
        <f t="shared" si="23"/>
        <v>#DIV/0!</v>
      </c>
      <c r="AH369" s="202">
        <v>200</v>
      </c>
      <c r="AI369" s="566">
        <v>4000</v>
      </c>
      <c r="AJ369" s="566"/>
      <c r="AK369" s="1802"/>
      <c r="AL369" s="1803"/>
      <c r="AM369" s="1452" t="s">
        <v>3899</v>
      </c>
      <c r="AN369" s="1520" t="s">
        <v>3899</v>
      </c>
      <c r="AO369" s="1520" t="s">
        <v>3899</v>
      </c>
      <c r="AP369" s="1523" t="s">
        <v>3899</v>
      </c>
      <c r="AQ369" s="1531" t="s">
        <v>3899</v>
      </c>
      <c r="AR369" s="1494" t="s">
        <v>68</v>
      </c>
      <c r="AS369" s="1495" t="s">
        <v>68</v>
      </c>
      <c r="AT369" s="1483"/>
      <c r="AU369" s="1488"/>
      <c r="AV369" s="35"/>
      <c r="AW369" s="13"/>
    </row>
    <row r="370" spans="1:49" s="110" customFormat="1" ht="51" hidden="1" customHeight="1">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20"/>
        <v>0</v>
      </c>
      <c r="Q370" s="1208"/>
      <c r="R370" s="93">
        <f>OBRA!Q368</f>
        <v>0</v>
      </c>
      <c r="S370" s="1327" t="str">
        <f>OBRA!T368</f>
        <v>-</v>
      </c>
      <c r="T370" s="94">
        <f>OBRA!R368</f>
        <v>0</v>
      </c>
      <c r="U370" s="95">
        <f>OBRA!S368</f>
        <v>0</v>
      </c>
      <c r="V370" s="1206" t="s">
        <v>68</v>
      </c>
      <c r="W370" s="947">
        <f>OBRA!AQ368+OBRA!AR368</f>
        <v>0</v>
      </c>
      <c r="X370" s="1200" t="s">
        <v>68</v>
      </c>
      <c r="Y370" s="935" t="str">
        <f>OBRA!U368</f>
        <v>-</v>
      </c>
      <c r="Z370" s="639" t="s">
        <v>68</v>
      </c>
      <c r="AA370" s="460" t="str">
        <f t="shared" si="22"/>
        <v>-</v>
      </c>
      <c r="AB370" s="935" t="s">
        <v>1177</v>
      </c>
      <c r="AC370" s="1237" t="s">
        <v>1177</v>
      </c>
      <c r="AD370" s="199">
        <f>OBRA!V368</f>
        <v>0</v>
      </c>
      <c r="AE370" s="90">
        <v>1</v>
      </c>
      <c r="AF370" s="91"/>
      <c r="AG370" s="936">
        <f t="shared" si="23"/>
        <v>0</v>
      </c>
      <c r="AH370" s="91">
        <v>0</v>
      </c>
      <c r="AI370" s="564"/>
      <c r="AJ370" s="564"/>
      <c r="AK370" s="1804"/>
      <c r="AL370" s="1805"/>
      <c r="AM370" s="631"/>
      <c r="AN370" s="942" t="s">
        <v>68</v>
      </c>
      <c r="AO370" s="942" t="s">
        <v>68</v>
      </c>
      <c r="AP370" s="564" t="s">
        <v>68</v>
      </c>
      <c r="AQ370" s="89" t="s">
        <v>68</v>
      </c>
      <c r="AR370" s="1158" t="s">
        <v>68</v>
      </c>
      <c r="AS370" s="1158" t="s">
        <v>68</v>
      </c>
      <c r="AT370" s="1159"/>
      <c r="AU370" s="1159"/>
      <c r="AV370" s="96"/>
      <c r="AW370" s="109"/>
    </row>
    <row r="371" spans="1:49" ht="73.5" hidden="1" customHeight="1">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2560</v>
      </c>
      <c r="N371" s="1707" t="s">
        <v>3818</v>
      </c>
      <c r="O371" s="4">
        <f>OBRA!P369</f>
        <v>1248920.79</v>
      </c>
      <c r="P371" s="1208">
        <f t="shared" si="20"/>
        <v>1076655.8534482759</v>
      </c>
      <c r="Q371" s="1208"/>
      <c r="R371" s="6">
        <f>OBRA!Q369</f>
        <v>43784</v>
      </c>
      <c r="S371" s="1327" t="str">
        <f>OBRA!T369</f>
        <v>-</v>
      </c>
      <c r="T371" s="5">
        <f>OBRA!R369</f>
        <v>43784</v>
      </c>
      <c r="U371" s="12">
        <f>OBRA!S369</f>
        <v>43814</v>
      </c>
      <c r="V371" s="240">
        <v>0</v>
      </c>
      <c r="W371" s="1198">
        <f>OBRA!AQ369+OBRA!AR369</f>
        <v>737048.95</v>
      </c>
      <c r="X371" s="1235" t="s">
        <v>2792</v>
      </c>
      <c r="Y371" s="639" t="str">
        <f>OBRA!U369</f>
        <v>N/A</v>
      </c>
      <c r="Z371" s="639" t="s">
        <v>68</v>
      </c>
      <c r="AA371" s="640" t="str">
        <f t="shared" si="22"/>
        <v>N/A</v>
      </c>
      <c r="AB371" s="639" t="s">
        <v>1177</v>
      </c>
      <c r="AC371" s="1234" t="s">
        <v>1177</v>
      </c>
      <c r="AD371" s="200" t="str">
        <f>OBRA!V369</f>
        <v>ARQ. CESAR ANTONIO ALONSO JIMENEZ</v>
      </c>
      <c r="AE371" s="174">
        <v>117.68</v>
      </c>
      <c r="AF371" s="202" t="s">
        <v>1552</v>
      </c>
      <c r="AG371" s="694">
        <f t="shared" si="23"/>
        <v>6263.1623895309303</v>
      </c>
      <c r="AH371" s="202">
        <v>300</v>
      </c>
      <c r="AI371" s="566">
        <v>2000</v>
      </c>
      <c r="AJ371" s="566"/>
      <c r="AK371" s="1802"/>
      <c r="AL371" s="1803"/>
      <c r="AM371" s="1435" t="s">
        <v>3818</v>
      </c>
      <c r="AN371" s="1565" t="s">
        <v>3818</v>
      </c>
      <c r="AO371" s="1520" t="s">
        <v>3818</v>
      </c>
      <c r="AP371" s="1475" t="s">
        <v>3818</v>
      </c>
      <c r="AQ371" s="1531" t="s">
        <v>3818</v>
      </c>
      <c r="AR371" s="1494" t="s">
        <v>68</v>
      </c>
      <c r="AS371" s="1495" t="s">
        <v>68</v>
      </c>
      <c r="AT371" s="1483"/>
      <c r="AU371" s="1488"/>
      <c r="AV371" s="35"/>
      <c r="AW371" s="13"/>
    </row>
    <row r="372" spans="1:49" ht="93.75" hidden="1" customHeight="1">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3900</v>
      </c>
      <c r="O372" s="4">
        <f>OBRA!P370</f>
        <v>125964.92</v>
      </c>
      <c r="P372" s="1208">
        <f t="shared" si="20"/>
        <v>108590.44827586207</v>
      </c>
      <c r="Q372" s="1208"/>
      <c r="R372" s="6">
        <f>OBRA!Q370</f>
        <v>43791</v>
      </c>
      <c r="S372" s="1327" t="str">
        <f>OBRA!T370</f>
        <v>-</v>
      </c>
      <c r="T372" s="5">
        <f>OBRA!R370</f>
        <v>43792</v>
      </c>
      <c r="U372" s="12">
        <f>OBRA!S370</f>
        <v>43814</v>
      </c>
      <c r="V372" s="240">
        <v>0</v>
      </c>
      <c r="W372" s="1198">
        <f>OBRA!AQ370+OBRA!AR370</f>
        <v>108738.26999999999</v>
      </c>
      <c r="X372" s="1235" t="s">
        <v>2793</v>
      </c>
      <c r="Y372" s="639" t="str">
        <f>OBRA!U370</f>
        <v>N/A</v>
      </c>
      <c r="Z372" s="639" t="s">
        <v>68</v>
      </c>
      <c r="AA372" s="640" t="str">
        <f t="shared" si="22"/>
        <v>N/A</v>
      </c>
      <c r="AB372" s="639" t="s">
        <v>1177</v>
      </c>
      <c r="AC372" s="1234" t="s">
        <v>1177</v>
      </c>
      <c r="AD372" s="200" t="str">
        <f>OBRA!V370</f>
        <v>ING. J. GUADALUPE IBARRA RAMIREZ</v>
      </c>
      <c r="AE372" s="174">
        <v>204</v>
      </c>
      <c r="AF372" s="202" t="s">
        <v>1454</v>
      </c>
      <c r="AG372" s="757">
        <f t="shared" si="23"/>
        <v>533.03073529411756</v>
      </c>
      <c r="AH372" s="202">
        <v>2000</v>
      </c>
      <c r="AI372" s="566">
        <v>2000</v>
      </c>
      <c r="AJ372" s="566"/>
      <c r="AK372" s="1802"/>
      <c r="AL372" s="1803"/>
      <c r="AM372" s="1452" t="s">
        <v>3900</v>
      </c>
      <c r="AN372" s="1520" t="s">
        <v>3900</v>
      </c>
      <c r="AO372" s="1520" t="s">
        <v>3900</v>
      </c>
      <c r="AP372" s="1475" t="s">
        <v>3900</v>
      </c>
      <c r="AQ372" s="1531" t="s">
        <v>3900</v>
      </c>
      <c r="AR372" s="1494" t="s">
        <v>68</v>
      </c>
      <c r="AS372" s="1495" t="s">
        <v>68</v>
      </c>
      <c r="AT372" s="1483"/>
      <c r="AU372" s="1488"/>
      <c r="AV372" s="35"/>
      <c r="AW372" s="13"/>
    </row>
    <row r="373" spans="1:49" s="110" customFormat="1" ht="51" hidden="1" customHeight="1">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20"/>
        <v>0</v>
      </c>
      <c r="Q373" s="1208"/>
      <c r="R373" s="93">
        <f>OBRA!Q371</f>
        <v>0</v>
      </c>
      <c r="S373" s="1327" t="str">
        <f>OBRA!T371</f>
        <v>-</v>
      </c>
      <c r="T373" s="94">
        <f>OBRA!R371</f>
        <v>0</v>
      </c>
      <c r="U373" s="95">
        <f>OBRA!S371</f>
        <v>0</v>
      </c>
      <c r="V373" s="1206" t="s">
        <v>68</v>
      </c>
      <c r="W373" s="947">
        <f>OBRA!AQ371+OBRA!AR371</f>
        <v>0</v>
      </c>
      <c r="X373" s="1200" t="s">
        <v>68</v>
      </c>
      <c r="Y373" s="935" t="str">
        <f>OBRA!U371</f>
        <v>-</v>
      </c>
      <c r="Z373" s="639" t="s">
        <v>68</v>
      </c>
      <c r="AA373" s="460" t="str">
        <f t="shared" si="22"/>
        <v>-</v>
      </c>
      <c r="AB373" s="935" t="s">
        <v>1177</v>
      </c>
      <c r="AC373" s="1237" t="s">
        <v>1177</v>
      </c>
      <c r="AD373" s="199">
        <f>OBRA!V371</f>
        <v>0</v>
      </c>
      <c r="AE373" s="90">
        <v>1</v>
      </c>
      <c r="AF373" s="91"/>
      <c r="AG373" s="936">
        <f t="shared" si="23"/>
        <v>0</v>
      </c>
      <c r="AH373" s="91">
        <v>0</v>
      </c>
      <c r="AI373" s="564"/>
      <c r="AJ373" s="564"/>
      <c r="AK373" s="1804"/>
      <c r="AL373" s="1805"/>
      <c r="AM373" s="631"/>
      <c r="AN373" s="942" t="s">
        <v>68</v>
      </c>
      <c r="AO373" s="942" t="s">
        <v>68</v>
      </c>
      <c r="AP373" s="91" t="s">
        <v>68</v>
      </c>
      <c r="AQ373" s="89" t="s">
        <v>68</v>
      </c>
      <c r="AR373" s="1158" t="s">
        <v>68</v>
      </c>
      <c r="AS373" s="1158" t="s">
        <v>68</v>
      </c>
      <c r="AT373" s="1159"/>
      <c r="AU373" s="1159"/>
      <c r="AV373" s="96"/>
      <c r="AW373" s="109"/>
    </row>
    <row r="374" spans="1:49" ht="87.75" hidden="1" customHeight="1">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708" t="s">
        <v>3901</v>
      </c>
      <c r="O374" s="4">
        <f>OBRA!P372</f>
        <v>24608.01</v>
      </c>
      <c r="P374" s="1208">
        <f t="shared" si="20"/>
        <v>21213.801724137931</v>
      </c>
      <c r="Q374" s="1208"/>
      <c r="R374" s="6">
        <f>OBRA!Q372</f>
        <v>43791</v>
      </c>
      <c r="S374" s="1327" t="str">
        <f>OBRA!T372</f>
        <v>-</v>
      </c>
      <c r="T374" s="5">
        <f>OBRA!R372</f>
        <v>43792</v>
      </c>
      <c r="U374" s="12">
        <f>OBRA!S372</f>
        <v>43814</v>
      </c>
      <c r="V374" s="240">
        <v>0</v>
      </c>
      <c r="W374" s="1198">
        <f>OBRA!AQ372+OBRA!AR372</f>
        <v>15408</v>
      </c>
      <c r="X374" s="1235" t="s">
        <v>2911</v>
      </c>
      <c r="Y374" s="639" t="str">
        <f>OBRA!U372</f>
        <v>N/A</v>
      </c>
      <c r="Z374" s="639" t="s">
        <v>68</v>
      </c>
      <c r="AA374" s="640" t="str">
        <f t="shared" si="22"/>
        <v>N/A</v>
      </c>
      <c r="AB374" s="639" t="s">
        <v>1177</v>
      </c>
      <c r="AC374" s="1234" t="s">
        <v>1177</v>
      </c>
      <c r="AD374" s="200" t="str">
        <f>OBRA!V372</f>
        <v>ING. JUAN MANUEL GARCIA ESCOTO</v>
      </c>
      <c r="AE374" s="231">
        <v>13</v>
      </c>
      <c r="AF374" s="426" t="s">
        <v>1845</v>
      </c>
      <c r="AG374" s="757">
        <f t="shared" si="23"/>
        <v>1185.2307692307693</v>
      </c>
      <c r="AH374" s="202">
        <v>80</v>
      </c>
      <c r="AI374" s="566">
        <v>80</v>
      </c>
      <c r="AJ374" s="566"/>
      <c r="AK374" s="1802"/>
      <c r="AL374" s="1803"/>
      <c r="AM374" s="1435" t="s">
        <v>3901</v>
      </c>
      <c r="AN374" s="585"/>
      <c r="AO374" s="585"/>
      <c r="AP374" s="1475" t="s">
        <v>3901</v>
      </c>
      <c r="AQ374" s="561"/>
      <c r="AR374" s="1494" t="s">
        <v>68</v>
      </c>
      <c r="AS374" s="1495" t="s">
        <v>68</v>
      </c>
      <c r="AT374" s="1483"/>
      <c r="AU374" s="1488"/>
      <c r="AV374" s="35"/>
      <c r="AW374" s="13"/>
    </row>
    <row r="375" spans="1:49" s="110" customFormat="1" ht="93" hidden="1" customHeight="1">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20"/>
        <v>1122918.8362068967</v>
      </c>
      <c r="Q375" s="92"/>
      <c r="R375" s="93">
        <f>OBRA!Q373</f>
        <v>0</v>
      </c>
      <c r="S375" s="1327" t="str">
        <f>OBRA!T373</f>
        <v>-</v>
      </c>
      <c r="T375" s="94">
        <f>OBRA!R373</f>
        <v>0</v>
      </c>
      <c r="U375" s="95">
        <f>OBRA!S373</f>
        <v>0</v>
      </c>
      <c r="V375" s="374" t="s">
        <v>1431</v>
      </c>
      <c r="W375" s="947">
        <f>OBRA!AQ373+OBRA!AR373</f>
        <v>0</v>
      </c>
      <c r="X375" s="1200" t="s">
        <v>68</v>
      </c>
      <c r="Y375" s="935" t="str">
        <f>OBRA!U373</f>
        <v>N/A</v>
      </c>
      <c r="Z375" s="639" t="s">
        <v>68</v>
      </c>
      <c r="AA375" s="460" t="str">
        <f t="shared" si="22"/>
        <v>N/A</v>
      </c>
      <c r="AB375" s="935" t="s">
        <v>1177</v>
      </c>
      <c r="AC375" s="1237" t="s">
        <v>1177</v>
      </c>
      <c r="AD375" s="199">
        <f>OBRA!V373</f>
        <v>0</v>
      </c>
      <c r="AE375" s="90"/>
      <c r="AF375" s="91"/>
      <c r="AG375" s="936" t="e">
        <f t="shared" si="23"/>
        <v>#DIV/0!</v>
      </c>
      <c r="AH375" s="91"/>
      <c r="AI375" s="564"/>
      <c r="AJ375" s="564"/>
      <c r="AK375" s="1804"/>
      <c r="AL375" s="1805"/>
      <c r="AM375" s="631"/>
      <c r="AN375" s="942" t="s">
        <v>68</v>
      </c>
      <c r="AO375" s="942" t="s">
        <v>68</v>
      </c>
      <c r="AP375" s="91" t="s">
        <v>68</v>
      </c>
      <c r="AQ375" s="89" t="s">
        <v>68</v>
      </c>
      <c r="AR375" s="1158" t="s">
        <v>68</v>
      </c>
      <c r="AS375" s="1158" t="s">
        <v>68</v>
      </c>
      <c r="AT375" s="1159"/>
      <c r="AU375" s="1159"/>
      <c r="AV375" s="96"/>
      <c r="AW375" s="109"/>
    </row>
    <row r="376" spans="1:49" s="197" customFormat="1" ht="88.5" hidden="1" customHeight="1">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2785</v>
      </c>
      <c r="M376" s="328" t="s">
        <v>2560</v>
      </c>
      <c r="N376" s="554" t="s">
        <v>3902</v>
      </c>
      <c r="O376" s="85">
        <f>OBRA!P374</f>
        <v>232200.43</v>
      </c>
      <c r="P376" s="1208">
        <f t="shared" si="20"/>
        <v>200172.78448275864</v>
      </c>
      <c r="Q376" s="1208"/>
      <c r="R376" s="69">
        <f>OBRA!Q374</f>
        <v>43819</v>
      </c>
      <c r="S376" s="1327" t="str">
        <f>OBRA!T374</f>
        <v>-</v>
      </c>
      <c r="T376" s="255">
        <f>OBRA!R374</f>
        <v>43819</v>
      </c>
      <c r="U376" s="245">
        <f>OBRA!S374</f>
        <v>43830</v>
      </c>
      <c r="V376" s="240">
        <v>0</v>
      </c>
      <c r="W376" s="1198">
        <f>OBRA!AQ374+OBRA!AR374</f>
        <v>232635.88</v>
      </c>
      <c r="X376" s="1235" t="s">
        <v>2913</v>
      </c>
      <c r="Y376" s="639" t="str">
        <f>OBRA!U374</f>
        <v>N/A</v>
      </c>
      <c r="Z376" s="639" t="s">
        <v>68</v>
      </c>
      <c r="AA376" s="640" t="str">
        <f t="shared" si="22"/>
        <v>N/A</v>
      </c>
      <c r="AB376" s="639" t="s">
        <v>1177</v>
      </c>
      <c r="AC376" s="1234" t="s">
        <v>1177</v>
      </c>
      <c r="AD376" s="200" t="str">
        <f>OBRA!V374</f>
        <v>ING. J. GUADALUPE IBARRA RAMIREZ</v>
      </c>
      <c r="AE376" s="169"/>
      <c r="AF376" s="202" t="s">
        <v>1454</v>
      </c>
      <c r="AG376" s="653" t="e">
        <f t="shared" si="23"/>
        <v>#DIV/0!</v>
      </c>
      <c r="AH376" s="202">
        <v>200</v>
      </c>
      <c r="AI376" s="566">
        <v>4000</v>
      </c>
      <c r="AJ376" s="566"/>
      <c r="AK376" s="1802"/>
      <c r="AL376" s="1803"/>
      <c r="AM376" s="1797" t="s">
        <v>3902</v>
      </c>
      <c r="AN376" s="1565" t="s">
        <v>3902</v>
      </c>
      <c r="AO376" s="585"/>
      <c r="AP376" s="1475" t="s">
        <v>3902</v>
      </c>
      <c r="AQ376" s="1531" t="s">
        <v>3902</v>
      </c>
      <c r="AR376" s="1494" t="s">
        <v>68</v>
      </c>
      <c r="AS376" s="1495" t="s">
        <v>68</v>
      </c>
      <c r="AT376" s="1483"/>
      <c r="AU376" s="1488"/>
      <c r="AV376" s="180"/>
      <c r="AW376" s="329"/>
    </row>
    <row r="377" spans="1:49" s="110" customFormat="1" ht="51" hidden="1" customHeight="1">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20"/>
        <v>0</v>
      </c>
      <c r="Q377" s="92"/>
      <c r="R377" s="93">
        <f>OBRA!Q375</f>
        <v>0</v>
      </c>
      <c r="S377" s="1668" t="str">
        <f>OBRA!T375</f>
        <v>-</v>
      </c>
      <c r="T377" s="94">
        <f>OBRA!R375</f>
        <v>0</v>
      </c>
      <c r="U377" s="95">
        <f>OBRA!S375</f>
        <v>0</v>
      </c>
      <c r="V377" s="374" t="s">
        <v>1431</v>
      </c>
      <c r="W377" s="947">
        <f>OBRA!AQ375+OBRA!AR375</f>
        <v>0</v>
      </c>
      <c r="X377" s="1200"/>
      <c r="Y377" s="935" t="str">
        <f>OBRA!U375</f>
        <v>N/A</v>
      </c>
      <c r="Z377" s="639" t="s">
        <v>68</v>
      </c>
      <c r="AA377" s="460" t="str">
        <f t="shared" si="22"/>
        <v>N/A</v>
      </c>
      <c r="AB377" s="935" t="s">
        <v>1177</v>
      </c>
      <c r="AC377" s="1237" t="s">
        <v>1177</v>
      </c>
      <c r="AD377" s="199">
        <f>OBRA!V375</f>
        <v>0</v>
      </c>
      <c r="AE377" s="90">
        <v>1</v>
      </c>
      <c r="AF377" s="91"/>
      <c r="AG377" s="936">
        <f t="shared" si="23"/>
        <v>0</v>
      </c>
      <c r="AH377" s="91">
        <v>0</v>
      </c>
      <c r="AI377" s="564"/>
      <c r="AJ377" s="564"/>
      <c r="AK377" s="1804"/>
      <c r="AL377" s="1805"/>
      <c r="AM377" s="942"/>
      <c r="AN377" s="942"/>
      <c r="AO377" s="942"/>
      <c r="AP377" s="91"/>
      <c r="AQ377" s="89"/>
      <c r="AR377" s="1158" t="s">
        <v>68</v>
      </c>
      <c r="AS377" s="1158" t="s">
        <v>68</v>
      </c>
      <c r="AT377" s="1159"/>
      <c r="AU377" s="1159"/>
      <c r="AV377" s="96"/>
      <c r="AW377" s="109"/>
    </row>
    <row r="378" spans="1:49" s="197" customFormat="1" ht="72.75" hidden="1" customHeight="1">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2786</v>
      </c>
      <c r="M378" s="328" t="s">
        <v>2574</v>
      </c>
      <c r="N378" s="1708" t="s">
        <v>3903</v>
      </c>
      <c r="O378" s="85">
        <f>OBRA!P376</f>
        <v>11470</v>
      </c>
      <c r="P378" s="1208">
        <f t="shared" si="20"/>
        <v>9887.9310344827591</v>
      </c>
      <c r="Q378" s="1208"/>
      <c r="R378" s="69">
        <f>OBRA!Q376</f>
        <v>43801</v>
      </c>
      <c r="S378" s="1327" t="str">
        <f>OBRA!T376</f>
        <v>-</v>
      </c>
      <c r="T378" s="255">
        <f>OBRA!R376</f>
        <v>43825</v>
      </c>
      <c r="U378" s="245">
        <f>OBRA!S376</f>
        <v>43830</v>
      </c>
      <c r="V378" s="240">
        <v>0</v>
      </c>
      <c r="W378" s="1198">
        <f>OBRA!AQ376+OBRA!AR376</f>
        <v>11470</v>
      </c>
      <c r="X378" s="1235" t="s">
        <v>2912</v>
      </c>
      <c r="Y378" s="639" t="str">
        <f>OBRA!U376</f>
        <v>N/A</v>
      </c>
      <c r="Z378" s="639" t="s">
        <v>68</v>
      </c>
      <c r="AA378" s="640" t="str">
        <f t="shared" si="22"/>
        <v>N/A</v>
      </c>
      <c r="AB378" s="639" t="s">
        <v>1177</v>
      </c>
      <c r="AC378" s="1234" t="s">
        <v>1177</v>
      </c>
      <c r="AD378" s="200" t="str">
        <f>OBRA!V376</f>
        <v>LIC. SALVADOR CONTRERAS OLGUÍN</v>
      </c>
      <c r="AE378" s="174">
        <v>19.239999999999998</v>
      </c>
      <c r="AF378" s="202" t="s">
        <v>1552</v>
      </c>
      <c r="AG378" s="694">
        <f t="shared" si="23"/>
        <v>596.15384615384619</v>
      </c>
      <c r="AH378" s="202">
        <v>2000</v>
      </c>
      <c r="AI378" s="566">
        <v>2000</v>
      </c>
      <c r="AJ378" s="566"/>
      <c r="AK378" s="1802"/>
      <c r="AL378" s="1803"/>
      <c r="AM378" s="1797" t="s">
        <v>3903</v>
      </c>
      <c r="AN378" s="1520" t="s">
        <v>3903</v>
      </c>
      <c r="AO378" s="1565" t="s">
        <v>3903</v>
      </c>
      <c r="AP378" s="560"/>
      <c r="AQ378" s="1531" t="s">
        <v>3903</v>
      </c>
      <c r="AR378" s="1494" t="s">
        <v>68</v>
      </c>
      <c r="AS378" s="1495" t="s">
        <v>68</v>
      </c>
      <c r="AT378" s="1483"/>
      <c r="AU378" s="1488"/>
      <c r="AV378" s="180"/>
      <c r="AW378" s="329"/>
    </row>
    <row r="379" spans="1:49" s="110" customFormat="1" ht="51" hidden="1" customHeight="1">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20"/>
        <v>0</v>
      </c>
      <c r="Q379" s="92"/>
      <c r="R379" s="93">
        <f>OBRA!Q377</f>
        <v>0</v>
      </c>
      <c r="S379" s="1668" t="str">
        <f>OBRA!T377</f>
        <v>-</v>
      </c>
      <c r="T379" s="94">
        <f>OBRA!R377</f>
        <v>0</v>
      </c>
      <c r="U379" s="95">
        <f>OBRA!S377</f>
        <v>0</v>
      </c>
      <c r="V379" s="374" t="s">
        <v>1431</v>
      </c>
      <c r="W379" s="947">
        <f>OBRA!AQ377+OBRA!AR377</f>
        <v>0</v>
      </c>
      <c r="X379" s="1200"/>
      <c r="Y379" s="935" t="str">
        <f>OBRA!U377</f>
        <v>-</v>
      </c>
      <c r="Z379" s="639" t="s">
        <v>68</v>
      </c>
      <c r="AA379" s="460" t="str">
        <f t="shared" si="22"/>
        <v>-</v>
      </c>
      <c r="AB379" s="935" t="s">
        <v>1177</v>
      </c>
      <c r="AC379" s="1237" t="s">
        <v>1177</v>
      </c>
      <c r="AD379" s="199">
        <f>OBRA!V377</f>
        <v>0</v>
      </c>
      <c r="AE379" s="90">
        <v>1</v>
      </c>
      <c r="AF379" s="91"/>
      <c r="AG379" s="936">
        <f t="shared" si="23"/>
        <v>0</v>
      </c>
      <c r="AH379" s="91">
        <v>0</v>
      </c>
      <c r="AI379" s="564"/>
      <c r="AJ379" s="564"/>
      <c r="AK379" s="1804"/>
      <c r="AL379" s="1805"/>
      <c r="AM379" s="942"/>
      <c r="AN379" s="942"/>
      <c r="AO379" s="942"/>
      <c r="AP379" s="91"/>
      <c r="AQ379" s="89"/>
      <c r="AR379" s="1158" t="s">
        <v>68</v>
      </c>
      <c r="AS379" s="1158" t="s">
        <v>68</v>
      </c>
      <c r="AT379" s="1159"/>
      <c r="AU379" s="1159"/>
      <c r="AV379" s="96"/>
      <c r="AW379" s="109"/>
    </row>
    <row r="380" spans="1:49" ht="98.25" hidden="1" customHeight="1">
      <c r="A380" s="17">
        <f>OBRA!I378</f>
        <v>2019</v>
      </c>
      <c r="B380" s="895" t="s">
        <v>2098</v>
      </c>
      <c r="C380" s="896">
        <v>192.1</v>
      </c>
      <c r="D380" s="896"/>
      <c r="E380" s="2" t="str">
        <f>OBRA!K378</f>
        <v>RASTRO DIGNO / CTA-CTE</v>
      </c>
      <c r="F380" s="681" t="s">
        <v>3748</v>
      </c>
      <c r="G380" s="281" t="s">
        <v>2900</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2909</v>
      </c>
      <c r="L380" s="328" t="s">
        <v>2006</v>
      </c>
      <c r="M380" s="1059" t="s">
        <v>1979</v>
      </c>
      <c r="N380" s="554" t="s">
        <v>3534</v>
      </c>
      <c r="O380" s="4">
        <f>OBRA!P378</f>
        <v>1688681.79</v>
      </c>
      <c r="P380" s="1208">
        <f t="shared" si="20"/>
        <v>1455760.1637931035</v>
      </c>
      <c r="Q380" s="1208"/>
      <c r="R380" s="6">
        <f>OBRA!Q378</f>
        <v>43776</v>
      </c>
      <c r="S380" s="1327" t="str">
        <f>OBRA!T378</f>
        <v>-</v>
      </c>
      <c r="T380" s="5">
        <f>OBRA!R378</f>
        <v>43783</v>
      </c>
      <c r="U380" s="12">
        <f>OBRA!S378</f>
        <v>43814</v>
      </c>
      <c r="V380" s="1205">
        <v>844340.89</v>
      </c>
      <c r="W380" s="1198">
        <f>O380</f>
        <v>1688681.79</v>
      </c>
      <c r="X380" s="1235" t="s">
        <v>1431</v>
      </c>
      <c r="Y380" s="650" t="str">
        <f>OBRA!U378</f>
        <v>BIOESTERES DE MÉXICO S.A. DE C.V.</v>
      </c>
      <c r="Z380" s="650" t="s">
        <v>5823</v>
      </c>
      <c r="AA380" s="652" t="s">
        <v>3824</v>
      </c>
      <c r="AB380" s="652" t="s">
        <v>68</v>
      </c>
      <c r="AC380" s="650" t="s">
        <v>2801</v>
      </c>
      <c r="AD380" s="200" t="str">
        <f>OBRA!V378</f>
        <v>ARQ. JAIME CONDE GOMEZ</v>
      </c>
      <c r="AE380" s="174">
        <v>1</v>
      </c>
      <c r="AF380" s="202" t="s">
        <v>1845</v>
      </c>
      <c r="AG380" s="653" t="s">
        <v>68</v>
      </c>
      <c r="AH380" s="202">
        <v>2000</v>
      </c>
      <c r="AI380" s="566">
        <v>48500</v>
      </c>
      <c r="AJ380" s="566"/>
      <c r="AK380" s="1802"/>
      <c r="AL380" s="1803"/>
      <c r="AM380" s="1136" t="s">
        <v>68</v>
      </c>
      <c r="AN380" s="1136" t="s">
        <v>68</v>
      </c>
      <c r="AO380" s="1136" t="s">
        <v>68</v>
      </c>
      <c r="AP380" s="1333" t="s">
        <v>68</v>
      </c>
      <c r="AQ380" s="1144" t="s">
        <v>68</v>
      </c>
      <c r="AR380" s="566" t="s">
        <v>68</v>
      </c>
      <c r="AS380" s="566" t="s">
        <v>68</v>
      </c>
      <c r="AT380" s="566" t="s">
        <v>68</v>
      </c>
      <c r="AU380" s="566" t="s">
        <v>68</v>
      </c>
      <c r="AV380" s="35" t="s">
        <v>551</v>
      </c>
      <c r="AW380" s="13"/>
    </row>
    <row r="381" spans="1:49" ht="58.5" hidden="1" customHeight="1">
      <c r="A381" s="17">
        <f>OBRA!I379</f>
        <v>2019</v>
      </c>
      <c r="B381" s="895" t="s">
        <v>2098</v>
      </c>
      <c r="C381" s="896">
        <v>192.2</v>
      </c>
      <c r="D381" s="896"/>
      <c r="E381" s="2" t="str">
        <f>OBRA!K379</f>
        <v>P.I.D.</v>
      </c>
      <c r="F381" s="681" t="s">
        <v>3748</v>
      </c>
      <c r="G381" s="281" t="s">
        <v>2900</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2613</v>
      </c>
      <c r="N381" s="554" t="s">
        <v>3534</v>
      </c>
      <c r="O381" s="4">
        <f>OBRA!P379</f>
        <v>256520.08</v>
      </c>
      <c r="P381" s="1208">
        <f t="shared" si="20"/>
        <v>221138</v>
      </c>
      <c r="Q381" s="1208"/>
      <c r="R381" s="6">
        <f>OBRA!Q379</f>
        <v>43759</v>
      </c>
      <c r="S381" s="1327" t="str">
        <f>OBRA!T379</f>
        <v>-</v>
      </c>
      <c r="T381" s="5" t="str">
        <f>OBRA!R379</f>
        <v>-</v>
      </c>
      <c r="U381" s="12" t="str">
        <f>OBRA!S379</f>
        <v>-</v>
      </c>
      <c r="V381" s="1204" t="s">
        <v>1431</v>
      </c>
      <c r="W381" s="1198">
        <f>OBRA!AQ379+OBRA!AR379</f>
        <v>256520.08</v>
      </c>
      <c r="X381" s="1235" t="s">
        <v>1431</v>
      </c>
      <c r="Y381" s="650" t="str">
        <f>OBRA!U379</f>
        <v>C. JESÚS RAMÍREZ JIMÉNEZ</v>
      </c>
      <c r="Z381" s="650" t="s">
        <v>5822</v>
      </c>
      <c r="AA381" s="652" t="str">
        <f>Y381</f>
        <v>C. JESÚS RAMÍREZ JIMÉNEZ</v>
      </c>
      <c r="AB381" s="675" t="s">
        <v>2999</v>
      </c>
      <c r="AC381" s="650" t="s">
        <v>2999</v>
      </c>
      <c r="AD381" s="200" t="str">
        <f>OBRA!V379</f>
        <v>LIC. SALVADOR CONTRERAS OLGUÍN</v>
      </c>
      <c r="AE381" s="174">
        <v>1</v>
      </c>
      <c r="AF381" s="202" t="s">
        <v>1577</v>
      </c>
      <c r="AG381" s="653" t="s">
        <v>68</v>
      </c>
      <c r="AH381" s="202">
        <v>300</v>
      </c>
      <c r="AI381" s="566">
        <v>2000</v>
      </c>
      <c r="AJ381" s="566"/>
      <c r="AK381" s="1802"/>
      <c r="AL381" s="1803"/>
      <c r="AM381" s="1136" t="s">
        <v>68</v>
      </c>
      <c r="AN381" s="1136" t="s">
        <v>68</v>
      </c>
      <c r="AO381" s="1136" t="s">
        <v>68</v>
      </c>
      <c r="AP381" s="1333" t="s">
        <v>68</v>
      </c>
      <c r="AQ381" s="1144" t="s">
        <v>68</v>
      </c>
      <c r="AR381" s="566" t="s">
        <v>68</v>
      </c>
      <c r="AS381" s="566" t="s">
        <v>68</v>
      </c>
      <c r="AT381" s="566" t="s">
        <v>68</v>
      </c>
      <c r="AU381" s="566" t="s">
        <v>68</v>
      </c>
      <c r="AV381" s="35" t="s">
        <v>551</v>
      </c>
      <c r="AW381" s="13"/>
    </row>
    <row r="382" spans="1:49" ht="70.5" hidden="1" customHeight="1">
      <c r="A382" s="17">
        <f>OBRA!I380</f>
        <v>2019</v>
      </c>
      <c r="B382" s="895" t="s">
        <v>2098</v>
      </c>
      <c r="C382" s="896">
        <v>192.3</v>
      </c>
      <c r="D382" s="896"/>
      <c r="E382" s="2" t="str">
        <f>OBRA!K380</f>
        <v>P.I.D.</v>
      </c>
      <c r="F382" s="681" t="s">
        <v>3748</v>
      </c>
      <c r="G382" s="281" t="s">
        <v>2900</v>
      </c>
      <c r="H382" s="329" t="str">
        <f>OBRA!L380</f>
        <v>PID/2019 - SJC</v>
      </c>
      <c r="I382" s="2" t="str">
        <f>OBRA!M380</f>
        <v>ADQUISICIÓN</v>
      </c>
      <c r="J382" s="3" t="str">
        <f>OBRA!N380</f>
        <v>ADQUISICIÓN DE: UN MUELLE FLOTANTE Y ESTACIÓN DE RECICLADO, PARA LA LOCALIDAD DE SAN JUAN CÓSALA.</v>
      </c>
      <c r="K382" s="328" t="s">
        <v>2141</v>
      </c>
      <c r="L382" s="328" t="s">
        <v>3051</v>
      </c>
      <c r="M382" s="328" t="s">
        <v>2560</v>
      </c>
      <c r="N382" s="554" t="s">
        <v>3534</v>
      </c>
      <c r="O382" s="4">
        <f>OBRA!P380</f>
        <v>256520.08</v>
      </c>
      <c r="P382" s="1208">
        <f t="shared" si="20"/>
        <v>221138</v>
      </c>
      <c r="Q382" s="1208"/>
      <c r="R382" s="6">
        <f>OBRA!Q380</f>
        <v>43759</v>
      </c>
      <c r="S382" s="1327" t="str">
        <f>OBRA!T380</f>
        <v>-</v>
      </c>
      <c r="T382" s="5" t="str">
        <f>OBRA!R380</f>
        <v>-</v>
      </c>
      <c r="U382" s="12" t="str">
        <f>OBRA!S380</f>
        <v>-</v>
      </c>
      <c r="V382" s="1204" t="s">
        <v>1431</v>
      </c>
      <c r="W382" s="1198">
        <f>OBRA!AQ380+OBRA!AR380</f>
        <v>256520.08</v>
      </c>
      <c r="X382" s="1235" t="s">
        <v>1431</v>
      </c>
      <c r="Y382" s="650" t="str">
        <f>OBRA!U380</f>
        <v>C. JESÚS RAMÍREZ JIMÉNEZ</v>
      </c>
      <c r="Z382" s="650" t="s">
        <v>5822</v>
      </c>
      <c r="AA382" s="652" t="str">
        <f>Y382</f>
        <v>C. JESÚS RAMÍREZ JIMÉNEZ</v>
      </c>
      <c r="AB382" s="675" t="s">
        <v>2999</v>
      </c>
      <c r="AC382" s="650" t="s">
        <v>2999</v>
      </c>
      <c r="AD382" s="200" t="str">
        <f>OBRA!V380</f>
        <v>ARQ. CESAR ANTONIO ALONSO JIMENEZ</v>
      </c>
      <c r="AE382" s="174">
        <v>1</v>
      </c>
      <c r="AF382" s="202" t="s">
        <v>1577</v>
      </c>
      <c r="AG382" s="653" t="s">
        <v>68</v>
      </c>
      <c r="AH382" s="202">
        <v>300</v>
      </c>
      <c r="AI382" s="566">
        <v>2000</v>
      </c>
      <c r="AJ382" s="566"/>
      <c r="AK382" s="1802"/>
      <c r="AL382" s="1803"/>
      <c r="AM382" s="1136" t="s">
        <v>68</v>
      </c>
      <c r="AN382" s="1136" t="s">
        <v>68</v>
      </c>
      <c r="AO382" s="1136" t="s">
        <v>68</v>
      </c>
      <c r="AP382" s="1333" t="s">
        <v>68</v>
      </c>
      <c r="AQ382" s="1144" t="s">
        <v>68</v>
      </c>
      <c r="AR382" s="566" t="s">
        <v>68</v>
      </c>
      <c r="AS382" s="566" t="s">
        <v>68</v>
      </c>
      <c r="AT382" s="566" t="s">
        <v>68</v>
      </c>
      <c r="AU382" s="566" t="s">
        <v>68</v>
      </c>
      <c r="AV382" s="35" t="s">
        <v>551</v>
      </c>
      <c r="AW382" s="13"/>
    </row>
    <row r="383" spans="1:49" ht="72" hidden="1" customHeight="1">
      <c r="A383" s="17">
        <f>OBRA!I381</f>
        <v>2019</v>
      </c>
      <c r="B383" s="895" t="s">
        <v>2098</v>
      </c>
      <c r="C383" s="896">
        <v>193.1</v>
      </c>
      <c r="D383" s="896"/>
      <c r="E383" s="2" t="str">
        <f>OBRA!K381</f>
        <v>CUENTA CORRIENTE</v>
      </c>
      <c r="F383" s="19" t="s">
        <v>1431</v>
      </c>
      <c r="G383" s="249" t="s">
        <v>2900</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2699</v>
      </c>
      <c r="N383" s="597"/>
      <c r="O383" s="4">
        <f>OBRA!P381</f>
        <v>4800</v>
      </c>
      <c r="P383" s="1208">
        <f t="shared" si="20"/>
        <v>4137.9310344827591</v>
      </c>
      <c r="Q383" s="85" t="s">
        <v>3999</v>
      </c>
      <c r="R383" s="6">
        <f>OBRA!Q381</f>
        <v>43699</v>
      </c>
      <c r="S383" s="1327" t="str">
        <f>OBRA!T381</f>
        <v>-</v>
      </c>
      <c r="T383" s="5">
        <f>OBRA!R381</f>
        <v>43699</v>
      </c>
      <c r="U383" s="12">
        <f>OBRA!S381</f>
        <v>43821</v>
      </c>
      <c r="V383" s="1204" t="s">
        <v>1431</v>
      </c>
      <c r="W383" s="1199">
        <f>OBRA!AQ381+OBRA!AR381</f>
        <v>0</v>
      </c>
      <c r="X383" s="1235" t="s">
        <v>1431</v>
      </c>
      <c r="Y383" s="650" t="str">
        <f>OBRA!U381</f>
        <v>C. VICENTE NAVARRO RUIZ</v>
      </c>
      <c r="Z383" s="650" t="s">
        <v>5822</v>
      </c>
      <c r="AA383" s="652" t="str">
        <f>Y383</f>
        <v>C. VICENTE NAVARRO RUIZ</v>
      </c>
      <c r="AB383" s="675" t="s">
        <v>2999</v>
      </c>
      <c r="AC383" s="650" t="s">
        <v>2999</v>
      </c>
      <c r="AD383" s="200" t="str">
        <f>OBRA!V381</f>
        <v>-</v>
      </c>
      <c r="AE383" s="174" t="s">
        <v>1177</v>
      </c>
      <c r="AF383" s="202" t="s">
        <v>1177</v>
      </c>
      <c r="AG383" s="653" t="s">
        <v>68</v>
      </c>
      <c r="AH383" s="202" t="s">
        <v>1177</v>
      </c>
      <c r="AI383" s="566" t="s">
        <v>1177</v>
      </c>
      <c r="AJ383" s="566"/>
      <c r="AK383" s="1802"/>
      <c r="AL383" s="1803"/>
      <c r="AM383" s="1429"/>
      <c r="AN383" s="1136" t="s">
        <v>68</v>
      </c>
      <c r="AO383" s="1136" t="s">
        <v>68</v>
      </c>
      <c r="AP383" s="1333" t="s">
        <v>68</v>
      </c>
      <c r="AQ383" s="1144" t="s">
        <v>68</v>
      </c>
      <c r="AR383" s="566" t="s">
        <v>68</v>
      </c>
      <c r="AS383" s="566" t="s">
        <v>68</v>
      </c>
      <c r="AT383" s="566" t="s">
        <v>68</v>
      </c>
      <c r="AU383" s="566" t="s">
        <v>68</v>
      </c>
      <c r="AV383" s="35"/>
      <c r="AW383" s="13"/>
    </row>
    <row r="384" spans="1:49" ht="108.75" hidden="1" customHeight="1">
      <c r="A384" s="17">
        <f>OBRA!I382</f>
        <v>2019</v>
      </c>
      <c r="B384" s="895" t="s">
        <v>2098</v>
      </c>
      <c r="C384" s="896">
        <v>195.1</v>
      </c>
      <c r="D384" s="896"/>
      <c r="E384" s="2" t="str">
        <f>OBRA!K382</f>
        <v>RAMO 33</v>
      </c>
      <c r="F384" s="19" t="s">
        <v>1431</v>
      </c>
      <c r="G384" s="249" t="s">
        <v>2900</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2699</v>
      </c>
      <c r="N384" s="510" t="s">
        <v>3533</v>
      </c>
      <c r="O384" s="4">
        <f>OBRA!P382</f>
        <v>250096</v>
      </c>
      <c r="P384" s="1208">
        <f t="shared" si="20"/>
        <v>215600.00000000003</v>
      </c>
      <c r="Q384" s="85" t="s">
        <v>68</v>
      </c>
      <c r="R384" s="6">
        <f>OBRA!Q382</f>
        <v>43637</v>
      </c>
      <c r="S384" s="1327" t="str">
        <f>OBRA!T382</f>
        <v>-</v>
      </c>
      <c r="T384" s="5">
        <f>OBRA!R382</f>
        <v>43640</v>
      </c>
      <c r="U384" s="12">
        <f>OBRA!S382</f>
        <v>43830</v>
      </c>
      <c r="V384" s="1204" t="s">
        <v>1431</v>
      </c>
      <c r="W384" s="1199">
        <f>OBRA!AQ382+OBRA!AR382</f>
        <v>0</v>
      </c>
      <c r="X384" s="1235" t="s">
        <v>1431</v>
      </c>
      <c r="Y384" s="650" t="str">
        <f>OBRA!U382</f>
        <v>CONSTRUCTORA PIMONT S.A. DE C.V.</v>
      </c>
      <c r="Z384" s="650" t="s">
        <v>5823</v>
      </c>
      <c r="AA384" s="652" t="s">
        <v>1837</v>
      </c>
      <c r="AB384" s="652" t="s">
        <v>2147</v>
      </c>
      <c r="AC384" s="650" t="s">
        <v>2794</v>
      </c>
      <c r="AD384" s="200" t="str">
        <f>OBRA!V382</f>
        <v>-</v>
      </c>
      <c r="AE384" s="174" t="s">
        <v>1177</v>
      </c>
      <c r="AF384" s="202" t="s">
        <v>1177</v>
      </c>
      <c r="AG384" s="653" t="s">
        <v>1177</v>
      </c>
      <c r="AH384" s="202" t="s">
        <v>1177</v>
      </c>
      <c r="AI384" s="566" t="s">
        <v>1177</v>
      </c>
      <c r="AJ384" s="566"/>
      <c r="AK384" s="1802"/>
      <c r="AL384" s="1803"/>
      <c r="AM384" s="1136" t="s">
        <v>68</v>
      </c>
      <c r="AN384" s="1136" t="s">
        <v>68</v>
      </c>
      <c r="AO384" s="1136" t="s">
        <v>68</v>
      </c>
      <c r="AP384" s="1333" t="s">
        <v>68</v>
      </c>
      <c r="AQ384" s="1144" t="s">
        <v>68</v>
      </c>
      <c r="AR384" s="566" t="s">
        <v>68</v>
      </c>
      <c r="AS384" s="566" t="s">
        <v>68</v>
      </c>
      <c r="AT384" s="566" t="s">
        <v>68</v>
      </c>
      <c r="AU384" s="566" t="s">
        <v>68</v>
      </c>
      <c r="AV384" s="35" t="s">
        <v>551</v>
      </c>
      <c r="AW384" s="13"/>
    </row>
    <row r="385" spans="1:49" ht="202.5" hidden="1" customHeight="1">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2560</v>
      </c>
      <c r="N385" s="510" t="s">
        <v>3535</v>
      </c>
      <c r="O385" s="4">
        <f>OBRA!P383</f>
        <v>731445.69</v>
      </c>
      <c r="P385" s="1208">
        <f t="shared" si="20"/>
        <v>630556.62931034481</v>
      </c>
      <c r="Q385" s="1208"/>
      <c r="R385" s="6">
        <f>OBRA!Q383</f>
        <v>43529</v>
      </c>
      <c r="S385" s="1327">
        <f>OBRA!T383</f>
        <v>43621</v>
      </c>
      <c r="T385" s="5">
        <f>OBRA!R383</f>
        <v>43530</v>
      </c>
      <c r="U385" s="12">
        <f>OBRA!S383</f>
        <v>43616</v>
      </c>
      <c r="V385" s="1204" t="s">
        <v>1431</v>
      </c>
      <c r="W385" s="1198">
        <f>OBRA!AQ383+OBRA!AR383</f>
        <v>726896.94</v>
      </c>
      <c r="X385" s="1240" t="s">
        <v>2806</v>
      </c>
      <c r="Y385" s="1239" t="str">
        <f>OBRA!U383</f>
        <v>CONSTRUCTORA PIMONT S.A. DE C.V.</v>
      </c>
      <c r="Z385" s="2060" t="s">
        <v>5823</v>
      </c>
      <c r="AA385" s="640" t="s">
        <v>1837</v>
      </c>
      <c r="AB385" s="640" t="s">
        <v>2147</v>
      </c>
      <c r="AC385" s="650" t="s">
        <v>2794</v>
      </c>
      <c r="AD385" s="198" t="str">
        <f>OBRA!V383</f>
        <v>ING. J. GUADALUPE IBARRA RAMIREZ</v>
      </c>
      <c r="AE385" s="174">
        <v>100.55</v>
      </c>
      <c r="AF385" s="202" t="s">
        <v>1454</v>
      </c>
      <c r="AG385" s="694">
        <f t="shared" ref="AG385:AG423" si="24">W385/AE385</f>
        <v>7229.2087518647431</v>
      </c>
      <c r="AH385" s="560"/>
      <c r="AI385" s="566">
        <v>7800</v>
      </c>
      <c r="AJ385" s="566"/>
      <c r="AK385" s="1802"/>
      <c r="AL385" s="1803"/>
      <c r="AM385" s="1452" t="s">
        <v>3736</v>
      </c>
      <c r="AN385" s="1452" t="s">
        <v>3736</v>
      </c>
      <c r="AO385" s="1452" t="s">
        <v>3736</v>
      </c>
      <c r="AP385" s="1523" t="s">
        <v>3736</v>
      </c>
      <c r="AQ385" s="1524" t="s">
        <v>3736</v>
      </c>
      <c r="AR385" s="1139" t="s">
        <v>551</v>
      </c>
      <c r="AS385" s="1139" t="s">
        <v>551</v>
      </c>
      <c r="AT385" s="1139" t="s">
        <v>68</v>
      </c>
      <c r="AU385" s="1141"/>
      <c r="AV385" s="35" t="s">
        <v>551</v>
      </c>
      <c r="AW385" s="13"/>
    </row>
    <row r="386" spans="1:49" ht="95.25" hidden="1" customHeight="1">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3535</v>
      </c>
      <c r="O386" s="4">
        <f>OBRA!P384</f>
        <v>140710.85999999999</v>
      </c>
      <c r="P386" s="1208">
        <f t="shared" si="20"/>
        <v>121302.46551724138</v>
      </c>
      <c r="Q386" s="1208"/>
      <c r="R386" s="6">
        <f>OBRA!Q384</f>
        <v>43592</v>
      </c>
      <c r="S386" s="1327">
        <f>OBRA!T384</f>
        <v>43591</v>
      </c>
      <c r="T386" s="5">
        <f>OBRA!R384</f>
        <v>43593</v>
      </c>
      <c r="U386" s="12">
        <f>OBRA!S384</f>
        <v>43624</v>
      </c>
      <c r="V386" s="1204" t="s">
        <v>1431</v>
      </c>
      <c r="W386" s="305">
        <f>OBRA!AQ384+OBRA!AR384</f>
        <v>140099.94</v>
      </c>
      <c r="X386" s="1295" t="s">
        <v>2914</v>
      </c>
      <c r="Y386" s="639" t="str">
        <f>OBRA!U384</f>
        <v>CONSTRUCTORA PIMONT S.A. DE C.V.</v>
      </c>
      <c r="Z386" s="639" t="s">
        <v>5823</v>
      </c>
      <c r="AA386" s="640" t="s">
        <v>1837</v>
      </c>
      <c r="AB386" s="640" t="s">
        <v>2147</v>
      </c>
      <c r="AC386" s="650" t="s">
        <v>2794</v>
      </c>
      <c r="AD386" s="198" t="str">
        <f>OBRA!V384</f>
        <v>LIC. SALVADOR CONTRERAS OLGUÍN</v>
      </c>
      <c r="AE386" s="174">
        <v>295.60000000000002</v>
      </c>
      <c r="AF386" s="202" t="s">
        <v>1552</v>
      </c>
      <c r="AG386" s="1049">
        <f t="shared" si="24"/>
        <v>473.95108254397832</v>
      </c>
      <c r="AH386" s="2">
        <v>21500</v>
      </c>
      <c r="AI386" s="566">
        <v>21500</v>
      </c>
      <c r="AJ386" s="566"/>
      <c r="AK386" s="1802"/>
      <c r="AL386" s="1803"/>
      <c r="AM386" s="1452" t="s">
        <v>3737</v>
      </c>
      <c r="AN386" s="1452" t="s">
        <v>3737</v>
      </c>
      <c r="AO386" s="1452" t="s">
        <v>3737</v>
      </c>
      <c r="AP386" s="1523" t="s">
        <v>3737</v>
      </c>
      <c r="AQ386" s="1524" t="s">
        <v>3737</v>
      </c>
      <c r="AR386" s="1139" t="s">
        <v>551</v>
      </c>
      <c r="AS386" s="1139" t="s">
        <v>551</v>
      </c>
      <c r="AT386" s="1139" t="s">
        <v>68</v>
      </c>
      <c r="AU386" s="1141"/>
      <c r="AV386" s="35" t="s">
        <v>551</v>
      </c>
      <c r="AW386" s="13"/>
    </row>
    <row r="387" spans="1:49" ht="193.5" hidden="1" customHeight="1">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2560</v>
      </c>
      <c r="N387" s="510" t="s">
        <v>3535</v>
      </c>
      <c r="O387" s="4">
        <f>OBRA!P385</f>
        <v>400650.13</v>
      </c>
      <c r="P387" s="1208">
        <f t="shared" si="20"/>
        <v>345388.04310344829</v>
      </c>
      <c r="Q387" s="1208"/>
      <c r="R387" s="6">
        <f>OBRA!Q385</f>
        <v>43609</v>
      </c>
      <c r="S387" s="1327">
        <f>OBRA!T385</f>
        <v>43608</v>
      </c>
      <c r="T387" s="5">
        <f>OBRA!R385</f>
        <v>43612</v>
      </c>
      <c r="U387" s="12">
        <f>OBRA!S385</f>
        <v>43629</v>
      </c>
      <c r="V387" s="1204" t="s">
        <v>1431</v>
      </c>
      <c r="W387" s="1198">
        <f>OBRA!AQ385+OBRA!AR385</f>
        <v>398930.6</v>
      </c>
      <c r="X387" s="1298" t="s">
        <v>2915</v>
      </c>
      <c r="Y387" s="650" t="str">
        <f>OBRA!U385</f>
        <v>ARQUITECTURA INGENIERÍA MENDPAD S.A. DE C.V.</v>
      </c>
      <c r="Z387" s="650" t="s">
        <v>5823</v>
      </c>
      <c r="AA387" s="652" t="s">
        <v>3825</v>
      </c>
      <c r="AB387" s="652" t="s">
        <v>2153</v>
      </c>
      <c r="AC387" s="650" t="s">
        <v>2798</v>
      </c>
      <c r="AD387" s="198" t="str">
        <f>OBRA!V385</f>
        <v>LIC. SALVADOR CONTRERAS OLGUÍN</v>
      </c>
      <c r="AE387" s="174">
        <v>138</v>
      </c>
      <c r="AF387" s="202" t="s">
        <v>1454</v>
      </c>
      <c r="AG387" s="694">
        <f t="shared" si="24"/>
        <v>2890.8014492753623</v>
      </c>
      <c r="AH387" s="202">
        <v>150</v>
      </c>
      <c r="AI387" s="556"/>
      <c r="AJ387" s="556"/>
      <c r="AK387" s="721"/>
      <c r="AL387" s="1806"/>
      <c r="AM387" s="1452" t="s">
        <v>3738</v>
      </c>
      <c r="AN387" s="1452" t="s">
        <v>3738</v>
      </c>
      <c r="AO387" s="1452" t="s">
        <v>3738</v>
      </c>
      <c r="AP387" s="1523" t="s">
        <v>3738</v>
      </c>
      <c r="AQ387" s="1524" t="s">
        <v>3738</v>
      </c>
      <c r="AR387" s="1139" t="s">
        <v>551</v>
      </c>
      <c r="AS387" s="1139" t="s">
        <v>551</v>
      </c>
      <c r="AT387" s="1139" t="s">
        <v>68</v>
      </c>
      <c r="AU387" s="1141"/>
      <c r="AV387" s="35" t="s">
        <v>551</v>
      </c>
      <c r="AW387" s="13"/>
    </row>
    <row r="388" spans="1:49" ht="96" hidden="1" customHeight="1">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2574</v>
      </c>
      <c r="N388" s="510" t="s">
        <v>3535</v>
      </c>
      <c r="O388" s="4">
        <f>OBRA!P386</f>
        <v>149018.54</v>
      </c>
      <c r="P388" s="1208">
        <f t="shared" si="20"/>
        <v>128464.25862068967</v>
      </c>
      <c r="Q388" s="1208"/>
      <c r="R388" s="6">
        <f>OBRA!Q386</f>
        <v>43609</v>
      </c>
      <c r="S388" s="1327">
        <f>OBRA!T386</f>
        <v>43608</v>
      </c>
      <c r="T388" s="5">
        <f>OBRA!R386</f>
        <v>43612</v>
      </c>
      <c r="U388" s="12">
        <f>OBRA!S386</f>
        <v>43626</v>
      </c>
      <c r="V388" s="1204" t="s">
        <v>1431</v>
      </c>
      <c r="W388" s="1198">
        <f>OBRA!AQ386+OBRA!AR386</f>
        <v>148378.85</v>
      </c>
      <c r="X388" s="1235" t="s">
        <v>2807</v>
      </c>
      <c r="Y388" s="639" t="str">
        <f>OBRA!U386</f>
        <v>CONSTRUCTORA PIMONT S.A. DE C.V.</v>
      </c>
      <c r="Z388" s="639" t="s">
        <v>5823</v>
      </c>
      <c r="AA388" s="640" t="s">
        <v>1837</v>
      </c>
      <c r="AB388" s="640" t="s">
        <v>2147</v>
      </c>
      <c r="AC388" s="650" t="s">
        <v>2794</v>
      </c>
      <c r="AD388" s="198" t="str">
        <f>OBRA!V386</f>
        <v>LIC. SALVADOR CONTRERAS OLGUÍN</v>
      </c>
      <c r="AE388" s="174">
        <v>240</v>
      </c>
      <c r="AF388" s="202" t="s">
        <v>1552</v>
      </c>
      <c r="AG388" s="694">
        <f t="shared" si="24"/>
        <v>618.24520833333338</v>
      </c>
      <c r="AH388" s="560"/>
      <c r="AI388" s="566">
        <v>2000</v>
      </c>
      <c r="AJ388" s="566"/>
      <c r="AK388" s="1802"/>
      <c r="AL388" s="1803"/>
      <c r="AM388" s="1452" t="s">
        <v>3739</v>
      </c>
      <c r="AN388" s="1452" t="s">
        <v>3739</v>
      </c>
      <c r="AO388" s="1452" t="s">
        <v>3739</v>
      </c>
      <c r="AP388" s="1523" t="s">
        <v>3739</v>
      </c>
      <c r="AQ388" s="1524" t="s">
        <v>3739</v>
      </c>
      <c r="AR388" s="1139" t="s">
        <v>551</v>
      </c>
      <c r="AS388" s="1139" t="s">
        <v>551</v>
      </c>
      <c r="AT388" s="1139" t="s">
        <v>68</v>
      </c>
      <c r="AU388" s="1141"/>
      <c r="AV388" s="35" t="s">
        <v>551</v>
      </c>
      <c r="AW388" s="13"/>
    </row>
    <row r="389" spans="1:49" ht="138.75" hidden="1" customHeight="1">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3535</v>
      </c>
      <c r="O389" s="4">
        <f>OBRA!P387</f>
        <v>603785.16</v>
      </c>
      <c r="P389" s="1208">
        <f t="shared" si="20"/>
        <v>520504.44827586215</v>
      </c>
      <c r="Q389" s="1208"/>
      <c r="R389" s="6">
        <f>OBRA!Q387</f>
        <v>43606</v>
      </c>
      <c r="S389" s="1327">
        <f>OBRA!T387</f>
        <v>43614</v>
      </c>
      <c r="T389" s="5">
        <f>OBRA!R387</f>
        <v>43608</v>
      </c>
      <c r="U389" s="12">
        <f>OBRA!S387</f>
        <v>43677</v>
      </c>
      <c r="V389" s="1204">
        <v>150946.29</v>
      </c>
      <c r="W389" s="1198">
        <f>OBRA!AQ387+OBRA!AR387</f>
        <v>554784.07999999996</v>
      </c>
      <c r="X389" s="1235" t="s">
        <v>2808</v>
      </c>
      <c r="Y389" s="639" t="str">
        <f>OBRA!U387</f>
        <v>SIFRAL INGENIERIA S.A. DE C.V.</v>
      </c>
      <c r="Z389" s="639" t="s">
        <v>5823</v>
      </c>
      <c r="AA389" s="640" t="s">
        <v>2159</v>
      </c>
      <c r="AB389" s="640" t="s">
        <v>2160</v>
      </c>
      <c r="AC389" s="650" t="s">
        <v>2803</v>
      </c>
      <c r="AD389" s="200" t="str">
        <f>OBRA!V387</f>
        <v>ING. J. GUADALUPE IBARRA RAMIREZ</v>
      </c>
      <c r="AE389" s="174">
        <v>98.47</v>
      </c>
      <c r="AF389" s="202" t="s">
        <v>1454</v>
      </c>
      <c r="AG389" s="694">
        <f t="shared" si="24"/>
        <v>5634.0416370468156</v>
      </c>
      <c r="AH389" s="2">
        <v>160</v>
      </c>
      <c r="AI389" s="566">
        <v>1200</v>
      </c>
      <c r="AJ389" s="566"/>
      <c r="AK389" s="1802"/>
      <c r="AL389" s="1803"/>
      <c r="AM389" s="1452" t="s">
        <v>3740</v>
      </c>
      <c r="AN389" s="1452" t="s">
        <v>3740</v>
      </c>
      <c r="AO389" s="1452" t="s">
        <v>3740</v>
      </c>
      <c r="AP389" s="1523" t="s">
        <v>3740</v>
      </c>
      <c r="AQ389" s="1531" t="s">
        <v>3740</v>
      </c>
      <c r="AR389" s="1139" t="s">
        <v>551</v>
      </c>
      <c r="AS389" s="1139" t="s">
        <v>551</v>
      </c>
      <c r="AT389" s="1139" t="s">
        <v>68</v>
      </c>
      <c r="AU389" s="1142"/>
      <c r="AV389" s="35" t="s">
        <v>551</v>
      </c>
      <c r="AW389" s="13"/>
    </row>
    <row r="390" spans="1:49" ht="160.5" hidden="1" customHeight="1">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3535</v>
      </c>
      <c r="O390" s="4">
        <f>OBRA!P388</f>
        <v>619003.23</v>
      </c>
      <c r="P390" s="1208">
        <f t="shared" si="20"/>
        <v>533623.47413793101</v>
      </c>
      <c r="Q390" s="1208"/>
      <c r="R390" s="6">
        <f>OBRA!Q388</f>
        <v>43606</v>
      </c>
      <c r="S390" s="1327">
        <f>OBRA!T388</f>
        <v>43614</v>
      </c>
      <c r="T390" s="5">
        <f>OBRA!R388</f>
        <v>43608</v>
      </c>
      <c r="U390" s="12">
        <f>OBRA!S388</f>
        <v>43677</v>
      </c>
      <c r="V390" s="1204">
        <v>154750.79999999999</v>
      </c>
      <c r="W390" s="1198">
        <f>OBRA!AQ388+OBRA!AR388</f>
        <v>569953.75</v>
      </c>
      <c r="X390" s="1235" t="s">
        <v>2809</v>
      </c>
      <c r="Y390" s="639" t="str">
        <f>OBRA!U388</f>
        <v>SIFRAL INGENIERIA S.A. DE C.V.</v>
      </c>
      <c r="Z390" s="639" t="s">
        <v>5823</v>
      </c>
      <c r="AA390" s="640" t="s">
        <v>2159</v>
      </c>
      <c r="AB390" s="640" t="s">
        <v>2160</v>
      </c>
      <c r="AC390" s="650" t="s">
        <v>2803</v>
      </c>
      <c r="AD390" s="200" t="str">
        <f>OBRA!V388</f>
        <v>ING. J. GUADALUPE IBARRA RAMIREZ</v>
      </c>
      <c r="AE390" s="174">
        <v>104.3</v>
      </c>
      <c r="AF390" s="202" t="s">
        <v>1454</v>
      </c>
      <c r="AG390" s="694">
        <f t="shared" si="24"/>
        <v>5464.5613614573349</v>
      </c>
      <c r="AH390" s="2">
        <v>160</v>
      </c>
      <c r="AI390" s="563">
        <v>1200</v>
      </c>
      <c r="AJ390" s="563"/>
      <c r="AK390" s="1807"/>
      <c r="AL390" s="1808"/>
      <c r="AM390" s="1452" t="s">
        <v>3741</v>
      </c>
      <c r="AN390" s="1452" t="s">
        <v>3741</v>
      </c>
      <c r="AO390" s="1452" t="s">
        <v>3741</v>
      </c>
      <c r="AP390" s="1523" t="s">
        <v>3741</v>
      </c>
      <c r="AQ390" s="1531" t="s">
        <v>3741</v>
      </c>
      <c r="AR390" s="1139" t="s">
        <v>551</v>
      </c>
      <c r="AS390" s="1139" t="s">
        <v>551</v>
      </c>
      <c r="AT390" s="1139" t="s">
        <v>68</v>
      </c>
      <c r="AU390" s="1142"/>
      <c r="AV390" s="35" t="s">
        <v>551</v>
      </c>
      <c r="AW390" s="13"/>
    </row>
    <row r="391" spans="1:49" ht="86.25" hidden="1" customHeight="1">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2560</v>
      </c>
      <c r="N391" s="510" t="s">
        <v>3535</v>
      </c>
      <c r="O391" s="4">
        <f>OBRA!P389</f>
        <v>949742.46</v>
      </c>
      <c r="P391" s="1208">
        <f t="shared" si="20"/>
        <v>818743.5</v>
      </c>
      <c r="Q391" s="1208"/>
      <c r="R391" s="6">
        <f>OBRA!Q389</f>
        <v>43606</v>
      </c>
      <c r="S391" s="1327">
        <f>OBRA!T389</f>
        <v>43605</v>
      </c>
      <c r="T391" s="5">
        <f>OBRA!R389</f>
        <v>43612</v>
      </c>
      <c r="U391" s="12">
        <f>OBRA!S389</f>
        <v>43643</v>
      </c>
      <c r="V391" s="1204">
        <v>237435.62</v>
      </c>
      <c r="W391" s="1198">
        <f>OBRA!AQ389+OBRA!AR389</f>
        <v>949738.6</v>
      </c>
      <c r="X391" s="1235" t="s">
        <v>2810</v>
      </c>
      <c r="Y391" s="650" t="str">
        <f>OBRA!U389</f>
        <v>ING. OCTAVIO AUGUSTO GONZALEZ TREJO</v>
      </c>
      <c r="Z391" s="650" t="s">
        <v>5822</v>
      </c>
      <c r="AA391" s="652" t="str">
        <f>Y391</f>
        <v>ING. OCTAVIO AUGUSTO GONZALEZ TREJO</v>
      </c>
      <c r="AB391" s="675" t="s">
        <v>2999</v>
      </c>
      <c r="AC391" s="650" t="s">
        <v>2999</v>
      </c>
      <c r="AD391" s="200" t="str">
        <f>OBRA!V389</f>
        <v>LIC. SALVADOR CONTRERAS OLGUÍN</v>
      </c>
      <c r="AE391" s="174">
        <v>1050</v>
      </c>
      <c r="AF391" s="202" t="s">
        <v>1552</v>
      </c>
      <c r="AG391" s="694">
        <f t="shared" si="24"/>
        <v>904.51295238095236</v>
      </c>
      <c r="AH391" s="202">
        <v>1200</v>
      </c>
      <c r="AI391" s="556"/>
      <c r="AJ391" s="556"/>
      <c r="AK391" s="721"/>
      <c r="AL391" s="1806"/>
      <c r="AM391" s="1452" t="s">
        <v>3742</v>
      </c>
      <c r="AN391" s="1452" t="s">
        <v>3742</v>
      </c>
      <c r="AO391" s="1452" t="s">
        <v>3742</v>
      </c>
      <c r="AP391" s="1523" t="s">
        <v>3742</v>
      </c>
      <c r="AQ391" s="1531" t="s">
        <v>3742</v>
      </c>
      <c r="AR391" s="1143"/>
      <c r="AS391" s="1139" t="s">
        <v>551</v>
      </c>
      <c r="AT391" s="1133" t="s">
        <v>68</v>
      </c>
      <c r="AU391" s="1143"/>
      <c r="AV391" s="35" t="s">
        <v>551</v>
      </c>
      <c r="AW391" s="13"/>
    </row>
    <row r="392" spans="1:49" ht="206.25" hidden="1" customHeight="1">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2542</v>
      </c>
      <c r="N392" s="510" t="s">
        <v>3535</v>
      </c>
      <c r="O392" s="4">
        <f>OBRA!P390</f>
        <v>643537.42000000004</v>
      </c>
      <c r="P392" s="1208">
        <f t="shared" si="20"/>
        <v>554773.63793103455</v>
      </c>
      <c r="Q392" s="1208"/>
      <c r="R392" s="6">
        <f>OBRA!Q390</f>
        <v>43606</v>
      </c>
      <c r="S392" s="1327">
        <f>OBRA!T390</f>
        <v>43605</v>
      </c>
      <c r="T392" s="5">
        <f>OBRA!R390</f>
        <v>43614</v>
      </c>
      <c r="U392" s="12">
        <f>OBRA!S390</f>
        <v>43675</v>
      </c>
      <c r="V392" s="1204">
        <v>160884.35999999999</v>
      </c>
      <c r="W392" s="1198">
        <f>OBRA!AQ390+OBRA!AR390</f>
        <v>707135.33</v>
      </c>
      <c r="X392" s="1235" t="s">
        <v>2811</v>
      </c>
      <c r="Y392" s="650" t="str">
        <f>OBRA!U390</f>
        <v>ING. OCTAVIO AUGUSTO GONZALEZ TREJO</v>
      </c>
      <c r="Z392" s="650" t="s">
        <v>5822</v>
      </c>
      <c r="AA392" s="652" t="str">
        <f>Y392</f>
        <v>ING. OCTAVIO AUGUSTO GONZALEZ TREJO</v>
      </c>
      <c r="AB392" s="675" t="s">
        <v>2999</v>
      </c>
      <c r="AC392" s="650" t="s">
        <v>2999</v>
      </c>
      <c r="AD392" s="200" t="str">
        <f>OBRA!V390</f>
        <v>ING. RIGOBERTO OLMEDO RAMOS</v>
      </c>
      <c r="AE392" s="174">
        <v>1</v>
      </c>
      <c r="AF392" s="202" t="s">
        <v>1577</v>
      </c>
      <c r="AG392" s="653">
        <f t="shared" si="24"/>
        <v>707135.33</v>
      </c>
      <c r="AH392" s="202">
        <v>1250</v>
      </c>
      <c r="AI392" s="566">
        <v>1250</v>
      </c>
      <c r="AJ392" s="566"/>
      <c r="AK392" s="1802"/>
      <c r="AL392" s="1803"/>
      <c r="AM392" s="1452" t="s">
        <v>3743</v>
      </c>
      <c r="AN392" s="1452" t="s">
        <v>3743</v>
      </c>
      <c r="AO392" s="1452" t="s">
        <v>3743</v>
      </c>
      <c r="AP392" s="1523" t="s">
        <v>3743</v>
      </c>
      <c r="AQ392" s="1531" t="s">
        <v>3743</v>
      </c>
      <c r="AR392" s="1139" t="s">
        <v>551</v>
      </c>
      <c r="AS392" s="1139" t="s">
        <v>551</v>
      </c>
      <c r="AT392" s="1139" t="s">
        <v>68</v>
      </c>
      <c r="AU392" s="1142"/>
      <c r="AV392" s="35" t="s">
        <v>551</v>
      </c>
      <c r="AW392" s="13"/>
    </row>
    <row r="393" spans="1:49" ht="78.75" hidden="1" customHeight="1">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3535</v>
      </c>
      <c r="O393" s="4">
        <f>OBRA!P391</f>
        <v>413006.4</v>
      </c>
      <c r="P393" s="1208">
        <f t="shared" si="20"/>
        <v>356040.00000000006</v>
      </c>
      <c r="Q393" s="1208"/>
      <c r="R393" s="69">
        <f>OBRA!Q391</f>
        <v>43607</v>
      </c>
      <c r="S393" s="1327">
        <f>OBRA!T391</f>
        <v>43607</v>
      </c>
      <c r="T393" s="5">
        <f>OBRA!R391</f>
        <v>43619</v>
      </c>
      <c r="U393" s="12">
        <f>OBRA!S391</f>
        <v>43645</v>
      </c>
      <c r="V393" s="1204" t="s">
        <v>1431</v>
      </c>
      <c r="W393" s="1198">
        <f>OBRA!AQ391+OBRA!AR391</f>
        <v>413006.4</v>
      </c>
      <c r="X393" s="1235" t="s">
        <v>2812</v>
      </c>
      <c r="Y393" s="650" t="str">
        <f>OBRA!U391</f>
        <v>ING. OCTAVIO AUGUSTO GONZALEZ TREJO</v>
      </c>
      <c r="Z393" s="650" t="s">
        <v>5822</v>
      </c>
      <c r="AA393" s="652" t="str">
        <f>Y393</f>
        <v>ING. OCTAVIO AUGUSTO GONZALEZ TREJO</v>
      </c>
      <c r="AB393" s="675" t="s">
        <v>2999</v>
      </c>
      <c r="AC393" s="650" t="s">
        <v>2999</v>
      </c>
      <c r="AD393" s="200" t="str">
        <f>OBRA!V391</f>
        <v>ING. JUAN MANUEL GARCIA ESCOTO</v>
      </c>
      <c r="AE393" s="174">
        <v>2000</v>
      </c>
      <c r="AF393" s="202" t="s">
        <v>1552</v>
      </c>
      <c r="AG393" s="694">
        <f t="shared" si="24"/>
        <v>206.50320000000002</v>
      </c>
      <c r="AH393" s="2">
        <v>21500</v>
      </c>
      <c r="AI393" s="563">
        <v>21500</v>
      </c>
      <c r="AJ393" s="563"/>
      <c r="AK393" s="1807"/>
      <c r="AL393" s="1808"/>
      <c r="AM393" s="1509" t="s">
        <v>3744</v>
      </c>
      <c r="AN393" s="1509" t="s">
        <v>3744</v>
      </c>
      <c r="AO393" s="1509" t="s">
        <v>3744</v>
      </c>
      <c r="AP393" s="1475" t="s">
        <v>3744</v>
      </c>
      <c r="AQ393" s="1531" t="s">
        <v>3744</v>
      </c>
      <c r="AR393" s="1139" t="s">
        <v>551</v>
      </c>
      <c r="AS393" s="1139" t="s">
        <v>551</v>
      </c>
      <c r="AT393" s="1139" t="s">
        <v>68</v>
      </c>
      <c r="AU393" s="1142"/>
      <c r="AV393" s="35" t="s">
        <v>551</v>
      </c>
      <c r="AW393" s="13"/>
    </row>
    <row r="394" spans="1:49" ht="210" hidden="1" customHeight="1">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3535</v>
      </c>
      <c r="O394" s="4">
        <f>OBRA!P392</f>
        <v>1649201.51</v>
      </c>
      <c r="P394" s="1208">
        <f t="shared" ref="P394:P457" si="25">O394/1.16</f>
        <v>1421725.4396551724</v>
      </c>
      <c r="Q394" s="1208"/>
      <c r="R394" s="69">
        <f>OBRA!Q392</f>
        <v>43637</v>
      </c>
      <c r="S394" s="1327">
        <f>OBRA!T392</f>
        <v>43607</v>
      </c>
      <c r="T394" s="5">
        <f>OBRA!R392</f>
        <v>43640</v>
      </c>
      <c r="U394" s="12">
        <f>OBRA!S392</f>
        <v>43707</v>
      </c>
      <c r="V394" s="1204" t="s">
        <v>1431</v>
      </c>
      <c r="W394" s="1198">
        <f>OBRA!AQ392+OBRA!AR392</f>
        <v>1661297.6</v>
      </c>
      <c r="X394" s="1235" t="s">
        <v>2813</v>
      </c>
      <c r="Y394" s="650" t="str">
        <f>OBRA!U392</f>
        <v>CONSTRUCTORA PIMONT S.A. DE C.V.</v>
      </c>
      <c r="Z394" s="650" t="s">
        <v>5823</v>
      </c>
      <c r="AA394" s="640" t="s">
        <v>1837</v>
      </c>
      <c r="AB394" s="652" t="s">
        <v>2147</v>
      </c>
      <c r="AC394" s="650" t="s">
        <v>2794</v>
      </c>
      <c r="AD394" s="200" t="str">
        <f>OBRA!V392</f>
        <v>ING. J. GUADALUPE IBARRA RAMIREZ</v>
      </c>
      <c r="AE394" s="174">
        <v>1</v>
      </c>
      <c r="AF394" s="202" t="s">
        <v>1577</v>
      </c>
      <c r="AG394" s="653">
        <f t="shared" si="24"/>
        <v>1661297.6</v>
      </c>
      <c r="AH394" s="2">
        <v>21500</v>
      </c>
      <c r="AI394" s="563">
        <v>21500</v>
      </c>
      <c r="AJ394" s="563"/>
      <c r="AK394" s="1807"/>
      <c r="AL394" s="1808"/>
      <c r="AM394" s="1532" t="s">
        <v>3745</v>
      </c>
      <c r="AN394" s="1532" t="s">
        <v>3745</v>
      </c>
      <c r="AO394" s="1532" t="s">
        <v>3745</v>
      </c>
      <c r="AP394" s="1523" t="s">
        <v>3745</v>
      </c>
      <c r="AQ394" s="1524" t="s">
        <v>3745</v>
      </c>
      <c r="AR394" s="1139" t="s">
        <v>551</v>
      </c>
      <c r="AS394" s="1139" t="s">
        <v>551</v>
      </c>
      <c r="AT394" s="1139" t="s">
        <v>68</v>
      </c>
      <c r="AU394" s="1142"/>
      <c r="AV394" s="35" t="s">
        <v>551</v>
      </c>
      <c r="AW394" s="13"/>
    </row>
    <row r="395" spans="1:49" ht="207.75" hidden="1" customHeight="1">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3536</v>
      </c>
      <c r="O395" s="4">
        <f>OBRA!P393</f>
        <v>643537.42000000004</v>
      </c>
      <c r="P395" s="1208">
        <f t="shared" si="25"/>
        <v>554773.63793103455</v>
      </c>
      <c r="Q395" s="1208"/>
      <c r="R395" s="6">
        <f>OBRA!Q393</f>
        <v>43705</v>
      </c>
      <c r="S395" s="1327">
        <f>OBRA!T393</f>
        <v>43704</v>
      </c>
      <c r="T395" s="5">
        <f>OBRA!R393</f>
        <v>43710</v>
      </c>
      <c r="U395" s="12">
        <f>OBRA!S393</f>
        <v>43785</v>
      </c>
      <c r="V395" s="1204">
        <v>22190.94</v>
      </c>
      <c r="W395" s="1198">
        <f>OBRA!AQ393+OBRA!AR393</f>
        <v>643537.42000000004</v>
      </c>
      <c r="X395" s="1296" t="s">
        <v>2814</v>
      </c>
      <c r="Y395" s="639" t="str">
        <f>OBRA!U393</f>
        <v xml:space="preserve">CONSTRUCTORA Y EDIFICACIONES REMI Y ASOCIADOS S.A. DE C.V. </v>
      </c>
      <c r="Z395" s="639" t="s">
        <v>5823</v>
      </c>
      <c r="AA395" s="640" t="s">
        <v>2170</v>
      </c>
      <c r="AB395" s="652" t="s">
        <v>2171</v>
      </c>
      <c r="AC395" s="650" t="s">
        <v>2804</v>
      </c>
      <c r="AD395" s="200" t="str">
        <f>OBRA!V393</f>
        <v>ING. RIGOBERTO OLMEDO RAMOS</v>
      </c>
      <c r="AE395" s="174">
        <v>1</v>
      </c>
      <c r="AF395" s="202" t="s">
        <v>1577</v>
      </c>
      <c r="AG395" s="653">
        <f t="shared" si="24"/>
        <v>643537.42000000004</v>
      </c>
      <c r="AH395" s="202">
        <v>2400</v>
      </c>
      <c r="AI395" s="566">
        <v>2400</v>
      </c>
      <c r="AJ395" s="566"/>
      <c r="AK395" s="1802"/>
      <c r="AL395" s="1803"/>
      <c r="AM395" s="1533" t="s">
        <v>3746</v>
      </c>
      <c r="AN395" s="1451" t="s">
        <v>3746</v>
      </c>
      <c r="AO395" s="1451" t="s">
        <v>3746</v>
      </c>
      <c r="AP395" s="1475" t="s">
        <v>3746</v>
      </c>
      <c r="AQ395" s="1524" t="s">
        <v>3746</v>
      </c>
      <c r="AR395" s="1139" t="s">
        <v>551</v>
      </c>
      <c r="AS395" s="1139" t="s">
        <v>551</v>
      </c>
      <c r="AT395" s="1139" t="s">
        <v>68</v>
      </c>
      <c r="AU395" s="1142"/>
      <c r="AV395" s="35" t="s">
        <v>551</v>
      </c>
      <c r="AW395" s="13"/>
    </row>
    <row r="396" spans="1:49" s="110" customFormat="1" ht="51" hidden="1" customHeight="1">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5"/>
        <v>0</v>
      </c>
      <c r="Q396" s="1208"/>
      <c r="R396" s="93">
        <f>OBRA!Q394</f>
        <v>0</v>
      </c>
      <c r="S396" s="1327">
        <f>OBRA!T394</f>
        <v>0</v>
      </c>
      <c r="T396" s="94">
        <f>OBRA!R394</f>
        <v>0</v>
      </c>
      <c r="U396" s="95">
        <f>OBRA!S394</f>
        <v>0</v>
      </c>
      <c r="V396" s="1204" t="s">
        <v>68</v>
      </c>
      <c r="W396" s="1354">
        <f>OBRA!AQ394+OBRA!AR394</f>
        <v>0</v>
      </c>
      <c r="X396" s="1200" t="s">
        <v>68</v>
      </c>
      <c r="Y396" s="935">
        <f>OBRA!U394</f>
        <v>0</v>
      </c>
      <c r="Z396" s="935" t="s">
        <v>68</v>
      </c>
      <c r="AA396" s="460" t="s">
        <v>68</v>
      </c>
      <c r="AB396" s="935" t="s">
        <v>68</v>
      </c>
      <c r="AC396" s="935" t="s">
        <v>68</v>
      </c>
      <c r="AD396" s="199">
        <f>OBRA!V394</f>
        <v>0</v>
      </c>
      <c r="AE396" s="90"/>
      <c r="AF396" s="91"/>
      <c r="AG396" s="936" t="e">
        <f t="shared" si="24"/>
        <v>#DIV/0!</v>
      </c>
      <c r="AH396" s="91"/>
      <c r="AI396" s="564"/>
      <c r="AJ396" s="564"/>
      <c r="AK396" s="1804"/>
      <c r="AL396" s="1805"/>
      <c r="AM396" s="631"/>
      <c r="AN396" s="942" t="s">
        <v>68</v>
      </c>
      <c r="AO396" s="942" t="s">
        <v>68</v>
      </c>
      <c r="AP396" s="462" t="s">
        <v>68</v>
      </c>
      <c r="AQ396" s="89" t="s">
        <v>68</v>
      </c>
      <c r="AR396" s="1194"/>
      <c r="AS396" s="1194"/>
      <c r="AT396" s="1160" t="s">
        <v>68</v>
      </c>
      <c r="AU396" s="1194"/>
      <c r="AV396" s="96"/>
      <c r="AW396" s="109"/>
    </row>
    <row r="397" spans="1:49" ht="84" hidden="1" customHeight="1">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2574</v>
      </c>
      <c r="N397" s="510" t="s">
        <v>3536</v>
      </c>
      <c r="O397" s="4">
        <f>OBRA!P395</f>
        <v>75313.95</v>
      </c>
      <c r="P397" s="1208">
        <f t="shared" si="25"/>
        <v>64925.818965517246</v>
      </c>
      <c r="Q397" s="1208"/>
      <c r="R397" s="6">
        <f>OBRA!Q395</f>
        <v>43626</v>
      </c>
      <c r="S397" s="1327">
        <f>OBRA!T395</f>
        <v>43608</v>
      </c>
      <c r="T397" s="5">
        <f>OBRA!R395</f>
        <v>43627</v>
      </c>
      <c r="U397" s="12">
        <f>OBRA!S395</f>
        <v>43637</v>
      </c>
      <c r="V397" s="1204" t="s">
        <v>1431</v>
      </c>
      <c r="W397" s="1198">
        <f>OBRA!AQ395+OBRA!AR395</f>
        <v>74990.720000000001</v>
      </c>
      <c r="X397" s="1235" t="s">
        <v>2815</v>
      </c>
      <c r="Y397" s="639" t="str">
        <f>OBRA!U395</f>
        <v>CONSTRUCTORA PIMONT S.A. DE C.V.</v>
      </c>
      <c r="Z397" s="639" t="s">
        <v>5823</v>
      </c>
      <c r="AA397" s="640" t="s">
        <v>1837</v>
      </c>
      <c r="AB397" s="675" t="s">
        <v>2147</v>
      </c>
      <c r="AC397" s="650" t="s">
        <v>2794</v>
      </c>
      <c r="AD397" s="198" t="str">
        <f>OBRA!V395</f>
        <v>LIC. SALVADOR CONTRERAS OLGUÍN</v>
      </c>
      <c r="AE397" s="174">
        <v>216</v>
      </c>
      <c r="AF397" s="202" t="s">
        <v>1552</v>
      </c>
      <c r="AG397" s="694">
        <f t="shared" si="24"/>
        <v>347.17925925925925</v>
      </c>
      <c r="AH397" s="202">
        <v>50</v>
      </c>
      <c r="AI397" s="556"/>
      <c r="AJ397" s="556"/>
      <c r="AK397" s="721"/>
      <c r="AL397" s="1806"/>
      <c r="AM397" s="1532" t="s">
        <v>3747</v>
      </c>
      <c r="AN397" s="1532" t="s">
        <v>3747</v>
      </c>
      <c r="AO397" s="1532" t="s">
        <v>3747</v>
      </c>
      <c r="AP397" s="1532" t="s">
        <v>3747</v>
      </c>
      <c r="AQ397" s="1531" t="s">
        <v>3747</v>
      </c>
      <c r="AR397" s="1143"/>
      <c r="AS397" s="1143"/>
      <c r="AT397" s="1133" t="s">
        <v>68</v>
      </c>
      <c r="AU397" s="1143"/>
      <c r="AV397" s="35" t="s">
        <v>551</v>
      </c>
      <c r="AW397" s="13"/>
    </row>
    <row r="398" spans="1:49" ht="64.5" hidden="1" customHeight="1">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2916</v>
      </c>
      <c r="L398" s="328" t="s">
        <v>2174</v>
      </c>
      <c r="M398" s="328" t="s">
        <v>2574</v>
      </c>
      <c r="N398" s="510" t="s">
        <v>3536</v>
      </c>
      <c r="O398" s="4">
        <f>OBRA!P396</f>
        <v>179219.86</v>
      </c>
      <c r="P398" s="1208">
        <f t="shared" si="25"/>
        <v>154499.87931034484</v>
      </c>
      <c r="Q398" s="1208"/>
      <c r="R398" s="6">
        <f>OBRA!Q396</f>
        <v>43670</v>
      </c>
      <c r="S398" s="1327">
        <f>OBRA!T396</f>
        <v>43669</v>
      </c>
      <c r="T398" s="5">
        <f>OBRA!R396</f>
        <v>43671</v>
      </c>
      <c r="U398" s="12">
        <f>OBRA!S396</f>
        <v>43687</v>
      </c>
      <c r="V398" s="1204" t="s">
        <v>1431</v>
      </c>
      <c r="W398" s="1198">
        <f>OBRA!AQ396+OBRA!AR396</f>
        <v>185760.77</v>
      </c>
      <c r="X398" s="1296" t="s">
        <v>2816</v>
      </c>
      <c r="Y398" s="639" t="str">
        <f>OBRA!U396</f>
        <v>INGENIERÍA ARQUITECTURA MENDPAD S.A. DE C.V.</v>
      </c>
      <c r="Z398" s="639" t="s">
        <v>5823</v>
      </c>
      <c r="AA398" s="640" t="s">
        <v>2175</v>
      </c>
      <c r="AB398" s="652" t="s">
        <v>2153</v>
      </c>
      <c r="AC398" s="650" t="s">
        <v>2798</v>
      </c>
      <c r="AD398" s="198" t="str">
        <f>OBRA!V396</f>
        <v>LIC. SALVADOR CONTRERAS OLGUÍN</v>
      </c>
      <c r="AE398" s="174">
        <v>265</v>
      </c>
      <c r="AF398" s="202" t="s">
        <v>1552</v>
      </c>
      <c r="AG398" s="694">
        <f t="shared" si="24"/>
        <v>700.98403773584903</v>
      </c>
      <c r="AH398" s="560"/>
      <c r="AI398" s="566">
        <v>2000</v>
      </c>
      <c r="AJ398" s="566"/>
      <c r="AK398" s="1802"/>
      <c r="AL398" s="1803"/>
      <c r="AM398" s="1452" t="s">
        <v>3749</v>
      </c>
      <c r="AN398" s="1435" t="s">
        <v>3749</v>
      </c>
      <c r="AO398" s="1435" t="s">
        <v>3749</v>
      </c>
      <c r="AP398" s="1509" t="s">
        <v>3749</v>
      </c>
      <c r="AQ398" s="1531" t="s">
        <v>3749</v>
      </c>
      <c r="AR398" s="1139" t="s">
        <v>551</v>
      </c>
      <c r="AS398" s="1139" t="s">
        <v>551</v>
      </c>
      <c r="AT398" s="1139" t="s">
        <v>68</v>
      </c>
      <c r="AU398" s="1142"/>
      <c r="AV398" s="35" t="s">
        <v>551</v>
      </c>
      <c r="AW398" s="13"/>
    </row>
    <row r="399" spans="1:49" ht="66" hidden="1" customHeight="1">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2560</v>
      </c>
      <c r="N399" s="510" t="s">
        <v>3536</v>
      </c>
      <c r="O399" s="4">
        <f>OBRA!P397</f>
        <v>77778.12</v>
      </c>
      <c r="P399" s="1208">
        <f t="shared" si="25"/>
        <v>67050.10344827587</v>
      </c>
      <c r="Q399" s="1208"/>
      <c r="R399" s="6">
        <f>OBRA!Q397</f>
        <v>43694</v>
      </c>
      <c r="S399" s="1327">
        <f>OBRA!T397</f>
        <v>43693</v>
      </c>
      <c r="T399" s="5">
        <f>OBRA!R397</f>
        <v>43703</v>
      </c>
      <c r="U399" s="12">
        <f>OBRA!S397</f>
        <v>43742</v>
      </c>
      <c r="V399" s="1204">
        <v>19444.53</v>
      </c>
      <c r="W399" s="1198">
        <f>OBRA!AQ397+OBRA!AR397</f>
        <v>74815.27</v>
      </c>
      <c r="X399" s="1235" t="s">
        <v>2817</v>
      </c>
      <c r="Y399" s="639" t="str">
        <f>OBRA!U397</f>
        <v>GALJACK ARQUITECTOS  Y CONSTRUCCIONES S.A. DE C.V.</v>
      </c>
      <c r="Z399" s="639" t="s">
        <v>5823</v>
      </c>
      <c r="AA399" s="640" t="s">
        <v>2178</v>
      </c>
      <c r="AB399" s="652" t="s">
        <v>2179</v>
      </c>
      <c r="AC399" s="650" t="s">
        <v>2805</v>
      </c>
      <c r="AD399" s="198" t="str">
        <f>OBRA!V397</f>
        <v>LIC. SALVADOR CONTRERAS OLGUÍN</v>
      </c>
      <c r="AE399" s="174">
        <v>75</v>
      </c>
      <c r="AF399" s="202" t="s">
        <v>1454</v>
      </c>
      <c r="AG399" s="694">
        <f t="shared" si="24"/>
        <v>997.53693333333342</v>
      </c>
      <c r="AH399" s="202">
        <v>100</v>
      </c>
      <c r="AI399" s="556"/>
      <c r="AJ399" s="556"/>
      <c r="AK399" s="721"/>
      <c r="AL399" s="1806"/>
      <c r="AM399" s="1452" t="s">
        <v>3750</v>
      </c>
      <c r="AN399" s="1452" t="s">
        <v>3750</v>
      </c>
      <c r="AO399" s="1452" t="s">
        <v>3750</v>
      </c>
      <c r="AP399" s="1532" t="s">
        <v>3750</v>
      </c>
      <c r="AQ399" s="1524" t="s">
        <v>3750</v>
      </c>
      <c r="AR399" s="1139" t="s">
        <v>551</v>
      </c>
      <c r="AS399" s="1139" t="s">
        <v>551</v>
      </c>
      <c r="AT399" s="1139" t="s">
        <v>68</v>
      </c>
      <c r="AU399" s="1142"/>
      <c r="AV399" s="35" t="s">
        <v>551</v>
      </c>
      <c r="AW399" s="13"/>
    </row>
    <row r="400" spans="1:49" ht="90.75" hidden="1" customHeight="1">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2560</v>
      </c>
      <c r="N400" s="510" t="s">
        <v>3536</v>
      </c>
      <c r="O400" s="4">
        <f>OBRA!P398</f>
        <v>108744.95</v>
      </c>
      <c r="P400" s="1208">
        <f t="shared" si="25"/>
        <v>93745.646551724145</v>
      </c>
      <c r="Q400" s="1208"/>
      <c r="R400" s="6">
        <f>OBRA!Q398</f>
        <v>43694</v>
      </c>
      <c r="S400" s="1327">
        <f>OBRA!T398</f>
        <v>43693</v>
      </c>
      <c r="T400" s="5">
        <f>OBRA!R398</f>
        <v>43703</v>
      </c>
      <c r="U400" s="12">
        <f>OBRA!S398</f>
        <v>43742</v>
      </c>
      <c r="V400" s="1204">
        <v>27186.240000000002</v>
      </c>
      <c r="W400" s="1198">
        <f>OBRA!AQ398+OBRA!AR398</f>
        <v>131515.03</v>
      </c>
      <c r="X400" s="1235" t="s">
        <v>2818</v>
      </c>
      <c r="Y400" s="639" t="str">
        <f>OBRA!U398</f>
        <v>GALJACK ARQUITECTOS S.A. DE C.V.</v>
      </c>
      <c r="Z400" s="639" t="s">
        <v>5823</v>
      </c>
      <c r="AA400" s="640" t="s">
        <v>2178</v>
      </c>
      <c r="AB400" s="652" t="s">
        <v>2179</v>
      </c>
      <c r="AC400" s="650" t="s">
        <v>2805</v>
      </c>
      <c r="AD400" s="198" t="str">
        <f>OBRA!V398</f>
        <v>LIC. SALVADOR CONTRERAS OLGUÍN</v>
      </c>
      <c r="AE400" s="174">
        <v>80</v>
      </c>
      <c r="AF400" s="202" t="s">
        <v>1454</v>
      </c>
      <c r="AG400" s="694">
        <f t="shared" si="24"/>
        <v>1643.9378750000001</v>
      </c>
      <c r="AH400" s="202">
        <v>100</v>
      </c>
      <c r="AI400" s="556"/>
      <c r="AJ400" s="556"/>
      <c r="AK400" s="721"/>
      <c r="AL400" s="1806"/>
      <c r="AM400" s="1452" t="s">
        <v>3751</v>
      </c>
      <c r="AN400" s="1452" t="s">
        <v>3751</v>
      </c>
      <c r="AO400" s="1452" t="s">
        <v>3751</v>
      </c>
      <c r="AP400" s="1532" t="s">
        <v>3751</v>
      </c>
      <c r="AQ400" s="1524" t="s">
        <v>3751</v>
      </c>
      <c r="AR400" s="1139" t="s">
        <v>551</v>
      </c>
      <c r="AS400" s="1139" t="s">
        <v>551</v>
      </c>
      <c r="AT400" s="1139" t="s">
        <v>68</v>
      </c>
      <c r="AU400" s="1142"/>
      <c r="AV400" s="35" t="s">
        <v>551</v>
      </c>
      <c r="AW400" s="13"/>
    </row>
    <row r="401" spans="1:50" ht="136.5" hidden="1" customHeight="1">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3536</v>
      </c>
      <c r="O401" s="4">
        <f>OBRA!P399</f>
        <v>983216.32</v>
      </c>
      <c r="P401" s="1208">
        <f t="shared" si="25"/>
        <v>847600.27586206899</v>
      </c>
      <c r="Q401" s="1208"/>
      <c r="R401" s="6">
        <f>OBRA!Q399</f>
        <v>43707</v>
      </c>
      <c r="S401" s="1327">
        <f>OBRA!T399</f>
        <v>43705</v>
      </c>
      <c r="T401" s="5">
        <f>OBRA!R399</f>
        <v>43710</v>
      </c>
      <c r="U401" s="12">
        <f>OBRA!S399</f>
        <v>43785</v>
      </c>
      <c r="V401" s="1204">
        <v>245804.08</v>
      </c>
      <c r="W401" s="1198">
        <f>OBRA!AQ399+OBRA!AR399</f>
        <v>997930.57</v>
      </c>
      <c r="X401" s="1213" t="s">
        <v>2182</v>
      </c>
      <c r="Y401" s="639" t="str">
        <f>OBRA!U399</f>
        <v>ALSERCON SA DE CV</v>
      </c>
      <c r="Z401" s="639" t="s">
        <v>5823</v>
      </c>
      <c r="AA401" s="640" t="s">
        <v>2183</v>
      </c>
      <c r="AB401" s="652" t="s">
        <v>2184</v>
      </c>
      <c r="AC401" s="650" t="s">
        <v>2797</v>
      </c>
      <c r="AD401" s="198" t="str">
        <f>OBRA!V399</f>
        <v>ING. J. GUADALUPE IBARRA RAMIREZ</v>
      </c>
      <c r="AE401" s="174">
        <v>193.9</v>
      </c>
      <c r="AF401" s="202" t="s">
        <v>1454</v>
      </c>
      <c r="AG401" s="694">
        <f t="shared" si="24"/>
        <v>5146.6249097472919</v>
      </c>
      <c r="AH401" s="202">
        <v>200</v>
      </c>
      <c r="AI401" s="566">
        <v>5000</v>
      </c>
      <c r="AJ401" s="566"/>
      <c r="AK401" s="1802"/>
      <c r="AL401" s="1803"/>
      <c r="AM401" s="1435" t="s">
        <v>3752</v>
      </c>
      <c r="AN401" s="1435" t="s">
        <v>3752</v>
      </c>
      <c r="AO401" s="1435" t="s">
        <v>3752</v>
      </c>
      <c r="AP401" s="1509" t="s">
        <v>3752</v>
      </c>
      <c r="AQ401" s="1531" t="s">
        <v>3752</v>
      </c>
      <c r="AR401" s="1139" t="s">
        <v>551</v>
      </c>
      <c r="AS401" s="1139" t="s">
        <v>551</v>
      </c>
      <c r="AT401" s="1139" t="s">
        <v>68</v>
      </c>
      <c r="AU401" s="1142"/>
      <c r="AV401" s="35" t="s">
        <v>551</v>
      </c>
      <c r="AW401" s="13"/>
    </row>
    <row r="402" spans="1:50" ht="161.25" hidden="1" customHeight="1">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3536</v>
      </c>
      <c r="O402" s="85">
        <f>OBRA!P400</f>
        <v>872749.01</v>
      </c>
      <c r="P402" s="1208">
        <f t="shared" si="25"/>
        <v>752369.83620689658</v>
      </c>
      <c r="Q402" s="1208"/>
      <c r="R402" s="69">
        <f>OBRA!Q400</f>
        <v>43707</v>
      </c>
      <c r="S402" s="1327">
        <f>OBRA!T400</f>
        <v>43705</v>
      </c>
      <c r="T402" s="255">
        <f>OBRA!R400</f>
        <v>43710</v>
      </c>
      <c r="U402" s="245">
        <f>OBRA!S400</f>
        <v>43785</v>
      </c>
      <c r="V402" s="1204">
        <v>218187.25</v>
      </c>
      <c r="W402" s="1198">
        <f>OBRA!AQ400+OBRA!AR400</f>
        <v>911481</v>
      </c>
      <c r="X402" s="1235" t="s">
        <v>2819</v>
      </c>
      <c r="Y402" s="639" t="str">
        <f>OBRA!U400</f>
        <v>ALSERCON SA DE CV</v>
      </c>
      <c r="Z402" s="639" t="s">
        <v>5823</v>
      </c>
      <c r="AA402" s="640" t="s">
        <v>2183</v>
      </c>
      <c r="AB402" s="652" t="s">
        <v>2184</v>
      </c>
      <c r="AC402" s="650" t="s">
        <v>2797</v>
      </c>
      <c r="AD402" s="198" t="str">
        <f>OBRA!V400</f>
        <v>ING. J. GUADALUPE IBARRA RAMIREZ</v>
      </c>
      <c r="AE402" s="174">
        <v>203.26</v>
      </c>
      <c r="AF402" s="202" t="s">
        <v>1454</v>
      </c>
      <c r="AG402" s="694">
        <f t="shared" si="24"/>
        <v>4484.3107350191876</v>
      </c>
      <c r="AH402" s="202">
        <v>200</v>
      </c>
      <c r="AI402" s="566">
        <v>5000</v>
      </c>
      <c r="AJ402" s="566"/>
      <c r="AK402" s="1802"/>
      <c r="AL402" s="1803"/>
      <c r="AM402" s="1452" t="s">
        <v>3753</v>
      </c>
      <c r="AN402" s="1435" t="s">
        <v>3753</v>
      </c>
      <c r="AO402" s="1435" t="s">
        <v>3753</v>
      </c>
      <c r="AP402" s="1509" t="s">
        <v>3753</v>
      </c>
      <c r="AQ402" s="1531" t="s">
        <v>3753</v>
      </c>
      <c r="AR402" s="1139" t="s">
        <v>551</v>
      </c>
      <c r="AS402" s="1139" t="s">
        <v>551</v>
      </c>
      <c r="AT402" s="1139" t="s">
        <v>68</v>
      </c>
      <c r="AU402" s="1142"/>
      <c r="AV402" s="35" t="s">
        <v>551</v>
      </c>
      <c r="AW402" s="13"/>
    </row>
    <row r="403" spans="1:50" ht="87.75" hidden="1" customHeight="1">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2560</v>
      </c>
      <c r="N403" s="510" t="s">
        <v>3536</v>
      </c>
      <c r="O403" s="85">
        <f>OBRA!P401</f>
        <v>99707.9</v>
      </c>
      <c r="P403" s="1208">
        <f t="shared" si="25"/>
        <v>85955.086206896551</v>
      </c>
      <c r="Q403" s="1208"/>
      <c r="R403" s="6">
        <f>OBRA!Q401</f>
        <v>43707</v>
      </c>
      <c r="S403" s="1327">
        <f>OBRA!T401</f>
        <v>43705</v>
      </c>
      <c r="T403" s="5">
        <f>OBRA!R401</f>
        <v>43710</v>
      </c>
      <c r="U403" s="12">
        <f>OBRA!S401</f>
        <v>43731</v>
      </c>
      <c r="V403" s="1204" t="s">
        <v>1431</v>
      </c>
      <c r="W403" s="1198">
        <f>OBRA!AQ401+OBRA!AR401</f>
        <v>99707.9</v>
      </c>
      <c r="X403" s="1296" t="s">
        <v>2820</v>
      </c>
      <c r="Y403" s="639" t="str">
        <f>OBRA!U401</f>
        <v>INGENIERÍA ARQUITECTURA MENDPAD S.A. DE C.V.</v>
      </c>
      <c r="Z403" s="639" t="s">
        <v>5823</v>
      </c>
      <c r="AA403" s="640" t="s">
        <v>2175</v>
      </c>
      <c r="AB403" s="652" t="s">
        <v>2153</v>
      </c>
      <c r="AC403" s="650" t="s">
        <v>2798</v>
      </c>
      <c r="AD403" s="198" t="str">
        <f>OBRA!V401</f>
        <v>LIC. SALVADOR CONTRERAS OLGUÍN</v>
      </c>
      <c r="AE403" s="174">
        <v>50</v>
      </c>
      <c r="AF403" s="202" t="s">
        <v>1454</v>
      </c>
      <c r="AG403" s="694">
        <f t="shared" si="24"/>
        <v>1994.1579999999999</v>
      </c>
      <c r="AH403" s="202">
        <v>80</v>
      </c>
      <c r="AI403" s="566">
        <v>80</v>
      </c>
      <c r="AJ403" s="566"/>
      <c r="AK403" s="1802"/>
      <c r="AL403" s="1803"/>
      <c r="AM403" s="1509" t="s">
        <v>3754</v>
      </c>
      <c r="AN403" s="1475" t="s">
        <v>3754</v>
      </c>
      <c r="AO403" s="1475" t="s">
        <v>3754</v>
      </c>
      <c r="AP403" s="1475" t="s">
        <v>3754</v>
      </c>
      <c r="AQ403" s="1531" t="s">
        <v>3754</v>
      </c>
      <c r="AR403" s="1139" t="s">
        <v>551</v>
      </c>
      <c r="AS403" s="1139" t="s">
        <v>551</v>
      </c>
      <c r="AT403" s="1139" t="s">
        <v>68</v>
      </c>
      <c r="AU403" s="1142"/>
      <c r="AV403" s="35" t="s">
        <v>551</v>
      </c>
      <c r="AW403" s="13"/>
    </row>
    <row r="404" spans="1:50" ht="110.25" hidden="1" customHeight="1">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2560</v>
      </c>
      <c r="N404" s="510" t="s">
        <v>3536</v>
      </c>
      <c r="O404" s="85">
        <f>OBRA!P402</f>
        <v>118188.71</v>
      </c>
      <c r="P404" s="1208">
        <f t="shared" si="25"/>
        <v>101886.81896551726</v>
      </c>
      <c r="Q404" s="1208"/>
      <c r="R404" s="6">
        <f>OBRA!Q402</f>
        <v>43707</v>
      </c>
      <c r="S404" s="1327">
        <f>OBRA!T402</f>
        <v>43705</v>
      </c>
      <c r="T404" s="5">
        <f>OBRA!R402</f>
        <v>43710</v>
      </c>
      <c r="U404" s="12">
        <f>OBRA!S402</f>
        <v>43731</v>
      </c>
      <c r="V404" s="1204" t="s">
        <v>1431</v>
      </c>
      <c r="W404" s="1198">
        <f>OBRA!AQ402+OBRA!AR402</f>
        <v>130875.44</v>
      </c>
      <c r="X404" s="1296" t="s">
        <v>2821</v>
      </c>
      <c r="Y404" s="639" t="s">
        <v>1302</v>
      </c>
      <c r="Z404" s="639" t="s">
        <v>5823</v>
      </c>
      <c r="AA404" s="640" t="s">
        <v>2175</v>
      </c>
      <c r="AB404" s="652" t="s">
        <v>2153</v>
      </c>
      <c r="AC404" s="650" t="s">
        <v>2798</v>
      </c>
      <c r="AD404" s="198" t="str">
        <f>OBRA!V402</f>
        <v>LIC. SALVADOR CONTRERAS OLGUÍN</v>
      </c>
      <c r="AE404" s="174">
        <v>107.47</v>
      </c>
      <c r="AF404" s="202" t="s">
        <v>1454</v>
      </c>
      <c r="AG404" s="694">
        <f t="shared" si="24"/>
        <v>1217.7858006885642</v>
      </c>
      <c r="AH404" s="202">
        <v>80</v>
      </c>
      <c r="AI404" s="566">
        <v>80</v>
      </c>
      <c r="AJ404" s="566"/>
      <c r="AK404" s="1802"/>
      <c r="AL404" s="1803"/>
      <c r="AM404" s="1509" t="s">
        <v>3754</v>
      </c>
      <c r="AN404" s="1475" t="s">
        <v>3754</v>
      </c>
      <c r="AO404" s="1475" t="s">
        <v>3754</v>
      </c>
      <c r="AP404" s="1475" t="s">
        <v>3754</v>
      </c>
      <c r="AQ404" s="1531" t="s">
        <v>3754</v>
      </c>
      <c r="AR404" s="1139" t="s">
        <v>551</v>
      </c>
      <c r="AS404" s="1139" t="s">
        <v>551</v>
      </c>
      <c r="AT404" s="1139" t="s">
        <v>68</v>
      </c>
      <c r="AU404" s="1142"/>
      <c r="AV404" s="35" t="s">
        <v>551</v>
      </c>
      <c r="AW404" s="13"/>
    </row>
    <row r="405" spans="1:50" ht="117.75" hidden="1" customHeight="1">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2560</v>
      </c>
      <c r="N405" s="510" t="s">
        <v>3536</v>
      </c>
      <c r="O405" s="85">
        <f>OBRA!P403</f>
        <v>104942</v>
      </c>
      <c r="P405" s="1208">
        <f t="shared" si="25"/>
        <v>90467.241379310348</v>
      </c>
      <c r="Q405" s="1208"/>
      <c r="R405" s="6">
        <f>OBRA!Q403</f>
        <v>43740</v>
      </c>
      <c r="S405" s="1327">
        <f>OBRA!T403</f>
        <v>43739</v>
      </c>
      <c r="T405" s="5">
        <f>OBRA!R403</f>
        <v>43741</v>
      </c>
      <c r="U405" s="12">
        <f>OBRA!S403</f>
        <v>43768</v>
      </c>
      <c r="V405" s="1204" t="s">
        <v>1431</v>
      </c>
      <c r="W405" s="305">
        <f>OBRA!AQ403+OBRA!AR403</f>
        <v>104942</v>
      </c>
      <c r="X405" s="1235" t="s">
        <v>2822</v>
      </c>
      <c r="Y405" s="639" t="str">
        <f>OBRA!U403</f>
        <v>INGENIERÍA ARQUITECTURA MENDPAD S.A. DE C.V.</v>
      </c>
      <c r="Z405" s="639" t="s">
        <v>5823</v>
      </c>
      <c r="AA405" s="640" t="s">
        <v>2175</v>
      </c>
      <c r="AB405" s="652" t="s">
        <v>2153</v>
      </c>
      <c r="AC405" s="650" t="s">
        <v>2798</v>
      </c>
      <c r="AD405" s="200" t="str">
        <f>OBRA!V403</f>
        <v>LIC. SALVADOR CONTRERAS OLGUÍN</v>
      </c>
      <c r="AE405" s="174">
        <v>119</v>
      </c>
      <c r="AF405" s="202" t="s">
        <v>1454</v>
      </c>
      <c r="AG405" s="694">
        <f t="shared" si="24"/>
        <v>881.86554621848734</v>
      </c>
      <c r="AH405" s="202">
        <v>60</v>
      </c>
      <c r="AI405" s="566">
        <v>60</v>
      </c>
      <c r="AJ405" s="566"/>
      <c r="AK405" s="1802"/>
      <c r="AL405" s="1803"/>
      <c r="AM405" s="1532" t="s">
        <v>3755</v>
      </c>
      <c r="AN405" s="1523" t="s">
        <v>3755</v>
      </c>
      <c r="AO405" s="1523" t="s">
        <v>3755</v>
      </c>
      <c r="AP405" s="1523" t="s">
        <v>3755</v>
      </c>
      <c r="AQ405" s="1524" t="s">
        <v>3755</v>
      </c>
      <c r="AR405" s="1143"/>
      <c r="AS405" s="1143"/>
      <c r="AT405" s="1133" t="s">
        <v>68</v>
      </c>
      <c r="AU405" s="1143"/>
      <c r="AV405" s="35" t="s">
        <v>551</v>
      </c>
      <c r="AW405" s="13"/>
    </row>
    <row r="406" spans="1:50" ht="86.25" hidden="1" customHeight="1">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2560</v>
      </c>
      <c r="N406" s="510" t="s">
        <v>3537</v>
      </c>
      <c r="O406" s="85">
        <f>OBRA!P404</f>
        <v>124713.47</v>
      </c>
      <c r="P406" s="1208">
        <f t="shared" si="25"/>
        <v>107511.61206896552</v>
      </c>
      <c r="Q406" s="1208"/>
      <c r="R406" s="6">
        <f>OBRA!Q404</f>
        <v>43740</v>
      </c>
      <c r="S406" s="1327">
        <f>OBRA!T404</f>
        <v>43739</v>
      </c>
      <c r="T406" s="5">
        <f>OBRA!R404</f>
        <v>43741</v>
      </c>
      <c r="U406" s="12">
        <f>OBRA!S404</f>
        <v>43768</v>
      </c>
      <c r="V406" s="1204" t="s">
        <v>1431</v>
      </c>
      <c r="W406" s="305">
        <f>OBRA!AQ404+OBRA!AR404</f>
        <v>132810.69</v>
      </c>
      <c r="X406" s="1235" t="s">
        <v>2823</v>
      </c>
      <c r="Y406" s="639" t="str">
        <f>OBRA!U404</f>
        <v>INGENIERÍA ARQUITECTURA MENDPAD S.A. DE C.V.</v>
      </c>
      <c r="Z406" s="639" t="s">
        <v>5823</v>
      </c>
      <c r="AA406" s="640" t="s">
        <v>2175</v>
      </c>
      <c r="AB406" s="652" t="s">
        <v>2153</v>
      </c>
      <c r="AC406" s="650" t="s">
        <v>2798</v>
      </c>
      <c r="AD406" s="200" t="str">
        <f>OBRA!V404</f>
        <v>LIC. SALVADOR CONTRERAS OLGUÍN</v>
      </c>
      <c r="AE406" s="174">
        <v>105</v>
      </c>
      <c r="AF406" s="202" t="s">
        <v>1454</v>
      </c>
      <c r="AG406" s="694">
        <f t="shared" si="24"/>
        <v>1264.8637142857142</v>
      </c>
      <c r="AH406" s="202">
        <v>60</v>
      </c>
      <c r="AI406" s="566">
        <v>60</v>
      </c>
      <c r="AJ406" s="566"/>
      <c r="AK406" s="1802"/>
      <c r="AL406" s="1803"/>
      <c r="AM406" s="1532" t="s">
        <v>3756</v>
      </c>
      <c r="AN406" s="1523" t="s">
        <v>3756</v>
      </c>
      <c r="AO406" s="1523" t="s">
        <v>3756</v>
      </c>
      <c r="AP406" s="1523" t="s">
        <v>3756</v>
      </c>
      <c r="AQ406" s="1524" t="s">
        <v>3756</v>
      </c>
      <c r="AR406" s="556"/>
      <c r="AS406" s="556"/>
      <c r="AT406" s="1133" t="s">
        <v>68</v>
      </c>
      <c r="AU406" s="556"/>
      <c r="AV406" s="35" t="s">
        <v>551</v>
      </c>
      <c r="AW406" s="13"/>
    </row>
    <row r="407" spans="1:50" s="110" customFormat="1" ht="81" hidden="1" customHeight="1">
      <c r="A407" s="88">
        <f>OBRA!I405</f>
        <v>2019</v>
      </c>
      <c r="B407" s="897" t="s">
        <v>2098</v>
      </c>
      <c r="C407" s="897">
        <v>196.22</v>
      </c>
      <c r="D407" s="897"/>
      <c r="E407" s="91" t="str">
        <f>OBRA!K405</f>
        <v>RASTRO DIGNO / CTA-CTE</v>
      </c>
      <c r="F407" s="1192" t="s">
        <v>2110</v>
      </c>
      <c r="G407" s="1348"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5"/>
        <v>1455546.1034482759</v>
      </c>
      <c r="Q407" s="1208"/>
      <c r="R407" s="93">
        <f>OBRA!Q405</f>
        <v>43709</v>
      </c>
      <c r="S407" s="1327">
        <f>OBRA!T405</f>
        <v>0</v>
      </c>
      <c r="T407" s="94">
        <f>OBRA!R405</f>
        <v>43710</v>
      </c>
      <c r="U407" s="95">
        <f>OBRA!S405</f>
        <v>43785</v>
      </c>
      <c r="V407" s="1204" t="s">
        <v>68</v>
      </c>
      <c r="W407" s="947">
        <f>OBRA!AQ405+OBRA!AR405</f>
        <v>0</v>
      </c>
      <c r="X407" s="1200" t="s">
        <v>68</v>
      </c>
      <c r="Y407" s="935" t="str">
        <f>OBRA!U405</f>
        <v>C. PAUL ANTONIO VENEGAS GARCÍA</v>
      </c>
      <c r="Z407" s="935" t="s">
        <v>5822</v>
      </c>
      <c r="AA407" s="460" t="str">
        <f>Y407</f>
        <v>C. PAUL ANTONIO VENEGAS GARCÍA</v>
      </c>
      <c r="AB407" s="1237" t="s">
        <v>2999</v>
      </c>
      <c r="AC407" s="935" t="s">
        <v>2999</v>
      </c>
      <c r="AD407" s="199" t="str">
        <f>OBRA!V405</f>
        <v>ARQ. JAIME CONDE GOMEZ</v>
      </c>
      <c r="AE407" s="90">
        <v>1</v>
      </c>
      <c r="AF407" s="91" t="s">
        <v>1577</v>
      </c>
      <c r="AG407" s="936">
        <f t="shared" si="24"/>
        <v>0</v>
      </c>
      <c r="AH407" s="91"/>
      <c r="AI407" s="564"/>
      <c r="AJ407" s="564"/>
      <c r="AK407" s="1804"/>
      <c r="AL407" s="1805"/>
      <c r="AM407" s="631"/>
      <c r="AN407" s="942" t="s">
        <v>68</v>
      </c>
      <c r="AO407" s="942" t="s">
        <v>68</v>
      </c>
      <c r="AP407" s="462" t="s">
        <v>68</v>
      </c>
      <c r="AQ407" s="89" t="s">
        <v>68</v>
      </c>
      <c r="AR407" s="564"/>
      <c r="AS407" s="564"/>
      <c r="AT407" s="1160" t="s">
        <v>68</v>
      </c>
      <c r="AU407" s="564"/>
      <c r="AV407" s="96"/>
      <c r="AW407" s="109"/>
    </row>
    <row r="408" spans="1:50" ht="228" hidden="1" customHeight="1">
      <c r="A408" s="17">
        <f>OBRA!I406</f>
        <v>2019</v>
      </c>
      <c r="B408" s="895" t="s">
        <v>2098</v>
      </c>
      <c r="C408" s="896">
        <v>196.23</v>
      </c>
      <c r="D408" s="896"/>
      <c r="E408" s="2" t="str">
        <f>OBRA!K406</f>
        <v>RASTRO DIGNO / CTA-CTE</v>
      </c>
      <c r="F408" s="681" t="s">
        <v>3748</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66" t="s">
        <v>4345</v>
      </c>
      <c r="L408" s="328" t="s">
        <v>2006</v>
      </c>
      <c r="M408" s="1059" t="s">
        <v>1979</v>
      </c>
      <c r="N408" s="510" t="s">
        <v>3537</v>
      </c>
      <c r="O408" s="4">
        <f>OBRA!P406</f>
        <v>1393906.05</v>
      </c>
      <c r="P408" s="1208">
        <f t="shared" si="25"/>
        <v>1201643.1465517243</v>
      </c>
      <c r="Q408" s="1208"/>
      <c r="R408" s="6">
        <f>OBRA!Q406</f>
        <v>43755</v>
      </c>
      <c r="S408" s="1327">
        <f>OBRA!T406</f>
        <v>43754</v>
      </c>
      <c r="T408" s="5">
        <f>OBRA!R406</f>
        <v>43759</v>
      </c>
      <c r="U408" s="12">
        <f>OBRA!S406</f>
        <v>43830</v>
      </c>
      <c r="V408" s="1204">
        <v>348476.5</v>
      </c>
      <c r="W408" s="1198">
        <f>OBRA!AQ406+OBRA!AR406</f>
        <v>1393904.46</v>
      </c>
      <c r="X408" s="1297" t="s">
        <v>2835</v>
      </c>
      <c r="Y408" s="639" t="str">
        <f>OBRA!U406</f>
        <v>SDT CONSTRUCTORA S.A. DE C.V.</v>
      </c>
      <c r="Z408" s="639" t="s">
        <v>5823</v>
      </c>
      <c r="AA408" s="640" t="s">
        <v>2191</v>
      </c>
      <c r="AB408" s="675" t="s">
        <v>2192</v>
      </c>
      <c r="AC408" s="650" t="s">
        <v>2795</v>
      </c>
      <c r="AD408" s="198" t="str">
        <f>OBRA!V406</f>
        <v>ARQ. JAIME CONDE GOMEZ</v>
      </c>
      <c r="AE408" s="174">
        <v>731.62</v>
      </c>
      <c r="AF408" s="202" t="s">
        <v>1552</v>
      </c>
      <c r="AG408" s="694">
        <f t="shared" si="24"/>
        <v>1905.2301194609222</v>
      </c>
      <c r="AH408" s="202">
        <v>2000</v>
      </c>
      <c r="AI408" s="566">
        <v>48500</v>
      </c>
      <c r="AJ408" s="566"/>
      <c r="AK408" s="1839">
        <v>20.27947</v>
      </c>
      <c r="AL408" s="1840">
        <v>103.44511</v>
      </c>
      <c r="AM408" s="1509" t="s">
        <v>3757</v>
      </c>
      <c r="AN408" s="1475" t="s">
        <v>3757</v>
      </c>
      <c r="AO408" s="1475" t="s">
        <v>3757</v>
      </c>
      <c r="AP408" s="1475" t="s">
        <v>3757</v>
      </c>
      <c r="AQ408" s="1524" t="s">
        <v>3757</v>
      </c>
      <c r="AR408" s="566"/>
      <c r="AS408" s="566"/>
      <c r="AT408" s="1133" t="s">
        <v>68</v>
      </c>
      <c r="AU408" s="566"/>
      <c r="AV408" s="35" t="s">
        <v>551</v>
      </c>
      <c r="AW408" s="13"/>
      <c r="AX408">
        <v>100</v>
      </c>
    </row>
    <row r="409" spans="1:50" ht="72" hidden="1" customHeight="1">
      <c r="A409" s="17">
        <f>OBRA!I407</f>
        <v>2019</v>
      </c>
      <c r="B409" s="895" t="s">
        <v>2098</v>
      </c>
      <c r="C409" s="896">
        <v>196.24</v>
      </c>
      <c r="D409" s="1722" t="s">
        <v>4066</v>
      </c>
      <c r="E409" s="2" t="str">
        <f>OBRA!K407</f>
        <v>RASTRO DIGNO / CTA-CTE</v>
      </c>
      <c r="F409" s="681" t="s">
        <v>3748</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3537</v>
      </c>
      <c r="O409" s="4">
        <f>OBRA!P407</f>
        <v>1414229.08</v>
      </c>
      <c r="P409" s="1208">
        <f t="shared" si="25"/>
        <v>1219163.0000000002</v>
      </c>
      <c r="Q409" s="1208"/>
      <c r="R409" s="6">
        <f>OBRA!Q407</f>
        <v>43755</v>
      </c>
      <c r="S409" s="1327">
        <f>OBRA!T407</f>
        <v>43754</v>
      </c>
      <c r="T409" s="5">
        <f>OBRA!R407</f>
        <v>43759</v>
      </c>
      <c r="U409" s="12">
        <f>OBRA!S407</f>
        <v>43830</v>
      </c>
      <c r="V409" s="1204">
        <v>353557.27</v>
      </c>
      <c r="W409" s="1198">
        <f>OBRA!AQ407+OBRA!AR407</f>
        <v>1414229.1</v>
      </c>
      <c r="X409" s="1296" t="s">
        <v>2824</v>
      </c>
      <c r="Y409" s="639" t="str">
        <f>OBRA!U407</f>
        <v>DACO, DESARROLLOS ARQUITECTÓNICOS Y CONSTRUCCIÓN OBRA CIVIL S.A. DE C.V.</v>
      </c>
      <c r="Z409" s="639" t="s">
        <v>5823</v>
      </c>
      <c r="AA409" s="640" t="s">
        <v>2193</v>
      </c>
      <c r="AB409" s="652" t="s">
        <v>2194</v>
      </c>
      <c r="AC409" s="650" t="s">
        <v>2799</v>
      </c>
      <c r="AD409" s="198" t="str">
        <f>OBRA!V407</f>
        <v>ARQ. JAIME CONDE GOMEZ</v>
      </c>
      <c r="AE409" s="174">
        <v>276.38</v>
      </c>
      <c r="AF409" s="202" t="s">
        <v>1552</v>
      </c>
      <c r="AG409" s="694">
        <f t="shared" si="24"/>
        <v>5116.9733699978296</v>
      </c>
      <c r="AH409" s="202">
        <v>2000</v>
      </c>
      <c r="AI409" s="566">
        <v>48500</v>
      </c>
      <c r="AJ409" s="566"/>
      <c r="AK409" s="1802"/>
      <c r="AL409" s="1803"/>
      <c r="AM409" s="1509" t="s">
        <v>3758</v>
      </c>
      <c r="AN409" s="1475" t="s">
        <v>3758</v>
      </c>
      <c r="AO409" s="1475" t="s">
        <v>3758</v>
      </c>
      <c r="AP409" s="1475" t="s">
        <v>3758</v>
      </c>
      <c r="AQ409" s="1524" t="s">
        <v>3758</v>
      </c>
      <c r="AR409" s="566"/>
      <c r="AS409" s="566"/>
      <c r="AT409" s="1133" t="s">
        <v>68</v>
      </c>
      <c r="AU409" s="566"/>
      <c r="AV409" s="35" t="s">
        <v>551</v>
      </c>
      <c r="AW409" s="13"/>
      <c r="AX409">
        <v>100</v>
      </c>
    </row>
    <row r="410" spans="1:50" ht="83.25" hidden="1" customHeight="1">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3537</v>
      </c>
      <c r="O410" s="4">
        <f>OBRA!P408</f>
        <v>198328.91</v>
      </c>
      <c r="P410" s="1208">
        <f t="shared" si="25"/>
        <v>170973.19827586209</v>
      </c>
      <c r="Q410" s="1208"/>
      <c r="R410" s="6">
        <f>OBRA!Q408</f>
        <v>43755</v>
      </c>
      <c r="S410" s="1327">
        <f>OBRA!T408</f>
        <v>43754</v>
      </c>
      <c r="T410" s="5">
        <f>OBRA!R408</f>
        <v>43759</v>
      </c>
      <c r="U410" s="12">
        <f>OBRA!S408</f>
        <v>43809</v>
      </c>
      <c r="V410" s="1204" t="s">
        <v>1431</v>
      </c>
      <c r="W410" s="1198">
        <f>OBRA!AQ408+OBRA!AR408</f>
        <v>185500.38</v>
      </c>
      <c r="X410" s="1235" t="s">
        <v>2826</v>
      </c>
      <c r="Y410" s="639" t="str">
        <f>OBRA!U408</f>
        <v>AV ATELIER DE ARQUITECTURA S.A. DE C.V.</v>
      </c>
      <c r="Z410" s="639" t="s">
        <v>5823</v>
      </c>
      <c r="AA410" s="640" t="s">
        <v>2196</v>
      </c>
      <c r="AB410" s="652" t="s">
        <v>2197</v>
      </c>
      <c r="AC410" s="650" t="s">
        <v>2796</v>
      </c>
      <c r="AD410" s="198" t="str">
        <f>OBRA!V408</f>
        <v>LIC. SALVADOR CONTRERAS OLGUÍN</v>
      </c>
      <c r="AE410" s="174">
        <v>131</v>
      </c>
      <c r="AF410" s="202" t="s">
        <v>1454</v>
      </c>
      <c r="AG410" s="694">
        <f t="shared" si="24"/>
        <v>1416.0334351145038</v>
      </c>
      <c r="AH410" s="202">
        <v>200</v>
      </c>
      <c r="AI410" s="566">
        <v>200</v>
      </c>
      <c r="AJ410" s="566"/>
      <c r="AK410" s="1802"/>
      <c r="AL410" s="1803"/>
      <c r="AM410" s="1532" t="s">
        <v>3759</v>
      </c>
      <c r="AN410" s="1532" t="s">
        <v>3759</v>
      </c>
      <c r="AO410" s="1509" t="s">
        <v>3759</v>
      </c>
      <c r="AP410" s="1509" t="s">
        <v>3759</v>
      </c>
      <c r="AQ410" s="1531" t="s">
        <v>3759</v>
      </c>
      <c r="AR410" s="556"/>
      <c r="AS410" s="556"/>
      <c r="AT410" s="1133" t="s">
        <v>68</v>
      </c>
      <c r="AU410" s="556"/>
      <c r="AV410" s="35" t="s">
        <v>551</v>
      </c>
      <c r="AW410" s="13"/>
    </row>
    <row r="411" spans="1:50" ht="135" hidden="1" customHeight="1">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3537</v>
      </c>
      <c r="O411" s="4">
        <f>OBRA!P409</f>
        <v>135637.59</v>
      </c>
      <c r="P411" s="1208">
        <f t="shared" si="25"/>
        <v>116928.95689655172</v>
      </c>
      <c r="Q411" s="1208"/>
      <c r="R411" s="6">
        <f>OBRA!Q409</f>
        <v>43755</v>
      </c>
      <c r="S411" s="1327">
        <f>OBRA!T409</f>
        <v>43754</v>
      </c>
      <c r="T411" s="5">
        <f>OBRA!R409</f>
        <v>43759</v>
      </c>
      <c r="U411" s="12">
        <f>OBRA!S409</f>
        <v>43809</v>
      </c>
      <c r="V411" s="1204" t="s">
        <v>1431</v>
      </c>
      <c r="W411" s="1198">
        <f>OBRA!AQ409+OBRA!AR409</f>
        <v>140274.29</v>
      </c>
      <c r="X411" s="1235" t="s">
        <v>2827</v>
      </c>
      <c r="Y411" s="639" t="str">
        <f>OBRA!U409</f>
        <v>AV ATELIER DE ARQUITECTURA S.A. DE C.V.</v>
      </c>
      <c r="Z411" s="639" t="s">
        <v>5823</v>
      </c>
      <c r="AA411" s="640" t="s">
        <v>2196</v>
      </c>
      <c r="AB411" s="652" t="s">
        <v>2197</v>
      </c>
      <c r="AC411" s="650" t="s">
        <v>2796</v>
      </c>
      <c r="AD411" s="198" t="str">
        <f>OBRA!V409</f>
        <v>LIC. SALVADOR CONTRERAS OLGUÍN</v>
      </c>
      <c r="AE411" s="174">
        <v>121.65</v>
      </c>
      <c r="AF411" s="202" t="s">
        <v>1454</v>
      </c>
      <c r="AG411" s="694">
        <f t="shared" si="24"/>
        <v>1153.0973284011509</v>
      </c>
      <c r="AH411" s="202">
        <v>200</v>
      </c>
      <c r="AI411" s="566">
        <v>200</v>
      </c>
      <c r="AJ411" s="566"/>
      <c r="AK411" s="1802"/>
      <c r="AL411" s="1803"/>
      <c r="AM411" s="1532" t="s">
        <v>3760</v>
      </c>
      <c r="AN411" s="1532" t="s">
        <v>3760</v>
      </c>
      <c r="AO411" s="1509" t="s">
        <v>3760</v>
      </c>
      <c r="AP411" s="1532" t="s">
        <v>3760</v>
      </c>
      <c r="AQ411" s="1531" t="s">
        <v>3760</v>
      </c>
      <c r="AR411" s="556"/>
      <c r="AS411" s="556"/>
      <c r="AT411" s="1133" t="s">
        <v>68</v>
      </c>
      <c r="AU411" s="556"/>
      <c r="AV411" s="35" t="s">
        <v>551</v>
      </c>
      <c r="AW411" s="13"/>
    </row>
    <row r="412" spans="1:50" ht="87" hidden="1" customHeight="1">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3537</v>
      </c>
      <c r="O412" s="4">
        <f>OBRA!P410</f>
        <v>883708.77</v>
      </c>
      <c r="P412" s="1208">
        <f t="shared" si="25"/>
        <v>761817.90517241391</v>
      </c>
      <c r="Q412" s="1208"/>
      <c r="R412" s="6">
        <f>OBRA!Q410</f>
        <v>43755</v>
      </c>
      <c r="S412" s="1327">
        <f>OBRA!T410</f>
        <v>43754</v>
      </c>
      <c r="T412" s="5">
        <f>OBRA!R410</f>
        <v>43759</v>
      </c>
      <c r="U412" s="12">
        <f>OBRA!S410</f>
        <v>43809</v>
      </c>
      <c r="V412" s="1204" t="s">
        <v>1431</v>
      </c>
      <c r="W412" s="1198">
        <f>OBRA!AQ410+OBRA!AR410</f>
        <v>826172.24</v>
      </c>
      <c r="X412" s="1235" t="s">
        <v>2825</v>
      </c>
      <c r="Y412" s="639" t="str">
        <f>OBRA!U410</f>
        <v>AV ATELIER DE ARQUITECTURA S.A. DE C.V.</v>
      </c>
      <c r="Z412" s="639" t="s">
        <v>5823</v>
      </c>
      <c r="AA412" s="640" t="s">
        <v>2196</v>
      </c>
      <c r="AB412" s="652" t="s">
        <v>2197</v>
      </c>
      <c r="AC412" s="650" t="s">
        <v>2796</v>
      </c>
      <c r="AD412" s="200" t="str">
        <f>OBRA!V410</f>
        <v>LIC. SALVADOR CONTRERAS OLGUÍN</v>
      </c>
      <c r="AE412" s="174">
        <v>1301.04</v>
      </c>
      <c r="AF412" s="202" t="s">
        <v>1552</v>
      </c>
      <c r="AG412" s="694">
        <f t="shared" si="24"/>
        <v>635.00910041197812</v>
      </c>
      <c r="AH412" s="202">
        <v>200</v>
      </c>
      <c r="AI412" s="566">
        <v>5000</v>
      </c>
      <c r="AJ412" s="566"/>
      <c r="AK412" s="1802"/>
      <c r="AL412" s="1803"/>
      <c r="AM412" s="1509" t="s">
        <v>3761</v>
      </c>
      <c r="AN412" s="1475" t="s">
        <v>3761</v>
      </c>
      <c r="AO412" s="1475" t="s">
        <v>3761</v>
      </c>
      <c r="AP412" s="1475" t="s">
        <v>3761</v>
      </c>
      <c r="AQ412" s="1537" t="s">
        <v>3761</v>
      </c>
      <c r="AR412" s="556"/>
      <c r="AS412" s="556"/>
      <c r="AT412" s="1133" t="s">
        <v>68</v>
      </c>
      <c r="AU412" s="556"/>
      <c r="AV412" s="35" t="s">
        <v>551</v>
      </c>
      <c r="AW412" s="13"/>
    </row>
    <row r="413" spans="1:50" ht="99" hidden="1" customHeight="1">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3537</v>
      </c>
      <c r="O413" s="4">
        <f>OBRA!P411</f>
        <v>269609.8</v>
      </c>
      <c r="P413" s="1208">
        <f t="shared" si="25"/>
        <v>232422.24137931035</v>
      </c>
      <c r="Q413" s="1208"/>
      <c r="R413" s="6">
        <f>OBRA!Q411</f>
        <v>43754</v>
      </c>
      <c r="S413" s="1327">
        <f>OBRA!T411</f>
        <v>43753</v>
      </c>
      <c r="T413" s="5">
        <f>OBRA!R411</f>
        <v>43755</v>
      </c>
      <c r="U413" s="12">
        <f>OBRA!S411</f>
        <v>43799</v>
      </c>
      <c r="V413" s="1204" t="s">
        <v>1431</v>
      </c>
      <c r="W413" s="1198">
        <f>OBRA!AQ411+OBRA!AR411</f>
        <v>295953.42</v>
      </c>
      <c r="X413" s="1235" t="s">
        <v>2828</v>
      </c>
      <c r="Y413" s="639" t="str">
        <f>OBRA!U411</f>
        <v>GRUPO CONSTRUCTOR HORUS, S.A. DE C.V.</v>
      </c>
      <c r="Z413" s="639" t="s">
        <v>5823</v>
      </c>
      <c r="AA413" s="640" t="s">
        <v>2202</v>
      </c>
      <c r="AB413" s="652" t="s">
        <v>2203</v>
      </c>
      <c r="AC413" s="650" t="s">
        <v>2802</v>
      </c>
      <c r="AD413" s="200" t="str">
        <f>OBRA!V411</f>
        <v>ING. J. GUADALUPE IBARRA RAMIREZ</v>
      </c>
      <c r="AE413" s="174">
        <v>156</v>
      </c>
      <c r="AF413" s="202" t="s">
        <v>1454</v>
      </c>
      <c r="AG413" s="694">
        <f t="shared" si="24"/>
        <v>1897.1373076923076</v>
      </c>
      <c r="AH413" s="202">
        <v>100</v>
      </c>
      <c r="AI413" s="566">
        <v>5000</v>
      </c>
      <c r="AJ413" s="566"/>
      <c r="AK413" s="1802"/>
      <c r="AL413" s="1803"/>
      <c r="AM413" s="1509" t="s">
        <v>3762</v>
      </c>
      <c r="AN413" s="1475" t="s">
        <v>3762</v>
      </c>
      <c r="AO413" s="1536" t="s">
        <v>3762</v>
      </c>
      <c r="AP413" s="1475" t="s">
        <v>3762</v>
      </c>
      <c r="AQ413" s="1531" t="s">
        <v>3762</v>
      </c>
      <c r="AR413" s="556"/>
      <c r="AS413" s="556"/>
      <c r="AT413" s="1133" t="s">
        <v>68</v>
      </c>
      <c r="AU413" s="556"/>
      <c r="AV413" s="35" t="s">
        <v>551</v>
      </c>
      <c r="AW413" s="13"/>
    </row>
    <row r="414" spans="1:50" ht="88.5" hidden="1" customHeight="1">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3537</v>
      </c>
      <c r="O414" s="4">
        <f>OBRA!P412</f>
        <v>104875.19</v>
      </c>
      <c r="P414" s="1208">
        <f t="shared" si="25"/>
        <v>90409.646551724145</v>
      </c>
      <c r="Q414" s="1208"/>
      <c r="R414" s="6">
        <f>OBRA!Q412</f>
        <v>43754</v>
      </c>
      <c r="S414" s="1327">
        <f>OBRA!T412</f>
        <v>43753</v>
      </c>
      <c r="T414" s="5">
        <f>OBRA!R412</f>
        <v>43762</v>
      </c>
      <c r="U414" s="12">
        <f>OBRA!S412</f>
        <v>43799</v>
      </c>
      <c r="V414" s="1204" t="s">
        <v>1431</v>
      </c>
      <c r="W414" s="1198">
        <f>OBRA!AQ412+OBRA!AR412</f>
        <v>104872.2</v>
      </c>
      <c r="X414" s="1296" t="s">
        <v>2829</v>
      </c>
      <c r="Y414" s="639" t="str">
        <f>OBRA!U412</f>
        <v>GRUPO CONSTRUCTOR HORUS, S.A. DE C.V.</v>
      </c>
      <c r="Z414" s="639" t="s">
        <v>5823</v>
      </c>
      <c r="AA414" s="640" t="s">
        <v>2202</v>
      </c>
      <c r="AB414" s="652" t="s">
        <v>2203</v>
      </c>
      <c r="AC414" s="650" t="s">
        <v>2802</v>
      </c>
      <c r="AD414" s="200" t="str">
        <f>OBRA!V412</f>
        <v>ING. J. GUADALUPE IBARRA RAMIREZ</v>
      </c>
      <c r="AE414" s="174">
        <v>156</v>
      </c>
      <c r="AF414" s="202" t="s">
        <v>1454</v>
      </c>
      <c r="AG414" s="694">
        <f t="shared" si="24"/>
        <v>672.25769230769231</v>
      </c>
      <c r="AH414" s="202">
        <v>100</v>
      </c>
      <c r="AI414" s="566">
        <v>5000</v>
      </c>
      <c r="AJ414" s="566"/>
      <c r="AK414" s="1802"/>
      <c r="AL414" s="1803"/>
      <c r="AM414" s="1509" t="s">
        <v>3763</v>
      </c>
      <c r="AN414" s="1475" t="s">
        <v>3763</v>
      </c>
      <c r="AO414" s="1523" t="s">
        <v>3763</v>
      </c>
      <c r="AP414" s="1475" t="s">
        <v>3763</v>
      </c>
      <c r="AQ414" s="1531" t="s">
        <v>3763</v>
      </c>
      <c r="AR414" s="556"/>
      <c r="AS414" s="556"/>
      <c r="AT414" s="1133" t="s">
        <v>68</v>
      </c>
      <c r="AU414" s="556"/>
      <c r="AV414" s="35" t="s">
        <v>551</v>
      </c>
      <c r="AW414" s="13"/>
    </row>
    <row r="415" spans="1:50" ht="84.75" hidden="1" customHeight="1">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3537</v>
      </c>
      <c r="O415" s="4">
        <f>OBRA!P413</f>
        <v>702979.49</v>
      </c>
      <c r="P415" s="1208">
        <f t="shared" si="25"/>
        <v>606016.80172413797</v>
      </c>
      <c r="Q415" s="1208"/>
      <c r="R415" s="6">
        <f>OBRA!Q413</f>
        <v>43754</v>
      </c>
      <c r="S415" s="1327">
        <f>OBRA!T413</f>
        <v>43753</v>
      </c>
      <c r="T415" s="5">
        <f>OBRA!R413</f>
        <v>43762</v>
      </c>
      <c r="U415" s="12">
        <f>OBRA!S413</f>
        <v>43799</v>
      </c>
      <c r="V415" s="1204" t="s">
        <v>1431</v>
      </c>
      <c r="W415" s="1198">
        <f>OBRA!AQ413+OBRA!AR413</f>
        <v>745742.71</v>
      </c>
      <c r="X415" s="1235" t="s">
        <v>2830</v>
      </c>
      <c r="Y415" s="639" t="str">
        <f>OBRA!U413</f>
        <v>GRUPO CONSTRUCTOR HORUS, S.A. DE C.V.</v>
      </c>
      <c r="Z415" s="639" t="s">
        <v>5823</v>
      </c>
      <c r="AA415" s="640" t="s">
        <v>2202</v>
      </c>
      <c r="AB415" s="652" t="s">
        <v>2203</v>
      </c>
      <c r="AC415" s="650" t="s">
        <v>2802</v>
      </c>
      <c r="AD415" s="200" t="str">
        <f>OBRA!V413</f>
        <v>ING. J. GUADALUPE IBARRA RAMIREZ</v>
      </c>
      <c r="AE415" s="174">
        <v>984</v>
      </c>
      <c r="AF415" s="202" t="s">
        <v>1552</v>
      </c>
      <c r="AG415" s="694">
        <f t="shared" si="24"/>
        <v>757.86860772357716</v>
      </c>
      <c r="AH415" s="202">
        <v>100</v>
      </c>
      <c r="AI415" s="566">
        <v>5000</v>
      </c>
      <c r="AJ415" s="566"/>
      <c r="AK415" s="1813">
        <v>20.292999999999999</v>
      </c>
      <c r="AL415" s="1814">
        <v>103.437515</v>
      </c>
      <c r="AM415" s="1435" t="s">
        <v>3884</v>
      </c>
      <c r="AN415" s="1435" t="s">
        <v>3884</v>
      </c>
      <c r="AO415" s="1435" t="s">
        <v>3884</v>
      </c>
      <c r="AP415" s="1509" t="s">
        <v>3884</v>
      </c>
      <c r="AQ415" s="1531" t="s">
        <v>3884</v>
      </c>
      <c r="AR415" s="566"/>
      <c r="AS415" s="566"/>
      <c r="AT415" s="1133" t="s">
        <v>68</v>
      </c>
      <c r="AU415" s="556"/>
      <c r="AV415" s="35" t="s">
        <v>551</v>
      </c>
      <c r="AW415" s="13"/>
    </row>
    <row r="416" spans="1:50" ht="52.5" hidden="1" customHeight="1">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2916</v>
      </c>
      <c r="L416" s="3" t="s">
        <v>2205</v>
      </c>
      <c r="M416" s="3" t="s">
        <v>2574</v>
      </c>
      <c r="N416" s="510" t="s">
        <v>3538</v>
      </c>
      <c r="O416" s="4">
        <f>OBRA!P414</f>
        <v>311860.06</v>
      </c>
      <c r="P416" s="1208">
        <f t="shared" si="25"/>
        <v>268844.87931034487</v>
      </c>
      <c r="Q416" s="1208"/>
      <c r="R416" s="6">
        <f>OBRA!Q414</f>
        <v>43754</v>
      </c>
      <c r="S416" s="1327">
        <f>OBRA!T414</f>
        <v>43753</v>
      </c>
      <c r="T416" s="5">
        <f>OBRA!R414</f>
        <v>43759</v>
      </c>
      <c r="U416" s="12">
        <f>OBRA!S414</f>
        <v>43790</v>
      </c>
      <c r="V416" s="1204" t="s">
        <v>1431</v>
      </c>
      <c r="W416" s="1198">
        <f>OBRA!AQ414+OBRA!AR414</f>
        <v>317393.01</v>
      </c>
      <c r="X416" s="1296" t="s">
        <v>2831</v>
      </c>
      <c r="Y416" s="639" t="str">
        <f>OBRA!U414</f>
        <v>CONSTRUCTORA PIMONT S.A. DE C.V.</v>
      </c>
      <c r="Z416" s="639" t="s">
        <v>5823</v>
      </c>
      <c r="AA416" s="640" t="s">
        <v>1837</v>
      </c>
      <c r="AB416" s="652" t="s">
        <v>2147</v>
      </c>
      <c r="AC416" s="650" t="s">
        <v>2794</v>
      </c>
      <c r="AD416" s="198" t="str">
        <f>OBRA!V414</f>
        <v>LIC. SALVADOR CONTRERAS OLGUÍN</v>
      </c>
      <c r="AE416" s="174">
        <v>71.27</v>
      </c>
      <c r="AF416" s="202" t="s">
        <v>1552</v>
      </c>
      <c r="AG416" s="694">
        <f t="shared" si="24"/>
        <v>4453.3886628314867</v>
      </c>
      <c r="AH416" s="202">
        <v>2000</v>
      </c>
      <c r="AI416" s="566">
        <v>2000</v>
      </c>
      <c r="AJ416" s="566"/>
      <c r="AK416" s="1802"/>
      <c r="AL416" s="1803"/>
      <c r="AM416" s="1532" t="s">
        <v>3764</v>
      </c>
      <c r="AN416" s="1532" t="s">
        <v>3764</v>
      </c>
      <c r="AO416" s="1509" t="s">
        <v>3764</v>
      </c>
      <c r="AP416" s="1532" t="s">
        <v>3764</v>
      </c>
      <c r="AQ416" s="1531" t="s">
        <v>3764</v>
      </c>
      <c r="AR416" s="566"/>
      <c r="AS416" s="556"/>
      <c r="AT416" s="1133" t="s">
        <v>68</v>
      </c>
      <c r="AU416" s="556"/>
      <c r="AV416" s="35" t="s">
        <v>551</v>
      </c>
      <c r="AW416" s="13"/>
    </row>
    <row r="417" spans="1:49" s="110" customFormat="1" ht="51" hidden="1" customHeight="1">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5"/>
        <v>0</v>
      </c>
      <c r="Q417" s="1208"/>
      <c r="R417" s="93">
        <f>OBRA!Q415</f>
        <v>0</v>
      </c>
      <c r="S417" s="1327">
        <f>OBRA!T415</f>
        <v>0</v>
      </c>
      <c r="T417" s="94">
        <f>OBRA!R415</f>
        <v>0</v>
      </c>
      <c r="U417" s="95">
        <f>OBRA!S415</f>
        <v>0</v>
      </c>
      <c r="V417" s="1206" t="s">
        <v>68</v>
      </c>
      <c r="W417" s="947">
        <f>OBRA!AQ415+OBRA!AR415</f>
        <v>0</v>
      </c>
      <c r="X417" s="1200" t="s">
        <v>68</v>
      </c>
      <c r="Y417" s="935">
        <f>OBRA!U415</f>
        <v>0</v>
      </c>
      <c r="Z417" s="935" t="s">
        <v>68</v>
      </c>
      <c r="AA417" s="460" t="s">
        <v>68</v>
      </c>
      <c r="AB417" s="935" t="s">
        <v>68</v>
      </c>
      <c r="AC417" s="1237" t="s">
        <v>68</v>
      </c>
      <c r="AD417" s="199">
        <f>OBRA!V415</f>
        <v>0</v>
      </c>
      <c r="AE417" s="90">
        <v>1</v>
      </c>
      <c r="AF417" s="91"/>
      <c r="AG417" s="936">
        <f t="shared" si="24"/>
        <v>0</v>
      </c>
      <c r="AH417" s="91">
        <v>0</v>
      </c>
      <c r="AI417" s="564"/>
      <c r="AJ417" s="564"/>
      <c r="AK417" s="1804"/>
      <c r="AL417" s="1805"/>
      <c r="AM417" s="631"/>
      <c r="AN417" s="942" t="s">
        <v>68</v>
      </c>
      <c r="AO417" s="942" t="s">
        <v>68</v>
      </c>
      <c r="AP417" s="462" t="s">
        <v>68</v>
      </c>
      <c r="AQ417" s="89" t="s">
        <v>68</v>
      </c>
      <c r="AR417" s="564"/>
      <c r="AS417" s="564"/>
      <c r="AT417" s="1160" t="s">
        <v>68</v>
      </c>
      <c r="AU417" s="564"/>
      <c r="AV417" s="96"/>
      <c r="AW417" s="109"/>
    </row>
    <row r="418" spans="1:49" s="110" customFormat="1" ht="51" hidden="1" customHeight="1">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5"/>
        <v>0</v>
      </c>
      <c r="Q418" s="1208"/>
      <c r="R418" s="93">
        <f>OBRA!Q416</f>
        <v>0</v>
      </c>
      <c r="S418" s="1327">
        <f>OBRA!T416</f>
        <v>0</v>
      </c>
      <c r="T418" s="94">
        <f>OBRA!R416</f>
        <v>0</v>
      </c>
      <c r="U418" s="95">
        <f>OBRA!S416</f>
        <v>0</v>
      </c>
      <c r="V418" s="1206" t="s">
        <v>68</v>
      </c>
      <c r="W418" s="947">
        <f>OBRA!AQ416+OBRA!AR416</f>
        <v>0</v>
      </c>
      <c r="X418" s="1200" t="s">
        <v>68</v>
      </c>
      <c r="Y418" s="935">
        <f>OBRA!U416</f>
        <v>0</v>
      </c>
      <c r="Z418" s="935" t="s">
        <v>68</v>
      </c>
      <c r="AA418" s="460" t="s">
        <v>68</v>
      </c>
      <c r="AB418" s="935" t="s">
        <v>68</v>
      </c>
      <c r="AC418" s="460" t="s">
        <v>68</v>
      </c>
      <c r="AD418" s="199">
        <f>OBRA!V416</f>
        <v>0</v>
      </c>
      <c r="AE418" s="90">
        <v>1</v>
      </c>
      <c r="AF418" s="91"/>
      <c r="AG418" s="936">
        <f t="shared" si="24"/>
        <v>0</v>
      </c>
      <c r="AH418" s="91">
        <v>0</v>
      </c>
      <c r="AI418" s="564"/>
      <c r="AJ418" s="564"/>
      <c r="AK418" s="1804"/>
      <c r="AL418" s="1805"/>
      <c r="AM418" s="631"/>
      <c r="AN418" s="942" t="s">
        <v>68</v>
      </c>
      <c r="AO418" s="942" t="s">
        <v>68</v>
      </c>
      <c r="AP418" s="462" t="s">
        <v>68</v>
      </c>
      <c r="AQ418" s="89" t="s">
        <v>68</v>
      </c>
      <c r="AR418" s="564"/>
      <c r="AS418" s="564"/>
      <c r="AT418" s="1160" t="s">
        <v>68</v>
      </c>
      <c r="AU418" s="564"/>
      <c r="AV418" s="96"/>
      <c r="AW418" s="109"/>
    </row>
    <row r="419" spans="1:49" ht="77.25" hidden="1" customHeight="1">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2560</v>
      </c>
      <c r="N419" s="510" t="s">
        <v>3538</v>
      </c>
      <c r="O419" s="4">
        <f>OBRA!P417</f>
        <v>82700.09</v>
      </c>
      <c r="P419" s="1208">
        <f t="shared" si="25"/>
        <v>71293.181034482754</v>
      </c>
      <c r="Q419" s="1208"/>
      <c r="R419" s="6">
        <f>OBRA!Q417</f>
        <v>43754</v>
      </c>
      <c r="S419" s="1327">
        <f>OBRA!T417</f>
        <v>43753</v>
      </c>
      <c r="T419" s="5">
        <f>OBRA!R417</f>
        <v>43755</v>
      </c>
      <c r="U419" s="12">
        <f>OBRA!S417</f>
        <v>43767</v>
      </c>
      <c r="V419" s="1204" t="s">
        <v>1431</v>
      </c>
      <c r="W419" s="305">
        <f>OBRA!AQ417+OBRA!AR417</f>
        <v>82700.08</v>
      </c>
      <c r="X419" s="1235" t="s">
        <v>2832</v>
      </c>
      <c r="Y419" s="639" t="str">
        <f>OBRA!U417</f>
        <v>INGENIERÍA ARQUITECTURA MENDPAD S.A. DE C.V.</v>
      </c>
      <c r="Z419" s="639" t="s">
        <v>5823</v>
      </c>
      <c r="AA419" s="640" t="s">
        <v>2175</v>
      </c>
      <c r="AB419" s="675" t="s">
        <v>2153</v>
      </c>
      <c r="AC419" s="650" t="s">
        <v>2798</v>
      </c>
      <c r="AD419" s="198" t="str">
        <f>OBRA!V417</f>
        <v>LIC. SALVADOR CONTRERAS OLGUÍN</v>
      </c>
      <c r="AE419" s="174">
        <v>55</v>
      </c>
      <c r="AF419" s="202" t="s">
        <v>1454</v>
      </c>
      <c r="AG419" s="694">
        <f t="shared" si="24"/>
        <v>1503.6378181818181</v>
      </c>
      <c r="AH419" s="202">
        <v>80</v>
      </c>
      <c r="AI419" s="566">
        <v>80</v>
      </c>
      <c r="AJ419" s="566"/>
      <c r="AK419" s="1802"/>
      <c r="AL419" s="1803"/>
      <c r="AM419" s="1509" t="s">
        <v>3765</v>
      </c>
      <c r="AN419" s="1509" t="s">
        <v>3765</v>
      </c>
      <c r="AO419" s="1509" t="s">
        <v>3765</v>
      </c>
      <c r="AP419" s="1509" t="s">
        <v>3765</v>
      </c>
      <c r="AQ419" s="1531" t="s">
        <v>3765</v>
      </c>
      <c r="AR419" s="556"/>
      <c r="AS419" s="556"/>
      <c r="AT419" s="1133" t="s">
        <v>68</v>
      </c>
      <c r="AU419" s="556"/>
      <c r="AV419" s="35" t="s">
        <v>551</v>
      </c>
      <c r="AW419" s="13"/>
    </row>
    <row r="420" spans="1:49" ht="85.5" hidden="1" customHeight="1">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3538</v>
      </c>
      <c r="O420" s="4">
        <f>OBRA!P418</f>
        <v>118488.2</v>
      </c>
      <c r="P420" s="1208">
        <f t="shared" si="25"/>
        <v>102145</v>
      </c>
      <c r="Q420" s="1208"/>
      <c r="R420" s="6">
        <f>OBRA!Q418</f>
        <v>43794</v>
      </c>
      <c r="S420" s="1327">
        <f>OBRA!T418</f>
        <v>43794</v>
      </c>
      <c r="T420" s="5">
        <f>OBRA!R418</f>
        <v>43795</v>
      </c>
      <c r="U420" s="12">
        <f>OBRA!S418</f>
        <v>43813</v>
      </c>
      <c r="V420" s="1204" t="s">
        <v>1431</v>
      </c>
      <c r="W420" s="1198">
        <f>OBRA!AQ418+OBRA!AR418</f>
        <v>117816.14</v>
      </c>
      <c r="X420" s="1235" t="s">
        <v>2833</v>
      </c>
      <c r="Y420" s="639" t="str">
        <f>OBRA!U418</f>
        <v>INGENIERÍA ARQUITECTURA MENDPAD S.A. DE C.V.</v>
      </c>
      <c r="Z420" s="639" t="s">
        <v>5823</v>
      </c>
      <c r="AA420" s="640" t="s">
        <v>2175</v>
      </c>
      <c r="AB420" s="652" t="s">
        <v>2153</v>
      </c>
      <c r="AC420" s="650" t="s">
        <v>2798</v>
      </c>
      <c r="AD420" s="200" t="str">
        <f>OBRA!V418</f>
        <v>LIC. SALVADOR CONTRERAS OLGUÍN</v>
      </c>
      <c r="AE420" s="174">
        <v>42</v>
      </c>
      <c r="AF420" s="202" t="s">
        <v>1454</v>
      </c>
      <c r="AG420" s="694">
        <f t="shared" si="24"/>
        <v>2805.1461904761904</v>
      </c>
      <c r="AH420" s="202">
        <v>100</v>
      </c>
      <c r="AI420" s="566">
        <v>1000</v>
      </c>
      <c r="AJ420" s="566"/>
      <c r="AK420" s="1802"/>
      <c r="AL420" s="1803"/>
      <c r="AM420" s="1509" t="s">
        <v>3766</v>
      </c>
      <c r="AN420" s="1509" t="s">
        <v>3766</v>
      </c>
      <c r="AO420" s="1509" t="s">
        <v>3766</v>
      </c>
      <c r="AP420" s="1509" t="s">
        <v>3766</v>
      </c>
      <c r="AQ420" s="1531" t="s">
        <v>3766</v>
      </c>
      <c r="AR420" s="556"/>
      <c r="AS420" s="556"/>
      <c r="AT420" s="1133" t="s">
        <v>68</v>
      </c>
      <c r="AU420" s="556"/>
      <c r="AV420" s="35" t="s">
        <v>551</v>
      </c>
      <c r="AW420" s="13"/>
    </row>
    <row r="421" spans="1:49" ht="86.25" hidden="1" customHeight="1">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3538</v>
      </c>
      <c r="O421" s="4">
        <f>OBRA!P419</f>
        <v>267068.21999999997</v>
      </c>
      <c r="P421" s="1208">
        <f t="shared" si="25"/>
        <v>230231.22413793101</v>
      </c>
      <c r="Q421" s="1208"/>
      <c r="R421" s="6">
        <f>OBRA!Q419</f>
        <v>43794</v>
      </c>
      <c r="S421" s="1327">
        <f>OBRA!T419</f>
        <v>43794</v>
      </c>
      <c r="T421" s="5">
        <f>OBRA!R419</f>
        <v>43801</v>
      </c>
      <c r="U421" s="12">
        <f>OBRA!S419</f>
        <v>43830</v>
      </c>
      <c r="V421" s="1204" t="s">
        <v>1431</v>
      </c>
      <c r="W421" s="1198">
        <f>OBRA!AQ419+OBRA!AR419</f>
        <v>256679.4</v>
      </c>
      <c r="X421" s="1235" t="s">
        <v>2834</v>
      </c>
      <c r="Y421" s="639" t="str">
        <f>OBRA!U419</f>
        <v>INGENIERÍA ARQUITECTURA MENDPAD S.A. DE C.V.</v>
      </c>
      <c r="Z421" s="639" t="s">
        <v>5823</v>
      </c>
      <c r="AA421" s="640" t="s">
        <v>2175</v>
      </c>
      <c r="AB421" s="652" t="s">
        <v>2153</v>
      </c>
      <c r="AC421" s="650" t="s">
        <v>2798</v>
      </c>
      <c r="AD421" s="200" t="str">
        <f>OBRA!V419</f>
        <v>LIC. SALVADOR CONTRERAS OLGUÍN</v>
      </c>
      <c r="AE421" s="174">
        <v>432</v>
      </c>
      <c r="AF421" s="202" t="s">
        <v>1552</v>
      </c>
      <c r="AG421" s="694">
        <f t="shared" si="24"/>
        <v>594.16527777777776</v>
      </c>
      <c r="AH421" s="202">
        <v>100</v>
      </c>
      <c r="AI421" s="566">
        <v>5000</v>
      </c>
      <c r="AJ421" s="566"/>
      <c r="AK421" s="1802"/>
      <c r="AL421" s="1803"/>
      <c r="AM421" s="1435" t="s">
        <v>3767</v>
      </c>
      <c r="AN421" s="1435" t="s">
        <v>3767</v>
      </c>
      <c r="AO421" s="1435" t="s">
        <v>3767</v>
      </c>
      <c r="AP421" s="1509" t="s">
        <v>3767</v>
      </c>
      <c r="AQ421" s="1531" t="s">
        <v>3767</v>
      </c>
      <c r="AR421" s="556"/>
      <c r="AS421" s="556"/>
      <c r="AT421" s="1133" t="s">
        <v>68</v>
      </c>
      <c r="AU421" s="556"/>
      <c r="AV421" s="35" t="s">
        <v>551</v>
      </c>
      <c r="AW421" s="13"/>
    </row>
    <row r="422" spans="1:49" ht="50.25" hidden="1" customHeight="1">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401"/>
      <c r="M422" s="1701"/>
      <c r="N422" s="996"/>
      <c r="O422" s="4">
        <f>OBRA!P420</f>
        <v>0</v>
      </c>
      <c r="P422" s="1208">
        <f t="shared" si="25"/>
        <v>0</v>
      </c>
      <c r="Q422" s="1208"/>
      <c r="R422" s="214">
        <f>OBRA!Q420</f>
        <v>0</v>
      </c>
      <c r="S422" s="1408">
        <f>OBRA!T420</f>
        <v>0</v>
      </c>
      <c r="T422" s="521">
        <f>OBRA!R420</f>
        <v>0</v>
      </c>
      <c r="U422" s="559">
        <f>OBRA!S420</f>
        <v>0</v>
      </c>
      <c r="V422" s="1702"/>
      <c r="W422" s="1199">
        <f>OBRA!AQ420+OBRA!AR420</f>
        <v>0</v>
      </c>
      <c r="X422" s="1201"/>
      <c r="Y422" s="1372">
        <f>OBRA!U420</f>
        <v>0</v>
      </c>
      <c r="Z422" s="1372" t="s">
        <v>68</v>
      </c>
      <c r="AA422" s="1373"/>
      <c r="AB422" s="1373"/>
      <c r="AC422" s="1372"/>
      <c r="AD422" s="200">
        <f>OBRA!V420</f>
        <v>0</v>
      </c>
      <c r="AE422" s="169"/>
      <c r="AF422" s="560"/>
      <c r="AG422" s="720" t="e">
        <f t="shared" si="24"/>
        <v>#DIV/0!</v>
      </c>
      <c r="AH422" s="560"/>
      <c r="AI422" s="556"/>
      <c r="AJ422" s="556"/>
      <c r="AK422" s="721"/>
      <c r="AL422" s="1806"/>
      <c r="AM422" s="631"/>
      <c r="AN422" s="631"/>
      <c r="AO422" s="631"/>
      <c r="AP422" s="1449"/>
      <c r="AQ422" s="1447"/>
      <c r="AR422" s="556"/>
      <c r="AS422" s="556"/>
      <c r="AT422" s="1703"/>
      <c r="AU422" s="556"/>
      <c r="AV422" s="35"/>
      <c r="AW422" s="13"/>
    </row>
    <row r="423" spans="1:49" ht="102" hidden="1" customHeight="1">
      <c r="A423" s="17">
        <f>OBRA!I421</f>
        <v>2019</v>
      </c>
      <c r="B423" s="895" t="s">
        <v>2098</v>
      </c>
      <c r="C423" s="896">
        <v>196.38</v>
      </c>
      <c r="D423" s="1722" t="s">
        <v>4066</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66" t="s">
        <v>3832</v>
      </c>
      <c r="L423" s="495" t="s">
        <v>2917</v>
      </c>
      <c r="M423" s="495" t="s">
        <v>2613</v>
      </c>
      <c r="N423" s="510" t="s">
        <v>3538</v>
      </c>
      <c r="O423" s="4">
        <f>OBRA!P421</f>
        <v>875313.77</v>
      </c>
      <c r="P423" s="1208">
        <f t="shared" si="25"/>
        <v>754580.83620689658</v>
      </c>
      <c r="Q423" s="1208"/>
      <c r="R423" s="6">
        <f>OBRA!Q421</f>
        <v>43783</v>
      </c>
      <c r="S423" s="1327">
        <f>OBRA!T421</f>
        <v>43782</v>
      </c>
      <c r="T423" s="5">
        <f>OBRA!R421</f>
        <v>43784</v>
      </c>
      <c r="U423" s="12">
        <f>OBRA!S421</f>
        <v>43829</v>
      </c>
      <c r="V423" s="1204" t="s">
        <v>1431</v>
      </c>
      <c r="W423" s="1198">
        <f>OBRA!AQ421+OBRA!AR421</f>
        <v>875309.47</v>
      </c>
      <c r="X423" s="1235" t="s">
        <v>2918</v>
      </c>
      <c r="Y423" s="639" t="str">
        <f>OBRA!U421</f>
        <v>CONSTRUCTORA PIMONT S.A. DE C.V.</v>
      </c>
      <c r="Z423" s="639" t="s">
        <v>5823</v>
      </c>
      <c r="AA423" s="640" t="s">
        <v>1837</v>
      </c>
      <c r="AB423" s="652" t="s">
        <v>2147</v>
      </c>
      <c r="AC423" s="650" t="s">
        <v>2794</v>
      </c>
      <c r="AD423" s="200" t="str">
        <f>OBRA!V421</f>
        <v>LIC. SALVADOR CONTRERAS OLGUÍN</v>
      </c>
      <c r="AE423" s="174">
        <v>95.9</v>
      </c>
      <c r="AF423" s="202" t="s">
        <v>1552</v>
      </c>
      <c r="AG423" s="694">
        <f t="shared" si="24"/>
        <v>9127.3145985401443</v>
      </c>
      <c r="AH423" s="202">
        <v>300</v>
      </c>
      <c r="AI423" s="566">
        <v>2000</v>
      </c>
      <c r="AJ423" s="566"/>
      <c r="AK423" s="1802"/>
      <c r="AL423" s="1803"/>
      <c r="AM423" s="1435" t="s">
        <v>3768</v>
      </c>
      <c r="AN423" s="1435" t="s">
        <v>3768</v>
      </c>
      <c r="AO423" s="1435" t="s">
        <v>3768</v>
      </c>
      <c r="AP423" s="1509" t="s">
        <v>3768</v>
      </c>
      <c r="AQ423" s="1531" t="s">
        <v>3768</v>
      </c>
      <c r="AR423" s="1426"/>
      <c r="AS423" s="1426"/>
      <c r="AT423" s="1493" t="s">
        <v>68</v>
      </c>
      <c r="AU423" s="1426"/>
      <c r="AV423" s="35" t="s">
        <v>551</v>
      </c>
      <c r="AW423" s="13"/>
    </row>
    <row r="424" spans="1:49" ht="57.75" hidden="1" customHeight="1">
      <c r="A424" s="17">
        <f>OBRA!I422</f>
        <v>2020</v>
      </c>
      <c r="B424" s="895" t="s">
        <v>2098</v>
      </c>
      <c r="C424" s="895">
        <v>200.03</v>
      </c>
      <c r="D424" s="895"/>
      <c r="E424" s="2" t="str">
        <f>OBRA!K422</f>
        <v>CEAJ / CUENTA CORRIENTE</v>
      </c>
      <c r="F424" s="681" t="s">
        <v>3563</v>
      </c>
      <c r="G424" s="249" t="s">
        <v>2900</v>
      </c>
      <c r="H424" s="633" t="str">
        <f>OBRA!L422</f>
        <v>CEAJ-PERF-002/2020</v>
      </c>
      <c r="I424" s="2" t="str">
        <f>OBRA!M422</f>
        <v>CONVENIO</v>
      </c>
      <c r="J424" s="3" t="str">
        <f>OBRA!N422</f>
        <v>CONVENIO PARA LA PERFORACIÓN DE UN POZO PROFUNDO PARA AGUA POTABLE</v>
      </c>
      <c r="K424" s="328" t="s">
        <v>4087</v>
      </c>
      <c r="L424" s="780" t="s">
        <v>4020</v>
      </c>
      <c r="M424" s="780" t="s">
        <v>2699</v>
      </c>
      <c r="N424" s="554" t="s">
        <v>3563</v>
      </c>
      <c r="O424" s="4">
        <f>OBRA!P422</f>
        <v>962427.31</v>
      </c>
      <c r="P424" s="1208">
        <f t="shared" si="25"/>
        <v>829678.71551724151</v>
      </c>
      <c r="Q424" s="1208"/>
      <c r="R424" s="6">
        <f>OBRA!Q422</f>
        <v>43943</v>
      </c>
      <c r="S424" s="1327" t="s">
        <v>1177</v>
      </c>
      <c r="T424" s="5" t="str">
        <f>OBRA!R422</f>
        <v>-</v>
      </c>
      <c r="U424" s="12" t="str">
        <f>OBRA!S422</f>
        <v>-</v>
      </c>
      <c r="V424" s="1405">
        <v>0</v>
      </c>
      <c r="W424" s="1407">
        <f>W431</f>
        <v>0</v>
      </c>
      <c r="X424" s="1202" t="s">
        <v>68</v>
      </c>
      <c r="Y424" s="639" t="str">
        <f>OBRA!U422</f>
        <v>N/A</v>
      </c>
      <c r="Z424" s="639" t="s">
        <v>68</v>
      </c>
      <c r="AA424" s="640" t="str">
        <f t="shared" ref="AA424:AA456" si="26">Y424</f>
        <v>N/A</v>
      </c>
      <c r="AB424" s="640" t="s">
        <v>68</v>
      </c>
      <c r="AC424" s="1281" t="s">
        <v>1431</v>
      </c>
      <c r="AD424" s="198" t="str">
        <f>OBRA!V422</f>
        <v>N/A</v>
      </c>
      <c r="AE424" s="174">
        <v>1</v>
      </c>
      <c r="AF424" s="202" t="s">
        <v>1466</v>
      </c>
      <c r="AG424" s="694">
        <f t="shared" ref="AG424:AG429" si="27">O424/AE424</f>
        <v>962427.31</v>
      </c>
      <c r="AH424" s="202">
        <v>400</v>
      </c>
      <c r="AI424" s="566">
        <v>400</v>
      </c>
      <c r="AJ424" s="566"/>
      <c r="AK424" s="1802"/>
      <c r="AL424" s="1803"/>
      <c r="AM424" s="629" t="s">
        <v>3539</v>
      </c>
      <c r="AN424" s="1304" t="s">
        <v>68</v>
      </c>
      <c r="AO424" s="1304" t="s">
        <v>68</v>
      </c>
      <c r="AP424" s="1140" t="s">
        <v>68</v>
      </c>
      <c r="AQ424" s="1138" t="s">
        <v>68</v>
      </c>
      <c r="AR424" s="1139" t="s">
        <v>68</v>
      </c>
      <c r="AS424" s="1139" t="s">
        <v>68</v>
      </c>
      <c r="AT424" s="1139" t="s">
        <v>68</v>
      </c>
      <c r="AU424" s="1139" t="s">
        <v>68</v>
      </c>
      <c r="AV424" s="180" t="s">
        <v>551</v>
      </c>
      <c r="AW424" s="13"/>
    </row>
    <row r="425" spans="1:49" ht="56.25" hidden="1" customHeight="1">
      <c r="A425" s="17">
        <f>OBRA!I423</f>
        <v>2020</v>
      </c>
      <c r="B425" s="895" t="s">
        <v>2098</v>
      </c>
      <c r="C425" s="895">
        <v>200.04</v>
      </c>
      <c r="D425" s="895"/>
      <c r="E425" s="2" t="str">
        <f>OBRA!K423</f>
        <v>RESCATE AL PATRIMONIO</v>
      </c>
      <c r="F425" s="681" t="s">
        <v>3563</v>
      </c>
      <c r="G425" s="249" t="s">
        <v>2900</v>
      </c>
      <c r="H425" s="633" t="str">
        <f>OBRA!L423</f>
        <v>CULTURA 2020</v>
      </c>
      <c r="I425" s="2" t="str">
        <f>OBRA!M423</f>
        <v>CONVENIO</v>
      </c>
      <c r="J425" s="3" t="str">
        <f>OBRA!N423</f>
        <v>REMOZAMIENTO Y MEJORAMIENTO  DE IMAGEN URBANA DEL TEMPLO DEL SEÑOR DEL MONTE</v>
      </c>
      <c r="K425" s="328" t="s">
        <v>4088</v>
      </c>
      <c r="L425" s="780" t="s">
        <v>4021</v>
      </c>
      <c r="M425" s="780" t="s">
        <v>2699</v>
      </c>
      <c r="N425" s="554" t="s">
        <v>3563</v>
      </c>
      <c r="O425" s="4">
        <f>OBRA!P423</f>
        <v>1600000</v>
      </c>
      <c r="P425" s="1208">
        <f t="shared" si="25"/>
        <v>1379310.3448275863</v>
      </c>
      <c r="Q425" s="1208"/>
      <c r="R425" s="6">
        <f>OBRA!Q423</f>
        <v>44162</v>
      </c>
      <c r="S425" s="1327" t="s">
        <v>1177</v>
      </c>
      <c r="T425" s="5" t="str">
        <f>OBRA!R423</f>
        <v>-</v>
      </c>
      <c r="U425" s="12" t="str">
        <f>OBRA!S423</f>
        <v>-</v>
      </c>
      <c r="V425" s="1405">
        <v>0</v>
      </c>
      <c r="W425" s="1353">
        <v>1600000</v>
      </c>
      <c r="X425" s="1202" t="s">
        <v>68</v>
      </c>
      <c r="Y425" s="639" t="str">
        <f>OBRA!U423</f>
        <v>N/A</v>
      </c>
      <c r="Z425" s="639" t="s">
        <v>68</v>
      </c>
      <c r="AA425" s="640" t="str">
        <f t="shared" si="26"/>
        <v>N/A</v>
      </c>
      <c r="AB425" s="640" t="s">
        <v>68</v>
      </c>
      <c r="AC425" s="1281" t="s">
        <v>1431</v>
      </c>
      <c r="AD425" s="198" t="str">
        <f>OBRA!V423</f>
        <v>N/A</v>
      </c>
      <c r="AE425" s="174">
        <v>2</v>
      </c>
      <c r="AF425" s="202" t="s">
        <v>3255</v>
      </c>
      <c r="AG425" s="694">
        <f t="shared" si="27"/>
        <v>800000</v>
      </c>
      <c r="AH425" s="202">
        <v>3600</v>
      </c>
      <c r="AI425" s="566">
        <v>3600</v>
      </c>
      <c r="AJ425" s="566"/>
      <c r="AK425" s="1802"/>
      <c r="AL425" s="1803"/>
      <c r="AM425" s="629" t="s">
        <v>3539</v>
      </c>
      <c r="AN425" s="1304" t="s">
        <v>68</v>
      </c>
      <c r="AO425" s="1304" t="s">
        <v>68</v>
      </c>
      <c r="AP425" s="1140" t="s">
        <v>68</v>
      </c>
      <c r="AQ425" s="1138" t="s">
        <v>68</v>
      </c>
      <c r="AR425" s="1139" t="s">
        <v>68</v>
      </c>
      <c r="AS425" s="1139" t="s">
        <v>68</v>
      </c>
      <c r="AT425" s="1139" t="s">
        <v>68</v>
      </c>
      <c r="AU425" s="1139" t="s">
        <v>68</v>
      </c>
      <c r="AV425" s="180" t="s">
        <v>551</v>
      </c>
      <c r="AW425" s="13"/>
    </row>
    <row r="426" spans="1:49" s="197" customFormat="1" ht="78" hidden="1" customHeight="1">
      <c r="A426" s="327">
        <f>OBRA!I424</f>
        <v>2020</v>
      </c>
      <c r="B426" s="896" t="s">
        <v>2098</v>
      </c>
      <c r="C426" s="896">
        <v>200.06</v>
      </c>
      <c r="D426" s="896"/>
      <c r="E426" s="202" t="str">
        <f>OBRA!K424</f>
        <v>FOCOCI</v>
      </c>
      <c r="F426" s="681" t="s">
        <v>3563</v>
      </c>
      <c r="G426" s="249" t="s">
        <v>2900</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4089</v>
      </c>
      <c r="L426" s="780" t="s">
        <v>4022</v>
      </c>
      <c r="M426" s="780" t="s">
        <v>2611</v>
      </c>
      <c r="N426" s="554" t="s">
        <v>3563</v>
      </c>
      <c r="O426" s="85">
        <f>OBRA!P424</f>
        <v>20000000</v>
      </c>
      <c r="P426" s="85">
        <f t="shared" si="25"/>
        <v>17241379.31034483</v>
      </c>
      <c r="Q426" s="85"/>
      <c r="R426" s="69">
        <f>OBRA!Q424</f>
        <v>44054</v>
      </c>
      <c r="S426" s="1327" t="s">
        <v>1177</v>
      </c>
      <c r="T426" s="255" t="str">
        <f>OBRA!R424</f>
        <v>-</v>
      </c>
      <c r="U426" s="245" t="str">
        <f>OBRA!S424</f>
        <v>-</v>
      </c>
      <c r="V426" s="1709">
        <v>0</v>
      </c>
      <c r="W426" s="1353">
        <f>W517+W518+W519+W520</f>
        <v>19799889.41</v>
      </c>
      <c r="X426" s="1235" t="s">
        <v>68</v>
      </c>
      <c r="Y426" s="650" t="str">
        <f>OBRA!U424</f>
        <v>N/A</v>
      </c>
      <c r="Z426" s="650" t="s">
        <v>68</v>
      </c>
      <c r="AA426" s="652" t="str">
        <f t="shared" si="26"/>
        <v>N/A</v>
      </c>
      <c r="AB426" s="652" t="s">
        <v>68</v>
      </c>
      <c r="AC426" s="650" t="s">
        <v>1431</v>
      </c>
      <c r="AD426" s="200" t="str">
        <f>OBRA!V424</f>
        <v>N/A</v>
      </c>
      <c r="AE426" s="174"/>
      <c r="AF426" s="202"/>
      <c r="AG426" s="694" t="e">
        <f t="shared" si="27"/>
        <v>#DIV/0!</v>
      </c>
      <c r="AH426" s="202"/>
      <c r="AI426" s="566"/>
      <c r="AJ426" s="566"/>
      <c r="AK426" s="1802"/>
      <c r="AL426" s="1803"/>
      <c r="AM426" s="629"/>
      <c r="AN426" s="1304" t="s">
        <v>68</v>
      </c>
      <c r="AO426" s="1304" t="s">
        <v>68</v>
      </c>
      <c r="AP426" s="1140" t="s">
        <v>68</v>
      </c>
      <c r="AQ426" s="1138" t="s">
        <v>68</v>
      </c>
      <c r="AR426" s="1139" t="s">
        <v>68</v>
      </c>
      <c r="AS426" s="1139" t="s">
        <v>68</v>
      </c>
      <c r="AT426" s="1139" t="s">
        <v>68</v>
      </c>
      <c r="AU426" s="1139" t="s">
        <v>68</v>
      </c>
      <c r="AV426" s="180" t="s">
        <v>551</v>
      </c>
      <c r="AW426" s="329"/>
    </row>
    <row r="427" spans="1:49" s="110" customFormat="1" ht="54.75" hidden="1" customHeight="1">
      <c r="A427" s="17">
        <f>OBRA!I425</f>
        <v>2020</v>
      </c>
      <c r="B427" s="895" t="s">
        <v>2098</v>
      </c>
      <c r="C427" s="895">
        <v>200.18</v>
      </c>
      <c r="D427" s="895"/>
      <c r="E427" s="2" t="str">
        <f>OBRA!K425</f>
        <v xml:space="preserve">RASTRO DIGNO </v>
      </c>
      <c r="F427" s="681" t="s">
        <v>3563</v>
      </c>
      <c r="G427" s="249" t="s">
        <v>2900</v>
      </c>
      <c r="H427" s="633" t="str">
        <f>OBRA!L425</f>
        <v>RASTRO DIGNO 2020</v>
      </c>
      <c r="I427" s="2" t="str">
        <f>OBRA!M425</f>
        <v>CONVENIO</v>
      </c>
      <c r="J427" s="3" t="str">
        <f>OBRA!N425</f>
        <v>PROGRAMA PARA MEJORAMIENTO DE RASTROS "RASTRO DIGNO", EJERCICIO 2020</v>
      </c>
      <c r="K427" s="328" t="s">
        <v>2906</v>
      </c>
      <c r="L427" s="780" t="s">
        <v>2006</v>
      </c>
      <c r="M427" s="780" t="s">
        <v>1979</v>
      </c>
      <c r="N427" s="554" t="s">
        <v>3563</v>
      </c>
      <c r="O427" s="4">
        <f>OBRA!P425</f>
        <v>2755548.61</v>
      </c>
      <c r="P427" s="1208">
        <f t="shared" si="25"/>
        <v>2375472.9396551726</v>
      </c>
      <c r="Q427" s="1208"/>
      <c r="R427" s="6">
        <f>OBRA!Q425</f>
        <v>44174</v>
      </c>
      <c r="S427" s="1327" t="s">
        <v>1177</v>
      </c>
      <c r="T427" s="5" t="str">
        <f>OBRA!R425</f>
        <v>-</v>
      </c>
      <c r="U427" s="12" t="str">
        <f>OBRA!S425</f>
        <v>-</v>
      </c>
      <c r="V427" s="1405">
        <v>0</v>
      </c>
      <c r="W427" s="1355">
        <f>W524</f>
        <v>0</v>
      </c>
      <c r="X427" s="1202" t="s">
        <v>68</v>
      </c>
      <c r="Y427" s="639" t="str">
        <f>OBRA!U425</f>
        <v>N/A</v>
      </c>
      <c r="Z427" s="639" t="s">
        <v>68</v>
      </c>
      <c r="AA427" s="640" t="str">
        <f t="shared" si="26"/>
        <v>N/A</v>
      </c>
      <c r="AB427" s="640" t="s">
        <v>68</v>
      </c>
      <c r="AC427" s="1281" t="s">
        <v>1431</v>
      </c>
      <c r="AD427" s="198" t="str">
        <f>OBRA!V425</f>
        <v>N/A</v>
      </c>
      <c r="AE427" s="174">
        <v>2</v>
      </c>
      <c r="AF427" s="202" t="s">
        <v>3255</v>
      </c>
      <c r="AG427" s="694">
        <f t="shared" si="27"/>
        <v>1377774.3049999999</v>
      </c>
      <c r="AH427" s="202">
        <v>16000</v>
      </c>
      <c r="AI427" s="566">
        <v>16000</v>
      </c>
      <c r="AJ427" s="566"/>
      <c r="AK427" s="1802"/>
      <c r="AL427" s="1803"/>
      <c r="AM427" s="629" t="s">
        <v>3539</v>
      </c>
      <c r="AN427" s="1304" t="s">
        <v>68</v>
      </c>
      <c r="AO427" s="1304" t="s">
        <v>68</v>
      </c>
      <c r="AP427" s="1140" t="s">
        <v>68</v>
      </c>
      <c r="AQ427" s="1138" t="s">
        <v>68</v>
      </c>
      <c r="AR427" s="1139" t="s">
        <v>68</v>
      </c>
      <c r="AS427" s="1139" t="s">
        <v>68</v>
      </c>
      <c r="AT427" s="1139" t="s">
        <v>68</v>
      </c>
      <c r="AU427" s="1139" t="s">
        <v>68</v>
      </c>
      <c r="AV427" s="180" t="s">
        <v>551</v>
      </c>
      <c r="AW427" s="13"/>
    </row>
    <row r="428" spans="1:49" ht="72" hidden="1" customHeight="1">
      <c r="A428" s="17">
        <f>OBRA!I426</f>
        <v>2020</v>
      </c>
      <c r="B428" s="895" t="s">
        <v>2098</v>
      </c>
      <c r="C428" s="895">
        <v>200.19</v>
      </c>
      <c r="D428" s="895"/>
      <c r="E428" s="2" t="str">
        <f>OBRA!K426</f>
        <v>EMP P/LA REACTIVACIÓN ECONÓMICA EN MPIOS</v>
      </c>
      <c r="F428" s="681" t="s">
        <v>3563</v>
      </c>
      <c r="G428" s="249" t="s">
        <v>2900</v>
      </c>
      <c r="H428" s="633" t="str">
        <f>OBRA!L426</f>
        <v>SADER/DGIR/EMP/057/2020</v>
      </c>
      <c r="I428" s="2" t="str">
        <f>OBRA!M426</f>
        <v>CONVENIO</v>
      </c>
      <c r="J428" s="3" t="str">
        <f>OBRA!N426</f>
        <v xml:space="preserve">PROGRAMA DE EMPEDRADOS PARA LA REACTIVACIÓN ECONÓMICA EN MUNICIPIOS </v>
      </c>
      <c r="K428" s="328" t="s">
        <v>4090</v>
      </c>
      <c r="L428" s="780" t="s">
        <v>2125</v>
      </c>
      <c r="M428" s="780" t="s">
        <v>1979</v>
      </c>
      <c r="N428" s="554" t="s">
        <v>3563</v>
      </c>
      <c r="O428" s="4">
        <f>OBRA!P426</f>
        <v>7000000</v>
      </c>
      <c r="P428" s="1208">
        <f t="shared" si="25"/>
        <v>6034482.7586206896</v>
      </c>
      <c r="Q428" s="1208"/>
      <c r="R428" s="6">
        <f>OBRA!Q426</f>
        <v>44085</v>
      </c>
      <c r="S428" s="1327" t="s">
        <v>1177</v>
      </c>
      <c r="T428" s="5" t="str">
        <f>OBRA!R426</f>
        <v>-</v>
      </c>
      <c r="U428" s="12" t="str">
        <f>OBRA!S426</f>
        <v>-</v>
      </c>
      <c r="V428" s="1405">
        <v>0</v>
      </c>
      <c r="W428" s="1355">
        <f>W435+W437+W439+W440+W442+W444+W446+W448+W450+W452+W453+W455</f>
        <v>0</v>
      </c>
      <c r="X428" s="1202" t="s">
        <v>68</v>
      </c>
      <c r="Y428" s="639" t="str">
        <f>OBRA!U426</f>
        <v>N/A</v>
      </c>
      <c r="Z428" s="639" t="s">
        <v>68</v>
      </c>
      <c r="AA428" s="640" t="str">
        <f t="shared" si="26"/>
        <v>N/A</v>
      </c>
      <c r="AB428" s="640" t="s">
        <v>68</v>
      </c>
      <c r="AC428" s="1281" t="s">
        <v>1431</v>
      </c>
      <c r="AD428" s="198" t="str">
        <f>OBRA!V426</f>
        <v>N/A</v>
      </c>
      <c r="AE428" s="174">
        <v>2</v>
      </c>
      <c r="AF428" s="202" t="s">
        <v>3255</v>
      </c>
      <c r="AG428" s="694">
        <f t="shared" si="27"/>
        <v>3500000</v>
      </c>
      <c r="AH428" s="202">
        <v>22000</v>
      </c>
      <c r="AI428" s="566">
        <v>22000</v>
      </c>
      <c r="AJ428" s="566"/>
      <c r="AK428" s="1802"/>
      <c r="AL428" s="1803"/>
      <c r="AM428" s="629" t="s">
        <v>3539</v>
      </c>
      <c r="AN428" s="1304" t="s">
        <v>68</v>
      </c>
      <c r="AO428" s="1304" t="s">
        <v>68</v>
      </c>
      <c r="AP428" s="1140" t="s">
        <v>68</v>
      </c>
      <c r="AQ428" s="1138" t="s">
        <v>68</v>
      </c>
      <c r="AR428" s="1139" t="s">
        <v>68</v>
      </c>
      <c r="AS428" s="1139" t="s">
        <v>68</v>
      </c>
      <c r="AT428" s="1139" t="s">
        <v>68</v>
      </c>
      <c r="AU428" s="1139" t="s">
        <v>68</v>
      </c>
      <c r="AV428" s="180" t="s">
        <v>551</v>
      </c>
      <c r="AW428" s="13"/>
    </row>
    <row r="429" spans="1:49" ht="74.25" hidden="1" customHeight="1">
      <c r="A429" s="17">
        <f>OBRA!I427</f>
        <v>2020</v>
      </c>
      <c r="B429" s="895" t="s">
        <v>2098</v>
      </c>
      <c r="C429" s="895">
        <v>201.01</v>
      </c>
      <c r="D429" s="895"/>
      <c r="E429" s="2" t="str">
        <f>OBRA!K427</f>
        <v>CUENTA CORRIENTE</v>
      </c>
      <c r="F429" s="681" t="s">
        <v>3563</v>
      </c>
      <c r="G429" s="249" t="s">
        <v>2900</v>
      </c>
      <c r="H429" s="633" t="str">
        <f>OBRA!L427</f>
        <v>DOP/AD/001/2020</v>
      </c>
      <c r="I429" s="2" t="str">
        <f>OBRA!M427</f>
        <v>ADMINISTRACIÓN DIRECTA</v>
      </c>
      <c r="J429" s="3" t="str">
        <f>OBRA!N427</f>
        <v>"ADQUISICION DE MATERIALES PARA LA LINEA DE ALIMENTACION DEL DEPOSITO NUEVO , EN LA LOCALIDAD DE HUEJOTITAN, MUNICIPIO DE JOCOTEPEC, JALISCO"</v>
      </c>
      <c r="K429" s="328" t="s">
        <v>4091</v>
      </c>
      <c r="L429" s="780" t="s">
        <v>2166</v>
      </c>
      <c r="M429" s="780" t="s">
        <v>2542</v>
      </c>
      <c r="N429" s="554" t="s">
        <v>3695</v>
      </c>
      <c r="O429" s="4">
        <f>OBRA!P427</f>
        <v>149601.96</v>
      </c>
      <c r="P429" s="1208">
        <f t="shared" si="25"/>
        <v>128967.20689655172</v>
      </c>
      <c r="Q429" s="1208"/>
      <c r="R429" s="6">
        <f>OBRA!Q427</f>
        <v>43924</v>
      </c>
      <c r="S429" s="1327" t="s">
        <v>1177</v>
      </c>
      <c r="T429" s="5">
        <f>OBRA!R427</f>
        <v>43893</v>
      </c>
      <c r="U429" s="12">
        <f>OBRA!S427</f>
        <v>43982</v>
      </c>
      <c r="V429" s="1405">
        <v>0</v>
      </c>
      <c r="W429" s="1198">
        <f>OBRA!AQ427+OBRA!AR427</f>
        <v>148382.19</v>
      </c>
      <c r="X429" s="1202" t="s">
        <v>68</v>
      </c>
      <c r="Y429" s="639" t="str">
        <f>OBRA!U427</f>
        <v>N/A</v>
      </c>
      <c r="Z429" s="639" t="s">
        <v>68</v>
      </c>
      <c r="AA429" s="640" t="str">
        <f t="shared" si="26"/>
        <v>N/A</v>
      </c>
      <c r="AB429" s="640" t="s">
        <v>1177</v>
      </c>
      <c r="AC429" s="1281" t="s">
        <v>1177</v>
      </c>
      <c r="AD429" s="198" t="str">
        <f>OBRA!V427</f>
        <v>ING. JUAN MANUEL GARCIA ESCOTO</v>
      </c>
      <c r="AE429" s="174">
        <v>2</v>
      </c>
      <c r="AF429" s="202" t="s">
        <v>3255</v>
      </c>
      <c r="AG429" s="694">
        <f t="shared" si="27"/>
        <v>74800.98</v>
      </c>
      <c r="AH429" s="202">
        <v>48500</v>
      </c>
      <c r="AI429" s="566">
        <v>48500</v>
      </c>
      <c r="AJ429" s="566"/>
      <c r="AK429" s="1813">
        <v>20.359369999999998</v>
      </c>
      <c r="AL429" s="1814">
        <v>103.48399000000001</v>
      </c>
      <c r="AM429" s="629" t="s">
        <v>3539</v>
      </c>
      <c r="AN429" s="1304" t="s">
        <v>68</v>
      </c>
      <c r="AO429" s="1304" t="s">
        <v>68</v>
      </c>
      <c r="AP429" s="1140" t="s">
        <v>68</v>
      </c>
      <c r="AQ429" s="1138" t="s">
        <v>68</v>
      </c>
      <c r="AR429" s="1139" t="s">
        <v>68</v>
      </c>
      <c r="AS429" s="1139" t="s">
        <v>68</v>
      </c>
      <c r="AT429" s="1139" t="s">
        <v>68</v>
      </c>
      <c r="AU429" s="1139" t="s">
        <v>68</v>
      </c>
      <c r="AV429" s="180" t="s">
        <v>551</v>
      </c>
      <c r="AW429" s="13"/>
    </row>
    <row r="430" spans="1:49" ht="57.75" hidden="1" customHeight="1">
      <c r="A430" s="17">
        <f>OBRA!I428</f>
        <v>2020</v>
      </c>
      <c r="B430" s="895" t="s">
        <v>2098</v>
      </c>
      <c r="C430" s="895">
        <v>201.02</v>
      </c>
      <c r="D430" s="895"/>
      <c r="E430" s="2" t="str">
        <f>OBRA!K428</f>
        <v>CUENTA CORRIENTE</v>
      </c>
      <c r="F430" s="164" t="s">
        <v>1431</v>
      </c>
      <c r="G430" s="249" t="s">
        <v>2900</v>
      </c>
      <c r="H430" s="451" t="str">
        <f>OBRA!L428</f>
        <v>DOP/AD/002/2020</v>
      </c>
      <c r="I430" s="2" t="str">
        <f>OBRA!M428</f>
        <v>ADMINISTRACIÓN DIRECTA</v>
      </c>
      <c r="J430" s="3" t="str">
        <f>OBRA!N428</f>
        <v>"REHABILITACIÓN Y MANTENIMIENTO DE "LA CASA DE CULTURA SAN JUAN COSALA, DEL MUNICIPIO DE JOCOTEPEC, JALISCO.</v>
      </c>
      <c r="K430" s="597"/>
      <c r="L430" s="780" t="s">
        <v>3071</v>
      </c>
      <c r="M430" s="780" t="s">
        <v>2560</v>
      </c>
      <c r="N430" s="554" t="s">
        <v>3696</v>
      </c>
      <c r="O430" s="4">
        <f>OBRA!P428</f>
        <v>655000</v>
      </c>
      <c r="P430" s="1208">
        <f t="shared" si="25"/>
        <v>564655.17241379316</v>
      </c>
      <c r="Q430" s="1208"/>
      <c r="R430" s="6">
        <f>OBRA!Q428</f>
        <v>43924</v>
      </c>
      <c r="S430" s="1327" t="s">
        <v>1177</v>
      </c>
      <c r="T430" s="5">
        <f>OBRA!R428</f>
        <v>43924</v>
      </c>
      <c r="U430" s="12">
        <f>OBRA!S428</f>
        <v>44043</v>
      </c>
      <c r="V430" s="240">
        <v>0</v>
      </c>
      <c r="W430" s="1355">
        <f>OBRA!AQ428+OBRA!AR428</f>
        <v>0</v>
      </c>
      <c r="X430" s="1235" t="s">
        <v>2951</v>
      </c>
      <c r="Y430" s="639" t="str">
        <f>OBRA!U428</f>
        <v>N/A</v>
      </c>
      <c r="Z430" s="639" t="s">
        <v>68</v>
      </c>
      <c r="AA430" s="640" t="str">
        <f t="shared" si="26"/>
        <v>N/A</v>
      </c>
      <c r="AB430" s="640" t="s">
        <v>1177</v>
      </c>
      <c r="AC430" s="1281" t="s">
        <v>1177</v>
      </c>
      <c r="AD430" s="198" t="str">
        <f>OBRA!V428</f>
        <v>HACIENDA MPAL</v>
      </c>
      <c r="AE430" s="174">
        <v>152</v>
      </c>
      <c r="AF430" s="202" t="s">
        <v>1454</v>
      </c>
      <c r="AG430" s="694">
        <f t="shared" ref="AG430:AG461" si="28">W430/AE430</f>
        <v>0</v>
      </c>
      <c r="AH430" s="202">
        <v>650</v>
      </c>
      <c r="AI430" s="566">
        <v>650</v>
      </c>
      <c r="AJ430" s="566"/>
      <c r="AK430" s="1813">
        <v>20.287504999999999</v>
      </c>
      <c r="AL430" s="1814">
        <v>103.340613</v>
      </c>
      <c r="AM430" s="1452" t="s">
        <v>3695</v>
      </c>
      <c r="AN430" s="631"/>
      <c r="AO430" s="1435" t="s">
        <v>3695</v>
      </c>
      <c r="AP430" s="1435" t="s">
        <v>3695</v>
      </c>
      <c r="AQ430" s="1485"/>
      <c r="AR430" s="1494" t="s">
        <v>68</v>
      </c>
      <c r="AS430" s="1495" t="s">
        <v>68</v>
      </c>
      <c r="AT430" s="1483"/>
      <c r="AU430" s="1488"/>
      <c r="AV430" s="451"/>
      <c r="AW430" s="13"/>
    </row>
    <row r="431" spans="1:49" ht="70.5" hidden="1" customHeight="1">
      <c r="A431" s="17">
        <f>OBRA!I429</f>
        <v>2020</v>
      </c>
      <c r="B431" s="895" t="s">
        <v>2098</v>
      </c>
      <c r="C431" s="895">
        <v>201.03</v>
      </c>
      <c r="D431" s="1722"/>
      <c r="E431" s="2" t="str">
        <f>OBRA!K429</f>
        <v>CEAJ / CUENTA CORRIENTE</v>
      </c>
      <c r="F431" s="164" t="s">
        <v>1431</v>
      </c>
      <c r="G431" s="249" t="s">
        <v>2900</v>
      </c>
      <c r="H431" s="451" t="str">
        <f>OBRA!L429</f>
        <v>DOP/AD/003/2020</v>
      </c>
      <c r="I431" s="2" t="str">
        <f>OBRA!M429</f>
        <v>ADMINISTRACIÓN DIRECTA</v>
      </c>
      <c r="J431" s="3" t="str">
        <f>OBRA!N429</f>
        <v>"MATERIALES E INSUMOS NECESARIOS PARA LA PERFORACIÓN DE POZO PROFUNDO EN LA LOCALIDAD DE LAS TROJES, DEL MUNICIPIO DE JOCOTEPEC, JALISCO.</v>
      </c>
      <c r="K431" s="328" t="s">
        <v>4092</v>
      </c>
      <c r="L431" s="780" t="s">
        <v>4127</v>
      </c>
      <c r="M431" s="780" t="s">
        <v>2650</v>
      </c>
      <c r="N431" s="554" t="s">
        <v>3697</v>
      </c>
      <c r="O431" s="4">
        <f>OBRA!P429</f>
        <v>962427.31</v>
      </c>
      <c r="P431" s="1208">
        <f t="shared" si="25"/>
        <v>829678.71551724151</v>
      </c>
      <c r="Q431" s="1208"/>
      <c r="R431" s="6">
        <f>OBRA!Q429</f>
        <v>43945</v>
      </c>
      <c r="S431" s="1327" t="s">
        <v>1177</v>
      </c>
      <c r="T431" s="5">
        <f>OBRA!R429</f>
        <v>43945</v>
      </c>
      <c r="U431" s="12">
        <f>OBRA!S429</f>
        <v>44098</v>
      </c>
      <c r="V431" s="240">
        <v>0</v>
      </c>
      <c r="W431" s="1407">
        <f>OBRA!AQ429+OBRA!AR429</f>
        <v>0</v>
      </c>
      <c r="X431" s="1202" t="s">
        <v>2984</v>
      </c>
      <c r="Y431" s="639" t="str">
        <f>OBRA!U429</f>
        <v>N/A</v>
      </c>
      <c r="Z431" s="639" t="s">
        <v>68</v>
      </c>
      <c r="AA431" s="640" t="str">
        <f t="shared" si="26"/>
        <v>N/A</v>
      </c>
      <c r="AB431" s="640" t="s">
        <v>1177</v>
      </c>
      <c r="AC431" s="1281" t="s">
        <v>1177</v>
      </c>
      <c r="AD431" s="200" t="str">
        <f>OBRA!V429</f>
        <v>ARQ. JAIME CONDE GOMEZ</v>
      </c>
      <c r="AE431" s="174">
        <v>343.85</v>
      </c>
      <c r="AF431" s="202" t="s">
        <v>1552</v>
      </c>
      <c r="AG431" s="682">
        <f t="shared" si="28"/>
        <v>0</v>
      </c>
      <c r="AH431" s="202">
        <v>4000</v>
      </c>
      <c r="AI431" s="566">
        <v>4000</v>
      </c>
      <c r="AJ431" s="566"/>
      <c r="AK431" s="1815"/>
      <c r="AL431" s="1816"/>
      <c r="AM431" s="1452" t="s">
        <v>3696</v>
      </c>
      <c r="AN431" s="1435" t="s">
        <v>3696</v>
      </c>
      <c r="AO431" s="631"/>
      <c r="AP431" s="1435" t="s">
        <v>3696</v>
      </c>
      <c r="AQ431" s="1485"/>
      <c r="AR431" s="1494" t="s">
        <v>68</v>
      </c>
      <c r="AS431" s="1495" t="s">
        <v>68</v>
      </c>
      <c r="AT431" s="1483"/>
      <c r="AU431" s="1488"/>
      <c r="AV431" s="451"/>
      <c r="AW431" s="13"/>
    </row>
    <row r="432" spans="1:49" ht="88.5" hidden="1" customHeight="1">
      <c r="A432" s="17">
        <f>OBRA!I430</f>
        <v>2020</v>
      </c>
      <c r="B432" s="895" t="s">
        <v>2098</v>
      </c>
      <c r="C432" s="895">
        <v>201.04</v>
      </c>
      <c r="D432" s="895"/>
      <c r="E432" s="2" t="str">
        <f>OBRA!K430</f>
        <v>CUENTA CORRIENTE</v>
      </c>
      <c r="F432" s="681" t="s">
        <v>3563</v>
      </c>
      <c r="G432" s="249" t="s">
        <v>2900</v>
      </c>
      <c r="H432" s="451"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97"/>
      <c r="L432" s="780" t="s">
        <v>4023</v>
      </c>
      <c r="M432" s="780" t="s">
        <v>2560</v>
      </c>
      <c r="N432" s="585"/>
      <c r="O432" s="4">
        <f>OBRA!P430</f>
        <v>192779.35</v>
      </c>
      <c r="P432" s="1208">
        <f t="shared" si="25"/>
        <v>166189.09482758623</v>
      </c>
      <c r="Q432" s="1208"/>
      <c r="R432" s="6">
        <f>OBRA!Q430</f>
        <v>43910</v>
      </c>
      <c r="S432" s="1327" t="s">
        <v>1177</v>
      </c>
      <c r="T432" s="5">
        <f>OBRA!R430</f>
        <v>43913</v>
      </c>
      <c r="U432" s="12">
        <f>OBRA!S430</f>
        <v>43960</v>
      </c>
      <c r="V432" s="240">
        <v>0</v>
      </c>
      <c r="W432" s="1407">
        <f>OBRA!AQ430+OBRA!AR430</f>
        <v>0</v>
      </c>
      <c r="X432" s="1280" t="s">
        <v>2838</v>
      </c>
      <c r="Y432" s="639" t="str">
        <f>OBRA!U430</f>
        <v>N/A</v>
      </c>
      <c r="Z432" s="639" t="s">
        <v>68</v>
      </c>
      <c r="AA432" s="640" t="str">
        <f t="shared" si="26"/>
        <v>N/A</v>
      </c>
      <c r="AB432" s="640" t="s">
        <v>1177</v>
      </c>
      <c r="AC432" s="1281" t="s">
        <v>1177</v>
      </c>
      <c r="AD432" s="198" t="str">
        <f>OBRA!V430</f>
        <v>TESORERÍA</v>
      </c>
      <c r="AE432" s="174">
        <v>1</v>
      </c>
      <c r="AF432" s="202" t="s">
        <v>1466</v>
      </c>
      <c r="AG432" s="682">
        <f t="shared" si="28"/>
        <v>0</v>
      </c>
      <c r="AH432" s="202">
        <v>400</v>
      </c>
      <c r="AI432" s="566">
        <v>400</v>
      </c>
      <c r="AJ432" s="566"/>
      <c r="AK432" s="1813">
        <v>20.286078</v>
      </c>
      <c r="AL432" s="1814">
        <v>103.34253</v>
      </c>
      <c r="AM432" s="1435" t="s">
        <v>3697</v>
      </c>
      <c r="AN432" s="631"/>
      <c r="AO432" s="631"/>
      <c r="AP432" s="1435" t="s">
        <v>3697</v>
      </c>
      <c r="AQ432" s="1485"/>
      <c r="AR432" s="1494" t="s">
        <v>68</v>
      </c>
      <c r="AS432" s="1495" t="s">
        <v>68</v>
      </c>
      <c r="AT432" s="1483"/>
      <c r="AU432" s="1488"/>
      <c r="AV432" s="451"/>
      <c r="AW432" s="13"/>
    </row>
    <row r="433" spans="1:49" s="197" customFormat="1" ht="62.25" hidden="1" customHeight="1">
      <c r="A433" s="327">
        <f>OBRA!I431</f>
        <v>2020</v>
      </c>
      <c r="B433" s="896" t="s">
        <v>2098</v>
      </c>
      <c r="C433" s="896">
        <v>201.05</v>
      </c>
      <c r="D433" s="896"/>
      <c r="E433" s="202" t="str">
        <f>OBRA!K431</f>
        <v>CUENTA CORRIENTE</v>
      </c>
      <c r="F433" s="249" t="s">
        <v>1431</v>
      </c>
      <c r="G433" s="249" t="s">
        <v>2900</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597"/>
      <c r="L433" s="780" t="s">
        <v>3071</v>
      </c>
      <c r="M433" s="780" t="s">
        <v>2560</v>
      </c>
      <c r="N433" s="597"/>
      <c r="O433" s="85">
        <f>OBRA!P431</f>
        <v>50000</v>
      </c>
      <c r="P433" s="1208">
        <f t="shared" si="25"/>
        <v>43103.448275862072</v>
      </c>
      <c r="Q433" s="1208"/>
      <c r="R433" s="69">
        <f>OBRA!Q431</f>
        <v>43924</v>
      </c>
      <c r="S433" s="1327" t="s">
        <v>1177</v>
      </c>
      <c r="T433" s="255">
        <f>OBRA!R431</f>
        <v>43924</v>
      </c>
      <c r="U433" s="245">
        <f>OBRA!S431</f>
        <v>43961</v>
      </c>
      <c r="V433" s="240">
        <v>0</v>
      </c>
      <c r="W433" s="1407">
        <f>OBRA!AQ431+OBRA!AR431</f>
        <v>0</v>
      </c>
      <c r="X433" s="1235" t="s">
        <v>3914</v>
      </c>
      <c r="Y433" s="639" t="str">
        <f>OBRA!U431</f>
        <v>N/A</v>
      </c>
      <c r="Z433" s="639" t="s">
        <v>68</v>
      </c>
      <c r="AA433" s="640" t="str">
        <f t="shared" si="26"/>
        <v>N/A</v>
      </c>
      <c r="AB433" s="640" t="s">
        <v>1177</v>
      </c>
      <c r="AC433" s="1281" t="s">
        <v>1177</v>
      </c>
      <c r="AD433" s="200" t="str">
        <f>OBRA!V431</f>
        <v>HACIENDA MPAL</v>
      </c>
      <c r="AE433" s="169">
        <v>57</v>
      </c>
      <c r="AF433" s="202" t="s">
        <v>1454</v>
      </c>
      <c r="AG433" s="653">
        <f t="shared" si="28"/>
        <v>0</v>
      </c>
      <c r="AH433" s="202">
        <v>4000</v>
      </c>
      <c r="AI433" s="566">
        <v>4000</v>
      </c>
      <c r="AJ433" s="566"/>
      <c r="AK433" s="1813">
        <v>20.287499</v>
      </c>
      <c r="AL433" s="1814">
        <v>103.340625</v>
      </c>
      <c r="AM433" s="631"/>
      <c r="AN433" s="631"/>
      <c r="AO433" s="631"/>
      <c r="AP433" s="631"/>
      <c r="AQ433" s="1485"/>
      <c r="AR433" s="1494" t="s">
        <v>68</v>
      </c>
      <c r="AS433" s="1495" t="s">
        <v>68</v>
      </c>
      <c r="AT433" s="1483"/>
      <c r="AU433" s="1488"/>
      <c r="AV433" s="633"/>
      <c r="AW433" s="329"/>
    </row>
    <row r="434" spans="1:49" s="197" customFormat="1" ht="81.75" hidden="1" customHeight="1">
      <c r="A434" s="327">
        <f>OBRA!I432</f>
        <v>2020</v>
      </c>
      <c r="B434" s="896" t="s">
        <v>2098</v>
      </c>
      <c r="C434" s="896">
        <v>201.06</v>
      </c>
      <c r="D434" s="896"/>
      <c r="E434" s="202" t="str">
        <f>OBRA!K432</f>
        <v>RAMO 33</v>
      </c>
      <c r="F434" s="249" t="s">
        <v>1431</v>
      </c>
      <c r="G434" s="249" t="s">
        <v>2900</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4024</v>
      </c>
      <c r="M434" s="328" t="s">
        <v>1979</v>
      </c>
      <c r="N434" s="585"/>
      <c r="O434" s="85">
        <f>OBRA!P432</f>
        <v>42478.36</v>
      </c>
      <c r="P434" s="85">
        <f t="shared" si="25"/>
        <v>36619.275862068971</v>
      </c>
      <c r="Q434" s="85"/>
      <c r="R434" s="69">
        <f>OBRA!Q432</f>
        <v>44103</v>
      </c>
      <c r="S434" s="1327" t="s">
        <v>1177</v>
      </c>
      <c r="T434" s="255">
        <f>OBRA!R432</f>
        <v>44106</v>
      </c>
      <c r="U434" s="245">
        <f>OBRA!S432</f>
        <v>44120</v>
      </c>
      <c r="V434" s="1405">
        <v>0</v>
      </c>
      <c r="W434" s="1406">
        <f>OBRA!AQ432+OBRA!AR432</f>
        <v>38982.61</v>
      </c>
      <c r="X434" s="1235" t="s">
        <v>2791</v>
      </c>
      <c r="Y434" s="639" t="str">
        <f>OBRA!U432</f>
        <v>N/A</v>
      </c>
      <c r="Z434" s="639" t="s">
        <v>68</v>
      </c>
      <c r="AA434" s="640" t="str">
        <f t="shared" si="26"/>
        <v>N/A</v>
      </c>
      <c r="AB434" s="640" t="s">
        <v>1177</v>
      </c>
      <c r="AC434" s="1281" t="s">
        <v>1177</v>
      </c>
      <c r="AD434" s="200" t="str">
        <f>OBRA!V432</f>
        <v>ING. J. GUADALUPE IBARRA RAMIREZ</v>
      </c>
      <c r="AE434" s="169"/>
      <c r="AF434" s="560"/>
      <c r="AG434" s="682" t="e">
        <f t="shared" si="28"/>
        <v>#DIV/0!</v>
      </c>
      <c r="AH434" s="202">
        <v>4000</v>
      </c>
      <c r="AI434" s="566">
        <v>4000</v>
      </c>
      <c r="AJ434" s="566"/>
      <c r="AK434" s="1802"/>
      <c r="AL434" s="1803"/>
      <c r="AM434" s="1128"/>
      <c r="AN434" s="631"/>
      <c r="AO434" s="631"/>
      <c r="AP434" s="631"/>
      <c r="AQ434" s="1485"/>
      <c r="AR434" s="1487"/>
      <c r="AS434" s="1483"/>
      <c r="AT434" s="1483"/>
      <c r="AU434" s="1488"/>
      <c r="AV434" s="633" t="s">
        <v>68</v>
      </c>
      <c r="AW434" s="329"/>
    </row>
    <row r="435" spans="1:49" ht="74.25" hidden="1" customHeight="1">
      <c r="A435" s="17">
        <f>OBRA!I433</f>
        <v>2020</v>
      </c>
      <c r="B435" s="895" t="s">
        <v>2098</v>
      </c>
      <c r="C435" s="895">
        <v>201.07</v>
      </c>
      <c r="D435" s="895"/>
      <c r="E435" s="2" t="str">
        <f>OBRA!K433</f>
        <v>EMP P/LA REACTIVACIÓN ECONÓMICA EN MPIOS</v>
      </c>
      <c r="F435" s="164" t="s">
        <v>1431</v>
      </c>
      <c r="G435" s="249" t="s">
        <v>2239</v>
      </c>
      <c r="H435" s="451"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28" t="s">
        <v>4027</v>
      </c>
      <c r="L435" s="780" t="s">
        <v>4025</v>
      </c>
      <c r="M435" s="780" t="s">
        <v>2650</v>
      </c>
      <c r="N435" s="1917" t="s">
        <v>4232</v>
      </c>
      <c r="O435" s="4">
        <f>OBRA!P433</f>
        <v>196881.44</v>
      </c>
      <c r="P435" s="1208">
        <f t="shared" si="25"/>
        <v>169725.37931034484</v>
      </c>
      <c r="Q435" s="1208"/>
      <c r="R435" s="6">
        <f>OBRA!Q433</f>
        <v>44089</v>
      </c>
      <c r="S435" s="1327" t="s">
        <v>1177</v>
      </c>
      <c r="T435" s="5">
        <f>OBRA!R433</f>
        <v>44144</v>
      </c>
      <c r="U435" s="12">
        <f>OBRA!S433</f>
        <v>44191</v>
      </c>
      <c r="V435" s="240">
        <v>0</v>
      </c>
      <c r="W435" s="1930">
        <f>OBRA!AQ433+OBRA!AR433</f>
        <v>0</v>
      </c>
      <c r="X435" s="1235" t="s">
        <v>3600</v>
      </c>
      <c r="Y435" s="639" t="str">
        <f>OBRA!U433</f>
        <v>N/A</v>
      </c>
      <c r="Z435" s="639" t="s">
        <v>68</v>
      </c>
      <c r="AA435" s="640" t="str">
        <f t="shared" si="26"/>
        <v>N/A</v>
      </c>
      <c r="AB435" s="640" t="s">
        <v>1177</v>
      </c>
      <c r="AC435" s="1281" t="s">
        <v>1177</v>
      </c>
      <c r="AD435" s="198" t="str">
        <f>OBRA!V433</f>
        <v>ING. J. GUADALUPE IBARRA RAMIREZ</v>
      </c>
      <c r="AE435" s="174">
        <v>225</v>
      </c>
      <c r="AF435" s="202" t="s">
        <v>1454</v>
      </c>
      <c r="AG435" s="694">
        <f t="shared" si="28"/>
        <v>0</v>
      </c>
      <c r="AH435" s="202">
        <v>100</v>
      </c>
      <c r="AI435" s="566">
        <v>500</v>
      </c>
      <c r="AJ435" s="566"/>
      <c r="AK435" s="1813">
        <v>20.336055000000002</v>
      </c>
      <c r="AL435" s="1814">
        <v>103.327597</v>
      </c>
      <c r="AM435" s="1435" t="s">
        <v>3698</v>
      </c>
      <c r="AN435" s="1435" t="s">
        <v>3698</v>
      </c>
      <c r="AO435" s="1435" t="s">
        <v>3698</v>
      </c>
      <c r="AP435" s="1435" t="s">
        <v>3698</v>
      </c>
      <c r="AQ435" s="1451" t="s">
        <v>3698</v>
      </c>
      <c r="AR435" s="1494" t="s">
        <v>68</v>
      </c>
      <c r="AS435" s="1495" t="s">
        <v>68</v>
      </c>
      <c r="AT435" s="1483"/>
      <c r="AU435" s="1488"/>
      <c r="AV435" s="451" t="s">
        <v>551</v>
      </c>
      <c r="AW435" s="13"/>
    </row>
    <row r="436" spans="1:49" ht="83.25" hidden="1" customHeight="1">
      <c r="A436" s="17">
        <f>OBRA!I434</f>
        <v>2020</v>
      </c>
      <c r="B436" s="895" t="s">
        <v>2098</v>
      </c>
      <c r="C436" s="895">
        <v>201.071</v>
      </c>
      <c r="D436" s="895"/>
      <c r="E436" s="2" t="str">
        <f>OBRA!K434</f>
        <v>CTA-CTE / EMP P REACT ECO MPIOS</v>
      </c>
      <c r="F436" s="681" t="s">
        <v>3563</v>
      </c>
      <c r="G436" s="249" t="s">
        <v>2900</v>
      </c>
      <c r="H436" s="451"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28" t="s">
        <v>4027</v>
      </c>
      <c r="L436" s="780" t="s">
        <v>4025</v>
      </c>
      <c r="M436" s="780" t="s">
        <v>2650</v>
      </c>
      <c r="N436" s="585"/>
      <c r="O436" s="4">
        <f>OBRA!P434</f>
        <v>283094.36</v>
      </c>
      <c r="P436" s="1208">
        <f t="shared" si="25"/>
        <v>244046.86206896554</v>
      </c>
      <c r="Q436" s="1208"/>
      <c r="R436" s="6">
        <f>OBRA!Q434</f>
        <v>44089</v>
      </c>
      <c r="S436" s="1327" t="s">
        <v>1177</v>
      </c>
      <c r="T436" s="5">
        <f>OBRA!R434</f>
        <v>44137</v>
      </c>
      <c r="U436" s="12">
        <f>OBRA!S434</f>
        <v>44191</v>
      </c>
      <c r="V436" s="240">
        <v>0</v>
      </c>
      <c r="W436" s="1407">
        <f>OBRA!AQ434+OBRA!AR434</f>
        <v>0</v>
      </c>
      <c r="X436" s="1235" t="s">
        <v>3525</v>
      </c>
      <c r="Y436" s="639" t="str">
        <f>OBRA!U434</f>
        <v>N/A</v>
      </c>
      <c r="Z436" s="639" t="s">
        <v>68</v>
      </c>
      <c r="AA436" s="640" t="str">
        <f t="shared" si="26"/>
        <v>N/A</v>
      </c>
      <c r="AB436" s="640" t="s">
        <v>1177</v>
      </c>
      <c r="AC436" s="1281" t="s">
        <v>1177</v>
      </c>
      <c r="AD436" s="198">
        <f>OBRA!V434</f>
        <v>0</v>
      </c>
      <c r="AE436" s="174">
        <v>807.4</v>
      </c>
      <c r="AF436" s="202" t="s">
        <v>1552</v>
      </c>
      <c r="AG436" s="682">
        <f t="shared" si="28"/>
        <v>0</v>
      </c>
      <c r="AH436" s="202">
        <v>60</v>
      </c>
      <c r="AI436" s="566">
        <v>60</v>
      </c>
      <c r="AJ436" s="566"/>
      <c r="AK436" s="1813">
        <v>20.336055000000002</v>
      </c>
      <c r="AL436" s="1814">
        <v>103.327597</v>
      </c>
      <c r="AM436" s="1435" t="s">
        <v>3573</v>
      </c>
      <c r="AN436" s="1435" t="s">
        <v>3573</v>
      </c>
      <c r="AO436" s="1435" t="s">
        <v>3573</v>
      </c>
      <c r="AP436" s="631"/>
      <c r="AQ436" s="1485"/>
      <c r="AR436" s="1494" t="s">
        <v>68</v>
      </c>
      <c r="AS436" s="1495" t="s">
        <v>68</v>
      </c>
      <c r="AT436" s="1483"/>
      <c r="AU436" s="1488"/>
      <c r="AV436" s="451"/>
      <c r="AW436" s="13"/>
    </row>
    <row r="437" spans="1:49" ht="73.5" hidden="1" customHeight="1">
      <c r="A437" s="17">
        <f>OBRA!I435</f>
        <v>2020</v>
      </c>
      <c r="B437" s="895" t="s">
        <v>2098</v>
      </c>
      <c r="C437" s="895">
        <v>201.08</v>
      </c>
      <c r="D437" s="895"/>
      <c r="E437" s="2" t="str">
        <f>OBRA!K435</f>
        <v>EMP P/LA REACTIVACIÓN ECONÓMICA EN MPIOS</v>
      </c>
      <c r="F437" s="681" t="s">
        <v>3563</v>
      </c>
      <c r="G437" s="249" t="s">
        <v>2900</v>
      </c>
      <c r="H437" s="451" t="str">
        <f>OBRA!L435</f>
        <v>DOP/AD/008/2020</v>
      </c>
      <c r="I437" s="2" t="str">
        <f>OBRA!M435</f>
        <v>ADMINISTRACIÓN DIRECTA</v>
      </c>
      <c r="J437" s="3" t="str">
        <f>OBRA!N435</f>
        <v>CONSTRUCCIÓN DE EMPEDRADO ZAMPEADO EN CALLES DE LA DELEGACIÓN DE HUEJOTITAN</v>
      </c>
      <c r="K437" s="328" t="s">
        <v>4027</v>
      </c>
      <c r="L437" s="780" t="s">
        <v>4026</v>
      </c>
      <c r="M437" s="780" t="s">
        <v>2542</v>
      </c>
      <c r="N437" s="554" t="s">
        <v>4233</v>
      </c>
      <c r="O437" s="4">
        <f>OBRA!P435</f>
        <v>1079624.5</v>
      </c>
      <c r="P437" s="1208">
        <f t="shared" si="25"/>
        <v>930710.77586206899</v>
      </c>
      <c r="Q437" s="1208"/>
      <c r="R437" s="6">
        <f>OBRA!Q435</f>
        <v>44454</v>
      </c>
      <c r="S437" s="1327" t="s">
        <v>1177</v>
      </c>
      <c r="T437" s="5">
        <f>OBRA!R435</f>
        <v>44166</v>
      </c>
      <c r="U437" s="12">
        <f>OBRA!S435</f>
        <v>44196</v>
      </c>
      <c r="V437" s="240">
        <v>0</v>
      </c>
      <c r="W437" s="1407">
        <f>OBRA!AQ435+OBRA!AR435</f>
        <v>0</v>
      </c>
      <c r="X437" s="1235" t="s">
        <v>4167</v>
      </c>
      <c r="Y437" s="639" t="str">
        <f>OBRA!U435</f>
        <v>N/A</v>
      </c>
      <c r="Z437" s="639" t="s">
        <v>68</v>
      </c>
      <c r="AA437" s="640" t="str">
        <f t="shared" si="26"/>
        <v>N/A</v>
      </c>
      <c r="AB437" s="640" t="s">
        <v>1177</v>
      </c>
      <c r="AC437" s="1281" t="s">
        <v>1177</v>
      </c>
      <c r="AD437" s="198" t="str">
        <f>OBRA!V435</f>
        <v>ING. J. GUADALUPE IBARRA RAMIREZ</v>
      </c>
      <c r="AE437" s="174">
        <v>807.4</v>
      </c>
      <c r="AF437" s="202" t="s">
        <v>1552</v>
      </c>
      <c r="AG437" s="682">
        <f t="shared" si="28"/>
        <v>0</v>
      </c>
      <c r="AH437" s="202">
        <v>60</v>
      </c>
      <c r="AI437" s="566">
        <v>60</v>
      </c>
      <c r="AJ437" s="566"/>
      <c r="AK437" s="1813" t="s">
        <v>68</v>
      </c>
      <c r="AL437" s="1814" t="s">
        <v>68</v>
      </c>
      <c r="AM437" s="631"/>
      <c r="AN437" s="631"/>
      <c r="AO437" s="631"/>
      <c r="AP437" s="631"/>
      <c r="AQ437" s="1485"/>
      <c r="AR437" s="1494" t="s">
        <v>68</v>
      </c>
      <c r="AS437" s="1495" t="s">
        <v>68</v>
      </c>
      <c r="AT437" s="1483"/>
      <c r="AU437" s="1488"/>
      <c r="AV437" s="451"/>
      <c r="AW437" s="13"/>
    </row>
    <row r="438" spans="1:49" ht="73.5" hidden="1" customHeight="1">
      <c r="A438" s="17">
        <f>OBRA!I436</f>
        <v>2020</v>
      </c>
      <c r="B438" s="895" t="s">
        <v>2098</v>
      </c>
      <c r="C438" s="895">
        <v>201.08099999999999</v>
      </c>
      <c r="D438" s="895"/>
      <c r="E438" s="2" t="str">
        <f>OBRA!K436</f>
        <v>CTA-CTE / EMP P REACT ECO MPIOS</v>
      </c>
      <c r="F438" s="681" t="s">
        <v>3563</v>
      </c>
      <c r="G438" s="249" t="s">
        <v>2900</v>
      </c>
      <c r="H438" s="451" t="str">
        <f>OBRA!L436</f>
        <v>DOP/AD/008-A/2020</v>
      </c>
      <c r="I438" s="2" t="str">
        <f>OBRA!M436</f>
        <v>ADMINISTRACIÓN DIRECTA</v>
      </c>
      <c r="J438" s="3" t="str">
        <f>OBRA!N436</f>
        <v>CONSTRUCCIÓN DE EMPEDRADO ZAMPEADO, EN LA LOCALIDAD DE HUEJOTITAN DEL MUNICIPIO DE JOCOTEPEC, JALISCO.</v>
      </c>
      <c r="K438" s="328" t="s">
        <v>4027</v>
      </c>
      <c r="L438" s="780" t="s">
        <v>4026</v>
      </c>
      <c r="M438" s="780" t="s">
        <v>2542</v>
      </c>
      <c r="N438" s="585"/>
      <c r="O438" s="4">
        <f>OBRA!P436</f>
        <v>327960.31</v>
      </c>
      <c r="P438" s="1208">
        <f t="shared" si="25"/>
        <v>282724.4051724138</v>
      </c>
      <c r="Q438" s="1208"/>
      <c r="R438" s="6">
        <f>OBRA!Q436</f>
        <v>44089</v>
      </c>
      <c r="S438" s="1327" t="s">
        <v>1177</v>
      </c>
      <c r="T438" s="5">
        <f>OBRA!R436</f>
        <v>44166</v>
      </c>
      <c r="U438" s="12">
        <f>OBRA!S436</f>
        <v>44196</v>
      </c>
      <c r="V438" s="240">
        <v>0</v>
      </c>
      <c r="W438" s="1407">
        <f>OBRA!AQ436+OBRA!AR436</f>
        <v>0</v>
      </c>
      <c r="X438" s="1235" t="s">
        <v>3525</v>
      </c>
      <c r="Y438" s="639" t="str">
        <f>OBRA!U436</f>
        <v>N/A</v>
      </c>
      <c r="Z438" s="639" t="s">
        <v>68</v>
      </c>
      <c r="AA438" s="640" t="str">
        <f t="shared" si="26"/>
        <v>N/A</v>
      </c>
      <c r="AB438" s="640" t="s">
        <v>1177</v>
      </c>
      <c r="AC438" s="1281" t="s">
        <v>1177</v>
      </c>
      <c r="AD438" s="198">
        <f>OBRA!V436</f>
        <v>0</v>
      </c>
      <c r="AE438" s="174">
        <v>4550</v>
      </c>
      <c r="AF438" s="202" t="s">
        <v>1552</v>
      </c>
      <c r="AG438" s="682">
        <f t="shared" si="28"/>
        <v>0</v>
      </c>
      <c r="AH438" s="202">
        <v>250</v>
      </c>
      <c r="AI438" s="566">
        <v>1300</v>
      </c>
      <c r="AJ438" s="566"/>
      <c r="AK438" s="1813" t="s">
        <v>68</v>
      </c>
      <c r="AL438" s="1814" t="s">
        <v>68</v>
      </c>
      <c r="AM438" s="1435" t="s">
        <v>3577</v>
      </c>
      <c r="AN438" s="1435" t="s">
        <v>3577</v>
      </c>
      <c r="AO438" s="1435" t="s">
        <v>3577</v>
      </c>
      <c r="AP438" s="1435" t="s">
        <v>3577</v>
      </c>
      <c r="AQ438" s="1485"/>
      <c r="AR438" s="1494" t="s">
        <v>68</v>
      </c>
      <c r="AS438" s="1495" t="s">
        <v>68</v>
      </c>
      <c r="AT438" s="1483"/>
      <c r="AU438" s="1488"/>
      <c r="AV438" s="451"/>
      <c r="AW438" s="13"/>
    </row>
    <row r="439" spans="1:49" ht="92.25" hidden="1" customHeight="1">
      <c r="A439" s="17">
        <f>OBRA!I437</f>
        <v>2020</v>
      </c>
      <c r="B439" s="895" t="s">
        <v>2098</v>
      </c>
      <c r="C439" s="895">
        <v>201.09</v>
      </c>
      <c r="D439" s="895"/>
      <c r="E439" s="2" t="str">
        <f>OBRA!K437</f>
        <v>EMP P/LA REACTIVACIÓN ECONÓMICA EN MPIOS</v>
      </c>
      <c r="F439" s="681" t="s">
        <v>3563</v>
      </c>
      <c r="G439" s="249" t="s">
        <v>2900</v>
      </c>
      <c r="H439" s="451"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28" t="s">
        <v>4027</v>
      </c>
      <c r="L439" s="780" t="s">
        <v>4028</v>
      </c>
      <c r="M439" s="780" t="s">
        <v>2551</v>
      </c>
      <c r="N439" s="554" t="s">
        <v>4234</v>
      </c>
      <c r="O439" s="4">
        <f>OBRA!P437</f>
        <v>193929.96</v>
      </c>
      <c r="P439" s="1208">
        <f t="shared" si="25"/>
        <v>167181</v>
      </c>
      <c r="Q439" s="1208"/>
      <c r="R439" s="6">
        <f>OBRA!Q437</f>
        <v>44089</v>
      </c>
      <c r="S439" s="1327" t="s">
        <v>1177</v>
      </c>
      <c r="T439" s="5">
        <f>OBRA!R437</f>
        <v>44140</v>
      </c>
      <c r="U439" s="12">
        <f>OBRA!S437</f>
        <v>44191</v>
      </c>
      <c r="V439" s="240">
        <v>0</v>
      </c>
      <c r="W439" s="1407">
        <f>OBRA!AQ437+OBRA!AR437</f>
        <v>0</v>
      </c>
      <c r="X439" s="1235" t="s">
        <v>4167</v>
      </c>
      <c r="Y439" s="639" t="str">
        <f>OBRA!U437</f>
        <v>N/A</v>
      </c>
      <c r="Z439" s="639" t="s">
        <v>68</v>
      </c>
      <c r="AA439" s="640" t="str">
        <f t="shared" si="26"/>
        <v>N/A</v>
      </c>
      <c r="AB439" s="640" t="s">
        <v>1177</v>
      </c>
      <c r="AC439" s="1281" t="s">
        <v>1177</v>
      </c>
      <c r="AD439" s="198" t="str">
        <f>OBRA!V437</f>
        <v>ING. J. GUADALUPE IBARRA RAMIREZ</v>
      </c>
      <c r="AE439" s="174">
        <f>AE438</f>
        <v>4550</v>
      </c>
      <c r="AF439" s="202" t="str">
        <f>AF438</f>
        <v>M2</v>
      </c>
      <c r="AG439" s="682">
        <f t="shared" si="28"/>
        <v>0</v>
      </c>
      <c r="AH439" s="202">
        <f>AH438</f>
        <v>250</v>
      </c>
      <c r="AI439" s="566">
        <f>AI438</f>
        <v>1300</v>
      </c>
      <c r="AJ439" s="566"/>
      <c r="AK439" s="1813">
        <v>20.338339000000001</v>
      </c>
      <c r="AL439" s="1814">
        <v>103.381462</v>
      </c>
      <c r="AM439" s="631"/>
      <c r="AN439" s="631"/>
      <c r="AO439" s="631"/>
      <c r="AP439" s="631"/>
      <c r="AQ439" s="1485"/>
      <c r="AR439" s="1494" t="s">
        <v>68</v>
      </c>
      <c r="AS439" s="1495" t="s">
        <v>68</v>
      </c>
      <c r="AT439" s="1483"/>
      <c r="AU439" s="1488"/>
      <c r="AV439" s="451"/>
      <c r="AW439" s="13"/>
    </row>
    <row r="440" spans="1:49" ht="86.25" hidden="1" customHeight="1">
      <c r="A440" s="17">
        <f>OBRA!I438</f>
        <v>2020</v>
      </c>
      <c r="B440" s="895" t="s">
        <v>2098</v>
      </c>
      <c r="C440" s="895">
        <v>201.09100000000001</v>
      </c>
      <c r="D440" s="895"/>
      <c r="E440" s="2" t="str">
        <f>OBRA!K438</f>
        <v>EMP P/LA REACTIVACIÓN ECONÓMICA EN MPIOS</v>
      </c>
      <c r="F440" s="681" t="s">
        <v>3563</v>
      </c>
      <c r="G440" s="249" t="s">
        <v>2900</v>
      </c>
      <c r="H440" s="451"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28" t="s">
        <v>4027</v>
      </c>
      <c r="L440" s="780" t="s">
        <v>4029</v>
      </c>
      <c r="M440" s="780" t="s">
        <v>2551</v>
      </c>
      <c r="N440" s="554" t="s">
        <v>4234</v>
      </c>
      <c r="O440" s="4">
        <f>OBRA!P438</f>
        <v>331496.03999999998</v>
      </c>
      <c r="P440" s="1208">
        <f t="shared" si="25"/>
        <v>285772.44827586209</v>
      </c>
      <c r="Q440" s="1208"/>
      <c r="R440" s="6">
        <f>OBRA!Q438</f>
        <v>44089</v>
      </c>
      <c r="S440" s="1327" t="s">
        <v>1177</v>
      </c>
      <c r="T440" s="5">
        <f>OBRA!R438</f>
        <v>44140</v>
      </c>
      <c r="U440" s="12">
        <f>OBRA!S438</f>
        <v>44191</v>
      </c>
      <c r="V440" s="240">
        <v>0</v>
      </c>
      <c r="W440" s="1407">
        <f>OBRA!AQ438+OBRA!AR438</f>
        <v>0</v>
      </c>
      <c r="X440" s="1235" t="s">
        <v>3525</v>
      </c>
      <c r="Y440" s="639" t="str">
        <f>OBRA!U438</f>
        <v>N/A</v>
      </c>
      <c r="Z440" s="639" t="s">
        <v>68</v>
      </c>
      <c r="AA440" s="640" t="str">
        <f t="shared" si="26"/>
        <v>N/A</v>
      </c>
      <c r="AB440" s="640" t="s">
        <v>1177</v>
      </c>
      <c r="AC440" s="1281" t="s">
        <v>1177</v>
      </c>
      <c r="AD440" s="198" t="str">
        <f>OBRA!V438</f>
        <v>ING. J. GUADALUPE IBARRA RAMIREZ</v>
      </c>
      <c r="AE440" s="174">
        <v>812</v>
      </c>
      <c r="AF440" s="202" t="s">
        <v>1552</v>
      </c>
      <c r="AG440" s="682">
        <f t="shared" si="28"/>
        <v>0</v>
      </c>
      <c r="AH440" s="202">
        <v>100</v>
      </c>
      <c r="AI440" s="566">
        <v>450</v>
      </c>
      <c r="AJ440" s="566"/>
      <c r="AK440" s="1813">
        <v>20.338339000000001</v>
      </c>
      <c r="AL440" s="1814">
        <v>103.381462</v>
      </c>
      <c r="AM440" s="1435" t="s">
        <v>3579</v>
      </c>
      <c r="AN440" s="1435" t="s">
        <v>3579</v>
      </c>
      <c r="AO440" s="631"/>
      <c r="AP440" s="631"/>
      <c r="AQ440" s="1485"/>
      <c r="AR440" s="1494" t="s">
        <v>68</v>
      </c>
      <c r="AS440" s="1495" t="s">
        <v>68</v>
      </c>
      <c r="AT440" s="1483"/>
      <c r="AU440" s="1488"/>
      <c r="AV440" s="451"/>
      <c r="AW440" s="13"/>
    </row>
    <row r="441" spans="1:49" ht="60" hidden="1" customHeight="1">
      <c r="A441" s="17">
        <f>OBRA!I439</f>
        <v>2020</v>
      </c>
      <c r="B441" s="895" t="s">
        <v>2098</v>
      </c>
      <c r="C441" s="895">
        <v>201.09200000000001</v>
      </c>
      <c r="D441" s="895"/>
      <c r="E441" s="2" t="str">
        <f>OBRA!K439</f>
        <v>CTA-CTE / EMP P REACT ECO MPIOS</v>
      </c>
      <c r="F441" s="681" t="s">
        <v>3563</v>
      </c>
      <c r="G441" s="249" t="s">
        <v>2900</v>
      </c>
      <c r="H441" s="451" t="str">
        <f>OBRA!L439</f>
        <v>DOP/AD/009-A/2020</v>
      </c>
      <c r="I441" s="2" t="str">
        <f>OBRA!M439</f>
        <v>ADMINISTRACIÓN DIRECTA</v>
      </c>
      <c r="J441" s="3" t="str">
        <f>OBRA!N439</f>
        <v>CONSTRUCCIÓN DE EMPEDRADO ZAMPEADO, EN LA LOCALIDAD DE POTRERILLOS DEL MUNICIPIO DE JOCOTEPEC, JALISCO</v>
      </c>
      <c r="K441" s="328" t="s">
        <v>4027</v>
      </c>
      <c r="L441" s="780" t="s">
        <v>4030</v>
      </c>
      <c r="M441" s="780" t="s">
        <v>2551</v>
      </c>
      <c r="N441" s="585"/>
      <c r="O441" s="4">
        <f>OBRA!P439</f>
        <v>174032.11</v>
      </c>
      <c r="P441" s="1208">
        <f t="shared" si="25"/>
        <v>150027.68103448275</v>
      </c>
      <c r="Q441" s="1208"/>
      <c r="R441" s="6">
        <f>OBRA!Q439</f>
        <v>44089</v>
      </c>
      <c r="S441" s="1327" t="s">
        <v>1177</v>
      </c>
      <c r="T441" s="5">
        <f>OBRA!R439</f>
        <v>44140</v>
      </c>
      <c r="U441" s="12">
        <f>OBRA!S439</f>
        <v>44191</v>
      </c>
      <c r="V441" s="240">
        <v>0</v>
      </c>
      <c r="W441" s="1407">
        <f>OBRA!AQ439+OBRA!AR439</f>
        <v>0</v>
      </c>
      <c r="X441" s="1235" t="s">
        <v>3525</v>
      </c>
      <c r="Y441" s="639" t="str">
        <f>OBRA!U439</f>
        <v>N/A</v>
      </c>
      <c r="Z441" s="639" t="s">
        <v>68</v>
      </c>
      <c r="AA441" s="640" t="str">
        <f t="shared" si="26"/>
        <v>N/A</v>
      </c>
      <c r="AB441" s="640" t="s">
        <v>1177</v>
      </c>
      <c r="AC441" s="1281" t="s">
        <v>1177</v>
      </c>
      <c r="AD441" s="198">
        <f>OBRA!V439</f>
        <v>0</v>
      </c>
      <c r="AE441" s="174">
        <v>1388</v>
      </c>
      <c r="AF441" s="202" t="s">
        <v>1552</v>
      </c>
      <c r="AG441" s="682">
        <f t="shared" si="28"/>
        <v>0</v>
      </c>
      <c r="AH441" s="202">
        <v>120</v>
      </c>
      <c r="AI441" s="566">
        <v>200</v>
      </c>
      <c r="AJ441" s="566"/>
      <c r="AK441" s="1813" t="s">
        <v>68</v>
      </c>
      <c r="AL441" s="1814" t="s">
        <v>68</v>
      </c>
      <c r="AM441" s="1435" t="s">
        <v>3579</v>
      </c>
      <c r="AN441" s="1435" t="s">
        <v>3579</v>
      </c>
      <c r="AO441" s="1435" t="s">
        <v>3579</v>
      </c>
      <c r="AP441" s="631"/>
      <c r="AQ441" s="1485"/>
      <c r="AR441" s="1494" t="s">
        <v>68</v>
      </c>
      <c r="AS441" s="1495" t="s">
        <v>68</v>
      </c>
      <c r="AT441" s="1483"/>
      <c r="AU441" s="1488"/>
      <c r="AV441" s="451"/>
      <c r="AW441" s="13"/>
    </row>
    <row r="442" spans="1:49" ht="72" hidden="1" customHeight="1">
      <c r="A442" s="17">
        <f>OBRA!I440</f>
        <v>2020</v>
      </c>
      <c r="B442" s="895" t="s">
        <v>2098</v>
      </c>
      <c r="C442" s="895">
        <v>201.1</v>
      </c>
      <c r="D442" s="895"/>
      <c r="E442" s="2" t="str">
        <f>OBRA!K440</f>
        <v>EMP P/LA REACTIVACIÓN ECONÓMICA EN MPIOS</v>
      </c>
      <c r="F442" s="681" t="s">
        <v>3563</v>
      </c>
      <c r="G442" s="249" t="s">
        <v>2900</v>
      </c>
      <c r="H442" s="451" t="str">
        <f>OBRA!L440</f>
        <v>DOP/AD/010/2020</v>
      </c>
      <c r="I442" s="2" t="str">
        <f>OBRA!M440</f>
        <v>ADMINISTRACIÓN DIRECTA</v>
      </c>
      <c r="J442" s="3" t="str">
        <f>OBRA!N440</f>
        <v>CONSTRUCCIÓN DE EMPEDRADO ZAMPEADO EN VIALIDAD AV. DEL TRABAJO DE KM 0+000.00 AL KM 0+215.00 (ENTRE VICENTE GUERRERO Y ALLENDE) SAN CRISTOBAL</v>
      </c>
      <c r="K442" s="328" t="s">
        <v>4027</v>
      </c>
      <c r="L442" s="780" t="s">
        <v>4031</v>
      </c>
      <c r="M442" s="780" t="s">
        <v>1980</v>
      </c>
      <c r="N442" s="554" t="s">
        <v>4235</v>
      </c>
      <c r="O442" s="4">
        <f>OBRA!P440</f>
        <v>410787.6</v>
      </c>
      <c r="P442" s="1208">
        <f t="shared" si="25"/>
        <v>354127.24137931038</v>
      </c>
      <c r="Q442" s="1208"/>
      <c r="R442" s="6">
        <f>OBRA!Q440</f>
        <v>44089</v>
      </c>
      <c r="S442" s="1327" t="s">
        <v>1177</v>
      </c>
      <c r="T442" s="5">
        <f>OBRA!R440</f>
        <v>44166</v>
      </c>
      <c r="U442" s="12">
        <f>OBRA!S440</f>
        <v>44196</v>
      </c>
      <c r="V442" s="240">
        <v>0</v>
      </c>
      <c r="W442" s="1407">
        <f>OBRA!AQ440+OBRA!AR440</f>
        <v>0</v>
      </c>
      <c r="X442" s="1235" t="s">
        <v>4167</v>
      </c>
      <c r="Y442" s="639" t="str">
        <f>OBRA!U440</f>
        <v>N/A</v>
      </c>
      <c r="Z442" s="639" t="s">
        <v>68</v>
      </c>
      <c r="AA442" s="640" t="str">
        <f t="shared" si="26"/>
        <v>N/A</v>
      </c>
      <c r="AB442" s="640" t="s">
        <v>1177</v>
      </c>
      <c r="AC442" s="1281" t="s">
        <v>1177</v>
      </c>
      <c r="AD442" s="198" t="str">
        <f>OBRA!V440</f>
        <v>ING. J. GUADALUPE IBARRA RAMIREZ</v>
      </c>
      <c r="AE442" s="174">
        <f>AE441</f>
        <v>1388</v>
      </c>
      <c r="AF442" s="202" t="str">
        <f>AF441</f>
        <v>M2</v>
      </c>
      <c r="AG442" s="682">
        <f t="shared" si="28"/>
        <v>0</v>
      </c>
      <c r="AH442" s="202">
        <f>AH441</f>
        <v>120</v>
      </c>
      <c r="AI442" s="566">
        <f>AI441</f>
        <v>200</v>
      </c>
      <c r="AJ442" s="566"/>
      <c r="AK442" s="1813">
        <v>20.223068999999999</v>
      </c>
      <c r="AL442" s="1814">
        <v>103.360921</v>
      </c>
      <c r="AM442" s="631"/>
      <c r="AN442" s="631"/>
      <c r="AO442" s="631"/>
      <c r="AP442" s="631"/>
      <c r="AQ442" s="1485"/>
      <c r="AR442" s="1494" t="s">
        <v>68</v>
      </c>
      <c r="AS442" s="1495" t="s">
        <v>68</v>
      </c>
      <c r="AT442" s="1483"/>
      <c r="AU442" s="1488"/>
      <c r="AV442" s="451"/>
      <c r="AW442" s="13"/>
    </row>
    <row r="443" spans="1:49" ht="90" hidden="1" customHeight="1">
      <c r="A443" s="17">
        <f>OBRA!I441</f>
        <v>2020</v>
      </c>
      <c r="B443" s="895" t="s">
        <v>2098</v>
      </c>
      <c r="C443" s="895">
        <v>201.101</v>
      </c>
      <c r="D443" s="895"/>
      <c r="E443" s="2" t="str">
        <f>OBRA!K441</f>
        <v>CTA-CTE / EMP P REACT ECO MPIOS</v>
      </c>
      <c r="F443" s="681" t="s">
        <v>3563</v>
      </c>
      <c r="G443" s="249" t="s">
        <v>2900</v>
      </c>
      <c r="H443" s="451"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28" t="s">
        <v>4027</v>
      </c>
      <c r="L443" s="780" t="s">
        <v>4031</v>
      </c>
      <c r="M443" s="780" t="s">
        <v>1980</v>
      </c>
      <c r="N443" s="585"/>
      <c r="O443" s="4">
        <f>OBRA!P441</f>
        <v>149317.53</v>
      </c>
      <c r="P443" s="1208">
        <f t="shared" si="25"/>
        <v>128722.00862068967</v>
      </c>
      <c r="Q443" s="1208"/>
      <c r="R443" s="6">
        <f>OBRA!Q441</f>
        <v>44089</v>
      </c>
      <c r="S443" s="1327" t="s">
        <v>1177</v>
      </c>
      <c r="T443" s="5">
        <f>OBRA!R441</f>
        <v>44166</v>
      </c>
      <c r="U443" s="12">
        <f>OBRA!S441</f>
        <v>44196</v>
      </c>
      <c r="V443" s="240">
        <v>0</v>
      </c>
      <c r="W443" s="1407">
        <f>OBRA!AQ441+OBRA!AR441</f>
        <v>0</v>
      </c>
      <c r="X443" s="1235" t="s">
        <v>3525</v>
      </c>
      <c r="Y443" s="639" t="str">
        <f>OBRA!U441</f>
        <v>N/A</v>
      </c>
      <c r="Z443" s="639" t="s">
        <v>68</v>
      </c>
      <c r="AA443" s="640" t="str">
        <f t="shared" si="26"/>
        <v>N/A</v>
      </c>
      <c r="AB443" s="640" t="s">
        <v>1177</v>
      </c>
      <c r="AC443" s="1281" t="s">
        <v>1177</v>
      </c>
      <c r="AD443" s="198">
        <f>OBRA!V441</f>
        <v>0</v>
      </c>
      <c r="AE443" s="174">
        <v>1720</v>
      </c>
      <c r="AF443" s="202" t="s">
        <v>1552</v>
      </c>
      <c r="AG443" s="682">
        <f t="shared" si="28"/>
        <v>0</v>
      </c>
      <c r="AH443" s="202">
        <v>250</v>
      </c>
      <c r="AI443" s="566">
        <v>2400</v>
      </c>
      <c r="AJ443" s="566"/>
      <c r="AK443" s="1813">
        <v>20.223068999999999</v>
      </c>
      <c r="AL443" s="1814">
        <v>103.360921</v>
      </c>
      <c r="AM443" s="1435" t="s">
        <v>3571</v>
      </c>
      <c r="AN443" s="1435" t="s">
        <v>3571</v>
      </c>
      <c r="AO443" s="1435" t="s">
        <v>3571</v>
      </c>
      <c r="AP443" s="1436" t="s">
        <v>3571</v>
      </c>
      <c r="AQ443" s="1485"/>
      <c r="AR443" s="1494" t="s">
        <v>68</v>
      </c>
      <c r="AS443" s="1495" t="s">
        <v>68</v>
      </c>
      <c r="AT443" s="1483"/>
      <c r="AU443" s="1488"/>
      <c r="AV443" s="451"/>
      <c r="AW443" s="13"/>
    </row>
    <row r="444" spans="1:49" ht="84.75" hidden="1" customHeight="1">
      <c r="A444" s="17">
        <f>OBRA!I442</f>
        <v>2020</v>
      </c>
      <c r="B444" s="895" t="s">
        <v>2098</v>
      </c>
      <c r="C444" s="895">
        <v>201.11</v>
      </c>
      <c r="D444" s="895"/>
      <c r="E444" s="2" t="str">
        <f>OBRA!K442</f>
        <v>EMP P/LA REACTIVACIÓN ECONÓMICA EN MPIOS</v>
      </c>
      <c r="F444" s="681" t="s">
        <v>3563</v>
      </c>
      <c r="G444" s="249" t="s">
        <v>2900</v>
      </c>
      <c r="H444" s="451" t="str">
        <f>OBRA!L442</f>
        <v>DOP/AD/011/2020</v>
      </c>
      <c r="I444" s="2" t="str">
        <f>OBRA!M442</f>
        <v>ADMINISTRACIÓN DIRECTA</v>
      </c>
      <c r="J444" s="3" t="str">
        <f>OBRA!N442</f>
        <v>CONSTRUCCIÓN DE EMPEDRADO ZAMPEADO EN CALLES DE LA AGENCIA DE EL SAUZ</v>
      </c>
      <c r="K444" s="328" t="s">
        <v>4027</v>
      </c>
      <c r="L444" s="780" t="s">
        <v>4032</v>
      </c>
      <c r="M444" s="780" t="s">
        <v>2539</v>
      </c>
      <c r="N444" s="554" t="s">
        <v>4064</v>
      </c>
      <c r="O444" s="4">
        <f>OBRA!P442</f>
        <v>781012.26</v>
      </c>
      <c r="P444" s="1208">
        <f t="shared" si="25"/>
        <v>673286.43103448278</v>
      </c>
      <c r="Q444" s="1208"/>
      <c r="R444" s="6">
        <f>OBRA!Q442</f>
        <v>44089</v>
      </c>
      <c r="S444" s="1327" t="s">
        <v>1177</v>
      </c>
      <c r="T444" s="5">
        <f>OBRA!R442</f>
        <v>44150</v>
      </c>
      <c r="U444" s="12">
        <f>OBRA!S442</f>
        <v>44181</v>
      </c>
      <c r="V444" s="240">
        <v>0</v>
      </c>
      <c r="W444" s="1407">
        <f>OBRA!AQ442+OBRA!AR442</f>
        <v>0</v>
      </c>
      <c r="X444" s="1235" t="s">
        <v>4167</v>
      </c>
      <c r="Y444" s="639" t="str">
        <f>OBRA!U442</f>
        <v>N/A</v>
      </c>
      <c r="Z444" s="639" t="s">
        <v>68</v>
      </c>
      <c r="AA444" s="640" t="str">
        <f t="shared" si="26"/>
        <v>N/A</v>
      </c>
      <c r="AB444" s="640" t="s">
        <v>1177</v>
      </c>
      <c r="AC444" s="1281" t="s">
        <v>1177</v>
      </c>
      <c r="AD444" s="198" t="str">
        <f>OBRA!V442</f>
        <v>ING. J. GUADALUPE IBARRA RAMIREZ</v>
      </c>
      <c r="AE444" s="174">
        <f>AE443</f>
        <v>1720</v>
      </c>
      <c r="AF444" s="202" t="str">
        <f>AF443</f>
        <v>M2</v>
      </c>
      <c r="AG444" s="682">
        <f t="shared" si="28"/>
        <v>0</v>
      </c>
      <c r="AH444" s="202">
        <f>AH443</f>
        <v>250</v>
      </c>
      <c r="AI444" s="566">
        <f>AI443</f>
        <v>2400</v>
      </c>
      <c r="AJ444" s="566"/>
      <c r="AK444" s="1813" t="s">
        <v>68</v>
      </c>
      <c r="AL444" s="1814" t="s">
        <v>68</v>
      </c>
      <c r="AM444" s="631" t="s">
        <v>4064</v>
      </c>
      <c r="AN444" s="631"/>
      <c r="AO444" s="631"/>
      <c r="AP444" s="631"/>
      <c r="AQ444" s="1485"/>
      <c r="AR444" s="1494" t="s">
        <v>68</v>
      </c>
      <c r="AS444" s="1495" t="s">
        <v>68</v>
      </c>
      <c r="AT444" s="1483"/>
      <c r="AU444" s="1488"/>
      <c r="AV444" s="451"/>
      <c r="AW444" s="13"/>
    </row>
    <row r="445" spans="1:49" ht="92.25" hidden="1" customHeight="1">
      <c r="A445" s="17">
        <f>OBRA!I443</f>
        <v>2020</v>
      </c>
      <c r="B445" s="895" t="s">
        <v>2098</v>
      </c>
      <c r="C445" s="895">
        <v>201.11099999999999</v>
      </c>
      <c r="D445" s="895"/>
      <c r="E445" s="2" t="str">
        <f>OBRA!K443</f>
        <v>CTA-CTE / EMP P REACT ECO MPIOS</v>
      </c>
      <c r="F445" s="681" t="s">
        <v>3563</v>
      </c>
      <c r="G445" s="249" t="s">
        <v>2900</v>
      </c>
      <c r="H445" s="451" t="str">
        <f>OBRA!L443</f>
        <v>DOP/AD/011-A/2020</v>
      </c>
      <c r="I445" s="2" t="str">
        <f>OBRA!M443</f>
        <v>ADMINISTRACIÓN DIRECTA</v>
      </c>
      <c r="J445" s="3" t="str">
        <f>OBRA!N443</f>
        <v>CONSTRUCCIÓN DE EMPEDRADO ZAMPEADO, EN LA AGENCIA DE EL SAUZ</v>
      </c>
      <c r="K445" s="328" t="s">
        <v>4027</v>
      </c>
      <c r="L445" s="780" t="s">
        <v>4032</v>
      </c>
      <c r="M445" s="780" t="s">
        <v>2539</v>
      </c>
      <c r="N445" s="585"/>
      <c r="O445" s="4">
        <f>OBRA!P443</f>
        <v>289700.96999999997</v>
      </c>
      <c r="P445" s="1208">
        <f t="shared" si="25"/>
        <v>249742.21551724136</v>
      </c>
      <c r="Q445" s="1208"/>
      <c r="R445" s="6">
        <f>OBRA!Q443</f>
        <v>44089</v>
      </c>
      <c r="S445" s="1327" t="s">
        <v>1177</v>
      </c>
      <c r="T445" s="5">
        <f>OBRA!R443</f>
        <v>44150</v>
      </c>
      <c r="U445" s="12">
        <f>OBRA!S443</f>
        <v>44181</v>
      </c>
      <c r="V445" s="240">
        <v>0</v>
      </c>
      <c r="W445" s="1407">
        <f>OBRA!AQ443+OBRA!AR443</f>
        <v>0</v>
      </c>
      <c r="X445" s="1235" t="s">
        <v>3525</v>
      </c>
      <c r="Y445" s="639" t="str">
        <f>OBRA!U443</f>
        <v>N/A</v>
      </c>
      <c r="Z445" s="639" t="s">
        <v>68</v>
      </c>
      <c r="AA445" s="640" t="str">
        <f t="shared" si="26"/>
        <v>N/A</v>
      </c>
      <c r="AB445" s="640" t="s">
        <v>1177</v>
      </c>
      <c r="AC445" s="1281" t="s">
        <v>1177</v>
      </c>
      <c r="AD445" s="198">
        <f>OBRA!V443</f>
        <v>0</v>
      </c>
      <c r="AE445" s="174">
        <v>3181.05</v>
      </c>
      <c r="AF445" s="202" t="s">
        <v>1552</v>
      </c>
      <c r="AG445" s="682">
        <f t="shared" si="28"/>
        <v>0</v>
      </c>
      <c r="AH445" s="202">
        <v>260</v>
      </c>
      <c r="AI445" s="566">
        <v>260</v>
      </c>
      <c r="AJ445" s="566"/>
      <c r="AK445" s="1813" t="s">
        <v>68</v>
      </c>
      <c r="AL445" s="1814" t="s">
        <v>68</v>
      </c>
      <c r="AM445" s="1435" t="s">
        <v>3574</v>
      </c>
      <c r="AN445" s="1435" t="s">
        <v>3574</v>
      </c>
      <c r="AO445" s="1435" t="s">
        <v>3574</v>
      </c>
      <c r="AP445" s="1435" t="s">
        <v>3574</v>
      </c>
      <c r="AQ445" s="1485"/>
      <c r="AR445" s="1494" t="s">
        <v>68</v>
      </c>
      <c r="AS445" s="1495" t="s">
        <v>68</v>
      </c>
      <c r="AT445" s="1483"/>
      <c r="AU445" s="1488"/>
      <c r="AV445" s="451"/>
      <c r="AW445" s="13"/>
    </row>
    <row r="446" spans="1:49" ht="72.75" hidden="1" customHeight="1">
      <c r="A446" s="17">
        <f>OBRA!I444</f>
        <v>2020</v>
      </c>
      <c r="B446" s="895" t="s">
        <v>2098</v>
      </c>
      <c r="C446" s="895">
        <v>201.12</v>
      </c>
      <c r="D446" s="895"/>
      <c r="E446" s="2" t="str">
        <f>OBRA!K444</f>
        <v>EMP P/LA REACTIVACIÓN ECONÓMICA EN MPIOS</v>
      </c>
      <c r="F446" s="681" t="s">
        <v>3563</v>
      </c>
      <c r="G446" s="249" t="s">
        <v>2900</v>
      </c>
      <c r="H446" s="451" t="str">
        <f>OBRA!L444</f>
        <v>DOP/AD/012/2020</v>
      </c>
      <c r="I446" s="2" t="str">
        <f>OBRA!M444</f>
        <v>ADMINISTRACIÓN DIRECTA</v>
      </c>
      <c r="J446" s="3" t="str">
        <f>OBRA!N444</f>
        <v>CONSTRUCCIÓN DE EMPEDRADO ZAMPEADO EN VIALIDAD ANDADOR PEATONAL ENTRE SAN LUCIANO Y SAN LUCIANO DE ABAJO DE KM 0+000.00 AL KM 0+746.00, SAN LUCIANO</v>
      </c>
      <c r="K446" s="328" t="s">
        <v>4027</v>
      </c>
      <c r="L446" s="780" t="s">
        <v>4033</v>
      </c>
      <c r="M446" s="780" t="s">
        <v>2649</v>
      </c>
      <c r="N446" s="554" t="s">
        <v>4236</v>
      </c>
      <c r="O446" s="4">
        <f>OBRA!P444</f>
        <v>448092.36</v>
      </c>
      <c r="P446" s="1208">
        <f t="shared" si="25"/>
        <v>386286.5172413793</v>
      </c>
      <c r="Q446" s="1208"/>
      <c r="R446" s="6">
        <f>OBRA!Q444</f>
        <v>44089</v>
      </c>
      <c r="S446" s="1327" t="s">
        <v>1177</v>
      </c>
      <c r="T446" s="5">
        <f>OBRA!R444</f>
        <v>44166</v>
      </c>
      <c r="U446" s="12">
        <f>OBRA!S444</f>
        <v>44196</v>
      </c>
      <c r="V446" s="240">
        <v>0</v>
      </c>
      <c r="W446" s="1407">
        <f>OBRA!AQ444+OBRA!AR444</f>
        <v>0</v>
      </c>
      <c r="X446" s="1235" t="s">
        <v>4167</v>
      </c>
      <c r="Y446" s="639" t="str">
        <f>OBRA!U444</f>
        <v>N/A</v>
      </c>
      <c r="Z446" s="639" t="s">
        <v>68</v>
      </c>
      <c r="AA446" s="640" t="str">
        <f t="shared" si="26"/>
        <v>N/A</v>
      </c>
      <c r="AB446" s="640" t="s">
        <v>1177</v>
      </c>
      <c r="AC446" s="1281" t="s">
        <v>1177</v>
      </c>
      <c r="AD446" s="198" t="str">
        <f>OBRA!V444</f>
        <v>ING. J. GUADALUPE IBARRA RAMIREZ</v>
      </c>
      <c r="AE446" s="174">
        <f>AE445</f>
        <v>3181.05</v>
      </c>
      <c r="AF446" s="202" t="str">
        <f>AF445</f>
        <v>M2</v>
      </c>
      <c r="AG446" s="682">
        <f t="shared" si="28"/>
        <v>0</v>
      </c>
      <c r="AH446" s="202">
        <f>AH445</f>
        <v>260</v>
      </c>
      <c r="AI446" s="566">
        <f>AI445</f>
        <v>260</v>
      </c>
      <c r="AJ446" s="566"/>
      <c r="AK446" s="1813">
        <v>20.315778000000002</v>
      </c>
      <c r="AL446" s="1814">
        <v>103.420536</v>
      </c>
      <c r="AM446" s="631"/>
      <c r="AN446" s="631"/>
      <c r="AO446" s="631"/>
      <c r="AP446" s="631"/>
      <c r="AQ446" s="1485"/>
      <c r="AR446" s="1494" t="s">
        <v>68</v>
      </c>
      <c r="AS446" s="1495" t="s">
        <v>68</v>
      </c>
      <c r="AT446" s="1483"/>
      <c r="AU446" s="1488"/>
      <c r="AV446" s="451"/>
      <c r="AW446" s="13"/>
    </row>
    <row r="447" spans="1:49" ht="93.75" hidden="1" customHeight="1">
      <c r="A447" s="17">
        <f>OBRA!I445</f>
        <v>2020</v>
      </c>
      <c r="B447" s="895" t="s">
        <v>2098</v>
      </c>
      <c r="C447" s="895">
        <v>201.12100000000001</v>
      </c>
      <c r="D447" s="895"/>
      <c r="E447" s="2" t="str">
        <f>OBRA!K445</f>
        <v>CTA-CTE / EMP P REACT ECO MPIOS</v>
      </c>
      <c r="F447" s="681" t="s">
        <v>3563</v>
      </c>
      <c r="G447" s="249" t="s">
        <v>2900</v>
      </c>
      <c r="H447" s="451"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28" t="s">
        <v>4027</v>
      </c>
      <c r="L447" s="780" t="s">
        <v>4033</v>
      </c>
      <c r="M447" s="780" t="s">
        <v>2649</v>
      </c>
      <c r="N447" s="554" t="s">
        <v>4236</v>
      </c>
      <c r="O447" s="4">
        <f>OBRA!P445</f>
        <v>180637.7</v>
      </c>
      <c r="P447" s="1208">
        <f t="shared" si="25"/>
        <v>155722.15517241383</v>
      </c>
      <c r="Q447" s="1208"/>
      <c r="R447" s="6">
        <f>OBRA!Q445</f>
        <v>44089</v>
      </c>
      <c r="S447" s="1327" t="s">
        <v>1177</v>
      </c>
      <c r="T447" s="5">
        <f>OBRA!R445</f>
        <v>44166</v>
      </c>
      <c r="U447" s="12">
        <f>OBRA!S445</f>
        <v>44196</v>
      </c>
      <c r="V447" s="240">
        <v>0</v>
      </c>
      <c r="W447" s="1407">
        <f>OBRA!AQ445+OBRA!AR445</f>
        <v>0</v>
      </c>
      <c r="X447" s="1235" t="s">
        <v>3525</v>
      </c>
      <c r="Y447" s="639" t="str">
        <f>OBRA!U445</f>
        <v>N/A</v>
      </c>
      <c r="Z447" s="639" t="s">
        <v>68</v>
      </c>
      <c r="AA447" s="640" t="str">
        <f t="shared" si="26"/>
        <v>N/A</v>
      </c>
      <c r="AB447" s="640" t="s">
        <v>1177</v>
      </c>
      <c r="AC447" s="1281" t="s">
        <v>1177</v>
      </c>
      <c r="AD447" s="198">
        <f>OBRA!V445</f>
        <v>0</v>
      </c>
      <c r="AE447" s="174">
        <v>1492</v>
      </c>
      <c r="AF447" s="202" t="s">
        <v>1552</v>
      </c>
      <c r="AG447" s="682">
        <f t="shared" si="28"/>
        <v>0</v>
      </c>
      <c r="AH447" s="202">
        <v>300</v>
      </c>
      <c r="AI447" s="566">
        <v>300</v>
      </c>
      <c r="AJ447" s="566"/>
      <c r="AK447" s="1813">
        <v>20.315778000000002</v>
      </c>
      <c r="AL447" s="1814">
        <v>103.420536</v>
      </c>
      <c r="AM447" s="1435" t="s">
        <v>3570</v>
      </c>
      <c r="AN447" s="1435" t="s">
        <v>3570</v>
      </c>
      <c r="AO447" s="1435" t="s">
        <v>3570</v>
      </c>
      <c r="AP447" s="1436" t="s">
        <v>3570</v>
      </c>
      <c r="AQ447" s="1485"/>
      <c r="AR447" s="1494" t="s">
        <v>68</v>
      </c>
      <c r="AS447" s="1495" t="s">
        <v>68</v>
      </c>
      <c r="AT447" s="1483"/>
      <c r="AU447" s="1488"/>
      <c r="AV447" s="451"/>
      <c r="AW447" s="13"/>
    </row>
    <row r="448" spans="1:49" ht="90" hidden="1" customHeight="1">
      <c r="A448" s="17">
        <f>OBRA!I446</f>
        <v>2020</v>
      </c>
      <c r="B448" s="895" t="s">
        <v>2098</v>
      </c>
      <c r="C448" s="895">
        <v>201.13</v>
      </c>
      <c r="D448" s="895"/>
      <c r="E448" s="2" t="str">
        <f>OBRA!K446</f>
        <v>EMP P/LA REACTIVACIÓN ECONÓMICA EN MPIOS</v>
      </c>
      <c r="F448" s="681" t="s">
        <v>3563</v>
      </c>
      <c r="G448" s="249" t="s">
        <v>2900</v>
      </c>
      <c r="H448" s="451"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28" t="s">
        <v>4027</v>
      </c>
      <c r="L448" s="780" t="s">
        <v>4034</v>
      </c>
      <c r="M448" s="780" t="s">
        <v>1979</v>
      </c>
      <c r="N448" s="585"/>
      <c r="O448" s="4">
        <f>OBRA!P446</f>
        <v>846155.00000000012</v>
      </c>
      <c r="P448" s="1208">
        <f t="shared" si="25"/>
        <v>729443.96551724151</v>
      </c>
      <c r="Q448" s="1208"/>
      <c r="R448" s="6">
        <f>OBRA!Q446</f>
        <v>44089</v>
      </c>
      <c r="S448" s="1327" t="s">
        <v>1177</v>
      </c>
      <c r="T448" s="5">
        <f>OBRA!R446</f>
        <v>44139</v>
      </c>
      <c r="U448" s="12">
        <f>OBRA!S446</f>
        <v>44191</v>
      </c>
      <c r="V448" s="240">
        <v>0</v>
      </c>
      <c r="W448" s="1407">
        <f>OBRA!AQ446+OBRA!AR446</f>
        <v>0</v>
      </c>
      <c r="X448" s="1235" t="s">
        <v>4167</v>
      </c>
      <c r="Y448" s="639" t="str">
        <f>OBRA!U446</f>
        <v>N/A</v>
      </c>
      <c r="Z448" s="639" t="s">
        <v>68</v>
      </c>
      <c r="AA448" s="640" t="str">
        <f t="shared" si="26"/>
        <v>N/A</v>
      </c>
      <c r="AB448" s="640" t="s">
        <v>1177</v>
      </c>
      <c r="AC448" s="1281" t="s">
        <v>1177</v>
      </c>
      <c r="AD448" s="198" t="str">
        <f>OBRA!V446</f>
        <v>ING. J. GUADALUPE IBARRA RAMIREZ</v>
      </c>
      <c r="AE448" s="174">
        <f>AE447</f>
        <v>1492</v>
      </c>
      <c r="AF448" s="202" t="str">
        <f>AF447</f>
        <v>M2</v>
      </c>
      <c r="AG448" s="682">
        <f t="shared" si="28"/>
        <v>0</v>
      </c>
      <c r="AH448" s="202">
        <f>AH447</f>
        <v>300</v>
      </c>
      <c r="AI448" s="566">
        <f>AI447</f>
        <v>300</v>
      </c>
      <c r="AJ448" s="566"/>
      <c r="AK448" s="1813" t="s">
        <v>68</v>
      </c>
      <c r="AL448" s="1814" t="s">
        <v>68</v>
      </c>
      <c r="AM448" s="631"/>
      <c r="AN448" s="631"/>
      <c r="AO448" s="631"/>
      <c r="AP448" s="631"/>
      <c r="AQ448" s="1485"/>
      <c r="AR448" s="1494" t="s">
        <v>68</v>
      </c>
      <c r="AS448" s="1495" t="s">
        <v>68</v>
      </c>
      <c r="AT448" s="1483"/>
      <c r="AU448" s="1488"/>
      <c r="AV448" s="451"/>
      <c r="AW448" s="13"/>
    </row>
    <row r="449" spans="1:49" ht="78.75" hidden="1" customHeight="1">
      <c r="A449" s="17">
        <f>OBRA!I447</f>
        <v>2020</v>
      </c>
      <c r="B449" s="895" t="s">
        <v>2098</v>
      </c>
      <c r="C449" s="895">
        <v>201.131</v>
      </c>
      <c r="D449" s="895"/>
      <c r="E449" s="2" t="str">
        <f>OBRA!K447</f>
        <v>CTA-CTE / EMP P REACT ECO MPIOS</v>
      </c>
      <c r="F449" s="681" t="s">
        <v>3563</v>
      </c>
      <c r="G449" s="249" t="s">
        <v>2900</v>
      </c>
      <c r="H449" s="451" t="str">
        <f>OBRA!L447</f>
        <v>DOP/AD/013-A/2020</v>
      </c>
      <c r="I449" s="2" t="str">
        <f>OBRA!M447</f>
        <v>ADMINISTRACIÓN DIRECTA</v>
      </c>
      <c r="J449" s="3" t="str">
        <f>OBRA!N447</f>
        <v>CONSTRUCCIÓN DE EMPEDRADO ZAMPEADO, EN FRACC. "EL CARRIZAL", EN LA CABECERA MUNICIPAL DE JOCOTEPEC JALISCO.</v>
      </c>
      <c r="K449" s="328" t="s">
        <v>4027</v>
      </c>
      <c r="L449" s="780" t="s">
        <v>4034</v>
      </c>
      <c r="M449" s="780" t="s">
        <v>1979</v>
      </c>
      <c r="N449" s="585"/>
      <c r="O449" s="4">
        <f>OBRA!P447</f>
        <v>219218.46</v>
      </c>
      <c r="P449" s="1208">
        <f t="shared" si="25"/>
        <v>188981.43103448275</v>
      </c>
      <c r="Q449" s="1208"/>
      <c r="R449" s="6">
        <f>OBRA!Q447</f>
        <v>44089</v>
      </c>
      <c r="S449" s="1327" t="s">
        <v>1177</v>
      </c>
      <c r="T449" s="5">
        <f>OBRA!R447</f>
        <v>44139</v>
      </c>
      <c r="U449" s="12">
        <f>OBRA!S447</f>
        <v>44191</v>
      </c>
      <c r="V449" s="240">
        <v>0</v>
      </c>
      <c r="W449" s="1407">
        <f>OBRA!AQ447+OBRA!AR447</f>
        <v>0</v>
      </c>
      <c r="X449" s="1235" t="s">
        <v>3525</v>
      </c>
      <c r="Y449" s="639" t="str">
        <f>OBRA!U447</f>
        <v>N/A</v>
      </c>
      <c r="Z449" s="639" t="s">
        <v>68</v>
      </c>
      <c r="AA449" s="640" t="str">
        <f t="shared" si="26"/>
        <v>N/A</v>
      </c>
      <c r="AB449" s="640" t="s">
        <v>1177</v>
      </c>
      <c r="AC449" s="1281" t="s">
        <v>1177</v>
      </c>
      <c r="AD449" s="198">
        <f>OBRA!V447</f>
        <v>0</v>
      </c>
      <c r="AE449" s="174">
        <v>3500</v>
      </c>
      <c r="AF449" s="202" t="s">
        <v>1552</v>
      </c>
      <c r="AG449" s="682">
        <f t="shared" si="28"/>
        <v>0</v>
      </c>
      <c r="AH449" s="202">
        <v>500</v>
      </c>
      <c r="AI449" s="566">
        <v>5500</v>
      </c>
      <c r="AJ449" s="566"/>
      <c r="AK449" s="1813" t="s">
        <v>68</v>
      </c>
      <c r="AL449" s="1814" t="s">
        <v>68</v>
      </c>
      <c r="AM449" s="1435" t="s">
        <v>3575</v>
      </c>
      <c r="AN449" s="1435" t="s">
        <v>3575</v>
      </c>
      <c r="AO449" s="1435" t="s">
        <v>3575</v>
      </c>
      <c r="AP449" s="631"/>
      <c r="AQ449" s="1485"/>
      <c r="AR449" s="1494" t="s">
        <v>68</v>
      </c>
      <c r="AS449" s="1495" t="s">
        <v>68</v>
      </c>
      <c r="AT449" s="1483"/>
      <c r="AU449" s="1488"/>
      <c r="AV449" s="451"/>
      <c r="AW449" s="13"/>
    </row>
    <row r="450" spans="1:49" ht="82.5" hidden="1" customHeight="1">
      <c r="A450" s="17">
        <f>OBRA!I448</f>
        <v>2020</v>
      </c>
      <c r="B450" s="895" t="s">
        <v>2098</v>
      </c>
      <c r="C450" s="895">
        <v>201.14</v>
      </c>
      <c r="D450" s="1722" t="s">
        <v>4066</v>
      </c>
      <c r="E450" s="2" t="str">
        <f>OBRA!K448</f>
        <v>EMP P/LA REACTIVACIÓN ECONÓMICA EN MPIOS</v>
      </c>
      <c r="F450" s="681" t="s">
        <v>3563</v>
      </c>
      <c r="G450" s="249" t="s">
        <v>2900</v>
      </c>
      <c r="H450" s="451"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28" t="s">
        <v>4027</v>
      </c>
      <c r="L450" s="780" t="s">
        <v>4035</v>
      </c>
      <c r="M450" s="780" t="s">
        <v>1979</v>
      </c>
      <c r="N450" s="554" t="s">
        <v>4069</v>
      </c>
      <c r="O450" s="4">
        <f>OBRA!P448</f>
        <v>367959.98</v>
      </c>
      <c r="P450" s="1208">
        <f t="shared" si="25"/>
        <v>317206.87931034481</v>
      </c>
      <c r="Q450" s="1208"/>
      <c r="R450" s="6">
        <f>OBRA!Q448</f>
        <v>44089</v>
      </c>
      <c r="S450" s="1327" t="s">
        <v>1177</v>
      </c>
      <c r="T450" s="5">
        <f>OBRA!R448</f>
        <v>44172</v>
      </c>
      <c r="U450" s="12">
        <f>OBRA!S448</f>
        <v>44196</v>
      </c>
      <c r="V450" s="240">
        <v>0</v>
      </c>
      <c r="W450" s="1407">
        <f>OBRA!AQ448+OBRA!AR448</f>
        <v>0</v>
      </c>
      <c r="X450" s="1235" t="s">
        <v>4071</v>
      </c>
      <c r="Y450" s="639" t="str">
        <f>OBRA!U448</f>
        <v>N/A</v>
      </c>
      <c r="Z450" s="639" t="s">
        <v>68</v>
      </c>
      <c r="AA450" s="640" t="str">
        <f t="shared" si="26"/>
        <v>N/A</v>
      </c>
      <c r="AB450" s="640" t="s">
        <v>1177</v>
      </c>
      <c r="AC450" s="1281" t="s">
        <v>1177</v>
      </c>
      <c r="AD450" s="198" t="str">
        <f>OBRA!V448</f>
        <v>ING. J. GUADALUPE IBARRA RAMIREZ</v>
      </c>
      <c r="AE450" s="174">
        <f>AE449</f>
        <v>3500</v>
      </c>
      <c r="AF450" s="202" t="str">
        <f>AF449</f>
        <v>M2</v>
      </c>
      <c r="AG450" s="682">
        <f t="shared" si="28"/>
        <v>0</v>
      </c>
      <c r="AH450" s="202">
        <f>AH449</f>
        <v>500</v>
      </c>
      <c r="AI450" s="566">
        <f>AI449</f>
        <v>5500</v>
      </c>
      <c r="AJ450" s="566"/>
      <c r="AK450" s="1813">
        <v>20.279517999999999</v>
      </c>
      <c r="AL450" s="1814">
        <v>103.43153</v>
      </c>
      <c r="AM450" s="631"/>
      <c r="AN450" s="631"/>
      <c r="AO450" s="631"/>
      <c r="AP450" s="631"/>
      <c r="AQ450" s="1485"/>
      <c r="AR450" s="1494" t="s">
        <v>68</v>
      </c>
      <c r="AS450" s="1495" t="s">
        <v>68</v>
      </c>
      <c r="AT450" s="1483"/>
      <c r="AU450" s="1488"/>
      <c r="AV450" s="451"/>
      <c r="AW450" s="13"/>
    </row>
    <row r="451" spans="1:49" ht="86.25" hidden="1" customHeight="1">
      <c r="A451" s="17">
        <f>OBRA!I449</f>
        <v>2020</v>
      </c>
      <c r="B451" s="895" t="s">
        <v>2098</v>
      </c>
      <c r="C451" s="895">
        <v>201.14099999999999</v>
      </c>
      <c r="D451" s="1722" t="s">
        <v>4066</v>
      </c>
      <c r="E451" s="2" t="str">
        <f>OBRA!K449</f>
        <v>CTA-CTE / EMP P REACT ECO MPIOS</v>
      </c>
      <c r="F451" s="681" t="s">
        <v>3563</v>
      </c>
      <c r="G451" s="249" t="s">
        <v>2900</v>
      </c>
      <c r="H451" s="451"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28" t="s">
        <v>4027</v>
      </c>
      <c r="L451" s="780" t="s">
        <v>4035</v>
      </c>
      <c r="M451" s="780" t="s">
        <v>1979</v>
      </c>
      <c r="N451" s="554" t="s">
        <v>4069</v>
      </c>
      <c r="O451" s="4">
        <f>OBRA!P449</f>
        <v>134912.99</v>
      </c>
      <c r="P451" s="1208">
        <f t="shared" si="25"/>
        <v>116304.30172413793</v>
      </c>
      <c r="Q451" s="1208"/>
      <c r="R451" s="6">
        <f>OBRA!Q449</f>
        <v>44089</v>
      </c>
      <c r="S451" s="1327" t="s">
        <v>1177</v>
      </c>
      <c r="T451" s="5">
        <f>OBRA!R449</f>
        <v>44172</v>
      </c>
      <c r="U451" s="12">
        <f>OBRA!S449</f>
        <v>44196</v>
      </c>
      <c r="V451" s="240">
        <v>0</v>
      </c>
      <c r="W451" s="1407">
        <f>OBRA!AQ449+OBRA!AR449</f>
        <v>0</v>
      </c>
      <c r="X451" s="1235" t="s">
        <v>3525</v>
      </c>
      <c r="Y451" s="639" t="str">
        <f>OBRA!U449</f>
        <v>N/A</v>
      </c>
      <c r="Z451" s="639" t="s">
        <v>68</v>
      </c>
      <c r="AA451" s="640" t="str">
        <f t="shared" si="26"/>
        <v>N/A</v>
      </c>
      <c r="AB451" s="640" t="s">
        <v>1177</v>
      </c>
      <c r="AC451" s="1281" t="s">
        <v>1177</v>
      </c>
      <c r="AD451" s="198">
        <f>OBRA!V449</f>
        <v>0</v>
      </c>
      <c r="AE451" s="174">
        <v>1557.64</v>
      </c>
      <c r="AF451" s="202" t="s">
        <v>1552</v>
      </c>
      <c r="AG451" s="682">
        <f t="shared" si="28"/>
        <v>0</v>
      </c>
      <c r="AH451" s="202">
        <v>300</v>
      </c>
      <c r="AI451" s="566">
        <v>2000</v>
      </c>
      <c r="AJ451" s="566"/>
      <c r="AK451" s="1813">
        <v>20.279517999999999</v>
      </c>
      <c r="AL451" s="1814">
        <v>103.43153</v>
      </c>
      <c r="AM451" s="1435" t="s">
        <v>3572</v>
      </c>
      <c r="AN451" s="1435" t="s">
        <v>3572</v>
      </c>
      <c r="AO451" s="631"/>
      <c r="AP451" s="631"/>
      <c r="AQ451" s="1485"/>
      <c r="AR451" s="1494" t="s">
        <v>68</v>
      </c>
      <c r="AS451" s="1495" t="s">
        <v>68</v>
      </c>
      <c r="AT451" s="1483"/>
      <c r="AU451" s="1488"/>
      <c r="AV451" s="451"/>
      <c r="AW451" s="13"/>
    </row>
    <row r="452" spans="1:49" ht="101.25" hidden="1" customHeight="1">
      <c r="A452" s="17">
        <f>OBRA!I450</f>
        <v>2020</v>
      </c>
      <c r="B452" s="895" t="s">
        <v>2098</v>
      </c>
      <c r="C452" s="895">
        <v>201.15</v>
      </c>
      <c r="D452" s="895"/>
      <c r="E452" s="2" t="str">
        <f>OBRA!K450</f>
        <v>EMP P/LA REACTIVACIÓN ECONÓMICA EN MPIOS</v>
      </c>
      <c r="F452" s="681" t="s">
        <v>3563</v>
      </c>
      <c r="G452" s="249" t="s">
        <v>2900</v>
      </c>
      <c r="H452" s="451"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28" t="s">
        <v>4027</v>
      </c>
      <c r="L452" s="780" t="s">
        <v>4036</v>
      </c>
      <c r="M452" s="780" t="s">
        <v>1979</v>
      </c>
      <c r="N452" s="554" t="s">
        <v>4237</v>
      </c>
      <c r="O452" s="4">
        <f>OBRA!P450</f>
        <v>856034.87000000011</v>
      </c>
      <c r="P452" s="1208">
        <f t="shared" si="25"/>
        <v>737961.09482758632</v>
      </c>
      <c r="Q452" s="1208"/>
      <c r="R452" s="6">
        <f>OBRA!Q450</f>
        <v>44089</v>
      </c>
      <c r="S452" s="1327" t="s">
        <v>1177</v>
      </c>
      <c r="T452" s="5">
        <f>OBRA!R450</f>
        <v>44153</v>
      </c>
      <c r="U452" s="12">
        <f>OBRA!S450</f>
        <v>44191</v>
      </c>
      <c r="V452" s="240">
        <v>0</v>
      </c>
      <c r="W452" s="1407">
        <f>OBRA!AQ450+OBRA!AR450</f>
        <v>0</v>
      </c>
      <c r="X452" s="1235" t="s">
        <v>4167</v>
      </c>
      <c r="Y452" s="639" t="str">
        <f>OBRA!U450</f>
        <v>N/A</v>
      </c>
      <c r="Z452" s="639" t="s">
        <v>68</v>
      </c>
      <c r="AA452" s="640" t="str">
        <f t="shared" si="26"/>
        <v>N/A</v>
      </c>
      <c r="AB452" s="640" t="s">
        <v>1177</v>
      </c>
      <c r="AC452" s="1281" t="s">
        <v>1177</v>
      </c>
      <c r="AD452" s="198" t="str">
        <f>OBRA!V450</f>
        <v>ING. J. GUADALUPE IBARRA RAMIREZ</v>
      </c>
      <c r="AE452" s="174">
        <f>AE451</f>
        <v>1557.64</v>
      </c>
      <c r="AF452" s="202" t="str">
        <f>AF451</f>
        <v>M2</v>
      </c>
      <c r="AG452" s="682">
        <f t="shared" si="28"/>
        <v>0</v>
      </c>
      <c r="AH452" s="202">
        <f>AH451</f>
        <v>300</v>
      </c>
      <c r="AI452" s="566">
        <f>AI451</f>
        <v>2000</v>
      </c>
      <c r="AJ452" s="566"/>
      <c r="AK452" s="1813" t="s">
        <v>68</v>
      </c>
      <c r="AL452" s="1814" t="s">
        <v>68</v>
      </c>
      <c r="AM452" s="631"/>
      <c r="AN452" s="631"/>
      <c r="AO452" s="631"/>
      <c r="AP452" s="631"/>
      <c r="AQ452" s="1485"/>
      <c r="AR452" s="1494" t="s">
        <v>68</v>
      </c>
      <c r="AS452" s="1495" t="s">
        <v>68</v>
      </c>
      <c r="AT452" s="1483"/>
      <c r="AU452" s="1488"/>
      <c r="AV452" s="451"/>
      <c r="AW452" s="13"/>
    </row>
    <row r="453" spans="1:49" ht="81.75" hidden="1" customHeight="1">
      <c r="A453" s="17">
        <f>OBRA!I451</f>
        <v>2020</v>
      </c>
      <c r="B453" s="895" t="s">
        <v>2098</v>
      </c>
      <c r="C453" s="895">
        <v>201.15100000000001</v>
      </c>
      <c r="D453" s="895"/>
      <c r="E453" s="2" t="str">
        <f>OBRA!K451</f>
        <v>EMP P/LA REACTIVACIÓN ECONÓMICA EN MPIOS</v>
      </c>
      <c r="F453" s="681" t="s">
        <v>3563</v>
      </c>
      <c r="G453" s="249" t="s">
        <v>2900</v>
      </c>
      <c r="H453" s="451"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28" t="s">
        <v>4027</v>
      </c>
      <c r="L453" s="780" t="s">
        <v>4037</v>
      </c>
      <c r="M453" s="780" t="s">
        <v>1979</v>
      </c>
      <c r="N453" s="554" t="s">
        <v>4237</v>
      </c>
      <c r="O453" s="4">
        <f>OBRA!P451</f>
        <v>196467.44</v>
      </c>
      <c r="P453" s="1208">
        <f t="shared" si="25"/>
        <v>169368.4827586207</v>
      </c>
      <c r="Q453" s="1208"/>
      <c r="R453" s="6">
        <f>OBRA!Q451</f>
        <v>44089</v>
      </c>
      <c r="S453" s="1327" t="s">
        <v>1177</v>
      </c>
      <c r="T453" s="5">
        <f>OBRA!R451</f>
        <v>44153</v>
      </c>
      <c r="U453" s="12">
        <f>OBRA!S451</f>
        <v>44191</v>
      </c>
      <c r="V453" s="240">
        <v>0</v>
      </c>
      <c r="W453" s="1407">
        <f>OBRA!AQ451+OBRA!AR451</f>
        <v>0</v>
      </c>
      <c r="X453" s="1235" t="s">
        <v>3525</v>
      </c>
      <c r="Y453" s="639" t="str">
        <f>OBRA!U451</f>
        <v>N/A</v>
      </c>
      <c r="Z453" s="639" t="s">
        <v>68</v>
      </c>
      <c r="AA453" s="640" t="str">
        <f t="shared" si="26"/>
        <v>N/A</v>
      </c>
      <c r="AB453" s="640" t="s">
        <v>1177</v>
      </c>
      <c r="AC453" s="1281" t="s">
        <v>1177</v>
      </c>
      <c r="AD453" s="198" t="str">
        <f>OBRA!V451</f>
        <v>ING. J. GUADALUPE IBARRA RAMIREZ</v>
      </c>
      <c r="AE453" s="174">
        <v>3576.5</v>
      </c>
      <c r="AF453" s="202" t="s">
        <v>1552</v>
      </c>
      <c r="AG453" s="682">
        <f t="shared" si="28"/>
        <v>0</v>
      </c>
      <c r="AH453" s="202">
        <v>350</v>
      </c>
      <c r="AI453" s="566">
        <v>350</v>
      </c>
      <c r="AJ453" s="566"/>
      <c r="AK453" s="1813">
        <v>20.277894</v>
      </c>
      <c r="AL453" s="1814">
        <v>103.435349</v>
      </c>
      <c r="AM453" s="1435" t="s">
        <v>3576</v>
      </c>
      <c r="AN453" s="1435" t="s">
        <v>3576</v>
      </c>
      <c r="AO453" s="1435" t="s">
        <v>3576</v>
      </c>
      <c r="AP453" s="631"/>
      <c r="AQ453" s="1485"/>
      <c r="AR453" s="1494" t="s">
        <v>68</v>
      </c>
      <c r="AS453" s="1495" t="s">
        <v>68</v>
      </c>
      <c r="AT453" s="1483"/>
      <c r="AU453" s="1488"/>
      <c r="AV453" s="451"/>
      <c r="AW453" s="13"/>
    </row>
    <row r="454" spans="1:49" ht="77.25" hidden="1" customHeight="1">
      <c r="A454" s="17">
        <f>OBRA!I452</f>
        <v>2020</v>
      </c>
      <c r="B454" s="895" t="s">
        <v>2098</v>
      </c>
      <c r="C454" s="895">
        <v>201.15199999999999</v>
      </c>
      <c r="D454" s="895"/>
      <c r="E454" s="2" t="str">
        <f>OBRA!K452</f>
        <v>CTA-CTE / EMP P REACT ECO MPIOS</v>
      </c>
      <c r="F454" s="681" t="s">
        <v>3563</v>
      </c>
      <c r="G454" s="249" t="s">
        <v>2900</v>
      </c>
      <c r="H454" s="451" t="str">
        <f>OBRA!L452</f>
        <v>DOP/AD/015-A/2020</v>
      </c>
      <c r="I454" s="2" t="str">
        <f>OBRA!M452</f>
        <v>ADMINISTRACIÓN DIRECTA</v>
      </c>
      <c r="J454" s="3" t="str">
        <f>OBRA!N452</f>
        <v>CONSTRUCCIÓN DE EMPEDRADO ZAMPEADO EN FRACC. "LAS PALMAS", EN LA CABECERA MUNICIPAL DE JOCOTEPEC, JALISCO.</v>
      </c>
      <c r="K454" s="328" t="s">
        <v>4027</v>
      </c>
      <c r="L454" s="780" t="s">
        <v>4036</v>
      </c>
      <c r="M454" s="780" t="s">
        <v>1979</v>
      </c>
      <c r="N454" s="585"/>
      <c r="O454" s="4">
        <f>OBRA!P452</f>
        <v>230070.08</v>
      </c>
      <c r="P454" s="1208">
        <f t="shared" si="25"/>
        <v>198336.27586206896</v>
      </c>
      <c r="Q454" s="1208"/>
      <c r="R454" s="6">
        <f>OBRA!Q452</f>
        <v>44089</v>
      </c>
      <c r="S454" s="1327" t="s">
        <v>1177</v>
      </c>
      <c r="T454" s="5">
        <f>OBRA!R452</f>
        <v>44153</v>
      </c>
      <c r="U454" s="12">
        <f>OBRA!S452</f>
        <v>44191</v>
      </c>
      <c r="V454" s="240">
        <v>0</v>
      </c>
      <c r="W454" s="1407">
        <f>OBRA!AQ452+OBRA!AR452</f>
        <v>0</v>
      </c>
      <c r="X454" s="1235" t="s">
        <v>3525</v>
      </c>
      <c r="Y454" s="639" t="str">
        <f>OBRA!U452</f>
        <v>N/A</v>
      </c>
      <c r="Z454" s="639" t="s">
        <v>68</v>
      </c>
      <c r="AA454" s="640" t="str">
        <f t="shared" si="26"/>
        <v>N/A</v>
      </c>
      <c r="AB454" s="640" t="s">
        <v>1177</v>
      </c>
      <c r="AC454" s="1281" t="s">
        <v>1177</v>
      </c>
      <c r="AD454" s="198">
        <f>OBRA!V452</f>
        <v>0</v>
      </c>
      <c r="AE454" s="174">
        <v>740.62</v>
      </c>
      <c r="AF454" s="202" t="s">
        <v>1552</v>
      </c>
      <c r="AG454" s="682">
        <f t="shared" si="28"/>
        <v>0</v>
      </c>
      <c r="AH454" s="202">
        <v>150</v>
      </c>
      <c r="AI454" s="566">
        <v>1500</v>
      </c>
      <c r="AJ454" s="566"/>
      <c r="AK454" s="1813" t="s">
        <v>68</v>
      </c>
      <c r="AL454" s="1814" t="s">
        <v>68</v>
      </c>
      <c r="AM454" s="1435" t="s">
        <v>3576</v>
      </c>
      <c r="AN454" s="1435" t="s">
        <v>3576</v>
      </c>
      <c r="AO454" s="631"/>
      <c r="AP454" s="631"/>
      <c r="AQ454" s="1485"/>
      <c r="AR454" s="1494" t="s">
        <v>68</v>
      </c>
      <c r="AS454" s="1495" t="s">
        <v>68</v>
      </c>
      <c r="AT454" s="1483"/>
      <c r="AU454" s="1488"/>
      <c r="AV454" s="451"/>
      <c r="AW454" s="13"/>
    </row>
    <row r="455" spans="1:49" ht="81.75" hidden="1" customHeight="1">
      <c r="A455" s="17">
        <f>OBRA!I453</f>
        <v>2020</v>
      </c>
      <c r="B455" s="895" t="s">
        <v>2098</v>
      </c>
      <c r="C455" s="895">
        <v>201.16</v>
      </c>
      <c r="D455" s="1722" t="s">
        <v>4066</v>
      </c>
      <c r="E455" s="2" t="str">
        <f>OBRA!K453</f>
        <v>EMP P/LA REACTIVACIÓN ECONÓMICA EN MPIOS</v>
      </c>
      <c r="F455" s="681" t="s">
        <v>3563</v>
      </c>
      <c r="G455" s="249" t="s">
        <v>2239</v>
      </c>
      <c r="H455" s="451" t="str">
        <f>OBRA!L453</f>
        <v>DOP/AD/016/2020</v>
      </c>
      <c r="I455" s="2" t="str">
        <f>OBRA!M453</f>
        <v>ADMINISTRACIÓN DIRECTA</v>
      </c>
      <c r="J455" s="3" t="str">
        <f>OBRA!N453</f>
        <v>CONSTRUCCIÓN DE EMPEDRADO ZAMPEADO EN C. INVIERNO, C. LAZARO CARDENAS, C. GONZALEZ ORTEGA Y CHAPULTEPEC EN CABECERA MUNICIPAL DE JOCOTEPEC, JALISCO.</v>
      </c>
      <c r="K455" s="328" t="s">
        <v>4027</v>
      </c>
      <c r="L455" s="780" t="s">
        <v>4038</v>
      </c>
      <c r="M455" s="780" t="s">
        <v>1979</v>
      </c>
      <c r="N455" s="554" t="s">
        <v>4070</v>
      </c>
      <c r="O455" s="4">
        <f>OBRA!P453</f>
        <v>1291558.55</v>
      </c>
      <c r="P455" s="1208">
        <f t="shared" si="25"/>
        <v>1113412.5431034483</v>
      </c>
      <c r="Q455" s="1208"/>
      <c r="R455" s="6">
        <f>OBRA!Q453</f>
        <v>44089</v>
      </c>
      <c r="S455" s="1327" t="s">
        <v>1177</v>
      </c>
      <c r="T455" s="5">
        <f>OBRA!R453</f>
        <v>44139</v>
      </c>
      <c r="U455" s="12">
        <f>OBRA!S453</f>
        <v>44196</v>
      </c>
      <c r="V455" s="240">
        <v>0</v>
      </c>
      <c r="W455" s="1407">
        <f>OBRA!AQ453+OBRA!AR453</f>
        <v>0</v>
      </c>
      <c r="X455" s="1235" t="s">
        <v>4071</v>
      </c>
      <c r="Y455" s="639" t="str">
        <f>OBRA!U453</f>
        <v>N/A</v>
      </c>
      <c r="Z455" s="639" t="s">
        <v>68</v>
      </c>
      <c r="AA455" s="640" t="str">
        <f t="shared" si="26"/>
        <v>N/A</v>
      </c>
      <c r="AB455" s="640" t="s">
        <v>1177</v>
      </c>
      <c r="AC455" s="1281" t="s">
        <v>1177</v>
      </c>
      <c r="AD455" s="198" t="str">
        <f>OBRA!V453</f>
        <v>ING. J. GUADALUPE IBARRA RAMIREZ</v>
      </c>
      <c r="AE455" s="174">
        <f>AE454</f>
        <v>740.62</v>
      </c>
      <c r="AF455" s="202" t="str">
        <f>AF454</f>
        <v>M2</v>
      </c>
      <c r="AG455" s="682">
        <f t="shared" si="28"/>
        <v>0</v>
      </c>
      <c r="AH455" s="202">
        <f>AH454</f>
        <v>150</v>
      </c>
      <c r="AI455" s="566">
        <f>AI454</f>
        <v>1500</v>
      </c>
      <c r="AJ455" s="566"/>
      <c r="AK455" s="1813" t="s">
        <v>68</v>
      </c>
      <c r="AL455" s="1814" t="s">
        <v>68</v>
      </c>
      <c r="AM455" s="631"/>
      <c r="AN455" s="631"/>
      <c r="AO455" s="631"/>
      <c r="AP455" s="631"/>
      <c r="AQ455" s="1485"/>
      <c r="AR455" s="1494" t="s">
        <v>68</v>
      </c>
      <c r="AS455" s="1495" t="s">
        <v>68</v>
      </c>
      <c r="AT455" s="1483"/>
      <c r="AU455" s="1488"/>
      <c r="AV455" s="451"/>
      <c r="AW455" s="13"/>
    </row>
    <row r="456" spans="1:49" ht="90" hidden="1" customHeight="1">
      <c r="A456" s="17">
        <f>OBRA!I454</f>
        <v>2020</v>
      </c>
      <c r="B456" s="895" t="s">
        <v>2098</v>
      </c>
      <c r="C456" s="895">
        <v>201.161</v>
      </c>
      <c r="D456" s="1722" t="s">
        <v>4066</v>
      </c>
      <c r="E456" s="2" t="str">
        <f>OBRA!K454</f>
        <v>CTA-CTE / EMP P REACT ECO MPIOS</v>
      </c>
      <c r="F456" s="681" t="s">
        <v>3563</v>
      </c>
      <c r="G456" s="249" t="s">
        <v>2239</v>
      </c>
      <c r="H456" s="451" t="str">
        <f>OBRA!L454</f>
        <v>DOP/AD/016-A/2020</v>
      </c>
      <c r="I456" s="2" t="str">
        <f>OBRA!M454</f>
        <v>ADMINISTRACIÓN DIRECTA</v>
      </c>
      <c r="J456" s="3" t="str">
        <f>OBRA!N454</f>
        <v>CONSTRUCCIÓN DE EMPEDRADO ZAMPEADO EN C. INVIERNO, C. LAZARO CARDENAS, C. GONZALEZ ORTEGA Y CHAPULTEPEC EN CABECERA MUNICIPAL DE JOCOTEPEC, JALISCO.</v>
      </c>
      <c r="K456" s="328" t="s">
        <v>4027</v>
      </c>
      <c r="L456" s="780" t="s">
        <v>4038</v>
      </c>
      <c r="M456" s="780" t="s">
        <v>1979</v>
      </c>
      <c r="N456" s="554" t="s">
        <v>4070</v>
      </c>
      <c r="O456" s="4">
        <f>OBRA!P454</f>
        <v>542961</v>
      </c>
      <c r="P456" s="1208">
        <f t="shared" si="25"/>
        <v>468069.82758620696</v>
      </c>
      <c r="Q456" s="1208"/>
      <c r="R456" s="6">
        <f>OBRA!Q454</f>
        <v>44089</v>
      </c>
      <c r="S456" s="1327" t="s">
        <v>1177</v>
      </c>
      <c r="T456" s="5">
        <f>OBRA!R454</f>
        <v>44139</v>
      </c>
      <c r="U456" s="12">
        <f>OBRA!S454</f>
        <v>44196</v>
      </c>
      <c r="V456" s="240">
        <v>0</v>
      </c>
      <c r="W456" s="1407">
        <f>OBRA!AQ454+OBRA!AR454</f>
        <v>0</v>
      </c>
      <c r="X456" s="1235" t="s">
        <v>3525</v>
      </c>
      <c r="Y456" s="639" t="str">
        <f>OBRA!U454</f>
        <v>N/A</v>
      </c>
      <c r="Z456" s="639" t="s">
        <v>68</v>
      </c>
      <c r="AA456" s="640" t="str">
        <f t="shared" si="26"/>
        <v>N/A</v>
      </c>
      <c r="AB456" s="640" t="s">
        <v>1177</v>
      </c>
      <c r="AC456" s="1281" t="s">
        <v>1177</v>
      </c>
      <c r="AD456" s="198">
        <f>OBRA!V454</f>
        <v>0</v>
      </c>
      <c r="AE456" s="174">
        <v>5527.87</v>
      </c>
      <c r="AF456" s="202" t="s">
        <v>1552</v>
      </c>
      <c r="AG456" s="682">
        <f t="shared" si="28"/>
        <v>0</v>
      </c>
      <c r="AH456" s="202">
        <v>500</v>
      </c>
      <c r="AI456" s="566">
        <v>11000</v>
      </c>
      <c r="AJ456" s="566"/>
      <c r="AK456" s="1813" t="s">
        <v>68</v>
      </c>
      <c r="AL456" s="1814" t="s">
        <v>68</v>
      </c>
      <c r="AM456" s="1435" t="s">
        <v>3578</v>
      </c>
      <c r="AN456" s="1435" t="s">
        <v>3578</v>
      </c>
      <c r="AO456" s="1435" t="s">
        <v>3578</v>
      </c>
      <c r="AP456" s="631"/>
      <c r="AQ456" s="1485"/>
      <c r="AR456" s="1494" t="s">
        <v>68</v>
      </c>
      <c r="AS456" s="1495" t="s">
        <v>68</v>
      </c>
      <c r="AT456" s="1483"/>
      <c r="AU456" s="1488"/>
      <c r="AV456" s="451"/>
      <c r="AW456" s="13"/>
    </row>
    <row r="457" spans="1:49" ht="79.5" hidden="1" customHeight="1">
      <c r="A457" s="17">
        <f>OBRA!I455</f>
        <v>2020</v>
      </c>
      <c r="B457" s="895" t="s">
        <v>2098</v>
      </c>
      <c r="C457" s="895">
        <v>205.01</v>
      </c>
      <c r="D457" s="895"/>
      <c r="E457" s="2" t="str">
        <f>OBRA!K455</f>
        <v>CUENTA CORRIENTE</v>
      </c>
      <c r="F457" s="681" t="s">
        <v>3563</v>
      </c>
      <c r="G457" s="249" t="s">
        <v>2900</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81" t="s">
        <v>4238</v>
      </c>
      <c r="L457" s="780" t="s">
        <v>4020</v>
      </c>
      <c r="M457" s="780" t="s">
        <v>2699</v>
      </c>
      <c r="N457" s="1714" t="s">
        <v>3770</v>
      </c>
      <c r="O457" s="4">
        <f>OBRA!P455</f>
        <v>15080</v>
      </c>
      <c r="P457" s="1208">
        <f t="shared" si="25"/>
        <v>13000</v>
      </c>
      <c r="Q457" s="85" t="s">
        <v>68</v>
      </c>
      <c r="R457" s="6">
        <f>OBRA!Q455</f>
        <v>43864</v>
      </c>
      <c r="S457" s="1327" t="s">
        <v>1177</v>
      </c>
      <c r="T457" s="5">
        <f>OBRA!R455</f>
        <v>43865</v>
      </c>
      <c r="U457" s="12">
        <f>OBRA!S455</f>
        <v>43879</v>
      </c>
      <c r="V457" s="240">
        <v>0</v>
      </c>
      <c r="W457" s="1407">
        <f>OBRA!AQ455+OBRA!AR455</f>
        <v>0</v>
      </c>
      <c r="X457" s="1235" t="s">
        <v>1431</v>
      </c>
      <c r="Y457" s="639" t="str">
        <f>OBRA!U455</f>
        <v xml:space="preserve">CICLOS GIP SC </v>
      </c>
      <c r="Z457" s="639" t="s">
        <v>5823</v>
      </c>
      <c r="AA457" s="652" t="s">
        <v>3039</v>
      </c>
      <c r="AB457" s="652" t="s">
        <v>3027</v>
      </c>
      <c r="AC457" s="650" t="s">
        <v>3028</v>
      </c>
      <c r="AD457" s="198" t="str">
        <f>OBRA!V455</f>
        <v>ING. JUAN MANUEL GARCIA ESCOTO</v>
      </c>
      <c r="AE457" s="174">
        <f>AE456</f>
        <v>5527.87</v>
      </c>
      <c r="AF457" s="202" t="str">
        <f>AF456</f>
        <v>M2</v>
      </c>
      <c r="AG457" s="682">
        <f t="shared" si="28"/>
        <v>0</v>
      </c>
      <c r="AH457" s="202">
        <f>AH456</f>
        <v>500</v>
      </c>
      <c r="AI457" s="566">
        <f>AI456</f>
        <v>11000</v>
      </c>
      <c r="AJ457" s="566"/>
      <c r="AK457" s="1802"/>
      <c r="AL457" s="1803"/>
      <c r="AM457" s="631"/>
      <c r="AN457" s="631"/>
      <c r="AO457" s="631"/>
      <c r="AP457" s="631"/>
      <c r="AQ457" s="1485"/>
      <c r="AR457" s="1494" t="s">
        <v>68</v>
      </c>
      <c r="AS457" s="1495" t="s">
        <v>68</v>
      </c>
      <c r="AT457" s="1483"/>
      <c r="AU457" s="1488"/>
      <c r="AV457" s="451"/>
      <c r="AW457" s="13"/>
    </row>
    <row r="458" spans="1:49" ht="251.25" hidden="1" customHeight="1">
      <c r="A458" s="17">
        <f>OBRA!I456</f>
        <v>2020</v>
      </c>
      <c r="B458" s="895" t="s">
        <v>2098</v>
      </c>
      <c r="C458" s="895">
        <v>205.02</v>
      </c>
      <c r="D458" s="895"/>
      <c r="E458" s="2" t="str">
        <f>OBRA!K456</f>
        <v>CUENTA CORRIENTE</v>
      </c>
      <c r="F458" s="681" t="s">
        <v>3563</v>
      </c>
      <c r="G458" s="249" t="s">
        <v>2900</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4239</v>
      </c>
      <c r="L458" s="780" t="s">
        <v>4020</v>
      </c>
      <c r="M458" s="780" t="s">
        <v>2699</v>
      </c>
      <c r="N458" s="1714" t="s">
        <v>3770</v>
      </c>
      <c r="O458" s="85">
        <f>OBRA!P456</f>
        <v>139246.39999999999</v>
      </c>
      <c r="P458" s="1208">
        <f t="shared" ref="P458:P521" si="29">O458/1.16</f>
        <v>120040</v>
      </c>
      <c r="Q458" s="85" t="s">
        <v>68</v>
      </c>
      <c r="R458" s="6">
        <f>OBRA!Q456</f>
        <v>44275</v>
      </c>
      <c r="S458" s="1327" t="str">
        <f>OBRA!T456</f>
        <v>-</v>
      </c>
      <c r="T458" s="5">
        <f>OBRA!R456</f>
        <v>44287</v>
      </c>
      <c r="U458" s="12">
        <f>OBRA!S456</f>
        <v>44289</v>
      </c>
      <c r="V458" s="1405">
        <v>83547.839999999997</v>
      </c>
      <c r="W458" s="1355">
        <f>OBRA!AQ456+OBRA!AR456</f>
        <v>0</v>
      </c>
      <c r="X458" s="1235" t="s">
        <v>1431</v>
      </c>
      <c r="Y458" s="639" t="str">
        <f>OBRA!U456</f>
        <v>AJG INGENIERIA, SA DE CV</v>
      </c>
      <c r="Z458" s="639" t="s">
        <v>5823</v>
      </c>
      <c r="AA458" s="652" t="s">
        <v>3827</v>
      </c>
      <c r="AB458" s="652" t="s">
        <v>3828</v>
      </c>
      <c r="AC458" s="650" t="s">
        <v>3829</v>
      </c>
      <c r="AD458" s="198" t="str">
        <f>OBRA!V456</f>
        <v>ING. JUAN MANUEL GARCIA ESCOTO</v>
      </c>
      <c r="AE458" s="231">
        <v>1</v>
      </c>
      <c r="AF458" s="426" t="s">
        <v>1466</v>
      </c>
      <c r="AG458" s="682">
        <f t="shared" si="28"/>
        <v>0</v>
      </c>
      <c r="AH458" s="426">
        <v>2100</v>
      </c>
      <c r="AI458" s="1796">
        <v>2100</v>
      </c>
      <c r="AJ458" s="1796"/>
      <c r="AK458" s="1809"/>
      <c r="AL458" s="1810"/>
      <c r="AM458" s="1304" t="s">
        <v>68</v>
      </c>
      <c r="AN458" s="629" t="s">
        <v>68</v>
      </c>
      <c r="AO458" s="629" t="s">
        <v>68</v>
      </c>
      <c r="AP458" s="556"/>
      <c r="AQ458" s="1492" t="s">
        <v>68</v>
      </c>
      <c r="AR458" s="1487"/>
      <c r="AS458" s="1483"/>
      <c r="AT458" s="1483"/>
      <c r="AU458" s="1488"/>
      <c r="AV458" s="451"/>
      <c r="AW458" s="13"/>
    </row>
    <row r="459" spans="1:49" ht="44.25" hidden="1" customHeight="1">
      <c r="A459" s="88">
        <f>OBRA!I457</f>
        <v>2020</v>
      </c>
      <c r="B459" s="897" t="s">
        <v>2098</v>
      </c>
      <c r="C459" s="897">
        <v>205.03</v>
      </c>
      <c r="D459" s="897"/>
      <c r="E459" s="91">
        <f>OBRA!K457</f>
        <v>0</v>
      </c>
      <c r="F459" s="1348" t="s">
        <v>3563</v>
      </c>
      <c r="G459" s="634" t="s">
        <v>2239</v>
      </c>
      <c r="H459" s="462" t="str">
        <f>OBRA!L457</f>
        <v>C.P.S.P. DOP 003/2020</v>
      </c>
      <c r="I459" s="91" t="str">
        <f>OBRA!M457</f>
        <v>CANCELADA</v>
      </c>
      <c r="J459" s="132" t="str">
        <f>OBRA!N457</f>
        <v>CONTRATO CANCELADO</v>
      </c>
      <c r="K459" s="132"/>
      <c r="L459" s="132"/>
      <c r="M459" s="132"/>
      <c r="N459" s="938"/>
      <c r="O459" s="92">
        <f>OBRA!P457</f>
        <v>0</v>
      </c>
      <c r="P459" s="92">
        <f t="shared" si="29"/>
        <v>0</v>
      </c>
      <c r="Q459" s="92"/>
      <c r="R459" s="93">
        <f>OBRA!Q457</f>
        <v>0</v>
      </c>
      <c r="S459" s="1668">
        <f>OBRA!T457</f>
        <v>0</v>
      </c>
      <c r="T459" s="94">
        <f>OBRA!R457</f>
        <v>0</v>
      </c>
      <c r="U459" s="95">
        <f>OBRA!S457</f>
        <v>0</v>
      </c>
      <c r="V459" s="1669">
        <v>0</v>
      </c>
      <c r="W459" s="1354">
        <f>OBRA!AQ457+OBRA!AR457</f>
        <v>0</v>
      </c>
      <c r="X459" s="1200"/>
      <c r="Y459" s="935">
        <f>OBRA!U457</f>
        <v>0</v>
      </c>
      <c r="Z459" s="935" t="s">
        <v>68</v>
      </c>
      <c r="AA459" s="460" t="s">
        <v>68</v>
      </c>
      <c r="AB459" s="460" t="s">
        <v>68</v>
      </c>
      <c r="AC459" s="935" t="s">
        <v>1431</v>
      </c>
      <c r="AD459" s="199">
        <f>OBRA!V457</f>
        <v>0</v>
      </c>
      <c r="AE459" s="90">
        <v>240</v>
      </c>
      <c r="AF459" s="91" t="s">
        <v>1454</v>
      </c>
      <c r="AG459" s="936">
        <f t="shared" si="28"/>
        <v>0</v>
      </c>
      <c r="AH459" s="91">
        <v>2100</v>
      </c>
      <c r="AI459" s="564">
        <v>2100</v>
      </c>
      <c r="AJ459" s="564"/>
      <c r="AK459" s="1804"/>
      <c r="AL459" s="1805"/>
      <c r="AM459" s="1670" t="s">
        <v>68</v>
      </c>
      <c r="AN459" s="942" t="s">
        <v>68</v>
      </c>
      <c r="AO459" s="942" t="s">
        <v>68</v>
      </c>
      <c r="AP459" s="564"/>
      <c r="AQ459" s="1704" t="s">
        <v>68</v>
      </c>
      <c r="AR459" s="1697"/>
      <c r="AS459" s="1698"/>
      <c r="AT459" s="1698"/>
      <c r="AU459" s="1699"/>
      <c r="AV459" s="462"/>
      <c r="AW459" s="109"/>
    </row>
    <row r="460" spans="1:49" ht="111.75" hidden="1" customHeight="1">
      <c r="A460" s="17">
        <f>OBRA!I458</f>
        <v>2020</v>
      </c>
      <c r="B460" s="895" t="s">
        <v>2098</v>
      </c>
      <c r="C460" s="895">
        <v>205.04</v>
      </c>
      <c r="D460" s="895"/>
      <c r="E460" s="2" t="str">
        <f>OBRA!K458</f>
        <v>CUENTA CORRIENTE</v>
      </c>
      <c r="F460" s="249" t="s">
        <v>1431</v>
      </c>
      <c r="G460" s="249" t="s">
        <v>2900</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3074</v>
      </c>
      <c r="L460" s="780" t="s">
        <v>4039</v>
      </c>
      <c r="M460" s="780" t="s">
        <v>1979</v>
      </c>
      <c r="N460" s="554" t="s">
        <v>3770</v>
      </c>
      <c r="O460" s="85">
        <f>OBRA!P458</f>
        <v>25520</v>
      </c>
      <c r="P460" s="1208">
        <f t="shared" si="29"/>
        <v>22000</v>
      </c>
      <c r="Q460" s="85" t="s">
        <v>68</v>
      </c>
      <c r="R460" s="6">
        <f>OBRA!Q458</f>
        <v>43979</v>
      </c>
      <c r="S460" s="1327" t="str">
        <f>OBRA!T458</f>
        <v>-</v>
      </c>
      <c r="T460" s="5" t="str">
        <f>OBRA!R458</f>
        <v>NO APLICA</v>
      </c>
      <c r="U460" s="12" t="str">
        <f>OBRA!S458</f>
        <v>NO APLICA</v>
      </c>
      <c r="V460" s="1405">
        <v>0</v>
      </c>
      <c r="W460" s="1355">
        <f>OBRA!AQ458+OBRA!AR458</f>
        <v>0</v>
      </c>
      <c r="X460" s="1235" t="s">
        <v>1431</v>
      </c>
      <c r="Y460" s="639" t="str">
        <f>OBRA!U458</f>
        <v>SUPERVISIÓN PROYECTOS Y LABORATORIO PARA LA CONSTRUCCIÓN</v>
      </c>
      <c r="Z460" s="639" t="s">
        <v>5823</v>
      </c>
      <c r="AA460" s="640" t="s">
        <v>3079</v>
      </c>
      <c r="AB460" s="446" t="s">
        <v>3032</v>
      </c>
      <c r="AC460" s="1281" t="s">
        <v>3033</v>
      </c>
      <c r="AD460" s="198" t="str">
        <f>OBRA!V458</f>
        <v>ING. HECTOR JESUS HERNANDEZ</v>
      </c>
      <c r="AE460" s="174">
        <v>1</v>
      </c>
      <c r="AF460" s="202" t="s">
        <v>1577</v>
      </c>
      <c r="AG460" s="682">
        <f t="shared" si="28"/>
        <v>0</v>
      </c>
      <c r="AH460" s="202">
        <v>200</v>
      </c>
      <c r="AI460" s="566">
        <v>1000</v>
      </c>
      <c r="AJ460" s="566"/>
      <c r="AK460" s="1802"/>
      <c r="AL460" s="1803"/>
      <c r="AM460" s="1304" t="s">
        <v>68</v>
      </c>
      <c r="AN460" s="629" t="s">
        <v>68</v>
      </c>
      <c r="AO460" s="629" t="s">
        <v>68</v>
      </c>
      <c r="AP460" s="556"/>
      <c r="AQ460" s="1492" t="s">
        <v>68</v>
      </c>
      <c r="AR460" s="1487"/>
      <c r="AS460" s="1483"/>
      <c r="AT460" s="1483"/>
      <c r="AU460" s="1488"/>
      <c r="AV460" s="451"/>
      <c r="AW460" s="13"/>
    </row>
    <row r="461" spans="1:49" ht="108.75" hidden="1" customHeight="1">
      <c r="A461" s="17">
        <f>OBRA!I459</f>
        <v>2020</v>
      </c>
      <c r="B461" s="895" t="s">
        <v>2098</v>
      </c>
      <c r="C461" s="895">
        <v>205.05</v>
      </c>
      <c r="D461" s="895"/>
      <c r="E461" s="2" t="str">
        <f>OBRA!K459</f>
        <v>CUENTA CORRIENTE</v>
      </c>
      <c r="F461" s="249" t="s">
        <v>1431</v>
      </c>
      <c r="G461" s="249" t="s">
        <v>2900</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3074</v>
      </c>
      <c r="L461" s="780" t="s">
        <v>4040</v>
      </c>
      <c r="M461" s="780" t="s">
        <v>1979</v>
      </c>
      <c r="N461" s="1714" t="s">
        <v>3770</v>
      </c>
      <c r="O461" s="85">
        <f>OBRA!P459</f>
        <v>36772</v>
      </c>
      <c r="P461" s="1208">
        <f t="shared" si="29"/>
        <v>31700.000000000004</v>
      </c>
      <c r="Q461" s="85" t="s">
        <v>68</v>
      </c>
      <c r="R461" s="6">
        <f>OBRA!Q459</f>
        <v>43979</v>
      </c>
      <c r="S461" s="1327" t="str">
        <f>OBRA!T459</f>
        <v>-</v>
      </c>
      <c r="T461" s="5" t="str">
        <f>OBRA!R459</f>
        <v>NO APLICA</v>
      </c>
      <c r="U461" s="12" t="str">
        <f>OBRA!S459</f>
        <v>NO APLICA</v>
      </c>
      <c r="V461" s="1405">
        <v>0</v>
      </c>
      <c r="W461" s="1355">
        <f>OBRA!AQ459+OBRA!AR459</f>
        <v>0</v>
      </c>
      <c r="X461" s="1235" t="s">
        <v>1431</v>
      </c>
      <c r="Y461" s="639" t="str">
        <f>OBRA!U459</f>
        <v>SUPERVISIÓN PROYECTOS Y LABORATORIO PARA LA CONSTRUCCIÓN</v>
      </c>
      <c r="Z461" s="639" t="s">
        <v>5823</v>
      </c>
      <c r="AA461" s="640" t="s">
        <v>3079</v>
      </c>
      <c r="AB461" s="652" t="s">
        <v>3032</v>
      </c>
      <c r="AC461" s="650" t="s">
        <v>3033</v>
      </c>
      <c r="AD461" s="198" t="str">
        <f>OBRA!V459</f>
        <v>ING. HECTOR JESUS HERNANDEZ</v>
      </c>
      <c r="AE461" s="174">
        <v>1</v>
      </c>
      <c r="AF461" s="202" t="s">
        <v>1577</v>
      </c>
      <c r="AG461" s="682">
        <f t="shared" si="28"/>
        <v>0</v>
      </c>
      <c r="AH461" s="202">
        <v>500</v>
      </c>
      <c r="AI461" s="566">
        <v>500</v>
      </c>
      <c r="AJ461" s="566"/>
      <c r="AK461" s="1802"/>
      <c r="AL461" s="1803"/>
      <c r="AM461" s="1304" t="s">
        <v>68</v>
      </c>
      <c r="AN461" s="629" t="s">
        <v>68</v>
      </c>
      <c r="AO461" s="629" t="s">
        <v>68</v>
      </c>
      <c r="AP461" s="556"/>
      <c r="AQ461" s="1492" t="s">
        <v>68</v>
      </c>
      <c r="AR461" s="1487"/>
      <c r="AS461" s="1483"/>
      <c r="AT461" s="1483"/>
      <c r="AU461" s="1488"/>
      <c r="AV461" s="451"/>
      <c r="AW461" s="13"/>
    </row>
    <row r="462" spans="1:49" ht="94.5" hidden="1" customHeight="1">
      <c r="A462" s="17">
        <f>OBRA!I460</f>
        <v>2020</v>
      </c>
      <c r="B462" s="895" t="s">
        <v>2098</v>
      </c>
      <c r="C462" s="895">
        <v>205.06</v>
      </c>
      <c r="D462" s="895"/>
      <c r="E462" s="2" t="str">
        <f>OBRA!K460</f>
        <v>CUENTA CORRIENTE</v>
      </c>
      <c r="F462" s="249" t="s">
        <v>1431</v>
      </c>
      <c r="G462" s="249" t="s">
        <v>2900</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3074</v>
      </c>
      <c r="L462" s="780" t="s">
        <v>4041</v>
      </c>
      <c r="M462" s="780" t="s">
        <v>2560</v>
      </c>
      <c r="N462" s="1714" t="s">
        <v>3770</v>
      </c>
      <c r="O462" s="85">
        <f>OBRA!P460</f>
        <v>18096</v>
      </c>
      <c r="P462" s="1208">
        <f t="shared" si="29"/>
        <v>15600.000000000002</v>
      </c>
      <c r="Q462" s="85" t="s">
        <v>68</v>
      </c>
      <c r="R462" s="6">
        <f>OBRA!Q460</f>
        <v>43979</v>
      </c>
      <c r="S462" s="1327" t="str">
        <f>OBRA!T460</f>
        <v>-</v>
      </c>
      <c r="T462" s="5" t="str">
        <f>OBRA!R460</f>
        <v>NO APLICA</v>
      </c>
      <c r="U462" s="12" t="str">
        <f>OBRA!S460</f>
        <v>NO APLICA</v>
      </c>
      <c r="V462" s="1405">
        <v>0</v>
      </c>
      <c r="W462" s="1355">
        <f>OBRA!AQ460+OBRA!AR460</f>
        <v>0</v>
      </c>
      <c r="X462" s="1235" t="s">
        <v>1431</v>
      </c>
      <c r="Y462" s="639" t="str">
        <f>OBRA!U460</f>
        <v>SUPERVISIÓN PROYECTOS Y LABORATORIO PARA LA CONSTRUCCIÓN</v>
      </c>
      <c r="Z462" s="639" t="s">
        <v>5823</v>
      </c>
      <c r="AA462" s="640" t="s">
        <v>3079</v>
      </c>
      <c r="AB462" s="652" t="s">
        <v>3032</v>
      </c>
      <c r="AC462" s="650" t="s">
        <v>3033</v>
      </c>
      <c r="AD462" s="198" t="str">
        <f>OBRA!V460</f>
        <v>ING. HECTOR JESUS HERNANDEZ</v>
      </c>
      <c r="AE462" s="174">
        <v>1</v>
      </c>
      <c r="AF462" s="202" t="s">
        <v>1577</v>
      </c>
      <c r="AG462" s="682">
        <f t="shared" ref="AG462:AG493" si="30">W462/AE462</f>
        <v>0</v>
      </c>
      <c r="AH462" s="202">
        <v>2000</v>
      </c>
      <c r="AI462" s="566">
        <v>8000</v>
      </c>
      <c r="AJ462" s="566"/>
      <c r="AK462" s="1802"/>
      <c r="AL462" s="1803"/>
      <c r="AM462" s="1304" t="s">
        <v>68</v>
      </c>
      <c r="AN462" s="629" t="s">
        <v>68</v>
      </c>
      <c r="AO462" s="629" t="s">
        <v>68</v>
      </c>
      <c r="AP462" s="556"/>
      <c r="AQ462" s="1492" t="s">
        <v>68</v>
      </c>
      <c r="AR462" s="1487"/>
      <c r="AS462" s="1483"/>
      <c r="AT462" s="1483"/>
      <c r="AU462" s="1488"/>
      <c r="AV462" s="451"/>
      <c r="AW462" s="13"/>
    </row>
    <row r="463" spans="1:49" ht="84.75" hidden="1" customHeight="1">
      <c r="A463" s="17">
        <f>OBRA!I461</f>
        <v>2020</v>
      </c>
      <c r="B463" s="895" t="s">
        <v>2098</v>
      </c>
      <c r="C463" s="895">
        <v>205.07</v>
      </c>
      <c r="D463" s="895"/>
      <c r="E463" s="2" t="str">
        <f>OBRA!K461</f>
        <v>CUENTA CORRIENTE</v>
      </c>
      <c r="F463" s="249" t="s">
        <v>1431</v>
      </c>
      <c r="G463" s="249" t="s">
        <v>2900</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3074</v>
      </c>
      <c r="L463" s="780" t="s">
        <v>4042</v>
      </c>
      <c r="M463" s="780" t="s">
        <v>1979</v>
      </c>
      <c r="N463" s="1714" t="s">
        <v>3770</v>
      </c>
      <c r="O463" s="85">
        <f>OBRA!P461</f>
        <v>22772</v>
      </c>
      <c r="P463" s="1208">
        <f t="shared" si="29"/>
        <v>19631.034482758623</v>
      </c>
      <c r="Q463" s="85" t="s">
        <v>68</v>
      </c>
      <c r="R463" s="6">
        <f>OBRA!Q461</f>
        <v>43979</v>
      </c>
      <c r="S463" s="1327" t="str">
        <f>OBRA!T461</f>
        <v>-</v>
      </c>
      <c r="T463" s="5" t="str">
        <f>OBRA!R461</f>
        <v>NO APLICA</v>
      </c>
      <c r="U463" s="12" t="str">
        <f>OBRA!S461</f>
        <v>NO APLICA</v>
      </c>
      <c r="V463" s="1405">
        <v>0</v>
      </c>
      <c r="W463" s="1355">
        <f>OBRA!AQ461+OBRA!AR461</f>
        <v>0</v>
      </c>
      <c r="X463" s="1235" t="s">
        <v>1431</v>
      </c>
      <c r="Y463" s="639" t="str">
        <f>OBRA!U461</f>
        <v>SUPERVISIÓN PROYECTOS Y LABORATORIO PARA LA CONSTRUCCIÓN</v>
      </c>
      <c r="Z463" s="639" t="s">
        <v>5823</v>
      </c>
      <c r="AA463" s="640" t="s">
        <v>3079</v>
      </c>
      <c r="AB463" s="652" t="s">
        <v>3032</v>
      </c>
      <c r="AC463" s="650" t="s">
        <v>3033</v>
      </c>
      <c r="AD463" s="198" t="str">
        <f>OBRA!V461</f>
        <v>ING. HECTOR JESUS HERNANDEZ</v>
      </c>
      <c r="AE463" s="174">
        <v>1</v>
      </c>
      <c r="AF463" s="202" t="s">
        <v>1577</v>
      </c>
      <c r="AG463" s="682">
        <f t="shared" si="30"/>
        <v>0</v>
      </c>
      <c r="AH463" s="202">
        <v>200</v>
      </c>
      <c r="AI463" s="566">
        <v>1000</v>
      </c>
      <c r="AJ463" s="566"/>
      <c r="AK463" s="1802"/>
      <c r="AL463" s="1803"/>
      <c r="AM463" s="1304" t="s">
        <v>68</v>
      </c>
      <c r="AN463" s="629" t="s">
        <v>68</v>
      </c>
      <c r="AO463" s="629" t="s">
        <v>68</v>
      </c>
      <c r="AP463" s="556"/>
      <c r="AQ463" s="1492" t="s">
        <v>68</v>
      </c>
      <c r="AR463" s="1487"/>
      <c r="AS463" s="1483"/>
      <c r="AT463" s="1483"/>
      <c r="AU463" s="1488"/>
      <c r="AV463" s="451"/>
      <c r="AW463" s="13"/>
    </row>
    <row r="464" spans="1:49" ht="96.75" hidden="1" customHeight="1">
      <c r="A464" s="17">
        <f>OBRA!I462</f>
        <v>2020</v>
      </c>
      <c r="B464" s="895" t="s">
        <v>2098</v>
      </c>
      <c r="C464" s="895">
        <v>205.08</v>
      </c>
      <c r="D464" s="895"/>
      <c r="E464" s="2" t="str">
        <f>OBRA!K462</f>
        <v>CUENTA CORRIENTE</v>
      </c>
      <c r="F464" s="249" t="s">
        <v>1431</v>
      </c>
      <c r="G464" s="249" t="s">
        <v>2900</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3074</v>
      </c>
      <c r="L464" s="780" t="s">
        <v>4043</v>
      </c>
      <c r="M464" s="780" t="s">
        <v>2613</v>
      </c>
      <c r="N464" s="1714" t="s">
        <v>3770</v>
      </c>
      <c r="O464" s="85">
        <f>OBRA!P462</f>
        <v>22772</v>
      </c>
      <c r="P464" s="1208">
        <f t="shared" si="29"/>
        <v>19631.034482758623</v>
      </c>
      <c r="Q464" s="85" t="s">
        <v>68</v>
      </c>
      <c r="R464" s="6">
        <f>OBRA!Q462</f>
        <v>43979</v>
      </c>
      <c r="S464" s="1327" t="str">
        <f>OBRA!T462</f>
        <v>-</v>
      </c>
      <c r="T464" s="5" t="str">
        <f>OBRA!R462</f>
        <v>NO APLICA</v>
      </c>
      <c r="U464" s="12" t="str">
        <f>OBRA!S462</f>
        <v>NO APLICA</v>
      </c>
      <c r="V464" s="1405">
        <v>0</v>
      </c>
      <c r="W464" s="1355">
        <f>OBRA!AQ462+OBRA!AR462</f>
        <v>0</v>
      </c>
      <c r="X464" s="1235" t="s">
        <v>1431</v>
      </c>
      <c r="Y464" s="639" t="str">
        <f>OBRA!U462</f>
        <v>SUPERVISIÓN PROYECTOS Y LABORATORIO PARA LA CONSTRUCCIÓN</v>
      </c>
      <c r="Z464" s="639" t="s">
        <v>5823</v>
      </c>
      <c r="AA464" s="640" t="s">
        <v>3079</v>
      </c>
      <c r="AB464" s="652" t="s">
        <v>3032</v>
      </c>
      <c r="AC464" s="650" t="s">
        <v>3033</v>
      </c>
      <c r="AD464" s="198" t="str">
        <f>OBRA!V462</f>
        <v>ING. HECTOR JESUS HERNANDEZ</v>
      </c>
      <c r="AE464" s="174">
        <v>1</v>
      </c>
      <c r="AF464" s="202" t="s">
        <v>1577</v>
      </c>
      <c r="AG464" s="682">
        <f t="shared" si="30"/>
        <v>0</v>
      </c>
      <c r="AH464" s="202">
        <v>200</v>
      </c>
      <c r="AI464" s="566">
        <v>1000</v>
      </c>
      <c r="AJ464" s="566"/>
      <c r="AK464" s="1802"/>
      <c r="AL464" s="1803"/>
      <c r="AM464" s="1304" t="s">
        <v>68</v>
      </c>
      <c r="AN464" s="629" t="s">
        <v>68</v>
      </c>
      <c r="AO464" s="629" t="s">
        <v>68</v>
      </c>
      <c r="AP464" s="556"/>
      <c r="AQ464" s="1492" t="s">
        <v>68</v>
      </c>
      <c r="AR464" s="1487"/>
      <c r="AS464" s="1483"/>
      <c r="AT464" s="1483"/>
      <c r="AU464" s="1488"/>
      <c r="AV464" s="451"/>
      <c r="AW464" s="13"/>
    </row>
    <row r="465" spans="1:49" ht="96" hidden="1" customHeight="1">
      <c r="A465" s="17">
        <f>OBRA!I463</f>
        <v>2020</v>
      </c>
      <c r="B465" s="895" t="s">
        <v>2098</v>
      </c>
      <c r="C465" s="895">
        <v>205.09</v>
      </c>
      <c r="D465" s="895"/>
      <c r="E465" s="2" t="str">
        <f>OBRA!K463</f>
        <v>CUENTA CORRIENTE</v>
      </c>
      <c r="F465" s="249" t="s">
        <v>1431</v>
      </c>
      <c r="G465" s="249" t="s">
        <v>2900</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3075</v>
      </c>
      <c r="L465" s="780" t="s">
        <v>3072</v>
      </c>
      <c r="M465" s="780" t="s">
        <v>2650</v>
      </c>
      <c r="N465" s="1714" t="s">
        <v>3770</v>
      </c>
      <c r="O465" s="85">
        <f>OBRA!P463</f>
        <v>17400</v>
      </c>
      <c r="P465" s="1208">
        <f t="shared" si="29"/>
        <v>15000.000000000002</v>
      </c>
      <c r="Q465" s="85" t="s">
        <v>68</v>
      </c>
      <c r="R465" s="6">
        <f>OBRA!Q463</f>
        <v>44050</v>
      </c>
      <c r="S465" s="1327" t="str">
        <f>OBRA!T463</f>
        <v>-</v>
      </c>
      <c r="T465" s="5">
        <f>OBRA!R463</f>
        <v>44050</v>
      </c>
      <c r="U465" s="12">
        <f>OBRA!S463</f>
        <v>44055</v>
      </c>
      <c r="V465" s="1405">
        <v>0</v>
      </c>
      <c r="W465" s="1355">
        <f>OBRA!AQ463+OBRA!AR463</f>
        <v>0</v>
      </c>
      <c r="X465" s="1235" t="s">
        <v>1431</v>
      </c>
      <c r="Y465" s="639" t="str">
        <f>OBRA!U463</f>
        <v xml:space="preserve">CICLOS GIP SC </v>
      </c>
      <c r="Z465" s="639" t="s">
        <v>5823</v>
      </c>
      <c r="AA465" s="640" t="s">
        <v>3039</v>
      </c>
      <c r="AB465" s="652" t="s">
        <v>3027</v>
      </c>
      <c r="AC465" s="650" t="s">
        <v>3028</v>
      </c>
      <c r="AD465" s="198" t="str">
        <f>OBRA!V463</f>
        <v>ING. HECTOR JESUS HERNANDEZ</v>
      </c>
      <c r="AE465" s="174">
        <v>1</v>
      </c>
      <c r="AF465" s="202" t="s">
        <v>1466</v>
      </c>
      <c r="AG465" s="682">
        <f t="shared" si="30"/>
        <v>0</v>
      </c>
      <c r="AH465" s="202">
        <v>800</v>
      </c>
      <c r="AI465" s="566">
        <v>800</v>
      </c>
      <c r="AJ465" s="566"/>
      <c r="AK465" s="1802"/>
      <c r="AL465" s="1803"/>
      <c r="AM465" s="1304" t="s">
        <v>68</v>
      </c>
      <c r="AN465" s="629" t="s">
        <v>68</v>
      </c>
      <c r="AO465" s="629" t="s">
        <v>68</v>
      </c>
      <c r="AP465" s="556"/>
      <c r="AQ465" s="1492" t="s">
        <v>68</v>
      </c>
      <c r="AR465" s="1487"/>
      <c r="AS465" s="1483"/>
      <c r="AT465" s="1483"/>
      <c r="AU465" s="1488"/>
      <c r="AV465" s="451"/>
      <c r="AW465" s="13"/>
    </row>
    <row r="466" spans="1:49" ht="117" hidden="1" customHeight="1">
      <c r="A466" s="17">
        <f>OBRA!I464</f>
        <v>2020</v>
      </c>
      <c r="B466" s="895" t="s">
        <v>2098</v>
      </c>
      <c r="C466" s="895">
        <v>205.1</v>
      </c>
      <c r="D466" s="895"/>
      <c r="E466" s="2" t="str">
        <f>OBRA!K464</f>
        <v>CUENTA CORRIENTE</v>
      </c>
      <c r="F466" s="249" t="s">
        <v>1431</v>
      </c>
      <c r="G466" s="249" t="s">
        <v>2900</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3074</v>
      </c>
      <c r="L466" s="780" t="s">
        <v>3366</v>
      </c>
      <c r="M466" s="780" t="s">
        <v>2574</v>
      </c>
      <c r="N466" s="554" t="s">
        <v>3540</v>
      </c>
      <c r="O466" s="85">
        <f>OBRA!P464</f>
        <v>34046</v>
      </c>
      <c r="P466" s="1208">
        <f t="shared" si="29"/>
        <v>29350.000000000004</v>
      </c>
      <c r="Q466" s="85" t="s">
        <v>68</v>
      </c>
      <c r="R466" s="6">
        <f>OBRA!Q464</f>
        <v>44026</v>
      </c>
      <c r="S466" s="1327" t="str">
        <f>OBRA!T464</f>
        <v>-</v>
      </c>
      <c r="T466" s="5" t="str">
        <f>OBRA!R464</f>
        <v>NO APLICA</v>
      </c>
      <c r="U466" s="12" t="str">
        <f>OBRA!S464</f>
        <v>NO APLICA</v>
      </c>
      <c r="V466" s="1405">
        <v>0</v>
      </c>
      <c r="W466" s="1355">
        <f>OBRA!AQ464+OBRA!AR464</f>
        <v>0</v>
      </c>
      <c r="X466" s="1235" t="s">
        <v>1431</v>
      </c>
      <c r="Y466" s="639" t="str">
        <f>OBRA!U464</f>
        <v>SUPERVISIÓN PROYECTOS Y LABORATORIO PARA LA CONSTRUCCIÓN</v>
      </c>
      <c r="Z466" s="639" t="s">
        <v>5823</v>
      </c>
      <c r="AA466" s="640" t="s">
        <v>3079</v>
      </c>
      <c r="AB466" s="652" t="s">
        <v>3830</v>
      </c>
      <c r="AC466" s="650" t="s">
        <v>3831</v>
      </c>
      <c r="AD466" s="198" t="str">
        <f>OBRA!V464</f>
        <v>ARQ. EDUARDO ROMERO CARRILLO</v>
      </c>
      <c r="AE466" s="174">
        <v>1</v>
      </c>
      <c r="AF466" s="202" t="s">
        <v>1577</v>
      </c>
      <c r="AG466" s="682">
        <f t="shared" si="30"/>
        <v>0</v>
      </c>
      <c r="AH466" s="202">
        <v>3600</v>
      </c>
      <c r="AI466" s="566">
        <v>3600</v>
      </c>
      <c r="AJ466" s="566"/>
      <c r="AK466" s="1802"/>
      <c r="AL466" s="1803"/>
      <c r="AM466" s="1304" t="s">
        <v>68</v>
      </c>
      <c r="AN466" s="629" t="s">
        <v>68</v>
      </c>
      <c r="AO466" s="629" t="s">
        <v>68</v>
      </c>
      <c r="AP466" s="556"/>
      <c r="AQ466" s="1492" t="s">
        <v>68</v>
      </c>
      <c r="AR466" s="1487"/>
      <c r="AS466" s="1483"/>
      <c r="AT466" s="1483"/>
      <c r="AU466" s="1488"/>
      <c r="AV466" s="451"/>
      <c r="AW466" s="13"/>
    </row>
    <row r="467" spans="1:49" ht="78.75" hidden="1" customHeight="1">
      <c r="A467" s="17">
        <f>OBRA!I465</f>
        <v>2020</v>
      </c>
      <c r="B467" s="895" t="s">
        <v>2098</v>
      </c>
      <c r="C467" s="895">
        <v>205.11</v>
      </c>
      <c r="D467" s="895"/>
      <c r="E467" s="2" t="str">
        <f>OBRA!K465</f>
        <v>CUENTA CORRIENTE</v>
      </c>
      <c r="F467" s="249" t="s">
        <v>1431</v>
      </c>
      <c r="G467" s="249" t="s">
        <v>2900</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3074</v>
      </c>
      <c r="L467" s="780" t="s">
        <v>3367</v>
      </c>
      <c r="M467" s="780" t="s">
        <v>2611</v>
      </c>
      <c r="N467" s="554" t="s">
        <v>3541</v>
      </c>
      <c r="O467" s="85">
        <f>OBRA!P465</f>
        <v>4059.9999999999995</v>
      </c>
      <c r="P467" s="1208">
        <f t="shared" si="29"/>
        <v>3500</v>
      </c>
      <c r="Q467" s="85" t="s">
        <v>68</v>
      </c>
      <c r="R467" s="6">
        <f>OBRA!Q465</f>
        <v>44454</v>
      </c>
      <c r="S467" s="1327" t="str">
        <f>OBRA!T465</f>
        <v>-</v>
      </c>
      <c r="T467" s="5" t="str">
        <f>OBRA!R465</f>
        <v>NO APLICA</v>
      </c>
      <c r="U467" s="12" t="str">
        <f>OBRA!S465</f>
        <v>NO APLICA</v>
      </c>
      <c r="V467" s="1405">
        <v>0</v>
      </c>
      <c r="W467" s="1355">
        <f>OBRA!AQ465+OBRA!AR465</f>
        <v>0</v>
      </c>
      <c r="X467" s="1235" t="s">
        <v>1431</v>
      </c>
      <c r="Y467" s="639" t="str">
        <f>OBRA!U465</f>
        <v>JUAN MANUEL GARCIA ESCOTO</v>
      </c>
      <c r="Z467" s="639" t="s">
        <v>5822</v>
      </c>
      <c r="AA467" s="640" t="str">
        <f>Y467</f>
        <v>JUAN MANUEL GARCIA ESCOTO</v>
      </c>
      <c r="AB467" s="640" t="s">
        <v>3016</v>
      </c>
      <c r="AC467" s="639" t="s">
        <v>3016</v>
      </c>
      <c r="AD467" s="200" t="str">
        <f>OBRA!V465</f>
        <v>ING. HECTOR JESUS HERNANDEZ</v>
      </c>
      <c r="AE467" s="174">
        <v>1</v>
      </c>
      <c r="AF467" s="202" t="s">
        <v>1577</v>
      </c>
      <c r="AG467" s="682">
        <f t="shared" si="30"/>
        <v>0</v>
      </c>
      <c r="AH467" s="560"/>
      <c r="AI467" s="556"/>
      <c r="AJ467" s="556"/>
      <c r="AK467" s="721"/>
      <c r="AL467" s="1806"/>
      <c r="AM467" s="1304" t="s">
        <v>68</v>
      </c>
      <c r="AN467" s="629" t="s">
        <v>68</v>
      </c>
      <c r="AO467" s="629" t="s">
        <v>68</v>
      </c>
      <c r="AP467" s="556"/>
      <c r="AQ467" s="1492" t="s">
        <v>68</v>
      </c>
      <c r="AR467" s="1487"/>
      <c r="AS467" s="1483"/>
      <c r="AT467" s="1483"/>
      <c r="AU467" s="1488"/>
      <c r="AV467" s="451"/>
      <c r="AW467" s="13"/>
    </row>
    <row r="468" spans="1:49" ht="132" hidden="1" customHeight="1">
      <c r="A468" s="17">
        <f>OBRA!I466</f>
        <v>2020</v>
      </c>
      <c r="B468" s="895" t="s">
        <v>2098</v>
      </c>
      <c r="C468" s="895">
        <v>205.12</v>
      </c>
      <c r="D468" s="895"/>
      <c r="E468" s="2" t="str">
        <f>OBRA!K466</f>
        <v>CUENTA CORRIENTE</v>
      </c>
      <c r="F468" s="249" t="s">
        <v>1431</v>
      </c>
      <c r="G468" s="249" t="s">
        <v>2900</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3029</v>
      </c>
      <c r="L468" s="780" t="s">
        <v>3368</v>
      </c>
      <c r="M468" s="780" t="s">
        <v>2650</v>
      </c>
      <c r="N468" s="554" t="s">
        <v>3541</v>
      </c>
      <c r="O468" s="85">
        <f>OBRA!P466</f>
        <v>139246</v>
      </c>
      <c r="P468" s="1208">
        <f t="shared" si="29"/>
        <v>120039.6551724138</v>
      </c>
      <c r="Q468" s="85" t="s">
        <v>68</v>
      </c>
      <c r="R468" s="6">
        <f>OBRA!Q466</f>
        <v>44082</v>
      </c>
      <c r="S468" s="1327" t="str">
        <f>OBRA!T466</f>
        <v>-</v>
      </c>
      <c r="T468" s="5">
        <f>OBRA!R466</f>
        <v>44088</v>
      </c>
      <c r="U468" s="12">
        <f>OBRA!S466</f>
        <v>44094</v>
      </c>
      <c r="V468" s="1405">
        <v>139246</v>
      </c>
      <c r="W468" s="1355">
        <f>OBRA!AQ466+OBRA!AR466</f>
        <v>0</v>
      </c>
      <c r="X468" s="1235" t="s">
        <v>1431</v>
      </c>
      <c r="Y468" s="639" t="str">
        <f>OBRA!U466</f>
        <v>AJG INGENIERIA, SA DE CV</v>
      </c>
      <c r="Z468" s="639" t="s">
        <v>5823</v>
      </c>
      <c r="AA468" s="652" t="s">
        <v>3827</v>
      </c>
      <c r="AB468" s="652" t="s">
        <v>3828</v>
      </c>
      <c r="AC468" s="650" t="s">
        <v>3829</v>
      </c>
      <c r="AD468" s="200" t="str">
        <f>OBRA!V466</f>
        <v>ING. HECTOR JESUS HERNANDEZ</v>
      </c>
      <c r="AE468" s="174">
        <v>1</v>
      </c>
      <c r="AF468" s="202" t="s">
        <v>1577</v>
      </c>
      <c r="AG468" s="682">
        <f t="shared" si="30"/>
        <v>0</v>
      </c>
      <c r="AH468" s="202">
        <v>800</v>
      </c>
      <c r="AI468" s="566">
        <v>800</v>
      </c>
      <c r="AJ468" s="566"/>
      <c r="AK468" s="1802"/>
      <c r="AL468" s="1803"/>
      <c r="AM468" s="1304" t="s">
        <v>68</v>
      </c>
      <c r="AN468" s="629" t="s">
        <v>68</v>
      </c>
      <c r="AO468" s="629" t="s">
        <v>68</v>
      </c>
      <c r="AP468" s="556"/>
      <c r="AQ468" s="1492" t="s">
        <v>68</v>
      </c>
      <c r="AR468" s="1487"/>
      <c r="AS468" s="1483"/>
      <c r="AT468" s="1483"/>
      <c r="AU468" s="1488"/>
      <c r="AV468" s="451"/>
      <c r="AW468" s="13"/>
    </row>
    <row r="469" spans="1:49" ht="90" hidden="1" customHeight="1">
      <c r="A469" s="17">
        <f>OBRA!I467</f>
        <v>2020</v>
      </c>
      <c r="B469" s="895" t="s">
        <v>2098</v>
      </c>
      <c r="C469" s="895">
        <v>205.13</v>
      </c>
      <c r="D469" s="895"/>
      <c r="E469" s="2" t="str">
        <f>OBRA!K467</f>
        <v>CUENTA CORRIENTE</v>
      </c>
      <c r="F469" s="249" t="s">
        <v>1431</v>
      </c>
      <c r="G469" s="249" t="s">
        <v>2900</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3074</v>
      </c>
      <c r="L469" s="780" t="s">
        <v>3369</v>
      </c>
      <c r="M469" s="780" t="s">
        <v>1979</v>
      </c>
      <c r="N469" s="554" t="s">
        <v>3541</v>
      </c>
      <c r="O469" s="85">
        <f>OBRA!P467</f>
        <v>139246</v>
      </c>
      <c r="P469" s="1208">
        <f t="shared" si="29"/>
        <v>120039.6551724138</v>
      </c>
      <c r="Q469" s="85" t="s">
        <v>68</v>
      </c>
      <c r="R469" s="6">
        <f>OBRA!Q467</f>
        <v>44081</v>
      </c>
      <c r="S469" s="1327" t="str">
        <f>OBRA!T467</f>
        <v>-</v>
      </c>
      <c r="T469" s="5">
        <f>OBRA!R467</f>
        <v>44082</v>
      </c>
      <c r="U469" s="12">
        <f>OBRA!S467</f>
        <v>44086</v>
      </c>
      <c r="V469" s="1405">
        <v>139246</v>
      </c>
      <c r="W469" s="1355">
        <f>OBRA!AQ467+OBRA!AR467</f>
        <v>0</v>
      </c>
      <c r="X469" s="1235" t="s">
        <v>1431</v>
      </c>
      <c r="Y469" s="639" t="str">
        <f>OBRA!U467</f>
        <v>AJG INGENIERIA, SA DE CV</v>
      </c>
      <c r="Z469" s="639" t="s">
        <v>5823</v>
      </c>
      <c r="AA469" s="652" t="s">
        <v>3827</v>
      </c>
      <c r="AB469" s="652" t="s">
        <v>3828</v>
      </c>
      <c r="AC469" s="650" t="s">
        <v>3829</v>
      </c>
      <c r="AD469" s="200" t="str">
        <f>OBRA!V467</f>
        <v>ING. HECTOR JESUS HERNANDEZ</v>
      </c>
      <c r="AE469" s="174">
        <v>1</v>
      </c>
      <c r="AF469" s="202" t="s">
        <v>1577</v>
      </c>
      <c r="AG469" s="682">
        <f t="shared" si="30"/>
        <v>0</v>
      </c>
      <c r="AH469" s="202">
        <v>22100</v>
      </c>
      <c r="AI469" s="566">
        <v>22100</v>
      </c>
      <c r="AJ469" s="566"/>
      <c r="AK469" s="1802"/>
      <c r="AL469" s="1803"/>
      <c r="AM469" s="1304" t="s">
        <v>68</v>
      </c>
      <c r="AN469" s="629" t="s">
        <v>68</v>
      </c>
      <c r="AO469" s="629" t="s">
        <v>68</v>
      </c>
      <c r="AP469" s="556"/>
      <c r="AQ469" s="1492" t="s">
        <v>68</v>
      </c>
      <c r="AR469" s="1487"/>
      <c r="AS469" s="1483"/>
      <c r="AT469" s="1483"/>
      <c r="AU469" s="1488"/>
      <c r="AV469" s="451"/>
      <c r="AW469" s="13"/>
    </row>
    <row r="470" spans="1:49" ht="142.5" hidden="1" customHeight="1">
      <c r="A470" s="17">
        <f>OBRA!I468</f>
        <v>2020</v>
      </c>
      <c r="B470" s="895" t="s">
        <v>2098</v>
      </c>
      <c r="C470" s="895">
        <v>205.14</v>
      </c>
      <c r="D470" s="895"/>
      <c r="E470" s="2" t="str">
        <f>OBRA!K468</f>
        <v>CUENTA CORRIENTE</v>
      </c>
      <c r="F470" s="249" t="s">
        <v>1431</v>
      </c>
      <c r="G470" s="249" t="s">
        <v>2900</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3074</v>
      </c>
      <c r="L470" s="780" t="s">
        <v>1562</v>
      </c>
      <c r="M470" s="780" t="s">
        <v>2560</v>
      </c>
      <c r="N470" s="554" t="s">
        <v>3541</v>
      </c>
      <c r="O470" s="85">
        <f>OBRA!P468</f>
        <v>32944</v>
      </c>
      <c r="P470" s="1208">
        <f t="shared" si="29"/>
        <v>28400.000000000004</v>
      </c>
      <c r="Q470" s="85" t="s">
        <v>68</v>
      </c>
      <c r="R470" s="6">
        <f>OBRA!Q468</f>
        <v>44075</v>
      </c>
      <c r="S470" s="1327" t="str">
        <f>OBRA!T468</f>
        <v>-</v>
      </c>
      <c r="T470" s="5" t="str">
        <f>OBRA!R468</f>
        <v>NO APLICA</v>
      </c>
      <c r="U470" s="12" t="str">
        <f>OBRA!S468</f>
        <v>NO APLICA</v>
      </c>
      <c r="V470" s="1405">
        <v>0</v>
      </c>
      <c r="W470" s="1355">
        <f>OBRA!AQ468+OBRA!AR468</f>
        <v>0</v>
      </c>
      <c r="X470" s="1235" t="s">
        <v>1431</v>
      </c>
      <c r="Y470" s="639" t="str">
        <f>OBRA!U468</f>
        <v>SUPERVISIÓN PROYECTOS Y LABORATORIO PARA LA CONSTRUCCIÓN</v>
      </c>
      <c r="Z470" s="639" t="s">
        <v>5823</v>
      </c>
      <c r="AA470" s="640" t="s">
        <v>3079</v>
      </c>
      <c r="AB470" s="652" t="s">
        <v>3830</v>
      </c>
      <c r="AC470" s="650" t="s">
        <v>3831</v>
      </c>
      <c r="AD470" s="200" t="str">
        <f>OBRA!V468</f>
        <v>LIC. SALVADOR CONTRERAS OLGUÍN</v>
      </c>
      <c r="AE470" s="174">
        <v>1</v>
      </c>
      <c r="AF470" s="202" t="s">
        <v>1577</v>
      </c>
      <c r="AG470" s="682">
        <f t="shared" si="30"/>
        <v>0</v>
      </c>
      <c r="AH470" s="202">
        <v>500</v>
      </c>
      <c r="AI470" s="566">
        <v>4000</v>
      </c>
      <c r="AJ470" s="566"/>
      <c r="AK470" s="1802"/>
      <c r="AL470" s="1803"/>
      <c r="AM470" s="1304" t="s">
        <v>68</v>
      </c>
      <c r="AN470" s="629" t="s">
        <v>68</v>
      </c>
      <c r="AO470" s="629" t="s">
        <v>68</v>
      </c>
      <c r="AP470" s="556"/>
      <c r="AQ470" s="1492" t="s">
        <v>68</v>
      </c>
      <c r="AR470" s="1487"/>
      <c r="AS470" s="1483"/>
      <c r="AT470" s="1483"/>
      <c r="AU470" s="1488"/>
      <c r="AV470" s="451"/>
      <c r="AW470" s="13"/>
    </row>
    <row r="471" spans="1:49" ht="166.5" hidden="1" customHeight="1">
      <c r="A471" s="17">
        <f>OBRA!I469</f>
        <v>2020</v>
      </c>
      <c r="B471" s="895" t="s">
        <v>2098</v>
      </c>
      <c r="C471" s="895">
        <v>205.15</v>
      </c>
      <c r="D471" s="895"/>
      <c r="E471" s="2" t="str">
        <f>OBRA!K469</f>
        <v>CUENTA CORRIENTE</v>
      </c>
      <c r="F471" s="249" t="s">
        <v>1431</v>
      </c>
      <c r="G471" s="249" t="s">
        <v>2900</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3074</v>
      </c>
      <c r="L471" s="780" t="s">
        <v>3370</v>
      </c>
      <c r="M471" s="780" t="s">
        <v>1979</v>
      </c>
      <c r="N471" s="554" t="s">
        <v>3541</v>
      </c>
      <c r="O471" s="85">
        <f>OBRA!P469</f>
        <v>25520</v>
      </c>
      <c r="P471" s="1208">
        <f t="shared" si="29"/>
        <v>22000</v>
      </c>
      <c r="Q471" s="85" t="s">
        <v>68</v>
      </c>
      <c r="R471" s="6">
        <f>OBRA!Q469</f>
        <v>44075</v>
      </c>
      <c r="S471" s="1327" t="str">
        <f>OBRA!T469</f>
        <v>-</v>
      </c>
      <c r="T471" s="5" t="str">
        <f>OBRA!R469</f>
        <v>NO APLICA</v>
      </c>
      <c r="U471" s="12" t="str">
        <f>OBRA!S469</f>
        <v>NO APLICA</v>
      </c>
      <c r="V471" s="1405">
        <v>0</v>
      </c>
      <c r="W471" s="1355">
        <f>OBRA!AQ469+OBRA!AR469</f>
        <v>0</v>
      </c>
      <c r="X471" s="1235" t="s">
        <v>1431</v>
      </c>
      <c r="Y471" s="639" t="str">
        <f>OBRA!U469</f>
        <v>SUPERVISIÓN PROYECTOS Y LABORATORIO PARA LA CONSTRUCCIÓN</v>
      </c>
      <c r="Z471" s="639" t="s">
        <v>5823</v>
      </c>
      <c r="AA471" s="640" t="s">
        <v>3079</v>
      </c>
      <c r="AB471" s="652" t="s">
        <v>3830</v>
      </c>
      <c r="AC471" s="650" t="s">
        <v>3831</v>
      </c>
      <c r="AD471" s="200" t="str">
        <f>OBRA!V469</f>
        <v>ARQ. JAIME CONDE GOMEZ</v>
      </c>
      <c r="AE471" s="174">
        <v>1</v>
      </c>
      <c r="AF471" s="202" t="s">
        <v>1577</v>
      </c>
      <c r="AG471" s="682">
        <f t="shared" si="30"/>
        <v>0</v>
      </c>
      <c r="AH471" s="202">
        <v>150</v>
      </c>
      <c r="AI471" s="566">
        <v>300</v>
      </c>
      <c r="AJ471" s="566"/>
      <c r="AK471" s="1802"/>
      <c r="AL471" s="1803"/>
      <c r="AM471" s="1304" t="s">
        <v>68</v>
      </c>
      <c r="AN471" s="629" t="s">
        <v>68</v>
      </c>
      <c r="AO471" s="629" t="s">
        <v>68</v>
      </c>
      <c r="AP471" s="556"/>
      <c r="AQ471" s="1492" t="s">
        <v>68</v>
      </c>
      <c r="AR471" s="1487"/>
      <c r="AS471" s="1483"/>
      <c r="AT471" s="1483"/>
      <c r="AU471" s="1488"/>
      <c r="AV471" s="451"/>
      <c r="AW471" s="13"/>
    </row>
    <row r="472" spans="1:49" ht="142.5" hidden="1" customHeight="1">
      <c r="A472" s="17">
        <f>OBRA!I470</f>
        <v>2020</v>
      </c>
      <c r="B472" s="895" t="s">
        <v>2098</v>
      </c>
      <c r="C472" s="895">
        <v>205.16</v>
      </c>
      <c r="D472" s="895"/>
      <c r="E472" s="2" t="str">
        <f>OBRA!K470</f>
        <v>CUENTA CORRIENTE</v>
      </c>
      <c r="F472" s="249" t="s">
        <v>1431</v>
      </c>
      <c r="G472" s="249" t="s">
        <v>2900</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3074</v>
      </c>
      <c r="L472" s="780" t="s">
        <v>3371</v>
      </c>
      <c r="M472" s="780" t="s">
        <v>1979</v>
      </c>
      <c r="N472" s="554" t="s">
        <v>3541</v>
      </c>
      <c r="O472" s="85">
        <f>OBRA!P470</f>
        <v>36656</v>
      </c>
      <c r="P472" s="1208">
        <f t="shared" si="29"/>
        <v>31600.000000000004</v>
      </c>
      <c r="Q472" s="85" t="s">
        <v>68</v>
      </c>
      <c r="R472" s="6">
        <f>OBRA!Q470</f>
        <v>44124</v>
      </c>
      <c r="S472" s="1327" t="str">
        <f>OBRA!T470</f>
        <v>-</v>
      </c>
      <c r="T472" s="5" t="str">
        <f>OBRA!R470</f>
        <v>NO APLICA</v>
      </c>
      <c r="U472" s="12" t="str">
        <f>OBRA!S470</f>
        <v>NO APLICA</v>
      </c>
      <c r="V472" s="1405">
        <v>0</v>
      </c>
      <c r="W472" s="1355">
        <f>OBRA!AQ470+OBRA!AR470</f>
        <v>0</v>
      </c>
      <c r="X472" s="1235" t="s">
        <v>1431</v>
      </c>
      <c r="Y472" s="639" t="str">
        <f>OBRA!U470</f>
        <v>SUPERVISIÓN PROYECTOS Y LABORATORIO PARA LA CONSTRUCCIÓN</v>
      </c>
      <c r="Z472" s="639" t="s">
        <v>5823</v>
      </c>
      <c r="AA472" s="640" t="s">
        <v>3079</v>
      </c>
      <c r="AB472" s="652" t="s">
        <v>3830</v>
      </c>
      <c r="AC472" s="650" t="s">
        <v>3831</v>
      </c>
      <c r="AD472" s="200" t="str">
        <f>OBRA!V470</f>
        <v>ING. J. GUADALUPE IBARRA RAMIREZ</v>
      </c>
      <c r="AE472" s="174">
        <v>1</v>
      </c>
      <c r="AF472" s="202" t="s">
        <v>1577</v>
      </c>
      <c r="AG472" s="682">
        <f t="shared" si="30"/>
        <v>0</v>
      </c>
      <c r="AH472" s="202">
        <v>350</v>
      </c>
      <c r="AI472" s="566">
        <v>1000</v>
      </c>
      <c r="AJ472" s="566"/>
      <c r="AK472" s="1802"/>
      <c r="AL472" s="1803"/>
      <c r="AM472" s="1304" t="s">
        <v>68</v>
      </c>
      <c r="AN472" s="629" t="s">
        <v>68</v>
      </c>
      <c r="AO472" s="629" t="s">
        <v>68</v>
      </c>
      <c r="AP472" s="556"/>
      <c r="AQ472" s="1492" t="s">
        <v>68</v>
      </c>
      <c r="AR472" s="1487"/>
      <c r="AS472" s="1483"/>
      <c r="AT472" s="1483"/>
      <c r="AU472" s="1488"/>
      <c r="AV472" s="451"/>
      <c r="AW472" s="13"/>
    </row>
    <row r="473" spans="1:49" ht="77.25" hidden="1" customHeight="1">
      <c r="A473" s="17">
        <f>OBRA!I471</f>
        <v>2020</v>
      </c>
      <c r="B473" s="895" t="s">
        <v>2098</v>
      </c>
      <c r="C473" s="895">
        <v>205.17</v>
      </c>
      <c r="D473" s="895"/>
      <c r="E473" s="2" t="str">
        <f>OBRA!K471</f>
        <v>CUENTA CORRIENTE</v>
      </c>
      <c r="F473" s="249" t="s">
        <v>1431</v>
      </c>
      <c r="G473" s="249" t="s">
        <v>2900</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3826</v>
      </c>
      <c r="L473" s="780" t="s">
        <v>3372</v>
      </c>
      <c r="M473" s="780" t="s">
        <v>1979</v>
      </c>
      <c r="N473" s="554" t="s">
        <v>3541</v>
      </c>
      <c r="O473" s="85">
        <f>OBRA!P471</f>
        <v>4059.9999999999995</v>
      </c>
      <c r="P473" s="1208">
        <f t="shared" si="29"/>
        <v>3500</v>
      </c>
      <c r="Q473" s="85" t="s">
        <v>68</v>
      </c>
      <c r="R473" s="69">
        <f>OBRA!Q471</f>
        <v>44089</v>
      </c>
      <c r="S473" s="1327" t="str">
        <f>OBRA!T471</f>
        <v>-</v>
      </c>
      <c r="T473" s="255" t="str">
        <f>OBRA!R471</f>
        <v>-</v>
      </c>
      <c r="U473" s="245" t="str">
        <f>OBRA!S471</f>
        <v>-</v>
      </c>
      <c r="V473" s="1405">
        <v>0</v>
      </c>
      <c r="W473" s="1355">
        <f>OBRA!AQ471+OBRA!AR471</f>
        <v>0</v>
      </c>
      <c r="X473" s="1235" t="s">
        <v>1431</v>
      </c>
      <c r="Y473" s="650" t="str">
        <f>OBRA!U471</f>
        <v>ING. JUAN MANUEL GARCÍA ESCOTO</v>
      </c>
      <c r="Z473" s="650" t="s">
        <v>5822</v>
      </c>
      <c r="AA473" s="652" t="str">
        <f t="shared" ref="AA473:AA486" si="31">Y473</f>
        <v>ING. JUAN MANUEL GARCÍA ESCOTO</v>
      </c>
      <c r="AB473" s="640" t="s">
        <v>3016</v>
      </c>
      <c r="AC473" s="639" t="s">
        <v>3016</v>
      </c>
      <c r="AD473" s="200" t="str">
        <f>OBRA!V471</f>
        <v>ING. HECTOR JESUS HERNANDEZ</v>
      </c>
      <c r="AE473" s="174">
        <v>1</v>
      </c>
      <c r="AF473" s="202" t="s">
        <v>1577</v>
      </c>
      <c r="AG473" s="682">
        <f t="shared" si="30"/>
        <v>0</v>
      </c>
      <c r="AH473" s="560"/>
      <c r="AI473" s="556"/>
      <c r="AJ473" s="556"/>
      <c r="AK473" s="721"/>
      <c r="AL473" s="1806"/>
      <c r="AM473" s="1304" t="s">
        <v>68</v>
      </c>
      <c r="AN473" s="629" t="s">
        <v>68</v>
      </c>
      <c r="AO473" s="629" t="s">
        <v>68</v>
      </c>
      <c r="AP473" s="556"/>
      <c r="AQ473" s="1492" t="s">
        <v>68</v>
      </c>
      <c r="AR473" s="1487"/>
      <c r="AS473" s="1483"/>
      <c r="AT473" s="1483"/>
      <c r="AU473" s="1488"/>
      <c r="AV473" s="451"/>
      <c r="AW473" s="13"/>
    </row>
    <row r="474" spans="1:49" ht="84" hidden="1" customHeight="1">
      <c r="A474" s="17">
        <f>OBRA!I472</f>
        <v>2020</v>
      </c>
      <c r="B474" s="895" t="s">
        <v>2098</v>
      </c>
      <c r="C474" s="895">
        <v>205.18</v>
      </c>
      <c r="D474" s="895"/>
      <c r="E474" s="2" t="str">
        <f>OBRA!K472</f>
        <v>CUENTA CORRIENTE</v>
      </c>
      <c r="F474" s="249" t="s">
        <v>1431</v>
      </c>
      <c r="G474" s="249" t="s">
        <v>2900</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3826</v>
      </c>
      <c r="L474" s="780" t="s">
        <v>3819</v>
      </c>
      <c r="M474" s="780" t="s">
        <v>1979</v>
      </c>
      <c r="N474" s="554" t="s">
        <v>3541</v>
      </c>
      <c r="O474" s="85">
        <f>OBRA!P472</f>
        <v>20880</v>
      </c>
      <c r="P474" s="1208">
        <f t="shared" si="29"/>
        <v>18000</v>
      </c>
      <c r="Q474" s="85" t="s">
        <v>68</v>
      </c>
      <c r="R474" s="69">
        <f>OBRA!Q472</f>
        <v>44089</v>
      </c>
      <c r="S474" s="1327" t="str">
        <f>OBRA!T472</f>
        <v>-</v>
      </c>
      <c r="T474" s="255" t="str">
        <f>OBRA!R472</f>
        <v>-</v>
      </c>
      <c r="U474" s="245" t="str">
        <f>OBRA!S472</f>
        <v>-</v>
      </c>
      <c r="V474" s="1405">
        <v>0</v>
      </c>
      <c r="W474" s="1355">
        <f>OBRA!AQ472+OBRA!AR472</f>
        <v>0</v>
      </c>
      <c r="X474" s="1235" t="s">
        <v>1431</v>
      </c>
      <c r="Y474" s="650" t="str">
        <f>OBRA!U472</f>
        <v>ING. JUAN MANUEL GARCÍA ESCOTO</v>
      </c>
      <c r="Z474" s="650" t="s">
        <v>5822</v>
      </c>
      <c r="AA474" s="652" t="str">
        <f t="shared" si="31"/>
        <v>ING. JUAN MANUEL GARCÍA ESCOTO</v>
      </c>
      <c r="AB474" s="640" t="s">
        <v>3016</v>
      </c>
      <c r="AC474" s="639" t="s">
        <v>3016</v>
      </c>
      <c r="AD474" s="200" t="str">
        <f>OBRA!V472</f>
        <v>ING. HECTOR JESUS HERNANDEZ</v>
      </c>
      <c r="AE474" s="174">
        <v>1</v>
      </c>
      <c r="AF474" s="202" t="s">
        <v>1577</v>
      </c>
      <c r="AG474" s="682">
        <f t="shared" si="30"/>
        <v>0</v>
      </c>
      <c r="AH474" s="560"/>
      <c r="AI474" s="556"/>
      <c r="AJ474" s="556"/>
      <c r="AK474" s="721"/>
      <c r="AL474" s="1806"/>
      <c r="AM474" s="1304" t="s">
        <v>68</v>
      </c>
      <c r="AN474" s="629" t="s">
        <v>68</v>
      </c>
      <c r="AO474" s="629" t="s">
        <v>68</v>
      </c>
      <c r="AP474" s="556"/>
      <c r="AQ474" s="1492" t="s">
        <v>68</v>
      </c>
      <c r="AR474" s="1487"/>
      <c r="AS474" s="1483"/>
      <c r="AT474" s="1483"/>
      <c r="AU474" s="1488"/>
      <c r="AV474" s="451"/>
      <c r="AW474" s="13"/>
    </row>
    <row r="475" spans="1:49" ht="88.5" hidden="1" customHeight="1">
      <c r="A475" s="17">
        <f>OBRA!I473</f>
        <v>2020</v>
      </c>
      <c r="B475" s="895" t="s">
        <v>2098</v>
      </c>
      <c r="C475" s="895">
        <v>205.19</v>
      </c>
      <c r="D475" s="895"/>
      <c r="E475" s="2" t="str">
        <f>OBRA!K473</f>
        <v>CUENTA CORRIENTE</v>
      </c>
      <c r="F475" s="249" t="s">
        <v>1431</v>
      </c>
      <c r="G475" s="249" t="s">
        <v>2900</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3826</v>
      </c>
      <c r="L475" s="780" t="s">
        <v>3820</v>
      </c>
      <c r="M475" s="780" t="s">
        <v>3820</v>
      </c>
      <c r="N475" s="554" t="s">
        <v>3541</v>
      </c>
      <c r="O475" s="85">
        <f>OBRA!P473</f>
        <v>5800</v>
      </c>
      <c r="P475" s="1208">
        <f t="shared" si="29"/>
        <v>5000</v>
      </c>
      <c r="Q475" s="85" t="s">
        <v>68</v>
      </c>
      <c r="R475" s="69">
        <f>OBRA!Q473</f>
        <v>44089</v>
      </c>
      <c r="S475" s="1327" t="str">
        <f>OBRA!T473</f>
        <v>-</v>
      </c>
      <c r="T475" s="255" t="str">
        <f>OBRA!R473</f>
        <v>-</v>
      </c>
      <c r="U475" s="245" t="str">
        <f>OBRA!S473</f>
        <v>-</v>
      </c>
      <c r="V475" s="1405">
        <v>0</v>
      </c>
      <c r="W475" s="1355">
        <f>OBRA!AQ473+OBRA!AR473</f>
        <v>0</v>
      </c>
      <c r="X475" s="1235" t="s">
        <v>1431</v>
      </c>
      <c r="Y475" s="650" t="str">
        <f>OBRA!U473</f>
        <v>ING. JUAN MANUEL GARCÍA ESCOTO</v>
      </c>
      <c r="Z475" s="650" t="s">
        <v>5822</v>
      </c>
      <c r="AA475" s="652" t="str">
        <f t="shared" si="31"/>
        <v>ING. JUAN MANUEL GARCÍA ESCOTO</v>
      </c>
      <c r="AB475" s="640" t="s">
        <v>3016</v>
      </c>
      <c r="AC475" s="639" t="s">
        <v>3016</v>
      </c>
      <c r="AD475" s="200" t="str">
        <f>OBRA!V473</f>
        <v>ING. HECTOR JESUS HERNANDEZ</v>
      </c>
      <c r="AE475" s="174">
        <v>1</v>
      </c>
      <c r="AF475" s="202" t="s">
        <v>1577</v>
      </c>
      <c r="AG475" s="682">
        <f t="shared" si="30"/>
        <v>0</v>
      </c>
      <c r="AH475" s="560"/>
      <c r="AI475" s="556"/>
      <c r="AJ475" s="556"/>
      <c r="AK475" s="721"/>
      <c r="AL475" s="1806"/>
      <c r="AM475" s="1304" t="s">
        <v>68</v>
      </c>
      <c r="AN475" s="629" t="s">
        <v>68</v>
      </c>
      <c r="AO475" s="629" t="s">
        <v>68</v>
      </c>
      <c r="AP475" s="556"/>
      <c r="AQ475" s="1492" t="s">
        <v>68</v>
      </c>
      <c r="AR475" s="1487"/>
      <c r="AS475" s="1483"/>
      <c r="AT475" s="1483"/>
      <c r="AU475" s="1488"/>
      <c r="AV475" s="451"/>
      <c r="AW475" s="13"/>
    </row>
    <row r="476" spans="1:49" ht="102" hidden="1" customHeight="1">
      <c r="A476" s="17">
        <f>OBRA!I474</f>
        <v>2020</v>
      </c>
      <c r="B476" s="895" t="s">
        <v>2098</v>
      </c>
      <c r="C476" s="895">
        <v>205.2</v>
      </c>
      <c r="D476" s="895"/>
      <c r="E476" s="2" t="str">
        <f>OBRA!K474</f>
        <v>CUENTA CORRIENTE</v>
      </c>
      <c r="F476" s="249" t="s">
        <v>1431</v>
      </c>
      <c r="G476" s="249" t="s">
        <v>2900</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3826</v>
      </c>
      <c r="L476" s="780" t="s">
        <v>3820</v>
      </c>
      <c r="M476" s="780" t="s">
        <v>3820</v>
      </c>
      <c r="N476" s="554" t="s">
        <v>3541</v>
      </c>
      <c r="O476" s="85">
        <f>OBRA!P474</f>
        <v>5220</v>
      </c>
      <c r="P476" s="1208">
        <f t="shared" si="29"/>
        <v>4500</v>
      </c>
      <c r="Q476" s="85" t="s">
        <v>68</v>
      </c>
      <c r="R476" s="69">
        <f>OBRA!Q474</f>
        <v>44089</v>
      </c>
      <c r="S476" s="1327" t="str">
        <f>OBRA!T474</f>
        <v>-</v>
      </c>
      <c r="T476" s="255" t="str">
        <f>OBRA!R474</f>
        <v>-</v>
      </c>
      <c r="U476" s="245" t="str">
        <f>OBRA!S474</f>
        <v>-</v>
      </c>
      <c r="V476" s="1405">
        <v>0</v>
      </c>
      <c r="W476" s="1355">
        <f>OBRA!AQ474+OBRA!AR474</f>
        <v>0</v>
      </c>
      <c r="X476" s="1235" t="s">
        <v>1431</v>
      </c>
      <c r="Y476" s="650" t="str">
        <f>OBRA!U474</f>
        <v>ING. JUAN MANUEL GARCÍA ESCOTO</v>
      </c>
      <c r="Z476" s="650" t="s">
        <v>5822</v>
      </c>
      <c r="AA476" s="652" t="str">
        <f t="shared" si="31"/>
        <v>ING. JUAN MANUEL GARCÍA ESCOTO</v>
      </c>
      <c r="AB476" s="640" t="s">
        <v>3016</v>
      </c>
      <c r="AC476" s="639" t="s">
        <v>3016</v>
      </c>
      <c r="AD476" s="200" t="str">
        <f>OBRA!V474</f>
        <v>ING. HECTOR JESUS HERNANDEZ</v>
      </c>
      <c r="AE476" s="174">
        <v>1</v>
      </c>
      <c r="AF476" s="202" t="s">
        <v>1577</v>
      </c>
      <c r="AG476" s="682">
        <f t="shared" si="30"/>
        <v>0</v>
      </c>
      <c r="AH476" s="560"/>
      <c r="AI476" s="556"/>
      <c r="AJ476" s="556"/>
      <c r="AK476" s="721"/>
      <c r="AL476" s="1806"/>
      <c r="AM476" s="1304" t="s">
        <v>68</v>
      </c>
      <c r="AN476" s="629" t="s">
        <v>68</v>
      </c>
      <c r="AO476" s="629" t="s">
        <v>68</v>
      </c>
      <c r="AP476" s="556"/>
      <c r="AQ476" s="1492" t="s">
        <v>68</v>
      </c>
      <c r="AR476" s="1487"/>
      <c r="AS476" s="1483"/>
      <c r="AT476" s="1483"/>
      <c r="AU476" s="1488"/>
      <c r="AV476" s="451"/>
      <c r="AW476" s="13"/>
    </row>
    <row r="477" spans="1:49" ht="87.75" hidden="1" customHeight="1">
      <c r="A477" s="17">
        <f>OBRA!I475</f>
        <v>2020</v>
      </c>
      <c r="B477" s="895" t="s">
        <v>2098</v>
      </c>
      <c r="C477" s="895">
        <v>205.21</v>
      </c>
      <c r="D477" s="895"/>
      <c r="E477" s="2" t="str">
        <f>OBRA!K475</f>
        <v>CUENTA CORRIENTE</v>
      </c>
      <c r="F477" s="249" t="s">
        <v>1431</v>
      </c>
      <c r="G477" s="249" t="s">
        <v>2900</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3826</v>
      </c>
      <c r="L477" s="780" t="s">
        <v>3821</v>
      </c>
      <c r="M477" s="780" t="s">
        <v>1979</v>
      </c>
      <c r="N477" s="554" t="s">
        <v>3542</v>
      </c>
      <c r="O477" s="85">
        <f>OBRA!P475</f>
        <v>5800</v>
      </c>
      <c r="P477" s="1208">
        <f t="shared" si="29"/>
        <v>5000</v>
      </c>
      <c r="Q477" s="85" t="s">
        <v>68</v>
      </c>
      <c r="R477" s="69">
        <f>OBRA!Q475</f>
        <v>44089</v>
      </c>
      <c r="S477" s="1327" t="str">
        <f>OBRA!T475</f>
        <v>-</v>
      </c>
      <c r="T477" s="255" t="str">
        <f>OBRA!R475</f>
        <v>-</v>
      </c>
      <c r="U477" s="245" t="str">
        <f>OBRA!S475</f>
        <v>-</v>
      </c>
      <c r="V477" s="1405">
        <v>0</v>
      </c>
      <c r="W477" s="1355">
        <f>OBRA!AQ475+OBRA!AR475</f>
        <v>0</v>
      </c>
      <c r="X477" s="1235" t="s">
        <v>1431</v>
      </c>
      <c r="Y477" s="650" t="str">
        <f>OBRA!U475</f>
        <v>ING. JUAN MANUEL GARCÍA ESCOTO</v>
      </c>
      <c r="Z477" s="650" t="s">
        <v>5822</v>
      </c>
      <c r="AA477" s="652" t="str">
        <f t="shared" si="31"/>
        <v>ING. JUAN MANUEL GARCÍA ESCOTO</v>
      </c>
      <c r="AB477" s="640" t="s">
        <v>3016</v>
      </c>
      <c r="AC477" s="639" t="s">
        <v>3016</v>
      </c>
      <c r="AD477" s="200" t="str">
        <f>OBRA!V475</f>
        <v>ING. HECTOR JESUS HERNANDEZ</v>
      </c>
      <c r="AE477" s="174">
        <v>1</v>
      </c>
      <c r="AF477" s="202" t="s">
        <v>1577</v>
      </c>
      <c r="AG477" s="682">
        <f t="shared" si="30"/>
        <v>0</v>
      </c>
      <c r="AH477" s="560"/>
      <c r="AI477" s="556"/>
      <c r="AJ477" s="556"/>
      <c r="AK477" s="721"/>
      <c r="AL477" s="1806"/>
      <c r="AM477" s="1304" t="s">
        <v>68</v>
      </c>
      <c r="AN477" s="629" t="s">
        <v>68</v>
      </c>
      <c r="AO477" s="629" t="s">
        <v>68</v>
      </c>
      <c r="AP477" s="556"/>
      <c r="AQ477" s="1492" t="s">
        <v>68</v>
      </c>
      <c r="AR477" s="1487"/>
      <c r="AS477" s="1483"/>
      <c r="AT477" s="1483"/>
      <c r="AU477" s="1488"/>
      <c r="AV477" s="451"/>
      <c r="AW477" s="13"/>
    </row>
    <row r="478" spans="1:49" ht="102.75" hidden="1" customHeight="1">
      <c r="A478" s="17">
        <f>OBRA!I476</f>
        <v>2020</v>
      </c>
      <c r="B478" s="895" t="s">
        <v>2098</v>
      </c>
      <c r="C478" s="895">
        <v>205.22</v>
      </c>
      <c r="D478" s="895"/>
      <c r="E478" s="2" t="str">
        <f>OBRA!K476</f>
        <v>CUENTA CORRIENTE</v>
      </c>
      <c r="F478" s="249" t="s">
        <v>1431</v>
      </c>
      <c r="G478" s="249" t="s">
        <v>2900</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3826</v>
      </c>
      <c r="L478" s="780" t="s">
        <v>2006</v>
      </c>
      <c r="M478" s="780" t="s">
        <v>1979</v>
      </c>
      <c r="N478" s="554" t="s">
        <v>3542</v>
      </c>
      <c r="O478" s="85">
        <f>OBRA!P476</f>
        <v>5220</v>
      </c>
      <c r="P478" s="1208">
        <f t="shared" si="29"/>
        <v>4500</v>
      </c>
      <c r="Q478" s="85" t="s">
        <v>68</v>
      </c>
      <c r="R478" s="69">
        <f>OBRA!Q476</f>
        <v>44089</v>
      </c>
      <c r="S478" s="1327" t="str">
        <f>OBRA!T476</f>
        <v>-</v>
      </c>
      <c r="T478" s="255" t="str">
        <f>OBRA!R476</f>
        <v>-</v>
      </c>
      <c r="U478" s="245" t="str">
        <f>OBRA!S476</f>
        <v>-</v>
      </c>
      <c r="V478" s="1405">
        <v>0</v>
      </c>
      <c r="W478" s="1355">
        <f>OBRA!AQ476+OBRA!AR476</f>
        <v>0</v>
      </c>
      <c r="X478" s="1235" t="s">
        <v>1431</v>
      </c>
      <c r="Y478" s="650" t="str">
        <f>OBRA!U476</f>
        <v>ING. JUAN MANUEL GARCÍA ESCOTO</v>
      </c>
      <c r="Z478" s="650" t="s">
        <v>5822</v>
      </c>
      <c r="AA478" s="652" t="str">
        <f t="shared" si="31"/>
        <v>ING. JUAN MANUEL GARCÍA ESCOTO</v>
      </c>
      <c r="AB478" s="640" t="s">
        <v>3016</v>
      </c>
      <c r="AC478" s="639" t="s">
        <v>3016</v>
      </c>
      <c r="AD478" s="200" t="str">
        <f>OBRA!V476</f>
        <v>ING. HECTOR JESUS HERNANDEZ</v>
      </c>
      <c r="AE478" s="174">
        <v>1</v>
      </c>
      <c r="AF478" s="202" t="s">
        <v>1577</v>
      </c>
      <c r="AG478" s="682">
        <f t="shared" si="30"/>
        <v>0</v>
      </c>
      <c r="AH478" s="560"/>
      <c r="AI478" s="556"/>
      <c r="AJ478" s="556"/>
      <c r="AK478" s="721"/>
      <c r="AL478" s="1806"/>
      <c r="AM478" s="1304" t="s">
        <v>68</v>
      </c>
      <c r="AN478" s="629" t="s">
        <v>68</v>
      </c>
      <c r="AO478" s="629" t="s">
        <v>68</v>
      </c>
      <c r="AP478" s="556"/>
      <c r="AQ478" s="1492" t="s">
        <v>68</v>
      </c>
      <c r="AR478" s="1487"/>
      <c r="AS478" s="1483"/>
      <c r="AT478" s="1483"/>
      <c r="AU478" s="1488"/>
      <c r="AV478" s="451"/>
      <c r="AW478" s="13"/>
    </row>
    <row r="479" spans="1:49" ht="93" hidden="1" customHeight="1">
      <c r="A479" s="17">
        <f>OBRA!I477</f>
        <v>2020</v>
      </c>
      <c r="B479" s="895" t="s">
        <v>2098</v>
      </c>
      <c r="C479" s="895">
        <v>205.23</v>
      </c>
      <c r="D479" s="895"/>
      <c r="E479" s="2" t="str">
        <f>OBRA!K477</f>
        <v>CUENTA CORRIENTE</v>
      </c>
      <c r="F479" s="249" t="s">
        <v>1431</v>
      </c>
      <c r="G479" s="249" t="s">
        <v>2900</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3826</v>
      </c>
      <c r="L479" s="780" t="s">
        <v>1980</v>
      </c>
      <c r="M479" s="780" t="s">
        <v>1980</v>
      </c>
      <c r="N479" s="554" t="s">
        <v>3542</v>
      </c>
      <c r="O479" s="85">
        <f>OBRA!P477</f>
        <v>1739.9999999999998</v>
      </c>
      <c r="P479" s="1208">
        <f t="shared" si="29"/>
        <v>1500</v>
      </c>
      <c r="Q479" s="85" t="s">
        <v>68</v>
      </c>
      <c r="R479" s="69">
        <f>OBRA!Q477</f>
        <v>44089</v>
      </c>
      <c r="S479" s="1327" t="str">
        <f>OBRA!T477</f>
        <v>-</v>
      </c>
      <c r="T479" s="255" t="str">
        <f>OBRA!R477</f>
        <v>-</v>
      </c>
      <c r="U479" s="245" t="str">
        <f>OBRA!S477</f>
        <v>-</v>
      </c>
      <c r="V479" s="1405">
        <v>0</v>
      </c>
      <c r="W479" s="1355">
        <f>OBRA!AQ477+OBRA!AR477</f>
        <v>0</v>
      </c>
      <c r="X479" s="1235" t="s">
        <v>1431</v>
      </c>
      <c r="Y479" s="650" t="str">
        <f>OBRA!U477</f>
        <v>ING. JUAN MANUEL GARCÍA ESCOTO</v>
      </c>
      <c r="Z479" s="650" t="s">
        <v>5822</v>
      </c>
      <c r="AA479" s="652" t="str">
        <f t="shared" si="31"/>
        <v>ING. JUAN MANUEL GARCÍA ESCOTO</v>
      </c>
      <c r="AB479" s="640" t="s">
        <v>3016</v>
      </c>
      <c r="AC479" s="639" t="s">
        <v>3016</v>
      </c>
      <c r="AD479" s="200" t="str">
        <f>OBRA!V477</f>
        <v>ING. HECTOR JESUS HERNANDEZ</v>
      </c>
      <c r="AE479" s="174">
        <v>1</v>
      </c>
      <c r="AF479" s="202" t="s">
        <v>1577</v>
      </c>
      <c r="AG479" s="682">
        <f t="shared" si="30"/>
        <v>0</v>
      </c>
      <c r="AH479" s="560"/>
      <c r="AI479" s="556"/>
      <c r="AJ479" s="556"/>
      <c r="AK479" s="721"/>
      <c r="AL479" s="1806"/>
      <c r="AM479" s="1304" t="s">
        <v>68</v>
      </c>
      <c r="AN479" s="629" t="s">
        <v>68</v>
      </c>
      <c r="AO479" s="629" t="s">
        <v>68</v>
      </c>
      <c r="AP479" s="556"/>
      <c r="AQ479" s="1492" t="s">
        <v>68</v>
      </c>
      <c r="AR479" s="1487"/>
      <c r="AS479" s="1483"/>
      <c r="AT479" s="1483"/>
      <c r="AU479" s="1488"/>
      <c r="AV479" s="451"/>
      <c r="AW479" s="13"/>
    </row>
    <row r="480" spans="1:49" ht="83.25" hidden="1" customHeight="1">
      <c r="A480" s="17">
        <f>OBRA!I478</f>
        <v>2020</v>
      </c>
      <c r="B480" s="895" t="s">
        <v>2098</v>
      </c>
      <c r="C480" s="895">
        <v>205.24</v>
      </c>
      <c r="D480" s="895"/>
      <c r="E480" s="2" t="str">
        <f>OBRA!K478</f>
        <v>CUENTA CORRIENTE</v>
      </c>
      <c r="F480" s="249" t="s">
        <v>1431</v>
      </c>
      <c r="G480" s="249" t="s">
        <v>2900</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3826</v>
      </c>
      <c r="L480" s="780" t="s">
        <v>3071</v>
      </c>
      <c r="M480" s="780" t="s">
        <v>2560</v>
      </c>
      <c r="N480" s="554" t="s">
        <v>3542</v>
      </c>
      <c r="O480" s="85">
        <f>OBRA!P478</f>
        <v>2900</v>
      </c>
      <c r="P480" s="1208">
        <f t="shared" si="29"/>
        <v>2500</v>
      </c>
      <c r="Q480" s="85" t="s">
        <v>68</v>
      </c>
      <c r="R480" s="69">
        <f>OBRA!Q478</f>
        <v>44089</v>
      </c>
      <c r="S480" s="1327" t="str">
        <f>OBRA!T478</f>
        <v>-</v>
      </c>
      <c r="T480" s="255" t="str">
        <f>OBRA!R478</f>
        <v>-</v>
      </c>
      <c r="U480" s="245" t="str">
        <f>OBRA!S478</f>
        <v>-</v>
      </c>
      <c r="V480" s="1405">
        <v>0</v>
      </c>
      <c r="W480" s="1355">
        <f>OBRA!AQ478+OBRA!AR478</f>
        <v>0</v>
      </c>
      <c r="X480" s="1235" t="s">
        <v>1431</v>
      </c>
      <c r="Y480" s="650" t="str">
        <f>OBRA!U478</f>
        <v>ING. JUAN MANUEL GARCÍA ESCOTO</v>
      </c>
      <c r="Z480" s="650" t="s">
        <v>5822</v>
      </c>
      <c r="AA480" s="652" t="str">
        <f t="shared" si="31"/>
        <v>ING. JUAN MANUEL GARCÍA ESCOTO</v>
      </c>
      <c r="AB480" s="640" t="s">
        <v>3016</v>
      </c>
      <c r="AC480" s="639" t="s">
        <v>3016</v>
      </c>
      <c r="AD480" s="200" t="str">
        <f>OBRA!V478</f>
        <v>ING. HECTOR JESUS HERNANDEZ</v>
      </c>
      <c r="AE480" s="174">
        <v>1</v>
      </c>
      <c r="AF480" s="202" t="s">
        <v>1577</v>
      </c>
      <c r="AG480" s="682">
        <f t="shared" si="30"/>
        <v>0</v>
      </c>
      <c r="AH480" s="202">
        <v>4000</v>
      </c>
      <c r="AI480" s="566">
        <v>4000</v>
      </c>
      <c r="AJ480" s="566"/>
      <c r="AK480" s="1802"/>
      <c r="AL480" s="1803"/>
      <c r="AM480" s="1304" t="s">
        <v>68</v>
      </c>
      <c r="AN480" s="629" t="s">
        <v>68</v>
      </c>
      <c r="AO480" s="629" t="s">
        <v>68</v>
      </c>
      <c r="AP480" s="1521" t="s">
        <v>3696</v>
      </c>
      <c r="AQ480" s="1492" t="s">
        <v>68</v>
      </c>
      <c r="AR480" s="1487"/>
      <c r="AS480" s="1483"/>
      <c r="AT480" s="1483"/>
      <c r="AU480" s="1488"/>
      <c r="AV480" s="451"/>
      <c r="AW480" s="13"/>
    </row>
    <row r="481" spans="1:49" ht="75" hidden="1" customHeight="1">
      <c r="A481" s="17">
        <f>OBRA!I479</f>
        <v>2020</v>
      </c>
      <c r="B481" s="895" t="s">
        <v>2098</v>
      </c>
      <c r="C481" s="895">
        <v>205.25</v>
      </c>
      <c r="D481" s="895"/>
      <c r="E481" s="2" t="str">
        <f>OBRA!K479</f>
        <v>CUENTA CORRIENTE</v>
      </c>
      <c r="F481" s="249" t="s">
        <v>1431</v>
      </c>
      <c r="G481" s="249" t="s">
        <v>2900</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3826</v>
      </c>
      <c r="L481" s="780" t="s">
        <v>3822</v>
      </c>
      <c r="M481" s="780" t="s">
        <v>1979</v>
      </c>
      <c r="N481" s="554" t="s">
        <v>3542</v>
      </c>
      <c r="O481" s="85">
        <f>OBRA!P479</f>
        <v>2900</v>
      </c>
      <c r="P481" s="1208">
        <f t="shared" si="29"/>
        <v>2500</v>
      </c>
      <c r="Q481" s="85" t="s">
        <v>68</v>
      </c>
      <c r="R481" s="69">
        <f>OBRA!Q479</f>
        <v>44089</v>
      </c>
      <c r="S481" s="1327" t="str">
        <f>OBRA!T479</f>
        <v>-</v>
      </c>
      <c r="T481" s="255" t="str">
        <f>OBRA!R479</f>
        <v>-</v>
      </c>
      <c r="U481" s="245" t="str">
        <f>OBRA!S479</f>
        <v>-</v>
      </c>
      <c r="V481" s="1405">
        <v>0</v>
      </c>
      <c r="W481" s="1355">
        <f>OBRA!AQ479+OBRA!AR479</f>
        <v>0</v>
      </c>
      <c r="X481" s="1235" t="s">
        <v>1431</v>
      </c>
      <c r="Y481" s="650" t="str">
        <f>OBRA!U479</f>
        <v>ING. JUAN MANUEL GARCÍA ESCOTO</v>
      </c>
      <c r="Z481" s="650" t="s">
        <v>5822</v>
      </c>
      <c r="AA481" s="652" t="str">
        <f t="shared" si="31"/>
        <v>ING. JUAN MANUEL GARCÍA ESCOTO</v>
      </c>
      <c r="AB481" s="640" t="s">
        <v>3016</v>
      </c>
      <c r="AC481" s="639" t="s">
        <v>3016</v>
      </c>
      <c r="AD481" s="200" t="str">
        <f>OBRA!V479</f>
        <v>ING. HECTOR JESUS HERNANDEZ</v>
      </c>
      <c r="AE481" s="174">
        <v>1</v>
      </c>
      <c r="AF481" s="202" t="s">
        <v>1577</v>
      </c>
      <c r="AG481" s="682">
        <f t="shared" si="30"/>
        <v>0</v>
      </c>
      <c r="AH481" s="560"/>
      <c r="AI481" s="556"/>
      <c r="AJ481" s="556"/>
      <c r="AK481" s="721"/>
      <c r="AL481" s="1806"/>
      <c r="AM481" s="1304" t="s">
        <v>68</v>
      </c>
      <c r="AN481" s="629" t="s">
        <v>68</v>
      </c>
      <c r="AO481" s="629" t="s">
        <v>68</v>
      </c>
      <c r="AP481" s="1688"/>
      <c r="AQ481" s="1492" t="s">
        <v>68</v>
      </c>
      <c r="AR481" s="1487"/>
      <c r="AS481" s="1483"/>
      <c r="AT481" s="1483"/>
      <c r="AU481" s="1488"/>
      <c r="AV481" s="451"/>
      <c r="AW481" s="13"/>
    </row>
    <row r="482" spans="1:49" ht="87" hidden="1" customHeight="1">
      <c r="A482" s="17">
        <f>OBRA!I480</f>
        <v>2020</v>
      </c>
      <c r="B482" s="895" t="s">
        <v>2098</v>
      </c>
      <c r="C482" s="895">
        <v>205.26</v>
      </c>
      <c r="D482" s="895"/>
      <c r="E482" s="2" t="str">
        <f>OBRA!K480</f>
        <v>CUENTA CORRIENTE</v>
      </c>
      <c r="F482" s="249" t="s">
        <v>1431</v>
      </c>
      <c r="G482" s="249" t="s">
        <v>2900</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3826</v>
      </c>
      <c r="L482" s="780" t="s">
        <v>2699</v>
      </c>
      <c r="M482" s="780" t="s">
        <v>2699</v>
      </c>
      <c r="N482" s="554" t="s">
        <v>3542</v>
      </c>
      <c r="O482" s="85">
        <f>OBRA!P480</f>
        <v>4059.9999999999995</v>
      </c>
      <c r="P482" s="1208">
        <f t="shared" si="29"/>
        <v>3500</v>
      </c>
      <c r="Q482" s="85" t="s">
        <v>68</v>
      </c>
      <c r="R482" s="69">
        <f>OBRA!Q480</f>
        <v>44089</v>
      </c>
      <c r="S482" s="1327" t="str">
        <f>OBRA!T480</f>
        <v>-</v>
      </c>
      <c r="T482" s="255" t="str">
        <f>OBRA!R480</f>
        <v>-</v>
      </c>
      <c r="U482" s="245" t="str">
        <f>OBRA!S480</f>
        <v>-</v>
      </c>
      <c r="V482" s="1405">
        <v>0</v>
      </c>
      <c r="W482" s="1355">
        <f>OBRA!AQ480+OBRA!AR480</f>
        <v>0</v>
      </c>
      <c r="X482" s="1235" t="s">
        <v>1431</v>
      </c>
      <c r="Y482" s="650" t="str">
        <f>OBRA!U480</f>
        <v>ING. JUAN MANUEL GARCÍA ESCOTO</v>
      </c>
      <c r="Z482" s="650" t="s">
        <v>5822</v>
      </c>
      <c r="AA482" s="652" t="str">
        <f t="shared" si="31"/>
        <v>ING. JUAN MANUEL GARCÍA ESCOTO</v>
      </c>
      <c r="AB482" s="640" t="s">
        <v>3016</v>
      </c>
      <c r="AC482" s="639" t="s">
        <v>3016</v>
      </c>
      <c r="AD482" s="200" t="str">
        <f>OBRA!V480</f>
        <v>ING. HECTOR JESUS HERNANDEZ</v>
      </c>
      <c r="AE482" s="174">
        <v>1</v>
      </c>
      <c r="AF482" s="202" t="s">
        <v>1577</v>
      </c>
      <c r="AG482" s="682">
        <f t="shared" si="30"/>
        <v>0</v>
      </c>
      <c r="AH482" s="560"/>
      <c r="AI482" s="556"/>
      <c r="AJ482" s="556"/>
      <c r="AK482" s="721"/>
      <c r="AL482" s="1806"/>
      <c r="AM482" s="1304" t="s">
        <v>68</v>
      </c>
      <c r="AN482" s="629" t="s">
        <v>68</v>
      </c>
      <c r="AO482" s="629" t="s">
        <v>68</v>
      </c>
      <c r="AP482" s="556"/>
      <c r="AQ482" s="1492" t="s">
        <v>68</v>
      </c>
      <c r="AR482" s="1487"/>
      <c r="AS482" s="1483"/>
      <c r="AT482" s="1483"/>
      <c r="AU482" s="1488"/>
      <c r="AV482" s="451"/>
      <c r="AW482" s="13"/>
    </row>
    <row r="483" spans="1:49" ht="78.75" hidden="1" customHeight="1">
      <c r="A483" s="17">
        <f>OBRA!I481</f>
        <v>2020</v>
      </c>
      <c r="B483" s="895" t="s">
        <v>2098</v>
      </c>
      <c r="C483" s="895">
        <v>205.27</v>
      </c>
      <c r="D483" s="895"/>
      <c r="E483" s="2" t="str">
        <f>OBRA!K481</f>
        <v>CUENTA CORRIENTE</v>
      </c>
      <c r="F483" s="249" t="s">
        <v>1431</v>
      </c>
      <c r="G483" s="249" t="s">
        <v>2900</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3826</v>
      </c>
      <c r="L483" s="780" t="s">
        <v>2542</v>
      </c>
      <c r="M483" s="780" t="s">
        <v>2542</v>
      </c>
      <c r="N483" s="554" t="s">
        <v>3542</v>
      </c>
      <c r="O483" s="85">
        <f>OBRA!P481</f>
        <v>3711.9999999999995</v>
      </c>
      <c r="P483" s="1208">
        <f t="shared" si="29"/>
        <v>3200</v>
      </c>
      <c r="Q483" s="85" t="s">
        <v>68</v>
      </c>
      <c r="R483" s="69">
        <f>OBRA!Q481</f>
        <v>44089</v>
      </c>
      <c r="S483" s="1327" t="str">
        <f>OBRA!T481</f>
        <v>-</v>
      </c>
      <c r="T483" s="255" t="str">
        <f>OBRA!R481</f>
        <v>-</v>
      </c>
      <c r="U483" s="245" t="str">
        <f>OBRA!S481</f>
        <v>-</v>
      </c>
      <c r="V483" s="1405">
        <v>0</v>
      </c>
      <c r="W483" s="1355">
        <f>OBRA!AQ481+OBRA!AR481</f>
        <v>0</v>
      </c>
      <c r="X483" s="1235" t="s">
        <v>1431</v>
      </c>
      <c r="Y483" s="650" t="str">
        <f>OBRA!U481</f>
        <v>ING. JUAN MANUEL GARCÍA ESCOTO</v>
      </c>
      <c r="Z483" s="650" t="s">
        <v>5822</v>
      </c>
      <c r="AA483" s="652" t="str">
        <f t="shared" si="31"/>
        <v>ING. JUAN MANUEL GARCÍA ESCOTO</v>
      </c>
      <c r="AB483" s="640" t="s">
        <v>3016</v>
      </c>
      <c r="AC483" s="639" t="s">
        <v>3016</v>
      </c>
      <c r="AD483" s="200" t="str">
        <f>OBRA!V481</f>
        <v>ING. HECTOR JESUS HERNANDEZ</v>
      </c>
      <c r="AE483" s="174">
        <v>1</v>
      </c>
      <c r="AF483" s="202" t="s">
        <v>1577</v>
      </c>
      <c r="AG483" s="682">
        <f t="shared" si="30"/>
        <v>0</v>
      </c>
      <c r="AH483" s="560"/>
      <c r="AI483" s="556"/>
      <c r="AJ483" s="556"/>
      <c r="AK483" s="721"/>
      <c r="AL483" s="1806"/>
      <c r="AM483" s="1304" t="s">
        <v>68</v>
      </c>
      <c r="AN483" s="629" t="s">
        <v>68</v>
      </c>
      <c r="AO483" s="629" t="s">
        <v>68</v>
      </c>
      <c r="AP483" s="556"/>
      <c r="AQ483" s="1492" t="s">
        <v>68</v>
      </c>
      <c r="AR483" s="1487"/>
      <c r="AS483" s="1483"/>
      <c r="AT483" s="1483"/>
      <c r="AU483" s="1488"/>
      <c r="AV483" s="451"/>
      <c r="AW483" s="13"/>
    </row>
    <row r="484" spans="1:49" ht="111.75" hidden="1" customHeight="1">
      <c r="A484" s="17">
        <f>OBRA!I482</f>
        <v>2020</v>
      </c>
      <c r="B484" s="895" t="s">
        <v>2098</v>
      </c>
      <c r="C484" s="895">
        <v>205.28</v>
      </c>
      <c r="D484" s="895"/>
      <c r="E484" s="2" t="str">
        <f>OBRA!K482</f>
        <v>CUENTA CORRIENTE</v>
      </c>
      <c r="F484" s="249" t="s">
        <v>1431</v>
      </c>
      <c r="G484" s="249" t="s">
        <v>2900</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3826</v>
      </c>
      <c r="L484" s="780" t="s">
        <v>3823</v>
      </c>
      <c r="M484" s="780" t="s">
        <v>1979</v>
      </c>
      <c r="N484" s="554" t="s">
        <v>3542</v>
      </c>
      <c r="O484" s="85">
        <f>OBRA!P482</f>
        <v>9860</v>
      </c>
      <c r="P484" s="1208">
        <f t="shared" si="29"/>
        <v>8500</v>
      </c>
      <c r="Q484" s="85" t="s">
        <v>68</v>
      </c>
      <c r="R484" s="69">
        <f>OBRA!Q482</f>
        <v>44089</v>
      </c>
      <c r="S484" s="1327" t="str">
        <f>OBRA!T482</f>
        <v>-</v>
      </c>
      <c r="T484" s="255" t="str">
        <f>OBRA!R482</f>
        <v>-</v>
      </c>
      <c r="U484" s="245" t="str">
        <f>OBRA!S482</f>
        <v>-</v>
      </c>
      <c r="V484" s="1405">
        <v>0</v>
      </c>
      <c r="W484" s="1355">
        <f>OBRA!AQ482+OBRA!AR482</f>
        <v>0</v>
      </c>
      <c r="X484" s="1235" t="s">
        <v>1431</v>
      </c>
      <c r="Y484" s="650" t="str">
        <f>OBRA!U482</f>
        <v>ING. JUAN MANUEL GARCÍA ESCOTO</v>
      </c>
      <c r="Z484" s="650" t="s">
        <v>5822</v>
      </c>
      <c r="AA484" s="652" t="str">
        <f t="shared" si="31"/>
        <v>ING. JUAN MANUEL GARCÍA ESCOTO</v>
      </c>
      <c r="AB484" s="640" t="s">
        <v>3016</v>
      </c>
      <c r="AC484" s="639" t="s">
        <v>3016</v>
      </c>
      <c r="AD484" s="200" t="str">
        <f>OBRA!V482</f>
        <v>ING. HECTOR JESUS HERNANDEZ</v>
      </c>
      <c r="AE484" s="174">
        <v>1</v>
      </c>
      <c r="AF484" s="202" t="s">
        <v>1577</v>
      </c>
      <c r="AG484" s="682">
        <f t="shared" si="30"/>
        <v>0</v>
      </c>
      <c r="AH484" s="560"/>
      <c r="AI484" s="556"/>
      <c r="AJ484" s="556"/>
      <c r="AK484" s="721"/>
      <c r="AL484" s="1806"/>
      <c r="AM484" s="1304" t="s">
        <v>68</v>
      </c>
      <c r="AN484" s="629" t="s">
        <v>68</v>
      </c>
      <c r="AO484" s="629" t="s">
        <v>68</v>
      </c>
      <c r="AP484" s="556"/>
      <c r="AQ484" s="1492" t="s">
        <v>68</v>
      </c>
      <c r="AR484" s="1487"/>
      <c r="AS484" s="1483"/>
      <c r="AT484" s="1483"/>
      <c r="AU484" s="1488"/>
      <c r="AV484" s="451"/>
      <c r="AW484" s="13"/>
    </row>
    <row r="485" spans="1:49" s="110" customFormat="1" ht="35.25" hidden="1" customHeight="1">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9"/>
        <v>0</v>
      </c>
      <c r="Q485" s="92"/>
      <c r="R485" s="93">
        <f>OBRA!Q483</f>
        <v>0</v>
      </c>
      <c r="S485" s="1668" t="str">
        <f>OBRA!T483</f>
        <v>-</v>
      </c>
      <c r="T485" s="94" t="str">
        <f>OBRA!R483</f>
        <v>-</v>
      </c>
      <c r="U485" s="95" t="str">
        <f>OBRA!S483</f>
        <v>-</v>
      </c>
      <c r="V485" s="1669">
        <v>0</v>
      </c>
      <c r="W485" s="1354">
        <f>OBRA!AQ483+OBRA!AR483</f>
        <v>0</v>
      </c>
      <c r="X485" s="1200"/>
      <c r="Y485" s="935" t="str">
        <f>OBRA!U483</f>
        <v>ING. JUAN MANUEL GARCÍA ESCOTO</v>
      </c>
      <c r="Z485" s="935" t="s">
        <v>5822</v>
      </c>
      <c r="AA485" s="460" t="str">
        <f t="shared" si="31"/>
        <v>ING. JUAN MANUEL GARCÍA ESCOTO</v>
      </c>
      <c r="AB485" s="460"/>
      <c r="AC485" s="935"/>
      <c r="AD485" s="199">
        <f>OBRA!V483</f>
        <v>0</v>
      </c>
      <c r="AE485" s="90"/>
      <c r="AF485" s="91"/>
      <c r="AG485" s="936" t="e">
        <f t="shared" si="30"/>
        <v>#DIV/0!</v>
      </c>
      <c r="AH485" s="91"/>
      <c r="AI485" s="564"/>
      <c r="AJ485" s="564"/>
      <c r="AK485" s="1804"/>
      <c r="AL485" s="1805"/>
      <c r="AM485" s="942"/>
      <c r="AN485" s="942" t="s">
        <v>68</v>
      </c>
      <c r="AO485" s="942" t="s">
        <v>68</v>
      </c>
      <c r="AP485" s="564"/>
      <c r="AQ485" s="628"/>
      <c r="AR485" s="1697"/>
      <c r="AS485" s="1698"/>
      <c r="AT485" s="1698"/>
      <c r="AU485" s="1699"/>
      <c r="AV485" s="462"/>
      <c r="AW485" s="109"/>
    </row>
    <row r="486" spans="1:49" ht="69.75" hidden="1" customHeight="1">
      <c r="A486" s="17">
        <f>OBRA!I484</f>
        <v>2020</v>
      </c>
      <c r="B486" s="895" t="s">
        <v>2098</v>
      </c>
      <c r="C486" s="895">
        <v>205.3</v>
      </c>
      <c r="D486" s="895"/>
      <c r="E486" s="2" t="str">
        <f>OBRA!K484</f>
        <v>CUENTA CORRIENTE</v>
      </c>
      <c r="F486" s="249" t="s">
        <v>1431</v>
      </c>
      <c r="G486" s="249" t="s">
        <v>2900</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3998</v>
      </c>
      <c r="L486" s="780" t="s">
        <v>2686</v>
      </c>
      <c r="M486" s="780" t="s">
        <v>2611</v>
      </c>
      <c r="N486" s="554" t="s">
        <v>3542</v>
      </c>
      <c r="O486" s="85">
        <f>OBRA!P484</f>
        <v>9280</v>
      </c>
      <c r="P486" s="1208">
        <f t="shared" si="29"/>
        <v>8000.0000000000009</v>
      </c>
      <c r="Q486" s="85" t="s">
        <v>68</v>
      </c>
      <c r="R486" s="69">
        <f>OBRA!Q484</f>
        <v>44089</v>
      </c>
      <c r="S486" s="1327" t="str">
        <f>OBRA!T484</f>
        <v>-</v>
      </c>
      <c r="T486" s="255" t="str">
        <f>OBRA!R484</f>
        <v>-</v>
      </c>
      <c r="U486" s="245" t="str">
        <f>OBRA!S484</f>
        <v>-</v>
      </c>
      <c r="V486" s="1405">
        <v>0</v>
      </c>
      <c r="W486" s="1355">
        <f>OBRA!AQ484+OBRA!AR484</f>
        <v>0</v>
      </c>
      <c r="X486" s="1235" t="s">
        <v>4000</v>
      </c>
      <c r="Y486" s="650" t="str">
        <f>OBRA!U484</f>
        <v>ING. JUAN MANUEL GARCÍA ESCOTO</v>
      </c>
      <c r="Z486" s="650" t="s">
        <v>5822</v>
      </c>
      <c r="AA486" s="652" t="str">
        <f t="shared" si="31"/>
        <v>ING. JUAN MANUEL GARCÍA ESCOTO</v>
      </c>
      <c r="AB486" s="640" t="s">
        <v>3016</v>
      </c>
      <c r="AC486" s="639" t="s">
        <v>3016</v>
      </c>
      <c r="AD486" s="200" t="str">
        <f>OBRA!V484</f>
        <v>ING. HECTOR JESUS HERNANDEZ</v>
      </c>
      <c r="AE486" s="169"/>
      <c r="AF486" s="202" t="s">
        <v>3999</v>
      </c>
      <c r="AG486" s="682" t="e">
        <f t="shared" si="30"/>
        <v>#DIV/0!</v>
      </c>
      <c r="AH486" s="560"/>
      <c r="AI486" s="556"/>
      <c r="AJ486" s="556"/>
      <c r="AK486" s="721"/>
      <c r="AL486" s="1806"/>
      <c r="AM486" s="1304" t="s">
        <v>68</v>
      </c>
      <c r="AN486" s="629" t="s">
        <v>68</v>
      </c>
      <c r="AO486" s="629" t="s">
        <v>68</v>
      </c>
      <c r="AP486" s="566" t="s">
        <v>68</v>
      </c>
      <c r="AQ486" s="1492" t="s">
        <v>68</v>
      </c>
      <c r="AR486" s="1487"/>
      <c r="AS486" s="1483"/>
      <c r="AT486" s="1483"/>
      <c r="AU486" s="1488"/>
      <c r="AV486" s="451"/>
      <c r="AW486" s="13"/>
    </row>
    <row r="487" spans="1:49" ht="82.5" hidden="1" customHeight="1">
      <c r="A487" s="17">
        <f>OBRA!I485</f>
        <v>2020</v>
      </c>
      <c r="B487" s="895" t="s">
        <v>2098</v>
      </c>
      <c r="C487" s="895">
        <v>205.31</v>
      </c>
      <c r="D487" s="895"/>
      <c r="E487" s="2" t="str">
        <f>OBRA!K485</f>
        <v>CUENTA CORRIENTE</v>
      </c>
      <c r="F487" s="249" t="s">
        <v>1431</v>
      </c>
      <c r="G487" s="249" t="s">
        <v>2900</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3997</v>
      </c>
      <c r="L487" s="780" t="s">
        <v>2686</v>
      </c>
      <c r="M487" s="780" t="s">
        <v>2611</v>
      </c>
      <c r="N487" s="554" t="s">
        <v>3542</v>
      </c>
      <c r="O487" s="85">
        <f>OBRA!P485</f>
        <v>5220</v>
      </c>
      <c r="P487" s="1208">
        <f t="shared" si="29"/>
        <v>4500</v>
      </c>
      <c r="Q487" s="85" t="s">
        <v>68</v>
      </c>
      <c r="R487" s="69">
        <f>OBRA!Q485</f>
        <v>44089</v>
      </c>
      <c r="S487" s="1327" t="str">
        <f>OBRA!T485</f>
        <v>-</v>
      </c>
      <c r="T487" s="255" t="str">
        <f>OBRA!R485</f>
        <v>-</v>
      </c>
      <c r="U487" s="245" t="str">
        <f>OBRA!S485</f>
        <v>-</v>
      </c>
      <c r="V487" s="1405">
        <v>0</v>
      </c>
      <c r="W487" s="1355">
        <f>OBRA!AQ485+OBRA!AR485</f>
        <v>0</v>
      </c>
      <c r="X487" s="1235" t="s">
        <v>4000</v>
      </c>
      <c r="Y487" s="650" t="str">
        <f>OBRA!U485</f>
        <v>ING. JUAN MANUEL GARCÍA ESCOTO</v>
      </c>
      <c r="Z487" s="650" t="s">
        <v>5822</v>
      </c>
      <c r="AA487" s="652" t="s">
        <v>2942</v>
      </c>
      <c r="AB487" s="640" t="s">
        <v>3377</v>
      </c>
      <c r="AC487" s="639" t="s">
        <v>3378</v>
      </c>
      <c r="AD487" s="200" t="str">
        <f>OBRA!V485</f>
        <v>ING. HECTOR JESUS HERNANDEZ</v>
      </c>
      <c r="AE487" s="169"/>
      <c r="AF487" s="202" t="s">
        <v>3999</v>
      </c>
      <c r="AG487" s="682" t="e">
        <f t="shared" si="30"/>
        <v>#DIV/0!</v>
      </c>
      <c r="AH487" s="560"/>
      <c r="AI487" s="556"/>
      <c r="AJ487" s="556"/>
      <c r="AK487" s="721"/>
      <c r="AL487" s="1806"/>
      <c r="AM487" s="1304" t="s">
        <v>68</v>
      </c>
      <c r="AN487" s="629" t="s">
        <v>68</v>
      </c>
      <c r="AO487" s="629" t="s">
        <v>68</v>
      </c>
      <c r="AP487" s="566" t="s">
        <v>68</v>
      </c>
      <c r="AQ487" s="1492" t="s">
        <v>68</v>
      </c>
      <c r="AR487" s="1487"/>
      <c r="AS487" s="1483"/>
      <c r="AT487" s="1483"/>
      <c r="AU487" s="1488"/>
      <c r="AV487" s="451"/>
      <c r="AW487" s="13"/>
    </row>
    <row r="488" spans="1:49" ht="85.5" hidden="1" customHeight="1">
      <c r="A488" s="17">
        <f>OBRA!I486</f>
        <v>2020</v>
      </c>
      <c r="B488" s="895" t="s">
        <v>2098</v>
      </c>
      <c r="C488" s="895">
        <v>205.32</v>
      </c>
      <c r="D488" s="895"/>
      <c r="E488" s="2" t="str">
        <f>OBRA!K486</f>
        <v>CUENTA CORRIENTE</v>
      </c>
      <c r="F488" s="249" t="s">
        <v>1431</v>
      </c>
      <c r="G488" s="249" t="s">
        <v>2900</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3826</v>
      </c>
      <c r="L488" s="780" t="s">
        <v>4044</v>
      </c>
      <c r="M488" s="780" t="s">
        <v>1979</v>
      </c>
      <c r="N488" s="554" t="s">
        <v>3542</v>
      </c>
      <c r="O488" s="85">
        <f>OBRA!P486</f>
        <v>9860</v>
      </c>
      <c r="P488" s="1208">
        <f t="shared" si="29"/>
        <v>8500</v>
      </c>
      <c r="Q488" s="85" t="s">
        <v>68</v>
      </c>
      <c r="R488" s="69">
        <f>OBRA!Q486</f>
        <v>44089</v>
      </c>
      <c r="S488" s="1327" t="str">
        <f>OBRA!T486</f>
        <v>-</v>
      </c>
      <c r="T488" s="255" t="str">
        <f>OBRA!R486</f>
        <v>-</v>
      </c>
      <c r="U488" s="245" t="str">
        <f>OBRA!S486</f>
        <v>-</v>
      </c>
      <c r="V488" s="1405">
        <v>0</v>
      </c>
      <c r="W488" s="1355">
        <f>OBRA!AQ486+OBRA!AR486</f>
        <v>0</v>
      </c>
      <c r="X488" s="1235" t="s">
        <v>1431</v>
      </c>
      <c r="Y488" s="650" t="str">
        <f>OBRA!U486</f>
        <v>ING. JUAN MANUEL GARCÍA ESCOTO</v>
      </c>
      <c r="Z488" s="650" t="s">
        <v>5822</v>
      </c>
      <c r="AA488" s="652" t="str">
        <f>Y488</f>
        <v>ING. JUAN MANUEL GARCÍA ESCOTO</v>
      </c>
      <c r="AB488" s="640" t="s">
        <v>3016</v>
      </c>
      <c r="AC488" s="639" t="s">
        <v>3016</v>
      </c>
      <c r="AD488" s="200" t="str">
        <f>OBRA!V486</f>
        <v>ING. HECTOR JESUS HERNANDEZ</v>
      </c>
      <c r="AE488" s="169"/>
      <c r="AF488" s="560"/>
      <c r="AG488" s="682" t="e">
        <f t="shared" si="30"/>
        <v>#DIV/0!</v>
      </c>
      <c r="AH488" s="560"/>
      <c r="AI488" s="556"/>
      <c r="AJ488" s="556"/>
      <c r="AK488" s="721"/>
      <c r="AL488" s="1806"/>
      <c r="AM488" s="1304" t="s">
        <v>68</v>
      </c>
      <c r="AN488" s="629" t="s">
        <v>68</v>
      </c>
      <c r="AO488" s="629" t="s">
        <v>68</v>
      </c>
      <c r="AP488" s="566" t="s">
        <v>68</v>
      </c>
      <c r="AQ488" s="1492" t="s">
        <v>68</v>
      </c>
      <c r="AR488" s="1487"/>
      <c r="AS488" s="1483"/>
      <c r="AT488" s="1483"/>
      <c r="AU488" s="1488"/>
      <c r="AV488" s="451"/>
      <c r="AW488" s="13"/>
    </row>
    <row r="489" spans="1:49" ht="84.75" hidden="1" customHeight="1">
      <c r="A489" s="17">
        <f>OBRA!I487</f>
        <v>2020</v>
      </c>
      <c r="B489" s="895" t="s">
        <v>2098</v>
      </c>
      <c r="C489" s="895">
        <v>205.33</v>
      </c>
      <c r="D489" s="895"/>
      <c r="E489" s="2" t="str">
        <f>OBRA!K487</f>
        <v>CUENTA CORRIENTE</v>
      </c>
      <c r="F489" s="249" t="s">
        <v>1431</v>
      </c>
      <c r="G489" s="249" t="s">
        <v>2900</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3997</v>
      </c>
      <c r="L489" s="780" t="s">
        <v>4035</v>
      </c>
      <c r="M489" s="780" t="s">
        <v>1979</v>
      </c>
      <c r="N489" s="554" t="s">
        <v>3542</v>
      </c>
      <c r="O489" s="85">
        <f>OBRA!P487</f>
        <v>4059.9999999999995</v>
      </c>
      <c r="P489" s="1208">
        <f t="shared" si="29"/>
        <v>3500</v>
      </c>
      <c r="Q489" s="85" t="s">
        <v>68</v>
      </c>
      <c r="R489" s="69">
        <f>OBRA!Q487</f>
        <v>44089</v>
      </c>
      <c r="S489" s="1327" t="str">
        <f>OBRA!T487</f>
        <v>-</v>
      </c>
      <c r="T489" s="255" t="str">
        <f>OBRA!R487</f>
        <v>-</v>
      </c>
      <c r="U489" s="245" t="str">
        <f>OBRA!S487</f>
        <v>-</v>
      </c>
      <c r="V489" s="1405">
        <v>0</v>
      </c>
      <c r="W489" s="1355">
        <f>OBRA!AQ487+OBRA!AR487</f>
        <v>0</v>
      </c>
      <c r="X489" s="1235" t="s">
        <v>1431</v>
      </c>
      <c r="Y489" s="650" t="str">
        <f>OBRA!U487</f>
        <v>ING. JUAN MANUEL GARCÍA ESCOTO</v>
      </c>
      <c r="Z489" s="650" t="s">
        <v>5822</v>
      </c>
      <c r="AA489" s="652" t="str">
        <f>Y489</f>
        <v>ING. JUAN MANUEL GARCÍA ESCOTO</v>
      </c>
      <c r="AB489" s="640" t="s">
        <v>3016</v>
      </c>
      <c r="AC489" s="639" t="s">
        <v>3016</v>
      </c>
      <c r="AD489" s="200" t="str">
        <f>OBRA!V487</f>
        <v>ING. HECTOR JESUS HERNANDEZ</v>
      </c>
      <c r="AE489" s="169"/>
      <c r="AF489" s="202" t="s">
        <v>2328</v>
      </c>
      <c r="AG489" s="682" t="e">
        <f t="shared" si="30"/>
        <v>#DIV/0!</v>
      </c>
      <c r="AH489" s="560"/>
      <c r="AI489" s="556"/>
      <c r="AJ489" s="556"/>
      <c r="AK489" s="721"/>
      <c r="AL489" s="1806"/>
      <c r="AM489" s="1304" t="s">
        <v>68</v>
      </c>
      <c r="AN489" s="629" t="s">
        <v>68</v>
      </c>
      <c r="AO489" s="629" t="s">
        <v>68</v>
      </c>
      <c r="AP489" s="566" t="s">
        <v>68</v>
      </c>
      <c r="AQ489" s="1492" t="s">
        <v>68</v>
      </c>
      <c r="AR489" s="1487"/>
      <c r="AS489" s="1483"/>
      <c r="AT489" s="1483"/>
      <c r="AU489" s="1488"/>
      <c r="AV489" s="451"/>
      <c r="AW489" s="13"/>
    </row>
    <row r="490" spans="1:49" ht="60" hidden="1" customHeight="1">
      <c r="A490" s="17">
        <f>OBRA!I488</f>
        <v>2020</v>
      </c>
      <c r="B490" s="895" t="s">
        <v>2098</v>
      </c>
      <c r="C490" s="895">
        <v>206.01</v>
      </c>
      <c r="D490" s="895"/>
      <c r="E490" s="2" t="str">
        <f>OBRA!K488</f>
        <v>CUENTA CORRIENTE</v>
      </c>
      <c r="F490" s="164" t="s">
        <v>1431</v>
      </c>
      <c r="G490" s="249" t="s">
        <v>2239</v>
      </c>
      <c r="H490" s="451" t="str">
        <f>OBRA!L488</f>
        <v>GMJ 001C- OP/2020</v>
      </c>
      <c r="I490" s="2" t="str">
        <f>OBRA!M488</f>
        <v>ADJUDICACIÓN DIRECTA</v>
      </c>
      <c r="J490" s="3" t="str">
        <f>OBRA!N488</f>
        <v>CONSTRUCCIÓN DE LÍNEAS DE DRENAJE SANITARIO Y DRENAJE PLUVIAL EN LA CALLE RODRIGO DE TRIANA" EN LA CABECERA MUNICIPAL DE JOCOTEPEC, JALISCO".</v>
      </c>
      <c r="K490" s="780" t="s">
        <v>3998</v>
      </c>
      <c r="L490" s="780" t="s">
        <v>4128</v>
      </c>
      <c r="M490" s="780" t="s">
        <v>1979</v>
      </c>
      <c r="N490" s="554" t="s">
        <v>4173</v>
      </c>
      <c r="O490" s="85">
        <f>OBRA!P488</f>
        <v>156714.98000000001</v>
      </c>
      <c r="P490" s="1208">
        <f t="shared" si="29"/>
        <v>135099.12068965519</v>
      </c>
      <c r="Q490" s="1208"/>
      <c r="R490" s="69">
        <f>OBRA!Q488</f>
        <v>43894</v>
      </c>
      <c r="S490" s="1327">
        <f>OBRA!T488</f>
        <v>43892</v>
      </c>
      <c r="T490" s="255">
        <f>OBRA!R488</f>
        <v>43894</v>
      </c>
      <c r="U490" s="245">
        <f>OBRA!S488</f>
        <v>43960</v>
      </c>
      <c r="V490" s="1405">
        <v>0</v>
      </c>
      <c r="W490" s="1353">
        <f>OBRA!AQ488+OBRA!AR488</f>
        <v>156609.66</v>
      </c>
      <c r="X490" s="1573" t="s">
        <v>4168</v>
      </c>
      <c r="Y490" s="650" t="str">
        <f>OBRA!U488</f>
        <v xml:space="preserve">GRUPO CONSTRUCTORA PAVIMAQ, S.A. DE C.V. </v>
      </c>
      <c r="Z490" s="650" t="s">
        <v>5823</v>
      </c>
      <c r="AA490" s="652" t="s">
        <v>2840</v>
      </c>
      <c r="AB490" s="640" t="s">
        <v>2839</v>
      </c>
      <c r="AC490" s="639" t="s">
        <v>4169</v>
      </c>
      <c r="AD490" s="200" t="str">
        <f>OBRA!V488</f>
        <v>ARQ. CESAR ANTONIO ALONSO JIMENEZ</v>
      </c>
      <c r="AE490" s="174">
        <v>78.099999999999994</v>
      </c>
      <c r="AF490" s="202" t="s">
        <v>1454</v>
      </c>
      <c r="AG490" s="694">
        <f t="shared" si="30"/>
        <v>2005.2453265044817</v>
      </c>
      <c r="AH490" s="202">
        <v>120</v>
      </c>
      <c r="AI490" s="566">
        <v>120</v>
      </c>
      <c r="AJ490" s="566"/>
      <c r="AK490" s="1813">
        <v>20.281600999999998</v>
      </c>
      <c r="AL490" s="1814">
        <v>103.41943000000001</v>
      </c>
      <c r="AM490" s="629" t="s">
        <v>4174</v>
      </c>
      <c r="AN490" s="629" t="s">
        <v>4174</v>
      </c>
      <c r="AO490" s="629" t="s">
        <v>4174</v>
      </c>
      <c r="AP490" s="551" t="s">
        <v>4174</v>
      </c>
      <c r="AQ490" s="1793" t="s">
        <v>4174</v>
      </c>
      <c r="AR490" s="1487"/>
      <c r="AS490" s="1483"/>
      <c r="AT490" s="1483"/>
      <c r="AU490" s="1488"/>
      <c r="AV490" s="451" t="s">
        <v>551</v>
      </c>
      <c r="AW490" s="13"/>
    </row>
    <row r="491" spans="1:49" ht="111" hidden="1" customHeight="1">
      <c r="A491" s="17">
        <f>OBRA!I489</f>
        <v>2020</v>
      </c>
      <c r="B491" s="895" t="s">
        <v>2098</v>
      </c>
      <c r="C491" s="895">
        <v>206.02</v>
      </c>
      <c r="D491" s="895"/>
      <c r="E491" s="2" t="str">
        <f>OBRA!K489</f>
        <v>RAMO 33</v>
      </c>
      <c r="F491" s="164" t="s">
        <v>1431</v>
      </c>
      <c r="G491" s="249" t="s">
        <v>2239</v>
      </c>
      <c r="H491" s="451" t="str">
        <f>OBRA!L489</f>
        <v>GMJ 002C- OP/2020</v>
      </c>
      <c r="I491" s="202" t="str">
        <f>OBRA!M489</f>
        <v>ADJUDICACIÓN DIRECTA</v>
      </c>
      <c r="J491" s="3" t="str">
        <f>OBRA!N489</f>
        <v>"CONSTRUCCIÓN DE EMPEDRADO NORMAL CON HUELLAS DE ADOQUÍN EN CALLE CUAUHTÉMOC 3ERA. ETAPA DE CARCAMO A 160 ML AL ORIENTE" EN LA DELEGACIÓN DE CHANTEPEC, MUNICIPIO DE JOCOTEPEC, JALISCO.</v>
      </c>
      <c r="K491" s="328" t="s">
        <v>4190</v>
      </c>
      <c r="L491" s="780" t="s">
        <v>4047</v>
      </c>
      <c r="M491" s="328" t="s">
        <v>2574</v>
      </c>
      <c r="N491" s="554" t="s">
        <v>4173</v>
      </c>
      <c r="O491" s="4">
        <f>OBRA!P489</f>
        <v>654632.78</v>
      </c>
      <c r="P491" s="1208">
        <f t="shared" si="29"/>
        <v>564338.60344827594</v>
      </c>
      <c r="Q491" s="1208"/>
      <c r="R491" s="6">
        <f>OBRA!Q489</f>
        <v>43936</v>
      </c>
      <c r="S491" s="1327">
        <f>OBRA!T489</f>
        <v>43934</v>
      </c>
      <c r="T491" s="5">
        <f>OBRA!R489</f>
        <v>43937</v>
      </c>
      <c r="U491" s="12">
        <f>OBRA!S489</f>
        <v>43958</v>
      </c>
      <c r="V491" s="1405">
        <v>0</v>
      </c>
      <c r="W491" s="1353">
        <f>OBRA!AQ489+OBRA!AR489</f>
        <v>685944.29</v>
      </c>
      <c r="X491" s="1235" t="s">
        <v>4170</v>
      </c>
      <c r="Y491" s="650" t="str">
        <f>OBRA!U489</f>
        <v>ING. OCTAVIO AUGUSTO GONZALEZ TREJO</v>
      </c>
      <c r="Z491" s="650" t="s">
        <v>5822</v>
      </c>
      <c r="AA491" s="652" t="str">
        <f>Y491</f>
        <v>ING. OCTAVIO AUGUSTO GONZALEZ TREJO</v>
      </c>
      <c r="AB491" s="652" t="s">
        <v>2999</v>
      </c>
      <c r="AC491" s="650" t="s">
        <v>2999</v>
      </c>
      <c r="AD491" s="198" t="str">
        <f>OBRA!V489</f>
        <v>LIC. SALVADOR CONTRERAS OLGUÍN</v>
      </c>
      <c r="AE491" s="174">
        <v>992</v>
      </c>
      <c r="AF491" s="202" t="s">
        <v>1552</v>
      </c>
      <c r="AG491" s="694">
        <f t="shared" si="30"/>
        <v>691.47609879032257</v>
      </c>
      <c r="AH491" s="202">
        <v>80</v>
      </c>
      <c r="AI491" s="566">
        <v>1800</v>
      </c>
      <c r="AJ491" s="566"/>
      <c r="AK491" s="1813">
        <v>20.291502000000001</v>
      </c>
      <c r="AL491" s="1814">
        <v>103.387879</v>
      </c>
      <c r="AM491" s="629" t="s">
        <v>4175</v>
      </c>
      <c r="AN491" s="629" t="s">
        <v>4175</v>
      </c>
      <c r="AO491" s="629" t="s">
        <v>4175</v>
      </c>
      <c r="AP491" s="551" t="s">
        <v>4175</v>
      </c>
      <c r="AQ491" s="1793" t="s">
        <v>4175</v>
      </c>
      <c r="AR491" s="1487"/>
      <c r="AS491" s="1483"/>
      <c r="AT491" s="1483"/>
      <c r="AU491" s="1488"/>
      <c r="AV491" s="451" t="s">
        <v>551</v>
      </c>
      <c r="AW491" s="13"/>
    </row>
    <row r="492" spans="1:49" ht="87" hidden="1" customHeight="1">
      <c r="A492" s="17">
        <f>OBRA!I490</f>
        <v>2020</v>
      </c>
      <c r="B492" s="895" t="s">
        <v>2098</v>
      </c>
      <c r="C492" s="895">
        <v>206.03</v>
      </c>
      <c r="D492" s="895"/>
      <c r="E492" s="2" t="str">
        <f>OBRA!K490</f>
        <v>RAMO 33</v>
      </c>
      <c r="F492" s="164" t="s">
        <v>1431</v>
      </c>
      <c r="G492" s="249" t="s">
        <v>2239</v>
      </c>
      <c r="H492" s="451"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28" t="s">
        <v>4191</v>
      </c>
      <c r="L492" s="780" t="s">
        <v>4129</v>
      </c>
      <c r="M492" s="780" t="s">
        <v>2613</v>
      </c>
      <c r="N492" s="554" t="s">
        <v>4173</v>
      </c>
      <c r="O492" s="4">
        <f>OBRA!P490</f>
        <v>248927.96</v>
      </c>
      <c r="P492" s="1208">
        <f t="shared" si="29"/>
        <v>214593.06896551725</v>
      </c>
      <c r="Q492" s="1208"/>
      <c r="R492" s="6">
        <f>OBRA!Q490</f>
        <v>43948</v>
      </c>
      <c r="S492" s="1327">
        <f>OBRA!T490</f>
        <v>43945</v>
      </c>
      <c r="T492" s="5">
        <f>OBRA!R490</f>
        <v>43949</v>
      </c>
      <c r="U492" s="12">
        <f>OBRA!S490</f>
        <v>43980</v>
      </c>
      <c r="V492" s="1357">
        <v>62231.99</v>
      </c>
      <c r="W492" s="1353">
        <f>OBRA!AQ490+OBRA!AR490</f>
        <v>255753.06</v>
      </c>
      <c r="X492" s="1235" t="s">
        <v>4171</v>
      </c>
      <c r="Y492" s="650" t="str">
        <f>OBRA!U490</f>
        <v>GRUPO CONSTRUCTOR EDVI S.A. DE C.V.</v>
      </c>
      <c r="Z492" s="650" t="s">
        <v>5823</v>
      </c>
      <c r="AA492" s="652" t="s">
        <v>2942</v>
      </c>
      <c r="AB492" s="1234" t="s">
        <v>3377</v>
      </c>
      <c r="AC492" s="639" t="s">
        <v>3378</v>
      </c>
      <c r="AD492" s="198" t="str">
        <f>OBRA!V490</f>
        <v>ARQ. CESAR ANTONIO ALONSO JIMENEZ</v>
      </c>
      <c r="AE492" s="174">
        <v>317.99</v>
      </c>
      <c r="AF492" s="202" t="s">
        <v>1552</v>
      </c>
      <c r="AG492" s="694">
        <f t="shared" si="30"/>
        <v>804.28019749048713</v>
      </c>
      <c r="AH492" s="202">
        <v>500</v>
      </c>
      <c r="AI492" s="566">
        <v>1000</v>
      </c>
      <c r="AJ492" s="566"/>
      <c r="AK492" s="1813">
        <v>20.289967999999998</v>
      </c>
      <c r="AL492" s="1814">
        <v>103.417689</v>
      </c>
      <c r="AM492" s="629" t="s">
        <v>4172</v>
      </c>
      <c r="AN492" s="629" t="s">
        <v>4172</v>
      </c>
      <c r="AO492" s="629" t="s">
        <v>4172</v>
      </c>
      <c r="AP492" s="551" t="s">
        <v>4172</v>
      </c>
      <c r="AQ492" s="1793" t="s">
        <v>4172</v>
      </c>
      <c r="AR492" s="1487"/>
      <c r="AS492" s="1483"/>
      <c r="AT492" s="1483"/>
      <c r="AU492" s="1488"/>
      <c r="AV492" s="451" t="s">
        <v>551</v>
      </c>
      <c r="AW492" s="13"/>
    </row>
    <row r="493" spans="1:49" ht="109.5" hidden="1" customHeight="1">
      <c r="A493" s="17">
        <f>OBRA!I491</f>
        <v>2020</v>
      </c>
      <c r="B493" s="895" t="s">
        <v>2098</v>
      </c>
      <c r="C493" s="895">
        <v>206.04</v>
      </c>
      <c r="D493" s="895"/>
      <c r="E493" s="2" t="str">
        <f>OBRA!K491</f>
        <v>RAMO 33</v>
      </c>
      <c r="F493" s="164" t="s">
        <v>1431</v>
      </c>
      <c r="G493" s="249" t="s">
        <v>2239</v>
      </c>
      <c r="H493" s="451" t="str">
        <f>OBRA!L491</f>
        <v>GMJ 004C- OP/2020</v>
      </c>
      <c r="I493" s="2" t="str">
        <f>OBRA!M491</f>
        <v>ADJUDICACIÓN DIRECTA</v>
      </c>
      <c r="J493" s="3" t="str">
        <f>OBRA!N491</f>
        <v>"CONSTRUCCIÓN DE EMPEDRADO AHOGADO EN CEMENTO CON HUELLAS DE CONCRETO EN CALLE PADRE ADALBERTO MACIAS" EN LA CABECERA MUNICIPAL DE JOCOTEPEC, JALISCO.</v>
      </c>
      <c r="K493" s="328" t="s">
        <v>4192</v>
      </c>
      <c r="L493" s="780" t="s">
        <v>4130</v>
      </c>
      <c r="M493" s="780" t="s">
        <v>1979</v>
      </c>
      <c r="N493" s="554" t="s">
        <v>4173</v>
      </c>
      <c r="O493" s="4">
        <f>OBRA!P491</f>
        <v>1010980.5</v>
      </c>
      <c r="P493" s="1208">
        <f t="shared" si="29"/>
        <v>871534.91379310354</v>
      </c>
      <c r="Q493" s="1208"/>
      <c r="R493" s="6">
        <f>OBRA!Q491</f>
        <v>43951</v>
      </c>
      <c r="S493" s="1327">
        <f>OBRA!T491</f>
        <v>43950</v>
      </c>
      <c r="T493" s="5">
        <f>OBRA!R491</f>
        <v>43962</v>
      </c>
      <c r="U493" s="12">
        <f>OBRA!S491</f>
        <v>44054</v>
      </c>
      <c r="V493" s="1357">
        <v>252745.25</v>
      </c>
      <c r="W493" s="1353">
        <f>OBRA!AQ491+OBRA!AR491</f>
        <v>966143.58</v>
      </c>
      <c r="X493" s="1235" t="s">
        <v>4176</v>
      </c>
      <c r="Y493" s="650" t="str">
        <f>OBRA!U491</f>
        <v>SERVICIO Y CONSTRUCCIÓN NATENIO S.A. DE C.V.</v>
      </c>
      <c r="Z493" s="650" t="s">
        <v>5823</v>
      </c>
      <c r="AA493" s="446" t="s">
        <v>3993</v>
      </c>
      <c r="AB493" s="1667" t="s">
        <v>3994</v>
      </c>
      <c r="AC493" s="1667" t="s">
        <v>3995</v>
      </c>
      <c r="AD493" s="198" t="str">
        <f>OBRA!V491</f>
        <v>ARQ. JAIME CONDE GOMEZ</v>
      </c>
      <c r="AE493" s="174">
        <v>1261.4000000000001</v>
      </c>
      <c r="AF493" s="202" t="s">
        <v>1552</v>
      </c>
      <c r="AG493" s="694">
        <f t="shared" si="30"/>
        <v>765.92958617409215</v>
      </c>
      <c r="AH493" s="202">
        <v>500</v>
      </c>
      <c r="AI493" s="566">
        <v>500</v>
      </c>
      <c r="AJ493" s="566"/>
      <c r="AK493" s="1813">
        <v>20.280659</v>
      </c>
      <c r="AL493" s="1814">
        <v>103.44593</v>
      </c>
      <c r="AM493" s="629" t="s">
        <v>4177</v>
      </c>
      <c r="AN493" s="631"/>
      <c r="AO493" s="629" t="s">
        <v>4177</v>
      </c>
      <c r="AP493" s="551" t="s">
        <v>4177</v>
      </c>
      <c r="AQ493" s="1792"/>
      <c r="AR493" s="1487"/>
      <c r="AS493" s="1483"/>
      <c r="AT493" s="1483"/>
      <c r="AU493" s="1488"/>
      <c r="AV493" s="451"/>
      <c r="AW493" s="13"/>
    </row>
    <row r="494" spans="1:49" ht="147" hidden="1" customHeight="1">
      <c r="A494" s="17">
        <f>OBRA!I492</f>
        <v>2020</v>
      </c>
      <c r="B494" s="895" t="s">
        <v>2098</v>
      </c>
      <c r="C494" s="895">
        <v>206.05</v>
      </c>
      <c r="D494" s="895"/>
      <c r="E494" s="2" t="str">
        <f>OBRA!K492</f>
        <v>RAMO 33</v>
      </c>
      <c r="F494" s="164" t="s">
        <v>1431</v>
      </c>
      <c r="G494" s="249" t="s">
        <v>2239</v>
      </c>
      <c r="H494" s="451" t="str">
        <f>OBRA!L492</f>
        <v>GMJ 005C- OP/2020</v>
      </c>
      <c r="I494" s="2" t="str">
        <f>OBRA!M492</f>
        <v>ADJUDICACIÓN DIRECTA</v>
      </c>
      <c r="J494" s="3" t="str">
        <f>OBRA!N492</f>
        <v>"CONSTRUCCIÓN DE LÍNEA DE DRENAJE SANITARIO EN CALLE LIBERTAD DE RICO A CRISTOBAL COLON" EN LA LOCALIDAD DE NEXTIPAC, MUNICIPIO DE JOCOTEPEC, JALISCO.</v>
      </c>
      <c r="K494" s="597"/>
      <c r="L494" s="780" t="s">
        <v>4129</v>
      </c>
      <c r="M494" s="780" t="s">
        <v>2613</v>
      </c>
      <c r="N494" s="554" t="s">
        <v>4173</v>
      </c>
      <c r="O494" s="4">
        <f>OBRA!P492</f>
        <v>125624.96000000001</v>
      </c>
      <c r="P494" s="1208">
        <f t="shared" si="29"/>
        <v>108297.37931034484</v>
      </c>
      <c r="Q494" s="1208"/>
      <c r="R494" s="6">
        <f>OBRA!Q492</f>
        <v>43948</v>
      </c>
      <c r="S494" s="1327">
        <f>OBRA!T492</f>
        <v>43945</v>
      </c>
      <c r="T494" s="5">
        <f>OBRA!R492</f>
        <v>43949</v>
      </c>
      <c r="U494" s="12">
        <f>OBRA!S492</f>
        <v>43980</v>
      </c>
      <c r="V494" s="1405">
        <v>0</v>
      </c>
      <c r="W494" s="1353">
        <f>OBRA!AQ492+OBRA!AR492</f>
        <v>133293.67000000001</v>
      </c>
      <c r="X494" s="1235" t="s">
        <v>4178</v>
      </c>
      <c r="Y494" s="650" t="str">
        <f>OBRA!U492</f>
        <v>GRUPO CONSTRUCTOR EDVI SA DE CV</v>
      </c>
      <c r="Z494" s="650" t="s">
        <v>5823</v>
      </c>
      <c r="AA494" s="446" t="s">
        <v>3993</v>
      </c>
      <c r="AB494" s="1281" t="s">
        <v>3994</v>
      </c>
      <c r="AC494" s="1667" t="s">
        <v>3995</v>
      </c>
      <c r="AD494" s="198" t="str">
        <f>OBRA!V492</f>
        <v>ARQ. CESAR ANTONIO ALONSO JIMENEZ</v>
      </c>
      <c r="AE494" s="174">
        <v>74.2</v>
      </c>
      <c r="AF494" s="202" t="s">
        <v>1454</v>
      </c>
      <c r="AG494" s="694">
        <f t="shared" ref="AG494:AG527" si="32">W494/AE494</f>
        <v>1796.4106469002697</v>
      </c>
      <c r="AH494" s="202">
        <v>150</v>
      </c>
      <c r="AI494" s="566">
        <v>500</v>
      </c>
      <c r="AJ494" s="566"/>
      <c r="AK494" s="1813">
        <v>20.289967999999998</v>
      </c>
      <c r="AL494" s="1814">
        <v>103.417689</v>
      </c>
      <c r="AM494" s="629" t="s">
        <v>4179</v>
      </c>
      <c r="AN494" s="629" t="s">
        <v>4179</v>
      </c>
      <c r="AO494" s="629" t="s">
        <v>4179</v>
      </c>
      <c r="AP494" s="551" t="s">
        <v>4179</v>
      </c>
      <c r="AQ494" s="1793" t="s">
        <v>4179</v>
      </c>
      <c r="AR494" s="1487"/>
      <c r="AS494" s="1483"/>
      <c r="AT494" s="1483"/>
      <c r="AU494" s="1488"/>
      <c r="AV494" s="451"/>
      <c r="AW494" s="13"/>
    </row>
    <row r="495" spans="1:49" ht="90.75" hidden="1" customHeight="1">
      <c r="A495" s="17">
        <f>OBRA!I493</f>
        <v>2020</v>
      </c>
      <c r="B495" s="895" t="s">
        <v>2098</v>
      </c>
      <c r="C495" s="895">
        <v>206.06</v>
      </c>
      <c r="D495" s="895"/>
      <c r="E495" s="2" t="str">
        <f>OBRA!K493</f>
        <v>RAMO 33</v>
      </c>
      <c r="F495" s="164" t="s">
        <v>1431</v>
      </c>
      <c r="G495" s="249" t="s">
        <v>2239</v>
      </c>
      <c r="H495" s="451"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97"/>
      <c r="L495" s="780" t="s">
        <v>4131</v>
      </c>
      <c r="M495" s="780" t="s">
        <v>1979</v>
      </c>
      <c r="N495" s="585" t="s">
        <v>4173</v>
      </c>
      <c r="O495" s="4">
        <f>OBRA!P493</f>
        <v>965741.4</v>
      </c>
      <c r="P495" s="1208">
        <f t="shared" si="29"/>
        <v>832535.68965517252</v>
      </c>
      <c r="Q495" s="1208"/>
      <c r="R495" s="6">
        <f>OBRA!Q493</f>
        <v>43977</v>
      </c>
      <c r="S495" s="1327">
        <f>OBRA!T493</f>
        <v>43976</v>
      </c>
      <c r="T495" s="5">
        <f>OBRA!R493</f>
        <v>43984</v>
      </c>
      <c r="U495" s="12">
        <f>OBRA!S493</f>
        <v>44040</v>
      </c>
      <c r="V495" s="1357">
        <v>241435.35</v>
      </c>
      <c r="W495" s="1353">
        <f>OBRA!AQ493+OBRA!AR493</f>
        <v>961549.42</v>
      </c>
      <c r="X495" s="1299" t="s">
        <v>2859</v>
      </c>
      <c r="Y495" s="650" t="str">
        <f>OBRA!U493</f>
        <v>SONAYBER INGENIERIA Y CONSTRUCCIONES S.A. DE C.V.</v>
      </c>
      <c r="Z495" s="650" t="s">
        <v>5823</v>
      </c>
      <c r="AA495" s="652" t="s">
        <v>2860</v>
      </c>
      <c r="AB495" s="650" t="s">
        <v>2861</v>
      </c>
      <c r="AC495" s="675" t="s">
        <v>2862</v>
      </c>
      <c r="AD495" s="200" t="str">
        <f>OBRA!V493</f>
        <v>ING. J. GUADALUPE IBARRA RAMIREZ</v>
      </c>
      <c r="AE495" s="174">
        <v>878.94</v>
      </c>
      <c r="AF495" s="202" t="s">
        <v>1552</v>
      </c>
      <c r="AG495" s="694">
        <f t="shared" si="32"/>
        <v>1093.9875531890686</v>
      </c>
      <c r="AH495" s="202">
        <v>250</v>
      </c>
      <c r="AI495" s="566">
        <v>1000</v>
      </c>
      <c r="AJ495" s="566"/>
      <c r="AK495" s="1813">
        <v>20.289107000000001</v>
      </c>
      <c r="AL495" s="1814">
        <v>103.425094</v>
      </c>
      <c r="AM495" s="1435" t="s">
        <v>3565</v>
      </c>
      <c r="AN495" s="1452" t="s">
        <v>3565</v>
      </c>
      <c r="AO495" s="1452" t="s">
        <v>3565</v>
      </c>
      <c r="AP495" s="1436" t="s">
        <v>3565</v>
      </c>
      <c r="AQ495" s="1451" t="s">
        <v>3565</v>
      </c>
      <c r="AR495" s="1487"/>
      <c r="AS495" s="1483"/>
      <c r="AT495" s="1483"/>
      <c r="AU495" s="1488"/>
      <c r="AV495" s="451"/>
      <c r="AW495" s="13"/>
    </row>
    <row r="496" spans="1:49" ht="92.25" hidden="1" customHeight="1">
      <c r="A496" s="17">
        <f>OBRA!I494</f>
        <v>2020</v>
      </c>
      <c r="B496" s="895" t="s">
        <v>2098</v>
      </c>
      <c r="C496" s="895">
        <v>206.07</v>
      </c>
      <c r="D496" s="895"/>
      <c r="E496" s="2" t="str">
        <f>OBRA!K494</f>
        <v>RAMO 33</v>
      </c>
      <c r="F496" s="164" t="s">
        <v>1431</v>
      </c>
      <c r="G496" s="249" t="s">
        <v>2239</v>
      </c>
      <c r="H496" s="451"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97"/>
      <c r="L496" s="494" t="s">
        <v>4045</v>
      </c>
      <c r="M496" s="494" t="s">
        <v>1979</v>
      </c>
      <c r="N496" s="585" t="s">
        <v>4173</v>
      </c>
      <c r="O496" s="4">
        <f>OBRA!P494</f>
        <v>334158.86</v>
      </c>
      <c r="P496" s="1208">
        <f t="shared" si="29"/>
        <v>288067.9827586207</v>
      </c>
      <c r="Q496" s="1208"/>
      <c r="R496" s="6">
        <f>OBRA!Q494</f>
        <v>43977</v>
      </c>
      <c r="S496" s="1327">
        <f>OBRA!T494</f>
        <v>43976</v>
      </c>
      <c r="T496" s="5">
        <f>OBRA!R494</f>
        <v>43984</v>
      </c>
      <c r="U496" s="12">
        <f>OBRA!S494</f>
        <v>44040</v>
      </c>
      <c r="V496" s="1357">
        <v>83539.72</v>
      </c>
      <c r="W496" s="1353">
        <f>OBRA!AQ494+OBRA!AR494</f>
        <v>340712.1</v>
      </c>
      <c r="X496" s="1280" t="s">
        <v>2871</v>
      </c>
      <c r="Y496" s="639" t="str">
        <f>OBRA!U494</f>
        <v>SONAYBER INGENIERIA Y CONSTRUCCIONES S.A. DE C.V.</v>
      </c>
      <c r="Z496" s="639" t="s">
        <v>5823</v>
      </c>
      <c r="AA496" s="640" t="s">
        <v>2860</v>
      </c>
      <c r="AB496" s="650" t="s">
        <v>2861</v>
      </c>
      <c r="AC496" s="652" t="s">
        <v>2862</v>
      </c>
      <c r="AD496" s="200" t="str">
        <f>OBRA!V494</f>
        <v>ING. J. GUADALUPE IBARRA RAMIREZ</v>
      </c>
      <c r="AE496" s="174">
        <v>227.5</v>
      </c>
      <c r="AF496" s="202" t="s">
        <v>1552</v>
      </c>
      <c r="AG496" s="694">
        <f t="shared" si="32"/>
        <v>1497.6356043956043</v>
      </c>
      <c r="AH496" s="202">
        <v>100</v>
      </c>
      <c r="AI496" s="566">
        <v>100</v>
      </c>
      <c r="AJ496" s="566"/>
      <c r="AK496" s="1813">
        <v>20.289232999999999</v>
      </c>
      <c r="AL496" s="1814">
        <v>103.42476000000001</v>
      </c>
      <c r="AM496" s="1452" t="s">
        <v>3566</v>
      </c>
      <c r="AN496" s="1452" t="s">
        <v>3566</v>
      </c>
      <c r="AO496" s="1452" t="s">
        <v>3566</v>
      </c>
      <c r="AP496" s="1436" t="s">
        <v>3566</v>
      </c>
      <c r="AQ496" s="1451" t="s">
        <v>3566</v>
      </c>
      <c r="AR496" s="1487"/>
      <c r="AS496" s="1483"/>
      <c r="AT496" s="1483"/>
      <c r="AU496" s="1488"/>
      <c r="AV496" s="451"/>
      <c r="AW496" s="13"/>
    </row>
    <row r="497" spans="1:50" ht="109.5" hidden="1" customHeight="1">
      <c r="A497" s="17">
        <f>OBRA!I495</f>
        <v>2020</v>
      </c>
      <c r="B497" s="895" t="s">
        <v>2098</v>
      </c>
      <c r="C497" s="895">
        <v>206.08</v>
      </c>
      <c r="D497" s="895"/>
      <c r="E497" s="2" t="str">
        <f>OBRA!K495</f>
        <v>RAMO 33</v>
      </c>
      <c r="F497" s="164" t="s">
        <v>1431</v>
      </c>
      <c r="G497" s="249" t="s">
        <v>2239</v>
      </c>
      <c r="H497" s="451"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97"/>
      <c r="L497" s="494" t="s">
        <v>4046</v>
      </c>
      <c r="M497" s="495" t="s">
        <v>2574</v>
      </c>
      <c r="N497" s="554" t="s">
        <v>4173</v>
      </c>
      <c r="O497" s="4">
        <f>OBRA!P495</f>
        <v>755011.1</v>
      </c>
      <c r="P497" s="1208">
        <f t="shared" si="29"/>
        <v>650871.63793103455</v>
      </c>
      <c r="Q497" s="1208"/>
      <c r="R497" s="6">
        <f>OBRA!Q495</f>
        <v>43977</v>
      </c>
      <c r="S497" s="1327">
        <f>OBRA!T495</f>
        <v>43976</v>
      </c>
      <c r="T497" s="5">
        <f>OBRA!R495</f>
        <v>43984</v>
      </c>
      <c r="U497" s="12">
        <f>OBRA!S495</f>
        <v>44037</v>
      </c>
      <c r="V497" s="1205">
        <v>188752.77</v>
      </c>
      <c r="W497" s="1353">
        <f>OBRA!AQ495+OBRA!AR495</f>
        <v>665921</v>
      </c>
      <c r="X497" s="1235" t="s">
        <v>2920</v>
      </c>
      <c r="Y497" s="639" t="str">
        <f>OBRA!U495</f>
        <v>CONSTRUCCIÓN Y SUPERVISIÓN COMA S.A. DE C.V.</v>
      </c>
      <c r="Z497" s="639" t="s">
        <v>5823</v>
      </c>
      <c r="AA497" s="640" t="s">
        <v>2941</v>
      </c>
      <c r="AB497" s="650" t="s">
        <v>2929</v>
      </c>
      <c r="AC497" s="652" t="s">
        <v>2930</v>
      </c>
      <c r="AD497" s="198" t="str">
        <f>OBRA!V495</f>
        <v>LIC. SALVADOR CONTRERAS OLGUÍN</v>
      </c>
      <c r="AE497" s="174">
        <v>851.72</v>
      </c>
      <c r="AF497" s="202" t="s">
        <v>1552</v>
      </c>
      <c r="AG497" s="694">
        <f t="shared" si="32"/>
        <v>781.85436528436571</v>
      </c>
      <c r="AH497" s="202">
        <v>120</v>
      </c>
      <c r="AI497" s="566">
        <v>120</v>
      </c>
      <c r="AJ497" s="566"/>
      <c r="AK497" s="1813">
        <v>20.288114</v>
      </c>
      <c r="AL497" s="1814">
        <v>103.397525</v>
      </c>
      <c r="AM497" s="1435" t="s">
        <v>3699</v>
      </c>
      <c r="AN497" s="1435" t="s">
        <v>3699</v>
      </c>
      <c r="AO497" s="1435" t="s">
        <v>3699</v>
      </c>
      <c r="AP497" s="1436" t="s">
        <v>3699</v>
      </c>
      <c r="AQ497" s="1451" t="s">
        <v>3699</v>
      </c>
      <c r="AR497" s="1487"/>
      <c r="AS497" s="1483"/>
      <c r="AT497" s="1483"/>
      <c r="AU497" s="1488"/>
      <c r="AV497" s="451"/>
      <c r="AW497" s="13"/>
    </row>
    <row r="498" spans="1:50" ht="87" hidden="1" customHeight="1">
      <c r="A498" s="17">
        <f>OBRA!I496</f>
        <v>2020</v>
      </c>
      <c r="B498" s="895" t="s">
        <v>2098</v>
      </c>
      <c r="C498" s="895">
        <v>206.09</v>
      </c>
      <c r="D498" s="895"/>
      <c r="E498" s="2" t="str">
        <f>OBRA!K496</f>
        <v>RAMO 33</v>
      </c>
      <c r="F498" s="19" t="s">
        <v>1431</v>
      </c>
      <c r="G498" s="249" t="s">
        <v>2239</v>
      </c>
      <c r="H498" s="451"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97"/>
      <c r="L498" s="494" t="s">
        <v>1622</v>
      </c>
      <c r="M498" s="494" t="s">
        <v>1979</v>
      </c>
      <c r="N498" s="585" t="s">
        <v>4173</v>
      </c>
      <c r="O498" s="4">
        <f>OBRA!P496</f>
        <v>317000</v>
      </c>
      <c r="P498" s="1208">
        <f t="shared" si="29"/>
        <v>273275.86206896551</v>
      </c>
      <c r="Q498" s="1208"/>
      <c r="R498" s="69">
        <f>OBRA!Q496</f>
        <v>44005</v>
      </c>
      <c r="S498" s="1327">
        <f>OBRA!T496</f>
        <v>44004</v>
      </c>
      <c r="T498" s="5">
        <f>OBRA!R496</f>
        <v>44032</v>
      </c>
      <c r="U498" s="12">
        <f>OBRA!S496</f>
        <v>44063</v>
      </c>
      <c r="V498" s="1358">
        <v>79250</v>
      </c>
      <c r="W498" s="1353">
        <f>OBRA!AQ496+OBRA!AR496</f>
        <v>316487.46000000002</v>
      </c>
      <c r="X498" s="1235" t="s">
        <v>3008</v>
      </c>
      <c r="Y498" s="639" t="str">
        <f>OBRA!U496</f>
        <v>GRUPO ARANGE, S.A. DE C.V.</v>
      </c>
      <c r="Z498" s="639" t="s">
        <v>5823</v>
      </c>
      <c r="AA498" s="640" t="s">
        <v>2942</v>
      </c>
      <c r="AB498" s="650" t="s">
        <v>2922</v>
      </c>
      <c r="AC498" s="652" t="s">
        <v>2924</v>
      </c>
      <c r="AD498" s="198" t="str">
        <f>OBRA!V496</f>
        <v>ING. LUIS RIGOBERTO OLMEDO NAVARRO</v>
      </c>
      <c r="AE498" s="174">
        <v>488.63</v>
      </c>
      <c r="AF498" s="202" t="s">
        <v>1552</v>
      </c>
      <c r="AG498" s="694">
        <f t="shared" si="32"/>
        <v>647.70370218774951</v>
      </c>
      <c r="AH498" s="202">
        <v>50</v>
      </c>
      <c r="AI498" s="566">
        <v>1000</v>
      </c>
      <c r="AJ498" s="566"/>
      <c r="AK498" s="1813">
        <v>20.290447</v>
      </c>
      <c r="AL498" s="1814">
        <v>103.428602</v>
      </c>
      <c r="AM498" s="1452" t="s">
        <v>3559</v>
      </c>
      <c r="AN498" s="1452" t="s">
        <v>3559</v>
      </c>
      <c r="AO498" s="1452" t="s">
        <v>3559</v>
      </c>
      <c r="AP498" s="1450" t="s">
        <v>3559</v>
      </c>
      <c r="AQ498" s="1451" t="s">
        <v>3559</v>
      </c>
      <c r="AR498" s="1487"/>
      <c r="AS498" s="1483"/>
      <c r="AT498" s="1483"/>
      <c r="AU498" s="1488"/>
      <c r="AV498" s="451"/>
      <c r="AW498" s="13"/>
    </row>
    <row r="499" spans="1:50" ht="87" hidden="1" customHeight="1">
      <c r="A499" s="17">
        <f>OBRA!I497</f>
        <v>2020</v>
      </c>
      <c r="B499" s="895" t="s">
        <v>2098</v>
      </c>
      <c r="C499" s="895">
        <v>206.1</v>
      </c>
      <c r="D499" s="895"/>
      <c r="E499" s="2" t="s">
        <v>77</v>
      </c>
      <c r="F499" s="19" t="s">
        <v>1431</v>
      </c>
      <c r="G499" s="249" t="s">
        <v>2239</v>
      </c>
      <c r="H499" s="451"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97"/>
      <c r="L499" s="780" t="s">
        <v>4047</v>
      </c>
      <c r="M499" s="328" t="s">
        <v>2574</v>
      </c>
      <c r="N499" s="554" t="s">
        <v>4173</v>
      </c>
      <c r="O499" s="4">
        <f>OBRA!P497</f>
        <v>239360.13</v>
      </c>
      <c r="P499" s="1208">
        <f t="shared" si="29"/>
        <v>206344.93965517243</v>
      </c>
      <c r="Q499" s="1208"/>
      <c r="R499" s="6">
        <f>OBRA!Q497</f>
        <v>43974</v>
      </c>
      <c r="S499" s="1327">
        <f>OBRA!T497</f>
        <v>43973</v>
      </c>
      <c r="T499" s="5">
        <f>OBRA!R497</f>
        <v>43976</v>
      </c>
      <c r="U499" s="12">
        <f>OBRA!S497</f>
        <v>43983</v>
      </c>
      <c r="V499" s="1405">
        <v>0</v>
      </c>
      <c r="W499" s="1353">
        <f>OBRA!AQ497+OBRA!AR497</f>
        <v>233601.31</v>
      </c>
      <c r="X499" s="1235" t="s">
        <v>2872</v>
      </c>
      <c r="Y499" s="650" t="str">
        <f>OBRA!U497</f>
        <v>ING. OCTAVIO AUGUSTO GONZALEZ TREJO</v>
      </c>
      <c r="Z499" s="650" t="s">
        <v>5822</v>
      </c>
      <c r="AA499" s="652" t="str">
        <f>Y499</f>
        <v>ING. OCTAVIO AUGUSTO GONZALEZ TREJO</v>
      </c>
      <c r="AB499" s="652" t="s">
        <v>2999</v>
      </c>
      <c r="AC499" s="650" t="s">
        <v>2999</v>
      </c>
      <c r="AD499" s="200" t="str">
        <f>OBRA!V497</f>
        <v>LIC. SALVADOR CONTRERAS OLGUÍN</v>
      </c>
      <c r="AE499" s="174">
        <v>322.39999999999998</v>
      </c>
      <c r="AF499" s="202" t="s">
        <v>1552</v>
      </c>
      <c r="AG499" s="694">
        <f t="shared" si="32"/>
        <v>724.56982009925559</v>
      </c>
      <c r="AH499" s="202">
        <v>100</v>
      </c>
      <c r="AI499" s="566">
        <v>2000</v>
      </c>
      <c r="AJ499" s="566"/>
      <c r="AK499" s="1813">
        <v>20.291830000000001</v>
      </c>
      <c r="AL499" s="1814">
        <v>103.386571</v>
      </c>
      <c r="AM499" s="1435" t="s">
        <v>3553</v>
      </c>
      <c r="AN499" s="1435" t="s">
        <v>3553</v>
      </c>
      <c r="AO499" s="1509" t="s">
        <v>3628</v>
      </c>
      <c r="AP499" s="1436" t="s">
        <v>3553</v>
      </c>
      <c r="AQ499" s="1451" t="s">
        <v>3628</v>
      </c>
      <c r="AR499" s="1487"/>
      <c r="AS499" s="1483"/>
      <c r="AT499" s="1483"/>
      <c r="AU499" s="1488"/>
      <c r="AV499" s="451"/>
      <c r="AW499" s="13"/>
    </row>
    <row r="500" spans="1:50" ht="94.5" hidden="1" customHeight="1">
      <c r="A500" s="17">
        <f>OBRA!I498</f>
        <v>2020</v>
      </c>
      <c r="B500" s="895" t="s">
        <v>2098</v>
      </c>
      <c r="C500" s="895">
        <v>206.11</v>
      </c>
      <c r="D500" s="895"/>
      <c r="E500" s="2" t="str">
        <f>OBRA!K498</f>
        <v>CUENTA CORRIENTE</v>
      </c>
      <c r="F500" s="19" t="s">
        <v>1431</v>
      </c>
      <c r="G500" s="249" t="s">
        <v>2239</v>
      </c>
      <c r="H500" s="451"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97"/>
      <c r="L500" s="780" t="s">
        <v>4047</v>
      </c>
      <c r="M500" s="328" t="s">
        <v>2574</v>
      </c>
      <c r="N500" s="554" t="s">
        <v>4194</v>
      </c>
      <c r="O500" s="4">
        <f>OBRA!P498</f>
        <v>410553.76</v>
      </c>
      <c r="P500" s="1208">
        <f t="shared" si="29"/>
        <v>353925.6551724138</v>
      </c>
      <c r="Q500" s="1208"/>
      <c r="R500" s="6">
        <f>OBRA!Q498</f>
        <v>43978</v>
      </c>
      <c r="S500" s="1327">
        <f>OBRA!T498</f>
        <v>43977</v>
      </c>
      <c r="T500" s="5">
        <f>OBRA!R498</f>
        <v>43952</v>
      </c>
      <c r="U500" s="12">
        <f>OBRA!S498</f>
        <v>43987</v>
      </c>
      <c r="V500" s="1405">
        <v>0</v>
      </c>
      <c r="W500" s="1353">
        <f>OBRA!AQ498+OBRA!AR498</f>
        <v>401181.07</v>
      </c>
      <c r="X500" s="1235" t="s">
        <v>2873</v>
      </c>
      <c r="Y500" s="650" t="str">
        <f>OBRA!U498</f>
        <v>ING. OCTAVIO AUGUSTO GONZALEZ TREJO</v>
      </c>
      <c r="Z500" s="650" t="s">
        <v>5822</v>
      </c>
      <c r="AA500" s="652" t="str">
        <f>Y500</f>
        <v>ING. OCTAVIO AUGUSTO GONZALEZ TREJO</v>
      </c>
      <c r="AB500" s="675" t="s">
        <v>2999</v>
      </c>
      <c r="AC500" s="650" t="s">
        <v>2999</v>
      </c>
      <c r="AD500" s="200" t="str">
        <f>OBRA!V498</f>
        <v>LIC. SALVADOR CONTRERAS OLGUÍN</v>
      </c>
      <c r="AE500" s="174">
        <v>558</v>
      </c>
      <c r="AF500" s="202" t="s">
        <v>1552</v>
      </c>
      <c r="AG500" s="694">
        <f t="shared" si="32"/>
        <v>718.96249103942648</v>
      </c>
      <c r="AH500" s="202">
        <v>100</v>
      </c>
      <c r="AI500" s="566">
        <v>2000</v>
      </c>
      <c r="AJ500" s="566"/>
      <c r="AK500" s="1813">
        <v>20.291982000000001</v>
      </c>
      <c r="AL500" s="1814">
        <v>103.385777</v>
      </c>
      <c r="AM500" s="1435" t="s">
        <v>3554</v>
      </c>
      <c r="AN500" s="1435" t="s">
        <v>3554</v>
      </c>
      <c r="AO500" s="1520" t="s">
        <v>3554</v>
      </c>
      <c r="AP500" s="1436" t="s">
        <v>3554</v>
      </c>
      <c r="AQ500" s="1451" t="s">
        <v>3554</v>
      </c>
      <c r="AR500" s="1487"/>
      <c r="AS500" s="1483"/>
      <c r="AT500" s="1483"/>
      <c r="AU500" s="1488"/>
      <c r="AV500" s="451"/>
      <c r="AW500" s="13"/>
    </row>
    <row r="501" spans="1:50" ht="90" hidden="1" customHeight="1">
      <c r="A501" s="17">
        <f>OBRA!I499</f>
        <v>2020</v>
      </c>
      <c r="B501" s="895" t="s">
        <v>2098</v>
      </c>
      <c r="C501" s="895">
        <v>206.12</v>
      </c>
      <c r="D501" s="895"/>
      <c r="E501" s="2" t="str">
        <f>OBRA!K499</f>
        <v>RAMO 33</v>
      </c>
      <c r="F501" s="19" t="s">
        <v>1431</v>
      </c>
      <c r="G501" s="249" t="s">
        <v>2239</v>
      </c>
      <c r="H501" s="451"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97"/>
      <c r="L501" s="494" t="s">
        <v>4048</v>
      </c>
      <c r="M501" s="494" t="s">
        <v>1979</v>
      </c>
      <c r="N501" s="585" t="s">
        <v>4194</v>
      </c>
      <c r="O501" s="4">
        <f>OBRA!P499</f>
        <v>1306545.6299999999</v>
      </c>
      <c r="P501" s="1208">
        <f t="shared" si="29"/>
        <v>1126332.4396551724</v>
      </c>
      <c r="Q501" s="1208"/>
      <c r="R501" s="6">
        <f>OBRA!Q499</f>
        <v>43987</v>
      </c>
      <c r="S501" s="1327">
        <f>OBRA!T499</f>
        <v>43986</v>
      </c>
      <c r="T501" s="5">
        <f>OBRA!R499</f>
        <v>43990</v>
      </c>
      <c r="U501" s="12">
        <f>OBRA!S499</f>
        <v>44057</v>
      </c>
      <c r="V501" s="1357">
        <v>326636.40999999997</v>
      </c>
      <c r="W501" s="1353">
        <f>OBRA!AQ499+OBRA!AR499</f>
        <v>1281375.1299999999</v>
      </c>
      <c r="X501" s="1299" t="s">
        <v>2925</v>
      </c>
      <c r="Y501" s="639" t="str">
        <f>OBRA!U499</f>
        <v xml:space="preserve">INFRAESTRUCTURA Y EDIFICACIONES OROZCO S.A. DE C.V. </v>
      </c>
      <c r="Z501" s="639" t="s">
        <v>5823</v>
      </c>
      <c r="AA501" s="640" t="s">
        <v>2940</v>
      </c>
      <c r="AB501" s="675" t="s">
        <v>2926</v>
      </c>
      <c r="AC501" s="650" t="s">
        <v>2927</v>
      </c>
      <c r="AD501" s="200" t="str">
        <f>OBRA!V499</f>
        <v>ING. J. GUADALUPE IBARRA RAMIREZ</v>
      </c>
      <c r="AE501" s="174">
        <v>1240</v>
      </c>
      <c r="AF501" s="202" t="s">
        <v>1552</v>
      </c>
      <c r="AG501" s="694">
        <f t="shared" si="32"/>
        <v>1033.3670403225806</v>
      </c>
      <c r="AH501" s="202">
        <v>130</v>
      </c>
      <c r="AI501" s="566">
        <v>1000</v>
      </c>
      <c r="AJ501" s="566"/>
      <c r="AK501" s="1813">
        <v>20.289629999999999</v>
      </c>
      <c r="AL501" s="1814">
        <v>103.425144</v>
      </c>
      <c r="AM501" s="1435" t="s">
        <v>3567</v>
      </c>
      <c r="AN501" s="1452" t="s">
        <v>3567</v>
      </c>
      <c r="AO501" s="1452" t="s">
        <v>3567</v>
      </c>
      <c r="AP501" s="1436" t="s">
        <v>3567</v>
      </c>
      <c r="AQ501" s="1689" t="s">
        <v>3567</v>
      </c>
      <c r="AR501" s="1487"/>
      <c r="AS501" s="1483"/>
      <c r="AT501" s="1483"/>
      <c r="AU501" s="1488"/>
      <c r="AV501" s="451"/>
      <c r="AW501" s="13"/>
    </row>
    <row r="502" spans="1:50" ht="106.5" hidden="1" customHeight="1">
      <c r="A502" s="17">
        <f>OBRA!I500</f>
        <v>2020</v>
      </c>
      <c r="B502" s="895" t="s">
        <v>2098</v>
      </c>
      <c r="C502" s="895">
        <v>206.13</v>
      </c>
      <c r="D502" s="895"/>
      <c r="E502" s="2" t="str">
        <f>OBRA!K500</f>
        <v>RAMO 33</v>
      </c>
      <c r="F502" s="19" t="s">
        <v>1431</v>
      </c>
      <c r="G502" s="249" t="s">
        <v>2239</v>
      </c>
      <c r="H502" s="451"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97"/>
      <c r="L502" s="780" t="s">
        <v>1497</v>
      </c>
      <c r="M502" s="780" t="s">
        <v>1979</v>
      </c>
      <c r="N502" s="585" t="s">
        <v>4194</v>
      </c>
      <c r="O502" s="4">
        <f>OBRA!P500</f>
        <v>281826.5</v>
      </c>
      <c r="P502" s="1208">
        <f t="shared" si="29"/>
        <v>242953.87931034484</v>
      </c>
      <c r="Q502" s="1208"/>
      <c r="R502" s="6">
        <f>OBRA!Q500</f>
        <v>43994</v>
      </c>
      <c r="S502" s="1327">
        <f>OBRA!T500</f>
        <v>43993</v>
      </c>
      <c r="T502" s="5">
        <f>OBRA!R500</f>
        <v>43997</v>
      </c>
      <c r="U502" s="12">
        <f>OBRA!S500</f>
        <v>44011</v>
      </c>
      <c r="V502" s="1357">
        <f>O502*0.1</f>
        <v>28182.65</v>
      </c>
      <c r="W502" s="1353">
        <f>OBRA!AQ500+OBRA!AR500</f>
        <v>320004.51</v>
      </c>
      <c r="X502" s="1299" t="s">
        <v>2928</v>
      </c>
      <c r="Y502" s="639" t="str">
        <f>OBRA!U500</f>
        <v>GRUPO CONSTRUCTOR EDVI SA DE CV</v>
      </c>
      <c r="Z502" s="639" t="s">
        <v>5823</v>
      </c>
      <c r="AA502" s="640" t="s">
        <v>2841</v>
      </c>
      <c r="AB502" s="650" t="s">
        <v>2782</v>
      </c>
      <c r="AC502" s="652" t="s">
        <v>2784</v>
      </c>
      <c r="AD502" s="200" t="str">
        <f>OBRA!V500</f>
        <v>ING. LUIS RIGOBERTO OLMEDO NAVARRO</v>
      </c>
      <c r="AE502" s="174">
        <v>235.2</v>
      </c>
      <c r="AF502" s="202" t="s">
        <v>1552</v>
      </c>
      <c r="AG502" s="694">
        <f t="shared" si="32"/>
        <v>1360.5633928571431</v>
      </c>
      <c r="AH502" s="202">
        <v>60</v>
      </c>
      <c r="AI502" s="566">
        <v>60</v>
      </c>
      <c r="AJ502" s="566"/>
      <c r="AK502" s="1813">
        <v>20.291166</v>
      </c>
      <c r="AL502" s="1814">
        <v>103.43314599999999</v>
      </c>
      <c r="AM502" s="1435" t="s">
        <v>3568</v>
      </c>
      <c r="AN502" s="1128"/>
      <c r="AO502" s="1452" t="s">
        <v>3568</v>
      </c>
      <c r="AP502" s="1450" t="s">
        <v>3568</v>
      </c>
      <c r="AQ502" s="1509" t="s">
        <v>3568</v>
      </c>
      <c r="AR502" s="1487"/>
      <c r="AS502" s="1483"/>
      <c r="AT502" s="1483"/>
      <c r="AU502" s="1488"/>
      <c r="AV502" s="451"/>
      <c r="AW502" s="13"/>
    </row>
    <row r="503" spans="1:50" ht="96.75" hidden="1" customHeight="1">
      <c r="A503" s="17">
        <f>OBRA!I501</f>
        <v>2020</v>
      </c>
      <c r="B503" s="895" t="s">
        <v>2098</v>
      </c>
      <c r="C503" s="895">
        <v>206.14</v>
      </c>
      <c r="D503" s="895"/>
      <c r="E503" s="2" t="str">
        <f>OBRA!K501</f>
        <v>RAMO 33</v>
      </c>
      <c r="F503" s="19" t="s">
        <v>1431</v>
      </c>
      <c r="G503" s="249" t="s">
        <v>2239</v>
      </c>
      <c r="H503" s="451"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664"/>
      <c r="L503" s="780" t="s">
        <v>4049</v>
      </c>
      <c r="M503" s="780" t="s">
        <v>1979</v>
      </c>
      <c r="N503" s="585" t="s">
        <v>4194</v>
      </c>
      <c r="O503" s="4">
        <f>OBRA!P501</f>
        <v>241381.67</v>
      </c>
      <c r="P503" s="1208">
        <f t="shared" si="29"/>
        <v>208087.64655172417</v>
      </c>
      <c r="Q503" s="1208"/>
      <c r="R503" s="6">
        <f>OBRA!Q501</f>
        <v>43994</v>
      </c>
      <c r="S503" s="1327">
        <f>OBRA!T501</f>
        <v>43993</v>
      </c>
      <c r="T503" s="5">
        <f>OBRA!R501</f>
        <v>44000</v>
      </c>
      <c r="U503" s="12">
        <f>OBRA!S501</f>
        <v>44030</v>
      </c>
      <c r="V503" s="1198">
        <v>60345.52</v>
      </c>
      <c r="W503" s="1203">
        <f>OBRA!AQ501+OBRA!AR501</f>
        <v>230567.7</v>
      </c>
      <c r="X503" s="1298" t="s">
        <v>2923</v>
      </c>
      <c r="Y503" s="639" t="str">
        <f>OBRA!U501</f>
        <v>GRUPO ARANGE, S.A. DE C.V.</v>
      </c>
      <c r="Z503" s="639" t="s">
        <v>5823</v>
      </c>
      <c r="AA503" s="640" t="s">
        <v>2942</v>
      </c>
      <c r="AB503" s="650" t="s">
        <v>2922</v>
      </c>
      <c r="AC503" s="652" t="s">
        <v>2924</v>
      </c>
      <c r="AD503" s="200" t="str">
        <f>OBRA!V501</f>
        <v>LIC. SALVADOR CONTRERAS OLGUÍN</v>
      </c>
      <c r="AE503" s="174">
        <f>73.55+68.68</f>
        <v>142.23000000000002</v>
      </c>
      <c r="AF503" s="202" t="s">
        <v>1454</v>
      </c>
      <c r="AG503" s="694">
        <f t="shared" si="32"/>
        <v>1621.090487238979</v>
      </c>
      <c r="AH503" s="202">
        <v>50</v>
      </c>
      <c r="AI503" s="566">
        <v>300</v>
      </c>
      <c r="AJ503" s="566"/>
      <c r="AK503" s="1813">
        <v>20.290732999999999</v>
      </c>
      <c r="AL503" s="1814">
        <v>103.42832799999999</v>
      </c>
      <c r="AM503" s="1435" t="s">
        <v>3561</v>
      </c>
      <c r="AN503" s="1435" t="s">
        <v>3561</v>
      </c>
      <c r="AO503" s="1435" t="s">
        <v>3561</v>
      </c>
      <c r="AP503" s="1436" t="s">
        <v>3561</v>
      </c>
      <c r="AQ503" s="1451" t="s">
        <v>3561</v>
      </c>
      <c r="AR503" s="1487"/>
      <c r="AS503" s="1483"/>
      <c r="AT503" s="1483"/>
      <c r="AU503" s="1488"/>
      <c r="AV503" s="451"/>
      <c r="AW503" s="13"/>
    </row>
    <row r="504" spans="1:50" s="110" customFormat="1" ht="84.75" hidden="1" customHeight="1">
      <c r="A504" s="17">
        <f>OBRA!I502</f>
        <v>2020</v>
      </c>
      <c r="B504" s="895" t="s">
        <v>2098</v>
      </c>
      <c r="C504" s="895">
        <v>206.15</v>
      </c>
      <c r="D504" s="895"/>
      <c r="E504" s="2" t="str">
        <f>OBRA!K502</f>
        <v>CUENTA CORRIENTE</v>
      </c>
      <c r="F504" s="19" t="s">
        <v>1431</v>
      </c>
      <c r="G504" s="249" t="s">
        <v>2239</v>
      </c>
      <c r="H504" s="451"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664"/>
      <c r="L504" s="780" t="s">
        <v>4050</v>
      </c>
      <c r="M504" s="780" t="s">
        <v>1979</v>
      </c>
      <c r="N504" s="585" t="s">
        <v>4194</v>
      </c>
      <c r="O504" s="4">
        <f>OBRA!P502</f>
        <v>232396.73</v>
      </c>
      <c r="P504" s="1208">
        <f t="shared" si="29"/>
        <v>200342.00862068968</v>
      </c>
      <c r="Q504" s="1208"/>
      <c r="R504" s="6">
        <f>OBRA!Q502</f>
        <v>44012</v>
      </c>
      <c r="S504" s="1327">
        <f>OBRA!T502</f>
        <v>44011</v>
      </c>
      <c r="T504" s="5">
        <f>OBRA!R502</f>
        <v>44046</v>
      </c>
      <c r="U504" s="12">
        <f>OBRA!S502</f>
        <v>44099</v>
      </c>
      <c r="V504" s="1405">
        <v>0</v>
      </c>
      <c r="W504" s="1203">
        <f>OBRA!AQ502+OBRA!AR502</f>
        <v>251704.57</v>
      </c>
      <c r="X504" s="1280" t="s">
        <v>2967</v>
      </c>
      <c r="Y504" s="639" t="str">
        <f>OBRA!U502</f>
        <v>GRUPO CONSTRUCOR PAVIMAQ, S.A. DE C.V.</v>
      </c>
      <c r="Z504" s="639" t="s">
        <v>5823</v>
      </c>
      <c r="AA504" s="640" t="s">
        <v>2840</v>
      </c>
      <c r="AB504" s="640" t="s">
        <v>2839</v>
      </c>
      <c r="AC504" s="639" t="s">
        <v>2968</v>
      </c>
      <c r="AD504" s="200" t="str">
        <f>OBRA!V502</f>
        <v>ARQ. CESAR ANTONIO ALONSO JIMENEZ</v>
      </c>
      <c r="AE504" s="174">
        <f>73.5+68.68</f>
        <v>142.18</v>
      </c>
      <c r="AF504" s="202" t="s">
        <v>1454</v>
      </c>
      <c r="AG504" s="694">
        <f t="shared" si="32"/>
        <v>1770.3233225488816</v>
      </c>
      <c r="AH504" s="202">
        <v>50</v>
      </c>
      <c r="AI504" s="566">
        <v>50</v>
      </c>
      <c r="AJ504" s="566"/>
      <c r="AK504" s="1813">
        <v>20.291397</v>
      </c>
      <c r="AL504" s="1814">
        <v>103.428212</v>
      </c>
      <c r="AM504" s="1435" t="s">
        <v>3562</v>
      </c>
      <c r="AN504" s="1435" t="s">
        <v>3562</v>
      </c>
      <c r="AO504" s="1435" t="s">
        <v>3562</v>
      </c>
      <c r="AP504" s="1521" t="s">
        <v>3562</v>
      </c>
      <c r="AQ504" s="1691" t="s">
        <v>3562</v>
      </c>
      <c r="AR504" s="1487"/>
      <c r="AS504" s="1483"/>
      <c r="AT504" s="1483"/>
      <c r="AU504" s="1488"/>
      <c r="AV504" s="451"/>
      <c r="AW504" s="13"/>
    </row>
    <row r="505" spans="1:50" ht="86.25" hidden="1" customHeight="1">
      <c r="A505" s="17">
        <f>OBRA!I503</f>
        <v>2020</v>
      </c>
      <c r="B505" s="895" t="s">
        <v>2098</v>
      </c>
      <c r="C505" s="895">
        <v>206.16</v>
      </c>
      <c r="D505" s="895"/>
      <c r="E505" s="2" t="str">
        <f>OBRA!K503</f>
        <v>CUENTA CORRIENTE</v>
      </c>
      <c r="F505" s="19" t="s">
        <v>1431</v>
      </c>
      <c r="G505" s="249" t="s">
        <v>2239</v>
      </c>
      <c r="H505" s="451"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97"/>
      <c r="L505" s="780" t="s">
        <v>4052</v>
      </c>
      <c r="M505" s="780" t="s">
        <v>2699</v>
      </c>
      <c r="N505" s="585" t="s">
        <v>4194</v>
      </c>
      <c r="O505" s="4">
        <f>OBRA!P503</f>
        <v>302749.5</v>
      </c>
      <c r="P505" s="1208">
        <f t="shared" si="29"/>
        <v>260990.94827586209</v>
      </c>
      <c r="Q505" s="1208"/>
      <c r="R505" s="6">
        <f>OBRA!Q503</f>
        <v>44007</v>
      </c>
      <c r="S505" s="1327">
        <f>OBRA!T503</f>
        <v>44006</v>
      </c>
      <c r="T505" s="5">
        <f>OBRA!R503</f>
        <v>44008</v>
      </c>
      <c r="U505" s="12">
        <f>OBRA!S503</f>
        <v>44074</v>
      </c>
      <c r="V505" s="1405">
        <v>0</v>
      </c>
      <c r="W505" s="1203">
        <f>OBRA!AQ503+OBRA!AR503</f>
        <v>301450.13</v>
      </c>
      <c r="X505" s="1202" t="s">
        <v>2970</v>
      </c>
      <c r="Y505" s="639" t="str">
        <f>OBRA!U503</f>
        <v>SERVICIO Y CONSTRUCCIÓN NATENIO S.A. DE C.V.</v>
      </c>
      <c r="Z505" s="639" t="s">
        <v>5823</v>
      </c>
      <c r="AA505" s="640" t="s">
        <v>2844</v>
      </c>
      <c r="AB505" s="1234" t="s">
        <v>2845</v>
      </c>
      <c r="AC505" s="1370" t="s">
        <v>3009</v>
      </c>
      <c r="AD505" s="198" t="str">
        <f>OBRA!V503</f>
        <v>ING. J. GUADALUPE IBARRA RAMIREZ</v>
      </c>
      <c r="AE505" s="20">
        <v>660</v>
      </c>
      <c r="AF505" s="2" t="s">
        <v>1552</v>
      </c>
      <c r="AG505" s="694">
        <f t="shared" si="32"/>
        <v>456.74262121212121</v>
      </c>
      <c r="AH505" s="202">
        <v>250</v>
      </c>
      <c r="AI505" s="566">
        <v>1000</v>
      </c>
      <c r="AJ505" s="566"/>
      <c r="AK505" s="1813">
        <v>20.388652</v>
      </c>
      <c r="AL505" s="1814">
        <v>103.531414</v>
      </c>
      <c r="AM505" s="1435" t="s">
        <v>3637</v>
      </c>
      <c r="AN505" s="1435" t="s">
        <v>3637</v>
      </c>
      <c r="AO505" s="1435" t="s">
        <v>3637</v>
      </c>
      <c r="AP505" s="1509" t="s">
        <v>3637</v>
      </c>
      <c r="AQ505" s="1509" t="s">
        <v>3637</v>
      </c>
      <c r="AR505" s="1487"/>
      <c r="AS505" s="1483"/>
      <c r="AT505" s="1483"/>
      <c r="AU505" s="1488"/>
      <c r="AV505" s="451"/>
      <c r="AW505" s="13"/>
      <c r="AX505" t="s">
        <v>3636</v>
      </c>
    </row>
    <row r="506" spans="1:50" ht="81" hidden="1" customHeight="1">
      <c r="A506" s="17">
        <f>OBRA!I504</f>
        <v>2020</v>
      </c>
      <c r="B506" s="895" t="s">
        <v>2098</v>
      </c>
      <c r="C506" s="895">
        <v>206.17</v>
      </c>
      <c r="D506" s="895"/>
      <c r="E506" s="2" t="str">
        <f>OBRA!K504</f>
        <v>CUENTA CORRIENTE</v>
      </c>
      <c r="F506" s="19" t="s">
        <v>1431</v>
      </c>
      <c r="G506" s="249" t="s">
        <v>2239</v>
      </c>
      <c r="H506" s="451"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97"/>
      <c r="L506" s="780" t="s">
        <v>4051</v>
      </c>
      <c r="M506" s="780" t="s">
        <v>2699</v>
      </c>
      <c r="N506" s="585" t="s">
        <v>4194</v>
      </c>
      <c r="O506" s="4">
        <f>OBRA!P504</f>
        <v>423536.77</v>
      </c>
      <c r="P506" s="1208">
        <f t="shared" si="29"/>
        <v>365117.90517241386</v>
      </c>
      <c r="Q506" s="1208"/>
      <c r="R506" s="6">
        <f>OBRA!Q504</f>
        <v>44012</v>
      </c>
      <c r="S506" s="1327">
        <f>OBRA!T504</f>
        <v>44011</v>
      </c>
      <c r="T506" s="5">
        <f>OBRA!R504</f>
        <v>44018</v>
      </c>
      <c r="U506" s="12">
        <f>OBRA!S504</f>
        <v>44104</v>
      </c>
      <c r="V506" s="1405">
        <v>0</v>
      </c>
      <c r="W506" s="1203">
        <f>OBRA!AQ504+OBRA!AR504</f>
        <v>423219.71</v>
      </c>
      <c r="X506" s="1202" t="s">
        <v>2970</v>
      </c>
      <c r="Y506" s="639" t="str">
        <f>OBRA!U504</f>
        <v>SERVICIO Y CONSTRUCCIÓN NATENIO S.A. DE C.V.</v>
      </c>
      <c r="Z506" s="639" t="s">
        <v>5823</v>
      </c>
      <c r="AA506" s="640" t="s">
        <v>2844</v>
      </c>
      <c r="AB506" s="640" t="s">
        <v>2845</v>
      </c>
      <c r="AC506" s="639" t="s">
        <v>3009</v>
      </c>
      <c r="AD506" s="200" t="str">
        <f>OBRA!V504</f>
        <v>ING. J. GUADALUPE IBARRA RAMIREZ</v>
      </c>
      <c r="AE506" s="174">
        <v>927.6</v>
      </c>
      <c r="AF506" s="202" t="s">
        <v>1552</v>
      </c>
      <c r="AG506" s="694">
        <f t="shared" si="32"/>
        <v>456.25238249245365</v>
      </c>
      <c r="AH506" s="202">
        <v>250</v>
      </c>
      <c r="AI506" s="566">
        <v>500</v>
      </c>
      <c r="AJ506" s="566"/>
      <c r="AK506" s="1813">
        <v>20.388701000000001</v>
      </c>
      <c r="AL506" s="1814">
        <v>103.530861</v>
      </c>
      <c r="AM506" s="1435" t="s">
        <v>3638</v>
      </c>
      <c r="AN506" s="1435" t="s">
        <v>3638</v>
      </c>
      <c r="AO506" s="1435" t="s">
        <v>3638</v>
      </c>
      <c r="AP506" s="1436" t="s">
        <v>3638</v>
      </c>
      <c r="AQ506" s="1451" t="s">
        <v>3638</v>
      </c>
      <c r="AR506" s="1487"/>
      <c r="AS506" s="1483"/>
      <c r="AT506" s="1483"/>
      <c r="AU506" s="1488"/>
      <c r="AV506" s="451"/>
      <c r="AW506" s="13"/>
    </row>
    <row r="507" spans="1:50" ht="74.25" hidden="1" customHeight="1">
      <c r="A507" s="17">
        <f>OBRA!I505</f>
        <v>2020</v>
      </c>
      <c r="B507" s="895" t="s">
        <v>2098</v>
      </c>
      <c r="C507" s="895">
        <v>206.18</v>
      </c>
      <c r="D507" s="895"/>
      <c r="E507" s="2" t="str">
        <f>OBRA!K505</f>
        <v>RAMO 33</v>
      </c>
      <c r="F507" s="19" t="s">
        <v>1431</v>
      </c>
      <c r="G507" s="249" t="s">
        <v>2239</v>
      </c>
      <c r="H507" s="451" t="str">
        <f>OBRA!L505</f>
        <v>GMJ 018C- OP/2020</v>
      </c>
      <c r="I507" s="2" t="str">
        <f>OBRA!M505</f>
        <v>ADJUDICACIÓN DIRECTA</v>
      </c>
      <c r="J507" s="3" t="str">
        <f>OBRA!N505</f>
        <v>"EQUIPAMIENTO DE POZO PROFUNDO DE AGUA POTABLE" EN LA AGENCIA MINICIPAL DE CHANTEPEC, DEL MUNICIPIO DE JOCOTEPEC, JALISCO.</v>
      </c>
      <c r="K507" s="328" t="s">
        <v>4193</v>
      </c>
      <c r="L507" s="780" t="s">
        <v>4065</v>
      </c>
      <c r="M507" s="780" t="s">
        <v>2574</v>
      </c>
      <c r="N507" s="554" t="s">
        <v>4194</v>
      </c>
      <c r="O507" s="4">
        <f>OBRA!P505</f>
        <v>174784.71</v>
      </c>
      <c r="P507" s="1208">
        <f t="shared" si="29"/>
        <v>150676.47413793104</v>
      </c>
      <c r="Q507" s="1208"/>
      <c r="R507" s="6">
        <f>OBRA!Q505</f>
        <v>44019</v>
      </c>
      <c r="S507" s="1327">
        <f>OBRA!T505</f>
        <v>44018</v>
      </c>
      <c r="T507" s="5">
        <f>OBRA!R505</f>
        <v>44032</v>
      </c>
      <c r="U507" s="12">
        <f>OBRA!S505</f>
        <v>44051</v>
      </c>
      <c r="V507" s="305">
        <v>43696.18</v>
      </c>
      <c r="W507" s="1203">
        <f>OBRA!AQ505+OBRA!AR505</f>
        <v>174784.71</v>
      </c>
      <c r="X507" s="1202" t="s">
        <v>2973</v>
      </c>
      <c r="Y507" s="639" t="str">
        <f>OBRA!U505</f>
        <v>JESSICA MONSERRAT RIVERA TORRES</v>
      </c>
      <c r="Z507" s="639" t="s">
        <v>5822</v>
      </c>
      <c r="AA507" s="640" t="s">
        <v>2972</v>
      </c>
      <c r="AB507" s="652" t="s">
        <v>2999</v>
      </c>
      <c r="AC507" s="650" t="s">
        <v>2999</v>
      </c>
      <c r="AD507" s="200" t="str">
        <f>OBRA!V505</f>
        <v>ING. RIGOBERTO OLMEDO RAMOS</v>
      </c>
      <c r="AE507" s="174">
        <v>1</v>
      </c>
      <c r="AF507" s="2" t="s">
        <v>1466</v>
      </c>
      <c r="AG507" s="653">
        <f t="shared" si="32"/>
        <v>174784.71</v>
      </c>
      <c r="AH507" s="202">
        <v>1800</v>
      </c>
      <c r="AI507" s="566">
        <v>1800</v>
      </c>
      <c r="AJ507" s="566"/>
      <c r="AK507" s="1813">
        <v>20.290621999999999</v>
      </c>
      <c r="AL507" s="1814">
        <v>103.41037799999999</v>
      </c>
      <c r="AM507" s="1435" t="s">
        <v>3639</v>
      </c>
      <c r="AN507" s="631"/>
      <c r="AO507" s="1435" t="s">
        <v>4195</v>
      </c>
      <c r="AP507" s="1436" t="s">
        <v>3639</v>
      </c>
      <c r="AQ507" s="1451" t="s">
        <v>3639</v>
      </c>
      <c r="AR507" s="1487"/>
      <c r="AS507" s="1483"/>
      <c r="AT507" s="1483"/>
      <c r="AU507" s="1488"/>
      <c r="AV507" s="451"/>
      <c r="AW507" s="13"/>
    </row>
    <row r="508" spans="1:50" ht="70.5" hidden="1" customHeight="1">
      <c r="A508" s="17">
        <f>OBRA!I506</f>
        <v>2020</v>
      </c>
      <c r="B508" s="895" t="s">
        <v>2098</v>
      </c>
      <c r="C508" s="895">
        <v>206.19</v>
      </c>
      <c r="D508" s="895"/>
      <c r="E508" s="2" t="str">
        <f>OBRA!K506</f>
        <v>RAMO 33</v>
      </c>
      <c r="F508" s="19" t="s">
        <v>1431</v>
      </c>
      <c r="G508" s="249" t="s">
        <v>2239</v>
      </c>
      <c r="H508" s="451" t="str">
        <f>OBRA!L506</f>
        <v>GMJ 019C- OP/2020</v>
      </c>
      <c r="I508" s="2" t="str">
        <f>OBRA!M506</f>
        <v>ADJUDICACIÓN DIRECTA</v>
      </c>
      <c r="J508" s="3" t="str">
        <f>OBRA!N506</f>
        <v>"REHABILITACIÓN DE POZO PROFUNDO DE AGUA POTABLE EN LA AGENCIA DE NEXTIPAC", DEL MUNICIPIO DE JOCOTEPEC, JALISCO.</v>
      </c>
      <c r="K508" s="597"/>
      <c r="L508" s="780" t="s">
        <v>2524</v>
      </c>
      <c r="M508" s="780" t="s">
        <v>2613</v>
      </c>
      <c r="N508" s="585" t="s">
        <v>4194</v>
      </c>
      <c r="O508" s="4">
        <f>OBRA!P506</f>
        <v>165908.29999999999</v>
      </c>
      <c r="P508" s="1208">
        <f t="shared" si="29"/>
        <v>143024.39655172414</v>
      </c>
      <c r="Q508" s="1208"/>
      <c r="R508" s="6">
        <f>OBRA!Q506</f>
        <v>44019</v>
      </c>
      <c r="S508" s="1327">
        <f>OBRA!T506</f>
        <v>44018</v>
      </c>
      <c r="T508" s="5">
        <f>OBRA!R506</f>
        <v>44032</v>
      </c>
      <c r="U508" s="12">
        <f>OBRA!S506</f>
        <v>44051</v>
      </c>
      <c r="V508" s="305">
        <v>41477.089999999997</v>
      </c>
      <c r="W508" s="1289">
        <f>OBRA!AQ506+OBRA!AR506</f>
        <v>0</v>
      </c>
      <c r="X508" s="1202" t="s">
        <v>2975</v>
      </c>
      <c r="Y508" s="639" t="str">
        <f>OBRA!U506</f>
        <v>JESSICA MONSERRAT RIVERA TORRES</v>
      </c>
      <c r="Z508" s="639" t="s">
        <v>5822</v>
      </c>
      <c r="AA508" s="640" t="s">
        <v>2972</v>
      </c>
      <c r="AB508" s="675" t="s">
        <v>2999</v>
      </c>
      <c r="AC508" s="650" t="s">
        <v>2999</v>
      </c>
      <c r="AD508" s="200" t="str">
        <f>OBRA!V506</f>
        <v>ING. RIGOBERTO OLMEDO RAMOS</v>
      </c>
      <c r="AE508" s="20">
        <v>1</v>
      </c>
      <c r="AF508" s="2" t="s">
        <v>1466</v>
      </c>
      <c r="AG508" s="653">
        <f t="shared" si="32"/>
        <v>0</v>
      </c>
      <c r="AH508" s="202">
        <v>2000</v>
      </c>
      <c r="AI508" s="566">
        <v>2000</v>
      </c>
      <c r="AJ508" s="566"/>
      <c r="AK508" s="1813">
        <v>20.286681999999999</v>
      </c>
      <c r="AL508" s="1814">
        <v>103.423992</v>
      </c>
      <c r="AM508" s="1435" t="s">
        <v>3640</v>
      </c>
      <c r="AN508" s="1687" t="s">
        <v>1177</v>
      </c>
      <c r="AO508" s="1435" t="s">
        <v>3640</v>
      </c>
      <c r="AP508" s="1478" t="s">
        <v>1177</v>
      </c>
      <c r="AQ508" s="1486" t="s">
        <v>1177</v>
      </c>
      <c r="AR508" s="1487"/>
      <c r="AS508" s="1483"/>
      <c r="AT508" s="1483"/>
      <c r="AU508" s="1488"/>
      <c r="AV508" s="451"/>
      <c r="AW508" s="13"/>
    </row>
    <row r="509" spans="1:50" ht="34.5" hidden="1" customHeight="1">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9"/>
        <v>0</v>
      </c>
      <c r="Q509" s="92"/>
      <c r="R509" s="93">
        <f>OBRA!Q507</f>
        <v>0</v>
      </c>
      <c r="S509" s="1668">
        <f>OBRA!T507</f>
        <v>0</v>
      </c>
      <c r="T509" s="94">
        <f>OBRA!R507</f>
        <v>0</v>
      </c>
      <c r="U509" s="95">
        <f>OBRA!S507</f>
        <v>0</v>
      </c>
      <c r="V509" s="947"/>
      <c r="W509" s="1696">
        <f>OBRA!AQ507+OBRA!AR507</f>
        <v>0</v>
      </c>
      <c r="X509" s="1200"/>
      <c r="Y509" s="935">
        <f>OBRA!U507</f>
        <v>0</v>
      </c>
      <c r="Z509" s="935" t="s">
        <v>68</v>
      </c>
      <c r="AA509" s="460"/>
      <c r="AB509" s="1237"/>
      <c r="AC509" s="935"/>
      <c r="AD509" s="199">
        <f>OBRA!V507</f>
        <v>0</v>
      </c>
      <c r="AE509" s="90"/>
      <c r="AF509" s="91"/>
      <c r="AG509" s="936" t="e">
        <f t="shared" si="32"/>
        <v>#DIV/0!</v>
      </c>
      <c r="AH509" s="91"/>
      <c r="AI509" s="564"/>
      <c r="AJ509" s="564"/>
      <c r="AK509" s="1804"/>
      <c r="AL509" s="1805"/>
      <c r="AM509" s="942"/>
      <c r="AN509" s="938"/>
      <c r="AO509" s="942"/>
      <c r="AP509" s="564"/>
      <c r="AQ509" s="628"/>
      <c r="AR509" s="1697"/>
      <c r="AS509" s="1698"/>
      <c r="AT509" s="1698"/>
      <c r="AU509" s="1699"/>
      <c r="AV509" s="462"/>
      <c r="AW509" s="109"/>
    </row>
    <row r="510" spans="1:50" ht="107.25" hidden="1" customHeight="1">
      <c r="A510" s="17">
        <f>OBRA!I508</f>
        <v>2020</v>
      </c>
      <c r="B510" s="895" t="s">
        <v>2098</v>
      </c>
      <c r="C510" s="895">
        <v>206.21</v>
      </c>
      <c r="D510" s="895"/>
      <c r="E510" s="2" t="str">
        <f>OBRA!K508</f>
        <v>RAMO 33</v>
      </c>
      <c r="F510" s="19" t="s">
        <v>1431</v>
      </c>
      <c r="G510" s="249" t="s">
        <v>2239</v>
      </c>
      <c r="H510" s="451"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97"/>
      <c r="L510" s="780" t="s">
        <v>4053</v>
      </c>
      <c r="M510" s="780" t="s">
        <v>3664</v>
      </c>
      <c r="N510" s="996" t="s">
        <v>4067</v>
      </c>
      <c r="O510" s="4">
        <f>OBRA!P508</f>
        <v>773550.52</v>
      </c>
      <c r="P510" s="1208">
        <f t="shared" si="29"/>
        <v>666853.89655172417</v>
      </c>
      <c r="Q510" s="1208"/>
      <c r="R510" s="6">
        <f>OBRA!Q508</f>
        <v>44021</v>
      </c>
      <c r="S510" s="1327">
        <f>OBRA!T508</f>
        <v>44020</v>
      </c>
      <c r="T510" s="5">
        <f>OBRA!R508</f>
        <v>44032</v>
      </c>
      <c r="U510" s="12">
        <f>OBRA!S508</f>
        <v>44077</v>
      </c>
      <c r="V510" s="305">
        <v>193876.63</v>
      </c>
      <c r="W510" s="1203">
        <f>OBRA!AQ508+OBRA!AR508</f>
        <v>773314.41</v>
      </c>
      <c r="X510" s="1202" t="s">
        <v>2978</v>
      </c>
      <c r="Y510" s="639" t="str">
        <f>OBRA!U508</f>
        <v xml:space="preserve">DESARROLLO DAP S.A. DE C.V. </v>
      </c>
      <c r="Z510" s="639" t="s">
        <v>5823</v>
      </c>
      <c r="AA510" s="640" t="s">
        <v>2979</v>
      </c>
      <c r="AB510" s="640" t="s">
        <v>2980</v>
      </c>
      <c r="AC510" s="639" t="s">
        <v>2981</v>
      </c>
      <c r="AD510" s="200" t="str">
        <f>OBRA!V508</f>
        <v>ARQ. JAIME CONDE GOMEZ</v>
      </c>
      <c r="AE510" s="174">
        <v>1022.62</v>
      </c>
      <c r="AF510" s="2" t="s">
        <v>1552</v>
      </c>
      <c r="AG510" s="694">
        <f t="shared" si="32"/>
        <v>756.20896325125659</v>
      </c>
      <c r="AH510" s="202">
        <v>100</v>
      </c>
      <c r="AI510" s="566">
        <v>500</v>
      </c>
      <c r="AJ510" s="566"/>
      <c r="AK510" s="1813">
        <v>20.324287000000002</v>
      </c>
      <c r="AL510" s="1814">
        <v>103.480902</v>
      </c>
      <c r="AM510" s="1435" t="s">
        <v>3700</v>
      </c>
      <c r="AN510" s="1435" t="s">
        <v>3700</v>
      </c>
      <c r="AO510" s="1435" t="s">
        <v>3700</v>
      </c>
      <c r="AP510" s="1436" t="s">
        <v>3700</v>
      </c>
      <c r="AQ510" s="1451" t="s">
        <v>3700</v>
      </c>
      <c r="AR510" s="1487"/>
      <c r="AS510" s="1483"/>
      <c r="AT510" s="1483"/>
      <c r="AU510" s="1488"/>
      <c r="AV510" s="451"/>
      <c r="AW510" s="13"/>
    </row>
    <row r="511" spans="1:50" ht="175.5" hidden="1" customHeight="1">
      <c r="A511" s="17">
        <f>OBRA!I509</f>
        <v>2020</v>
      </c>
      <c r="B511" s="895" t="s">
        <v>2098</v>
      </c>
      <c r="C511" s="895">
        <v>206.22</v>
      </c>
      <c r="D511" s="895"/>
      <c r="E511" s="2" t="str">
        <f>OBRA!K509</f>
        <v>RAMO 33</v>
      </c>
      <c r="F511" s="19" t="s">
        <v>1431</v>
      </c>
      <c r="G511" s="249" t="s">
        <v>2239</v>
      </c>
      <c r="H511" s="451"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1" t="s">
        <v>4347</v>
      </c>
      <c r="L511" s="780" t="s">
        <v>4054</v>
      </c>
      <c r="M511" s="780" t="s">
        <v>3664</v>
      </c>
      <c r="N511" s="510" t="s">
        <v>4067</v>
      </c>
      <c r="O511" s="4">
        <f>OBRA!P509</f>
        <v>844236.05</v>
      </c>
      <c r="P511" s="1208">
        <f t="shared" si="29"/>
        <v>727789.69827586215</v>
      </c>
      <c r="Q511" s="1208"/>
      <c r="R511" s="6">
        <f>OBRA!Q509</f>
        <v>44021</v>
      </c>
      <c r="S511" s="1327">
        <f>OBRA!T509</f>
        <v>44020</v>
      </c>
      <c r="T511" s="5">
        <f>OBRA!R509</f>
        <v>44027</v>
      </c>
      <c r="U511" s="12">
        <f>OBRA!S509</f>
        <v>44088</v>
      </c>
      <c r="V511" s="305">
        <v>211059.01</v>
      </c>
      <c r="W511" s="1203">
        <f>OBRA!AQ509+OBRA!AR509</f>
        <v>947197.91</v>
      </c>
      <c r="X511" s="1280" t="s">
        <v>3014</v>
      </c>
      <c r="Y511" s="639" t="str">
        <f>OBRA!U509</f>
        <v xml:space="preserve">BAUEN INGENIERÍA Y MAQUINARIA S.A. DE C.V. </v>
      </c>
      <c r="Z511" s="639" t="s">
        <v>5823</v>
      </c>
      <c r="AA511" s="640" t="s">
        <v>3077</v>
      </c>
      <c r="AB511" s="640" t="s">
        <v>3017</v>
      </c>
      <c r="AC511" s="639" t="s">
        <v>3018</v>
      </c>
      <c r="AD511" s="198" t="str">
        <f>OBRA!V509</f>
        <v>ARQ. JAIME CONDE GOMEZ</v>
      </c>
      <c r="AE511" s="174">
        <v>682.64</v>
      </c>
      <c r="AF511" s="202" t="s">
        <v>1552</v>
      </c>
      <c r="AG511" s="694">
        <f t="shared" si="32"/>
        <v>1387.5511396929569</v>
      </c>
      <c r="AH511" s="202">
        <v>100</v>
      </c>
      <c r="AI511" s="566">
        <v>1000</v>
      </c>
      <c r="AJ511" s="566"/>
      <c r="AK511" s="1813">
        <v>20.324774999999999</v>
      </c>
      <c r="AL511" s="1814">
        <v>103.48221100000001</v>
      </c>
      <c r="AM511" s="1435" t="s">
        <v>3569</v>
      </c>
      <c r="AN511" s="1435" t="s">
        <v>3569</v>
      </c>
      <c r="AO511" s="631"/>
      <c r="AP511" s="1436" t="s">
        <v>3569</v>
      </c>
      <c r="AQ511" s="1451" t="s">
        <v>3569</v>
      </c>
      <c r="AR511" s="1487"/>
      <c r="AS511" s="1483"/>
      <c r="AT511" s="1483"/>
      <c r="AU511" s="1488"/>
      <c r="AV511" s="451"/>
      <c r="AW511" s="13"/>
    </row>
    <row r="512" spans="1:50" ht="74.25" hidden="1" customHeight="1">
      <c r="A512" s="17">
        <f>OBRA!I510</f>
        <v>2020</v>
      </c>
      <c r="B512" s="895" t="s">
        <v>2098</v>
      </c>
      <c r="C512" s="895">
        <v>206.23</v>
      </c>
      <c r="D512" s="895"/>
      <c r="E512" s="2" t="str">
        <f>OBRA!K510</f>
        <v>RAMO 33</v>
      </c>
      <c r="F512" s="19" t="s">
        <v>1431</v>
      </c>
      <c r="G512" s="281" t="s">
        <v>2239</v>
      </c>
      <c r="H512" s="451" t="str">
        <f>OBRA!L510</f>
        <v>GMJ 023C- OP/2020</v>
      </c>
      <c r="I512" s="2" t="str">
        <f>OBRA!M510</f>
        <v>ADJUDICACIÓN DIRECTA</v>
      </c>
      <c r="J512" s="3" t="str">
        <f>OBRA!N510</f>
        <v xml:space="preserve">"REHABILITACIÓN DE POZO PROFUNDO DE AGUA POTABLE EN CALLE JOSE SANTANA", EN LA CABECERA MUNICIPAL DE JOCOTEPEC, JALISCO </v>
      </c>
      <c r="K512" s="328" t="s">
        <v>4348</v>
      </c>
      <c r="L512" s="780" t="s">
        <v>4055</v>
      </c>
      <c r="M512" s="780" t="s">
        <v>1979</v>
      </c>
      <c r="N512" s="510" t="s">
        <v>4067</v>
      </c>
      <c r="O512" s="4">
        <f>OBRA!P510</f>
        <v>189588.54</v>
      </c>
      <c r="P512" s="1208">
        <f t="shared" si="29"/>
        <v>163438.39655172414</v>
      </c>
      <c r="Q512" s="1208"/>
      <c r="R512" s="6">
        <f>OBRA!Q510</f>
        <v>44019</v>
      </c>
      <c r="S512" s="1327">
        <f>OBRA!T510</f>
        <v>44018</v>
      </c>
      <c r="T512" s="5">
        <f>OBRA!R510</f>
        <v>44032</v>
      </c>
      <c r="U512" s="12">
        <f>OBRA!S510</f>
        <v>44051</v>
      </c>
      <c r="V512" s="305">
        <v>47397.15</v>
      </c>
      <c r="W512" s="1203">
        <f>OBRA!AQ510+OBRA!AR510</f>
        <v>189588.55</v>
      </c>
      <c r="X512" s="1202" t="s">
        <v>2983</v>
      </c>
      <c r="Y512" s="639" t="str">
        <f>OBRA!U510</f>
        <v>JESSICA MONSERRAT RIVERA TORRES</v>
      </c>
      <c r="Z512" s="639" t="s">
        <v>5822</v>
      </c>
      <c r="AA512" s="640" t="s">
        <v>2972</v>
      </c>
      <c r="AB512" s="652" t="s">
        <v>2999</v>
      </c>
      <c r="AC512" s="650" t="s">
        <v>2999</v>
      </c>
      <c r="AD512" s="200" t="str">
        <f>OBRA!V510</f>
        <v>ING. RIGOBERTO OLMEDO RAMOS</v>
      </c>
      <c r="AE512" s="20">
        <v>1</v>
      </c>
      <c r="AF512" s="2" t="s">
        <v>1466</v>
      </c>
      <c r="AG512" s="653">
        <f t="shared" si="32"/>
        <v>189588.55</v>
      </c>
      <c r="AH512" s="202">
        <v>11000</v>
      </c>
      <c r="AI512" s="566">
        <v>11000</v>
      </c>
      <c r="AJ512" s="566"/>
      <c r="AK512" s="1813">
        <v>20.285993000000001</v>
      </c>
      <c r="AL512" s="1814">
        <v>103.43696799999999</v>
      </c>
      <c r="AM512" s="1435" t="s">
        <v>3641</v>
      </c>
      <c r="AN512" s="631"/>
      <c r="AO512" s="1435" t="s">
        <v>3641</v>
      </c>
      <c r="AP512" s="1436" t="s">
        <v>3641</v>
      </c>
      <c r="AQ512" s="1451" t="s">
        <v>3641</v>
      </c>
      <c r="AR512" s="1487"/>
      <c r="AS512" s="1483"/>
      <c r="AT512" s="1483"/>
      <c r="AU512" s="1488"/>
      <c r="AV512" s="451"/>
      <c r="AW512" s="13"/>
    </row>
    <row r="513" spans="1:49" ht="225" hidden="1" customHeight="1">
      <c r="A513" s="17">
        <f>OBRA!I511</f>
        <v>2020</v>
      </c>
      <c r="B513" s="895" t="s">
        <v>2098</v>
      </c>
      <c r="C513" s="895">
        <v>206.23</v>
      </c>
      <c r="D513" s="895"/>
      <c r="E513" s="2" t="str">
        <f>OBRA!K511</f>
        <v>RAMO 33</v>
      </c>
      <c r="F513" s="19" t="s">
        <v>1431</v>
      </c>
      <c r="G513" s="281" t="s">
        <v>2239</v>
      </c>
      <c r="H513" s="451" t="str">
        <f>OBRA!L511</f>
        <v>GMJ 024C- OP/2020</v>
      </c>
      <c r="I513" s="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4197</v>
      </c>
      <c r="L513" s="780" t="s">
        <v>4056</v>
      </c>
      <c r="M513" s="780" t="s">
        <v>2574</v>
      </c>
      <c r="N513" s="510" t="s">
        <v>4067</v>
      </c>
      <c r="O513" s="85">
        <f>OBRA!P511</f>
        <v>1003699.45</v>
      </c>
      <c r="P513" s="1208">
        <f t="shared" si="29"/>
        <v>865258.14655172417</v>
      </c>
      <c r="Q513" s="1208"/>
      <c r="R513" s="69">
        <f>OBRA!Q511</f>
        <v>44028</v>
      </c>
      <c r="S513" s="1327">
        <f>OBRA!T511</f>
        <v>44026</v>
      </c>
      <c r="T513" s="255">
        <f>OBRA!R511</f>
        <v>44032</v>
      </c>
      <c r="U513" s="245">
        <f>OBRA!S511</f>
        <v>44089</v>
      </c>
      <c r="V513" s="1198">
        <v>250924.86</v>
      </c>
      <c r="W513" s="1203">
        <f>OBRA!AQ511+OBRA!AR511</f>
        <v>961943.47</v>
      </c>
      <c r="X513" s="1235" t="s">
        <v>3024</v>
      </c>
      <c r="Y513" s="650" t="str">
        <f>OBRA!U511</f>
        <v>ING. SERGIO CABRERA</v>
      </c>
      <c r="Z513" s="650" t="s">
        <v>5822</v>
      </c>
      <c r="AA513" s="652" t="s">
        <v>739</v>
      </c>
      <c r="AB513" s="1234" t="s">
        <v>3016</v>
      </c>
      <c r="AC513" s="639" t="s">
        <v>3016</v>
      </c>
      <c r="AD513" s="198" t="str">
        <f>OBRA!V511</f>
        <v>ING. LUIS RIGOBERTO OLMEDO NAVARRO</v>
      </c>
      <c r="AE513" s="174">
        <v>210</v>
      </c>
      <c r="AF513" s="202" t="s">
        <v>1454</v>
      </c>
      <c r="AG513" s="694">
        <f t="shared" si="32"/>
        <v>4580.6831904761902</v>
      </c>
      <c r="AH513" s="2">
        <v>370</v>
      </c>
      <c r="AI513" s="563">
        <v>3600</v>
      </c>
      <c r="AJ513" s="563"/>
      <c r="AK513" s="1817">
        <v>20.290914999999998</v>
      </c>
      <c r="AL513" s="1818">
        <v>103.393833</v>
      </c>
      <c r="AM513" s="1435" t="s">
        <v>3549</v>
      </c>
      <c r="AN513" s="1435" t="s">
        <v>3549</v>
      </c>
      <c r="AO513" s="1435" t="s">
        <v>4196</v>
      </c>
      <c r="AP513" s="1436" t="s">
        <v>3549</v>
      </c>
      <c r="AQ513" s="1451" t="s">
        <v>3549</v>
      </c>
      <c r="AR513" s="1487"/>
      <c r="AS513" s="1483"/>
      <c r="AT513" s="1483"/>
      <c r="AU513" s="1488"/>
      <c r="AV513" s="451" t="s">
        <v>551</v>
      </c>
      <c r="AW513" s="13"/>
    </row>
    <row r="514" spans="1:49" ht="293.25" hidden="1" customHeight="1">
      <c r="A514" s="17">
        <f>OBRA!I512</f>
        <v>2020</v>
      </c>
      <c r="B514" s="895" t="s">
        <v>2098</v>
      </c>
      <c r="C514" s="895">
        <v>206.25</v>
      </c>
      <c r="D514" s="895"/>
      <c r="E514" s="2" t="str">
        <f>OBRA!K512</f>
        <v>RAMO 33</v>
      </c>
      <c r="F514" s="19" t="s">
        <v>1431</v>
      </c>
      <c r="G514" s="281" t="s">
        <v>2239</v>
      </c>
      <c r="H514" s="451"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4198</v>
      </c>
      <c r="L514" s="780" t="s">
        <v>4056</v>
      </c>
      <c r="M514" s="328" t="s">
        <v>2574</v>
      </c>
      <c r="N514" s="510" t="s">
        <v>4067</v>
      </c>
      <c r="O514" s="4">
        <f>OBRA!P512</f>
        <v>961974.96</v>
      </c>
      <c r="P514" s="1208">
        <f t="shared" si="29"/>
        <v>829288.75862068962</v>
      </c>
      <c r="Q514" s="1208"/>
      <c r="R514" s="6">
        <f>OBRA!Q512</f>
        <v>44028</v>
      </c>
      <c r="S514" s="1327">
        <f>OBRA!T512</f>
        <v>44026</v>
      </c>
      <c r="T514" s="5">
        <f>OBRA!R512</f>
        <v>44032</v>
      </c>
      <c r="U514" s="12">
        <f>OBRA!S512</f>
        <v>44089</v>
      </c>
      <c r="V514" s="305">
        <f>183159.38*1.16</f>
        <v>212464.88079999998</v>
      </c>
      <c r="W514" s="1203">
        <f>OBRA!AQ512+OBRA!AR512</f>
        <v>976127.66</v>
      </c>
      <c r="X514" s="1202" t="s">
        <v>3015</v>
      </c>
      <c r="Y514" s="639" t="str">
        <f>OBRA!U512</f>
        <v>ING. SERGIO CABRERA</v>
      </c>
      <c r="Z514" s="639" t="s">
        <v>5822</v>
      </c>
      <c r="AA514" s="652" t="s">
        <v>739</v>
      </c>
      <c r="AB514" s="640" t="s">
        <v>3016</v>
      </c>
      <c r="AC514" s="639" t="s">
        <v>3016</v>
      </c>
      <c r="AD514" s="198" t="str">
        <f>OBRA!V512</f>
        <v>ING. LUIS RIGOBERTO OLMEDO NAVARRO</v>
      </c>
      <c r="AE514" s="20">
        <v>218</v>
      </c>
      <c r="AF514" s="2" t="s">
        <v>1454</v>
      </c>
      <c r="AG514" s="694">
        <f t="shared" si="32"/>
        <v>4477.6498165137618</v>
      </c>
      <c r="AH514" s="2">
        <v>370</v>
      </c>
      <c r="AI514" s="563">
        <v>3600</v>
      </c>
      <c r="AJ514" s="563"/>
      <c r="AK514" s="1817">
        <v>20.290914999999998</v>
      </c>
      <c r="AL514" s="1818">
        <v>103.393833</v>
      </c>
      <c r="AM514" s="1435" t="s">
        <v>3548</v>
      </c>
      <c r="AN514" s="1435" t="s">
        <v>3548</v>
      </c>
      <c r="AO514" s="1435" t="s">
        <v>3548</v>
      </c>
      <c r="AP514" s="1436" t="s">
        <v>3548</v>
      </c>
      <c r="AQ514" s="1451" t="s">
        <v>3548</v>
      </c>
      <c r="AR514" s="1487"/>
      <c r="AS514" s="1483"/>
      <c r="AT514" s="1483"/>
      <c r="AU514" s="1488"/>
      <c r="AV514" s="451" t="s">
        <v>551</v>
      </c>
      <c r="AW514" s="13"/>
    </row>
    <row r="515" spans="1:49" ht="115.5" hidden="1" customHeight="1">
      <c r="A515" s="17">
        <f>OBRA!I513</f>
        <v>2020</v>
      </c>
      <c r="B515" s="895" t="s">
        <v>2098</v>
      </c>
      <c r="C515" s="895">
        <v>206.26</v>
      </c>
      <c r="D515" s="1722" t="s">
        <v>4066</v>
      </c>
      <c r="E515" s="2" t="str">
        <f>OBRA!K513</f>
        <v>RAMO 33</v>
      </c>
      <c r="F515" s="19" t="s">
        <v>1431</v>
      </c>
      <c r="G515" s="40" t="s">
        <v>2239</v>
      </c>
      <c r="H515" s="451"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97"/>
      <c r="L515" s="780" t="s">
        <v>4056</v>
      </c>
      <c r="M515" s="328" t="s">
        <v>2574</v>
      </c>
      <c r="N515" s="510" t="s">
        <v>4067</v>
      </c>
      <c r="O515" s="4">
        <f>OBRA!P513</f>
        <v>720809.67</v>
      </c>
      <c r="P515" s="1208">
        <f t="shared" si="29"/>
        <v>621387.64655172417</v>
      </c>
      <c r="Q515" s="1208"/>
      <c r="R515" s="6">
        <f>OBRA!Q513</f>
        <v>44076</v>
      </c>
      <c r="S515" s="1327">
        <f>OBRA!T513</f>
        <v>44074</v>
      </c>
      <c r="T515" s="5">
        <f>OBRA!R513</f>
        <v>44069</v>
      </c>
      <c r="U515" s="12">
        <f>OBRA!S513</f>
        <v>44142</v>
      </c>
      <c r="V515" s="1198">
        <v>180202.41</v>
      </c>
      <c r="W515" s="1203">
        <f>OBRA!AQ513+OBRA!AR513</f>
        <v>822451.21</v>
      </c>
      <c r="X515" s="1235" t="s">
        <v>3395</v>
      </c>
      <c r="Y515" s="639" t="str">
        <f>OBRA!U513</f>
        <v>ALSERCON SA DE CV</v>
      </c>
      <c r="Z515" s="639" t="s">
        <v>5823</v>
      </c>
      <c r="AA515" s="640" t="s">
        <v>2183</v>
      </c>
      <c r="AB515" s="640" t="s">
        <v>2184</v>
      </c>
      <c r="AC515" s="639" t="s">
        <v>2797</v>
      </c>
      <c r="AD515" s="198" t="str">
        <f>OBRA!V513</f>
        <v>ARQ. CESAR ANTONIO ALONSO JIMENEZ</v>
      </c>
      <c r="AE515" s="174">
        <v>524.09</v>
      </c>
      <c r="AF515" s="202" t="s">
        <v>1552</v>
      </c>
      <c r="AG515" s="694">
        <f t="shared" si="32"/>
        <v>1569.2938426606115</v>
      </c>
      <c r="AH515" s="202">
        <v>700</v>
      </c>
      <c r="AI515" s="566">
        <v>2700</v>
      </c>
      <c r="AJ515" s="566"/>
      <c r="AK515" s="1817">
        <v>20.290914999999998</v>
      </c>
      <c r="AL515" s="1818">
        <v>103.393833</v>
      </c>
      <c r="AM515" s="1435" t="s">
        <v>3560</v>
      </c>
      <c r="AN515" s="1435" t="s">
        <v>3560</v>
      </c>
      <c r="AO515" s="1435" t="s">
        <v>3560</v>
      </c>
      <c r="AP515" s="1436" t="s">
        <v>3560</v>
      </c>
      <c r="AQ515" s="1451" t="s">
        <v>3833</v>
      </c>
      <c r="AR515" s="1487"/>
      <c r="AS515" s="1483"/>
      <c r="AT515" s="1483"/>
      <c r="AU515" s="1488"/>
      <c r="AV515" s="451"/>
      <c r="AW515" s="13"/>
    </row>
    <row r="516" spans="1:49" ht="226.5" hidden="1" customHeight="1">
      <c r="A516" s="17">
        <f>OBRA!I514</f>
        <v>2020</v>
      </c>
      <c r="B516" s="895" t="s">
        <v>2098</v>
      </c>
      <c r="C516" s="895">
        <v>206.27</v>
      </c>
      <c r="D516" s="895"/>
      <c r="E516" s="202" t="str">
        <f>OBRA!K514</f>
        <v>RAMO 33</v>
      </c>
      <c r="F516" s="19" t="s">
        <v>1431</v>
      </c>
      <c r="G516" s="164" t="s">
        <v>2239</v>
      </c>
      <c r="H516" s="451" t="str">
        <f>OBRA!L514</f>
        <v>GMJ 027C- OP/2020</v>
      </c>
      <c r="I516" s="202" t="str">
        <f>OBRA!M514</f>
        <v>CONCURSO SIMPLIFICADO SUMARIO</v>
      </c>
      <c r="J516" s="328" t="str">
        <f>OBRA!N514</f>
        <v>"CONSTRUCCIÓN DE POZO PROFUNDO EN CALLE ALLENDE NORTE" EN LA CABECERA MUNICIPAL DE JOCOTEPEC, JALISCO</v>
      </c>
      <c r="K516" s="1381" t="s">
        <v>4349</v>
      </c>
      <c r="L516" s="780" t="s">
        <v>3372</v>
      </c>
      <c r="M516" s="780" t="s">
        <v>1979</v>
      </c>
      <c r="N516" s="510" t="s">
        <v>4067</v>
      </c>
      <c r="O516" s="85">
        <f>OBRA!P514</f>
        <v>2630623.62</v>
      </c>
      <c r="P516" s="1208">
        <f t="shared" si="29"/>
        <v>2267778.9827586208</v>
      </c>
      <c r="Q516" s="1208"/>
      <c r="R516" s="69">
        <f>OBRA!Q514</f>
        <v>44007</v>
      </c>
      <c r="S516" s="1327" t="str">
        <f>OBRA!T514</f>
        <v>-</v>
      </c>
      <c r="T516" s="255">
        <f>OBRA!R514</f>
        <v>44008</v>
      </c>
      <c r="U516" s="245">
        <f>OBRA!S514</f>
        <v>44099</v>
      </c>
      <c r="V516" s="1198">
        <f>O516*0.3</f>
        <v>789187.08600000001</v>
      </c>
      <c r="W516" s="1203">
        <f>OBRA!AQ514+OBRA!AR514</f>
        <v>2631734.15</v>
      </c>
      <c r="X516" s="1235" t="s">
        <v>3375</v>
      </c>
      <c r="Y516" s="639" t="str">
        <f>OBRA!U514</f>
        <v>CONVADI, S.A. DE C.V.</v>
      </c>
      <c r="Z516" s="639" t="s">
        <v>5823</v>
      </c>
      <c r="AA516" s="652" t="s">
        <v>3376</v>
      </c>
      <c r="AB516" s="650" t="s">
        <v>3377</v>
      </c>
      <c r="AC516" s="675" t="s">
        <v>3378</v>
      </c>
      <c r="AD516" s="200" t="str">
        <f>OBRA!V514</f>
        <v>ING. J. GUADALUPE IBARRA RAMIREZ</v>
      </c>
      <c r="AE516" s="174">
        <v>1</v>
      </c>
      <c r="AF516" s="202" t="s">
        <v>1466</v>
      </c>
      <c r="AG516" s="694">
        <f t="shared" si="32"/>
        <v>2631734.15</v>
      </c>
      <c r="AH516" s="202">
        <v>22000</v>
      </c>
      <c r="AI516" s="566">
        <v>22000</v>
      </c>
      <c r="AJ516" s="566"/>
      <c r="AK516" s="1813">
        <v>20.291990999999999</v>
      </c>
      <c r="AL516" s="1814">
        <v>103.42882400000001</v>
      </c>
      <c r="AM516" s="1435" t="s">
        <v>3660</v>
      </c>
      <c r="AN516" s="631"/>
      <c r="AO516" s="631"/>
      <c r="AP516" s="1436" t="s">
        <v>3660</v>
      </c>
      <c r="AQ516" s="1451" t="s">
        <v>3660</v>
      </c>
      <c r="AR516" s="1487"/>
      <c r="AS516" s="1483">
        <f>GRAL!A517-AR517</f>
        <v>2020</v>
      </c>
      <c r="AT516" s="1483"/>
      <c r="AU516" s="1488"/>
      <c r="AV516" s="451"/>
      <c r="AW516" s="13"/>
    </row>
    <row r="517" spans="1:49" ht="54" hidden="1" customHeight="1">
      <c r="A517" s="17">
        <f>OBRA!I515</f>
        <v>2020</v>
      </c>
      <c r="B517" s="895" t="s">
        <v>2098</v>
      </c>
      <c r="C517" s="895">
        <v>206.28</v>
      </c>
      <c r="D517" s="1722" t="s">
        <v>4066</v>
      </c>
      <c r="E517" s="2" t="str">
        <f>OBRA!K515</f>
        <v>FOCOCI</v>
      </c>
      <c r="F517" s="806" t="s">
        <v>3563</v>
      </c>
      <c r="G517" s="164" t="s">
        <v>2239</v>
      </c>
      <c r="H517" s="451" t="str">
        <f>OBRA!L515</f>
        <v>FOCOCI-OP-CSS-028/2020</v>
      </c>
      <c r="I517" s="2" t="str">
        <f>OBRA!M515</f>
        <v>CONCURSO SIMPLIFICADO SUMARIO</v>
      </c>
      <c r="J517" s="3" t="str">
        <f>OBRA!N515</f>
        <v>CONSTRUCCIÓN Y EQUIPAMIENTO DE PLAZA PRINCIPAL EN CHANTEPEC, MUNICIPIO DE JOCOTEPEC, JALISCO.</v>
      </c>
      <c r="K517" s="597"/>
      <c r="L517" s="780" t="s">
        <v>4056</v>
      </c>
      <c r="M517" s="780" t="s">
        <v>2574</v>
      </c>
      <c r="N517" s="996"/>
      <c r="O517" s="4">
        <f>OBRA!P515</f>
        <v>8270578.4299999997</v>
      </c>
      <c r="P517" s="1208">
        <f t="shared" si="29"/>
        <v>7129808.9913793104</v>
      </c>
      <c r="Q517" s="1208"/>
      <c r="R517" s="6">
        <f>OBRA!Q515</f>
        <v>44120</v>
      </c>
      <c r="S517" s="1327" t="str">
        <f>OBRA!T515</f>
        <v>NO APLICA</v>
      </c>
      <c r="T517" s="5">
        <f>OBRA!R515</f>
        <v>44123</v>
      </c>
      <c r="U517" s="12">
        <f>OBRA!S515</f>
        <v>44176</v>
      </c>
      <c r="V517" s="305">
        <v>2067644.6</v>
      </c>
      <c r="W517" s="1203">
        <f>OBRA!AQ515+OBRA!AR515</f>
        <v>8270576.8799999999</v>
      </c>
      <c r="X517" s="1235" t="s">
        <v>3669</v>
      </c>
      <c r="Y517" s="650" t="str">
        <f>OBRA!U515</f>
        <v>ING. SERGIO CABRERA</v>
      </c>
      <c r="Z517" s="650" t="s">
        <v>5822</v>
      </c>
      <c r="AA517" s="652" t="str">
        <f>Y517</f>
        <v>ING. SERGIO CABRERA</v>
      </c>
      <c r="AB517" s="639" t="s">
        <v>3016</v>
      </c>
      <c r="AC517" s="1234" t="s">
        <v>3016</v>
      </c>
      <c r="AD517" s="200" t="str">
        <f>OBRA!V515</f>
        <v>ARQ. EDUARDO ROMERO CARRILLO</v>
      </c>
      <c r="AE517" s="174">
        <v>8536.41</v>
      </c>
      <c r="AF517" s="202" t="s">
        <v>1552</v>
      </c>
      <c r="AG517" s="694">
        <f t="shared" si="32"/>
        <v>968.8589090730178</v>
      </c>
      <c r="AH517" s="202">
        <v>3600</v>
      </c>
      <c r="AI517" s="566">
        <v>3600</v>
      </c>
      <c r="AJ517" s="566"/>
      <c r="AK517" s="1813">
        <v>20.291142000000001</v>
      </c>
      <c r="AL517" s="1814">
        <v>103.39428100000001</v>
      </c>
      <c r="AM517" s="1435" t="s">
        <v>3580</v>
      </c>
      <c r="AN517" s="1435" t="s">
        <v>3580</v>
      </c>
      <c r="AO517" s="1435" t="s">
        <v>3580</v>
      </c>
      <c r="AP517" s="1436" t="s">
        <v>3580</v>
      </c>
      <c r="AQ517" s="1451" t="s">
        <v>3580</v>
      </c>
      <c r="AR517" s="1487"/>
      <c r="AS517" s="1483"/>
      <c r="AT517" s="1483"/>
      <c r="AU517" s="1488"/>
      <c r="AV517" s="451"/>
      <c r="AW517" s="13"/>
    </row>
    <row r="518" spans="1:49" ht="74.25" hidden="1" customHeight="1">
      <c r="A518" s="17">
        <f>OBRA!I516</f>
        <v>2020</v>
      </c>
      <c r="B518" s="895" t="s">
        <v>2098</v>
      </c>
      <c r="C518" s="895">
        <v>206.29</v>
      </c>
      <c r="D518" s="1722" t="s">
        <v>4066</v>
      </c>
      <c r="E518" s="2" t="str">
        <f>OBRA!K516</f>
        <v>FOCOCI</v>
      </c>
      <c r="F518" s="806" t="s">
        <v>3563</v>
      </c>
      <c r="G518" s="164" t="s">
        <v>2239</v>
      </c>
      <c r="H518" s="451" t="str">
        <f>OBRA!L516</f>
        <v>FOCOCI-OP-CSS-029/2020</v>
      </c>
      <c r="I518" s="2" t="str">
        <f>OBRA!M516</f>
        <v>CONCURSO SIMPLIFICADO SUMARIO</v>
      </c>
      <c r="J518" s="3" t="str">
        <f>OBRA!N516</f>
        <v>CONSTRUCCIÓN Y EQUIPAMIENTO DE PLAZA PRINCIPAL EN CHANTEPEC MUNICIPIO DE JOCOTEPEC, JALISCO". (CONSTRUCCIÓN DE EDIFICIO ADMINISTRATIVO)</v>
      </c>
      <c r="K518" s="597"/>
      <c r="L518" s="780" t="s">
        <v>4056</v>
      </c>
      <c r="M518" s="780" t="s">
        <v>2574</v>
      </c>
      <c r="N518" s="996"/>
      <c r="O518" s="4">
        <f>OBRA!P516</f>
        <v>1729413</v>
      </c>
      <c r="P518" s="1208">
        <f t="shared" si="29"/>
        <v>1490873.2758620691</v>
      </c>
      <c r="Q518" s="1208"/>
      <c r="R518" s="6">
        <f>OBRA!Q516</f>
        <v>44485</v>
      </c>
      <c r="S518" s="1327" t="str">
        <f>OBRA!T516</f>
        <v>NO APLICA</v>
      </c>
      <c r="T518" s="5">
        <f>OBRA!R516</f>
        <v>44123</v>
      </c>
      <c r="U518" s="12">
        <f>OBRA!S516</f>
        <v>44196</v>
      </c>
      <c r="V518" s="1022">
        <v>0</v>
      </c>
      <c r="W518" s="1203">
        <f>OBRA!AQ516+OBRA!AR516</f>
        <v>1729413.01</v>
      </c>
      <c r="X518" s="1235" t="s">
        <v>3406</v>
      </c>
      <c r="Y518" s="650" t="str">
        <f>OBRA!U516</f>
        <v xml:space="preserve">SOJO SERVICIOS DE INGENIERIA Y OBRAS, S.A. DE C.V. </v>
      </c>
      <c r="Z518" s="650" t="s">
        <v>5823</v>
      </c>
      <c r="AA518" s="652" t="s">
        <v>3382</v>
      </c>
      <c r="AB518" s="650" t="s">
        <v>3383</v>
      </c>
      <c r="AC518" s="675" t="s">
        <v>3384</v>
      </c>
      <c r="AD518" s="200" t="str">
        <f>OBRA!V516</f>
        <v>ARQ. EDUARDO ROMERO CARRILLO</v>
      </c>
      <c r="AE518" s="174">
        <v>185.76</v>
      </c>
      <c r="AF518" s="202" t="s">
        <v>1552</v>
      </c>
      <c r="AG518" s="694">
        <f t="shared" si="32"/>
        <v>9309.9322243755396</v>
      </c>
      <c r="AH518" s="202">
        <v>3600</v>
      </c>
      <c r="AI518" s="566">
        <v>3600</v>
      </c>
      <c r="AJ518" s="566"/>
      <c r="AK518" s="1813">
        <v>20.291142000000001</v>
      </c>
      <c r="AL518" s="1814">
        <v>103.39428100000001</v>
      </c>
      <c r="AM518" s="1435" t="s">
        <v>3581</v>
      </c>
      <c r="AN518" s="1435" t="s">
        <v>3581</v>
      </c>
      <c r="AO518" s="1435" t="s">
        <v>3581</v>
      </c>
      <c r="AP518" s="1436" t="s">
        <v>3581</v>
      </c>
      <c r="AQ518" s="1451" t="s">
        <v>3581</v>
      </c>
      <c r="AR518" s="1487"/>
      <c r="AS518" s="1483"/>
      <c r="AT518" s="1483"/>
      <c r="AU518" s="1488"/>
      <c r="AV518" s="451"/>
      <c r="AW518" s="13"/>
    </row>
    <row r="519" spans="1:49" ht="78" hidden="1" customHeight="1">
      <c r="A519" s="17">
        <f>OBRA!I517</f>
        <v>2020</v>
      </c>
      <c r="B519" s="895" t="s">
        <v>2098</v>
      </c>
      <c r="C519" s="895">
        <v>206.3</v>
      </c>
      <c r="D519" s="1722" t="s">
        <v>4066</v>
      </c>
      <c r="E519" s="2" t="str">
        <f>OBRA!K517</f>
        <v>FOCOCI</v>
      </c>
      <c r="F519" s="806" t="s">
        <v>3563</v>
      </c>
      <c r="G519" s="164" t="s">
        <v>2239</v>
      </c>
      <c r="H519" s="451"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97"/>
      <c r="L519" s="780" t="s">
        <v>4057</v>
      </c>
      <c r="M519" s="780" t="s">
        <v>1979</v>
      </c>
      <c r="N519" s="510" t="s">
        <v>4067</v>
      </c>
      <c r="O519" s="4">
        <f>OBRA!P517</f>
        <v>4896549.54</v>
      </c>
      <c r="P519" s="1208">
        <f t="shared" si="29"/>
        <v>4221163.3965517245</v>
      </c>
      <c r="Q519" s="1208"/>
      <c r="R519" s="6">
        <f>OBRA!Q517</f>
        <v>44110</v>
      </c>
      <c r="S519" s="1327">
        <f>OBRA!T517</f>
        <v>44109</v>
      </c>
      <c r="T519" s="5">
        <f>OBRA!R517</f>
        <v>44130</v>
      </c>
      <c r="U519" s="12">
        <f>OBRA!S517</f>
        <v>44196</v>
      </c>
      <c r="V519" s="1022">
        <v>0</v>
      </c>
      <c r="W519" s="1203">
        <f>OBRA!AQ517+OBRA!AR517</f>
        <v>5170423.96</v>
      </c>
      <c r="X519" s="1235" t="s">
        <v>3405</v>
      </c>
      <c r="Y519" s="639" t="str">
        <f>OBRA!U517</f>
        <v xml:space="preserve">DESARROLLO DAP S.A. DE C.V. </v>
      </c>
      <c r="Z519" s="639" t="s">
        <v>5823</v>
      </c>
      <c r="AA519" s="652" t="s">
        <v>3400</v>
      </c>
      <c r="AB519" s="650" t="s">
        <v>2980</v>
      </c>
      <c r="AC519" s="675" t="s">
        <v>3401</v>
      </c>
      <c r="AD519" s="198" t="str">
        <f>OBRA!V517</f>
        <v>LIC. SALVADOR CONTRERAS OLGUÍN</v>
      </c>
      <c r="AE519" s="174">
        <v>2007.25</v>
      </c>
      <c r="AF519" s="202" t="s">
        <v>1552</v>
      </c>
      <c r="AG519" s="694">
        <f t="shared" si="32"/>
        <v>2575.8744351724995</v>
      </c>
      <c r="AH519" s="202">
        <v>21500</v>
      </c>
      <c r="AI519" s="566">
        <v>35000</v>
      </c>
      <c r="AJ519" s="566"/>
      <c r="AK519" s="1813">
        <v>20.286819999999999</v>
      </c>
      <c r="AL519" s="1814">
        <v>103.43096199999999</v>
      </c>
      <c r="AM519" s="1435" t="s">
        <v>3667</v>
      </c>
      <c r="AN519" s="1435" t="s">
        <v>3667</v>
      </c>
      <c r="AO519" s="1435" t="s">
        <v>3667</v>
      </c>
      <c r="AP519" s="1436" t="s">
        <v>3667</v>
      </c>
      <c r="AQ519" s="1451" t="s">
        <v>3667</v>
      </c>
      <c r="AR519" s="1487"/>
      <c r="AS519" s="1483"/>
      <c r="AT519" s="1483"/>
      <c r="AU519" s="1488"/>
      <c r="AV519" s="451"/>
      <c r="AW519" s="13"/>
    </row>
    <row r="520" spans="1:49" ht="73.5" hidden="1" customHeight="1">
      <c r="A520" s="17">
        <f>OBRA!I518</f>
        <v>2020</v>
      </c>
      <c r="B520" s="895" t="s">
        <v>2098</v>
      </c>
      <c r="C520" s="895">
        <v>206.31</v>
      </c>
      <c r="D520" s="1722" t="s">
        <v>4066</v>
      </c>
      <c r="E520" s="2" t="str">
        <f>OBRA!K518</f>
        <v>FOCOCI</v>
      </c>
      <c r="F520" s="681" t="s">
        <v>3563</v>
      </c>
      <c r="G520" s="164" t="s">
        <v>2239</v>
      </c>
      <c r="H520" s="451" t="str">
        <f>OBRA!L518</f>
        <v>FOCOCI-OP-CSS-031/2020</v>
      </c>
      <c r="I520" s="2" t="str">
        <f>OBRA!M518</f>
        <v>CONCURSO SIMPLIFICADO SUMARIO</v>
      </c>
      <c r="J520" s="3" t="str">
        <f>OBRA!N518</f>
        <v>"INTERVENCIÓN Y RESTAURACIÓN DE MERCADO MUNICIPAL MORELOS”, UBICADO EN CALLE MORELOS EN LA CABECERA MUNICIPAL DE JOCOTEPEC, JALISCO</v>
      </c>
      <c r="K520" s="597"/>
      <c r="L520" s="780" t="s">
        <v>4057</v>
      </c>
      <c r="M520" s="780" t="s">
        <v>1979</v>
      </c>
      <c r="N520" s="554" t="s">
        <v>4068</v>
      </c>
      <c r="O520" s="4">
        <f>OBRA!P518</f>
        <v>4629575.57</v>
      </c>
      <c r="P520" s="1208">
        <f t="shared" si="29"/>
        <v>3991013.4224137939</v>
      </c>
      <c r="Q520" s="1208"/>
      <c r="R520" s="6">
        <f>OBRA!Q518</f>
        <v>44110</v>
      </c>
      <c r="S520" s="1327">
        <f>OBRA!T518</f>
        <v>44109</v>
      </c>
      <c r="T520" s="5">
        <f>OBRA!R518</f>
        <v>44164</v>
      </c>
      <c r="U520" s="12">
        <f>OBRA!S518</f>
        <v>44185</v>
      </c>
      <c r="V520" s="1022">
        <v>0</v>
      </c>
      <c r="W520" s="1203">
        <f>OBRA!AQ518+OBRA!AR518</f>
        <v>4629475.5599999996</v>
      </c>
      <c r="X520" s="1235" t="s">
        <v>3405</v>
      </c>
      <c r="Y520" s="639" t="str">
        <f>OBRA!U518</f>
        <v xml:space="preserve">JUAN PABLO BALLESTEROS ARREOLA </v>
      </c>
      <c r="Z520" s="639" t="s">
        <v>5822</v>
      </c>
      <c r="AA520" s="640" t="str">
        <f>Y520</f>
        <v xml:space="preserve">JUAN PABLO BALLESTEROS ARREOLA </v>
      </c>
      <c r="AB520" s="640" t="s">
        <v>3016</v>
      </c>
      <c r="AC520" s="1281" t="s">
        <v>3016</v>
      </c>
      <c r="AD520" s="198" t="str">
        <f>OBRA!V518</f>
        <v>LIC. SALVADOR CONTRERAS OLGUÍN</v>
      </c>
      <c r="AE520" s="174">
        <v>2007.25</v>
      </c>
      <c r="AF520" s="202" t="s">
        <v>1552</v>
      </c>
      <c r="AG520" s="694">
        <f t="shared" si="32"/>
        <v>2306.3771627849046</v>
      </c>
      <c r="AH520" s="202">
        <v>21500</v>
      </c>
      <c r="AI520" s="566">
        <v>35000</v>
      </c>
      <c r="AJ520" s="566"/>
      <c r="AK520" s="1813">
        <v>20.286819999999999</v>
      </c>
      <c r="AL520" s="1814">
        <v>103.43096199999999</v>
      </c>
      <c r="AM520" s="1435" t="s">
        <v>3668</v>
      </c>
      <c r="AN520" s="1435" t="s">
        <v>3668</v>
      </c>
      <c r="AO520" s="1435" t="s">
        <v>3668</v>
      </c>
      <c r="AP520" s="1436" t="s">
        <v>3668</v>
      </c>
      <c r="AQ520" s="1451" t="s">
        <v>3668</v>
      </c>
      <c r="AR520" s="1487"/>
      <c r="AS520" s="1483"/>
      <c r="AT520" s="1483"/>
      <c r="AU520" s="1488"/>
      <c r="AV520" s="451"/>
      <c r="AW520" s="13"/>
    </row>
    <row r="521" spans="1:49" ht="122.25" hidden="1" customHeight="1">
      <c r="A521" s="17">
        <f>OBRA!I519</f>
        <v>2020</v>
      </c>
      <c r="B521" s="895" t="s">
        <v>2098</v>
      </c>
      <c r="C521" s="895">
        <v>206.32</v>
      </c>
      <c r="D521" s="895"/>
      <c r="E521" s="2" t="str">
        <f>OBRA!K519</f>
        <v>RAMO 33</v>
      </c>
      <c r="F521" s="1700" t="s">
        <v>1431</v>
      </c>
      <c r="G521" s="164" t="s">
        <v>2239</v>
      </c>
      <c r="H521" s="451" t="str">
        <f>OBRA!L519</f>
        <v>GMJ 032C- OP/2020</v>
      </c>
      <c r="I521" s="2" t="str">
        <f>OBRA!M519</f>
        <v>ADJUDICACIÓN DIRECTA</v>
      </c>
      <c r="J521" s="3" t="str">
        <f>OBRA!N519</f>
        <v>"CONSTRUCCIÓN DE LÍNEA DE DRENAJE SANITARIO EN PRIVADA RAÚL RAMÍREZ", EN LA LOCALIDAD DE SAN JUAN COSALA DEL MUNICIPIO DE JOCOTEPEC, JALISCO.</v>
      </c>
      <c r="K521" s="328" t="s">
        <v>4199</v>
      </c>
      <c r="L521" s="780" t="s">
        <v>4132</v>
      </c>
      <c r="M521" s="780" t="s">
        <v>2560</v>
      </c>
      <c r="N521" s="554" t="s">
        <v>4068</v>
      </c>
      <c r="O521" s="4">
        <f>OBRA!P519</f>
        <v>287771.56</v>
      </c>
      <c r="P521" s="1208">
        <f t="shared" si="29"/>
        <v>248078.93103448278</v>
      </c>
      <c r="Q521" s="1208"/>
      <c r="R521" s="6">
        <f>OBRA!Q519</f>
        <v>44155</v>
      </c>
      <c r="S521" s="1327">
        <f>OBRA!T519</f>
        <v>44154</v>
      </c>
      <c r="T521" s="5">
        <f>OBRA!R519</f>
        <v>44165</v>
      </c>
      <c r="U521" s="12">
        <f>OBRA!S519</f>
        <v>44180</v>
      </c>
      <c r="V521" s="761">
        <v>0</v>
      </c>
      <c r="W521" s="1203">
        <f>OBRA!AQ519+OBRA!AR519</f>
        <v>287771.57</v>
      </c>
      <c r="X521" s="1235" t="s">
        <v>4180</v>
      </c>
      <c r="Y521" s="639" t="str">
        <f>OBRA!U519</f>
        <v>SERVICIO Y CONSTRUCCIÓN NATENIO S.A. DE C.V.</v>
      </c>
      <c r="Z521" s="639" t="s">
        <v>5823</v>
      </c>
      <c r="AA521" s="640" t="s">
        <v>2844</v>
      </c>
      <c r="AB521" s="1234" t="s">
        <v>2845</v>
      </c>
      <c r="AC521" s="1281" t="s">
        <v>3009</v>
      </c>
      <c r="AD521" s="198" t="str">
        <f>OBRA!V519</f>
        <v>LIC. SALVADOR CONTRERAS OLGUÍN</v>
      </c>
      <c r="AE521" s="174">
        <v>172.45</v>
      </c>
      <c r="AF521" s="202" t="s">
        <v>1454</v>
      </c>
      <c r="AG521" s="694">
        <f t="shared" si="32"/>
        <v>1668.7246738184983</v>
      </c>
      <c r="AH521" s="202">
        <v>50</v>
      </c>
      <c r="AI521" s="566">
        <v>50</v>
      </c>
      <c r="AJ521" s="566"/>
      <c r="AK521" s="1813">
        <v>20.287182999999999</v>
      </c>
      <c r="AL521" s="1814">
        <v>103.334082</v>
      </c>
      <c r="AM521" s="629" t="s">
        <v>4181</v>
      </c>
      <c r="AN521" s="629" t="s">
        <v>4181</v>
      </c>
      <c r="AO521" s="629" t="s">
        <v>4181</v>
      </c>
      <c r="AP521" s="551" t="s">
        <v>4181</v>
      </c>
      <c r="AQ521" s="1793" t="s">
        <v>4181</v>
      </c>
      <c r="AR521" s="1487"/>
      <c r="AS521" s="1483"/>
      <c r="AT521" s="1483"/>
      <c r="AU521" s="1488"/>
      <c r="AV521" s="451" t="s">
        <v>551</v>
      </c>
      <c r="AW521" s="13"/>
    </row>
    <row r="522" spans="1:49" ht="228" hidden="1" customHeight="1">
      <c r="A522" s="17">
        <f>OBRA!I520</f>
        <v>2020</v>
      </c>
      <c r="B522" s="895" t="s">
        <v>2098</v>
      </c>
      <c r="C522" s="895">
        <v>206.33</v>
      </c>
      <c r="D522" s="895"/>
      <c r="E522" s="202" t="str">
        <f>OBRA!K520</f>
        <v>RESCATE AL PATRIMONIO</v>
      </c>
      <c r="F522" s="806" t="s">
        <v>3563</v>
      </c>
      <c r="G522" s="164" t="s">
        <v>2239</v>
      </c>
      <c r="H522" s="451" t="str">
        <f>OBRA!L520</f>
        <v>GMJ 033C- OP/2020</v>
      </c>
      <c r="I522" s="2" t="str">
        <f>OBRA!M520</f>
        <v>ADJUDICACIÓN DIRECTA</v>
      </c>
      <c r="J522" s="3" t="str">
        <f>OBRA!N520</f>
        <v>"REMOZAMIENTO Y MEJORAMIENTO DE IMAGEN URBANA EN EL TEMPLO DEL SEÑOR DEL MONTE” EN LA CABECERA MUNICIPAL DE JOCOTEPEC, JALISCO</v>
      </c>
      <c r="K522" s="328" t="s">
        <v>4200</v>
      </c>
      <c r="L522" s="780" t="s">
        <v>4021</v>
      </c>
      <c r="M522" s="780" t="s">
        <v>1979</v>
      </c>
      <c r="N522" s="554" t="s">
        <v>4068</v>
      </c>
      <c r="O522" s="4">
        <f>OBRA!P520</f>
        <v>1600000</v>
      </c>
      <c r="P522" s="1208">
        <f t="shared" ref="P522:P585" si="33">O522/1.16</f>
        <v>1379310.3448275863</v>
      </c>
      <c r="Q522" s="1208"/>
      <c r="R522" s="6">
        <f>OBRA!Q520</f>
        <v>44158</v>
      </c>
      <c r="S522" s="1327">
        <f>OBRA!T520</f>
        <v>44155</v>
      </c>
      <c r="T522" s="5">
        <f>OBRA!R520</f>
        <v>44166</v>
      </c>
      <c r="U522" s="12">
        <f>OBRA!S520</f>
        <v>44189</v>
      </c>
      <c r="V522" s="761">
        <v>0</v>
      </c>
      <c r="W522" s="1203">
        <f>OBRA!AQ520+OBRA!AR520</f>
        <v>1600000</v>
      </c>
      <c r="X522" s="1235" t="s">
        <v>3379</v>
      </c>
      <c r="Y522" s="639" t="str">
        <f>OBRA!U520</f>
        <v>CONSTRUCCIONES ADMAYAL, S.A. DE C.V</v>
      </c>
      <c r="Z522" s="639" t="s">
        <v>5823</v>
      </c>
      <c r="AA522" s="640" t="s">
        <v>3385</v>
      </c>
      <c r="AB522" s="675" t="s">
        <v>3386</v>
      </c>
      <c r="AC522" s="650" t="s">
        <v>3387</v>
      </c>
      <c r="AD522" s="198" t="str">
        <f>OBRA!V520</f>
        <v>ING. LUIS RIGOBERTO OLMEDO NAVARRO</v>
      </c>
      <c r="AE522" s="174">
        <v>2832.99</v>
      </c>
      <c r="AF522" s="202" t="s">
        <v>1552</v>
      </c>
      <c r="AG522" s="694">
        <f t="shared" si="32"/>
        <v>564.77431971168278</v>
      </c>
      <c r="AH522" s="202">
        <v>7000</v>
      </c>
      <c r="AI522" s="566">
        <v>21500</v>
      </c>
      <c r="AJ522" s="566"/>
      <c r="AK522" s="1813">
        <v>20.285461999999999</v>
      </c>
      <c r="AL522" s="1814">
        <v>103.429884</v>
      </c>
      <c r="AM522" s="1435" t="s">
        <v>3546</v>
      </c>
      <c r="AN522" s="1435" t="s">
        <v>3546</v>
      </c>
      <c r="AO522" s="1435" t="s">
        <v>3546</v>
      </c>
      <c r="AP522" s="1436" t="s">
        <v>3546</v>
      </c>
      <c r="AQ522" s="1451" t="s">
        <v>3546</v>
      </c>
      <c r="AR522" s="1487"/>
      <c r="AS522" s="1483"/>
      <c r="AT522" s="1483"/>
      <c r="AU522" s="1488"/>
      <c r="AV522" s="451" t="s">
        <v>551</v>
      </c>
      <c r="AW522" s="13"/>
    </row>
    <row r="523" spans="1:49" ht="167.25" hidden="1" customHeight="1">
      <c r="A523" s="17">
        <f>OBRA!I521</f>
        <v>2020</v>
      </c>
      <c r="B523" s="895" t="s">
        <v>2098</v>
      </c>
      <c r="C523" s="895">
        <v>206.34</v>
      </c>
      <c r="D523" s="895"/>
      <c r="E523" s="2" t="str">
        <f>OBRA!K521</f>
        <v>RAMO 33</v>
      </c>
      <c r="F523" s="1700" t="s">
        <v>1431</v>
      </c>
      <c r="G523" s="164" t="s">
        <v>2239</v>
      </c>
      <c r="H523" s="451"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566" t="s">
        <v>4201</v>
      </c>
      <c r="L523" s="780" t="s">
        <v>4058</v>
      </c>
      <c r="M523" s="780" t="s">
        <v>1979</v>
      </c>
      <c r="N523" s="554" t="s">
        <v>4068</v>
      </c>
      <c r="O523" s="4">
        <f>OBRA!P521</f>
        <v>914194.81</v>
      </c>
      <c r="P523" s="1208">
        <f t="shared" si="33"/>
        <v>788098.97413793113</v>
      </c>
      <c r="Q523" s="1208"/>
      <c r="R523" s="6">
        <f>OBRA!Q521</f>
        <v>44168</v>
      </c>
      <c r="S523" s="1327">
        <f>OBRA!T521</f>
        <v>44167</v>
      </c>
      <c r="T523" s="5">
        <f>OBRA!R521</f>
        <v>44169</v>
      </c>
      <c r="U523" s="12">
        <f>OBRA!S521</f>
        <v>44180</v>
      </c>
      <c r="V523" s="761">
        <v>0</v>
      </c>
      <c r="W523" s="1203">
        <f>OBRA!AQ521+OBRA!AR521</f>
        <v>911242.76</v>
      </c>
      <c r="X523" s="1573" t="s">
        <v>4182</v>
      </c>
      <c r="Y523" s="639" t="str">
        <f>OBRA!U521</f>
        <v>CONSTRUCCIÓN Y SUPERVISIÓN COMA S.A. DE C.V.</v>
      </c>
      <c r="Z523" s="639" t="s">
        <v>5823</v>
      </c>
      <c r="AA523" s="640" t="s">
        <v>2941</v>
      </c>
      <c r="AB523" s="640" t="s">
        <v>2929</v>
      </c>
      <c r="AC523" s="1281" t="s">
        <v>4183</v>
      </c>
      <c r="AD523" s="198" t="str">
        <f>OBRA!V521</f>
        <v>ARQ. CESAR ANTONIO ALONSO JIMENEZ</v>
      </c>
      <c r="AE523" s="174">
        <f>295.6+302.84</f>
        <v>598.44000000000005</v>
      </c>
      <c r="AF523" s="202" t="s">
        <v>1454</v>
      </c>
      <c r="AG523" s="694">
        <f t="shared" si="32"/>
        <v>1522.6969453913507</v>
      </c>
      <c r="AH523" s="202">
        <v>150</v>
      </c>
      <c r="AI523" s="566">
        <v>300</v>
      </c>
      <c r="AJ523" s="566"/>
      <c r="AK523" s="1813">
        <v>20.279247000000002</v>
      </c>
      <c r="AL523" s="1814">
        <v>103.446308</v>
      </c>
      <c r="AM523" s="629" t="s">
        <v>3705</v>
      </c>
      <c r="AN523" s="629" t="s">
        <v>3705</v>
      </c>
      <c r="AO523" s="629" t="s">
        <v>3705</v>
      </c>
      <c r="AP523" s="551" t="s">
        <v>3705</v>
      </c>
      <c r="AQ523" s="1793" t="s">
        <v>3705</v>
      </c>
      <c r="AR523" s="1487"/>
      <c r="AS523" s="1483"/>
      <c r="AT523" s="1483"/>
      <c r="AU523" s="1488"/>
      <c r="AV523" s="451" t="s">
        <v>551</v>
      </c>
      <c r="AW523" s="13"/>
    </row>
    <row r="524" spans="1:49" ht="62.25" hidden="1" customHeight="1">
      <c r="A524" s="17">
        <f>OBRA!I522</f>
        <v>2020</v>
      </c>
      <c r="B524" s="895" t="s">
        <v>2098</v>
      </c>
      <c r="C524" s="895">
        <v>206.35</v>
      </c>
      <c r="D524" s="895"/>
      <c r="E524" s="202" t="str">
        <f>OBRA!K522</f>
        <v>RASTRO DIGNO</v>
      </c>
      <c r="F524" s="681" t="s">
        <v>3563</v>
      </c>
      <c r="G524" s="164" t="s">
        <v>2239</v>
      </c>
      <c r="H524" s="451" t="str">
        <f>OBRA!L522</f>
        <v>GMJ 035C- OP/2020</v>
      </c>
      <c r="I524" s="202" t="str">
        <f>OBRA!M522</f>
        <v>ADJUDICACIÓN DIRECTA</v>
      </c>
      <c r="J524" s="328" t="str">
        <f>OBRA!N522</f>
        <v>OBRA CIVIL "REHABILITACIÓN DEL RASTRO MUNICIPAL 2DA ETAPA", DE LA CABECERA MUNICIPAL DE JOCOTEPEC, JALISCO.</v>
      </c>
      <c r="K524" s="597"/>
      <c r="L524" s="780" t="s">
        <v>2006</v>
      </c>
      <c r="M524" s="780" t="s">
        <v>1979</v>
      </c>
      <c r="N524" s="554" t="s">
        <v>4068</v>
      </c>
      <c r="O524" s="85">
        <f>OBRA!P522</f>
        <v>537866.98</v>
      </c>
      <c r="P524" s="1208">
        <f t="shared" si="33"/>
        <v>463678.43103448278</v>
      </c>
      <c r="Q524" s="1208"/>
      <c r="R524" s="69">
        <f>OBRA!Q522</f>
        <v>44195</v>
      </c>
      <c r="S524" s="1327">
        <f>OBRA!T522</f>
        <v>44560</v>
      </c>
      <c r="T524" s="255">
        <f>OBRA!R522</f>
        <v>44195</v>
      </c>
      <c r="U524" s="245">
        <f>OBRA!S522</f>
        <v>44227</v>
      </c>
      <c r="V524" s="1198">
        <v>134466.74</v>
      </c>
      <c r="W524" s="1289">
        <f>OBRA!AQ522+OBRA!AR522</f>
        <v>0</v>
      </c>
      <c r="X524" s="1235" t="s">
        <v>3403</v>
      </c>
      <c r="Y524" s="650" t="str">
        <f>OBRA!U522</f>
        <v>ALSERCON SA DE CV</v>
      </c>
      <c r="Z524" s="650" t="s">
        <v>5823</v>
      </c>
      <c r="AA524" s="652" t="s">
        <v>2183</v>
      </c>
      <c r="AB524" s="652" t="s">
        <v>2184</v>
      </c>
      <c r="AC524" s="650" t="s">
        <v>3404</v>
      </c>
      <c r="AD524" s="200" t="str">
        <f>OBRA!V522</f>
        <v>ARQ. JAIME CONDE GOMEZ</v>
      </c>
      <c r="AE524" s="169"/>
      <c r="AF524" s="202" t="s">
        <v>1552</v>
      </c>
      <c r="AG524" s="682" t="e">
        <f t="shared" si="32"/>
        <v>#DIV/0!</v>
      </c>
      <c r="AH524" s="202">
        <v>250</v>
      </c>
      <c r="AI524" s="566">
        <v>49000</v>
      </c>
      <c r="AJ524" s="566"/>
      <c r="AK524" s="1813">
        <v>20.279305999999998</v>
      </c>
      <c r="AL524" s="1814">
        <v>103.44510099999999</v>
      </c>
      <c r="AM524" s="1509" t="s">
        <v>4202</v>
      </c>
      <c r="AN524" s="631"/>
      <c r="AO524" s="631"/>
      <c r="AP524" s="556"/>
      <c r="AQ524" s="1485"/>
      <c r="AR524" s="1487"/>
      <c r="AS524" s="1483"/>
      <c r="AT524" s="1483"/>
      <c r="AU524" s="1488"/>
      <c r="AV524" s="451"/>
      <c r="AW524" s="13"/>
    </row>
    <row r="525" spans="1:49" ht="45.75" hidden="1" customHeight="1">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33"/>
        <v>0</v>
      </c>
      <c r="Q525" s="1208"/>
      <c r="R525" s="214">
        <f>OBRA!Q523</f>
        <v>0</v>
      </c>
      <c r="S525" s="1408">
        <f>OBRA!T523</f>
        <v>0</v>
      </c>
      <c r="T525" s="521">
        <f>OBRA!R523</f>
        <v>0</v>
      </c>
      <c r="U525" s="559">
        <f>OBRA!S523</f>
        <v>0</v>
      </c>
      <c r="V525" s="1199"/>
      <c r="W525" s="1289">
        <f>OBRA!AQ523+OBRA!AR523</f>
        <v>0</v>
      </c>
      <c r="X525" s="1201"/>
      <c r="Y525" s="1372">
        <f>OBRA!U523</f>
        <v>0</v>
      </c>
      <c r="Z525" s="1372" t="s">
        <v>5822</v>
      </c>
      <c r="AA525" s="1373">
        <f>Y525</f>
        <v>0</v>
      </c>
      <c r="AB525" s="1373"/>
      <c r="AC525" s="1372"/>
      <c r="AD525" s="608">
        <f>OBRA!V523</f>
        <v>0</v>
      </c>
      <c r="AE525" s="169"/>
      <c r="AF525" s="560"/>
      <c r="AG525" s="682" t="e">
        <f t="shared" si="32"/>
        <v>#DIV/0!</v>
      </c>
      <c r="AH525" s="560"/>
      <c r="AI525" s="556"/>
      <c r="AJ525" s="556"/>
      <c r="AK525" s="721"/>
      <c r="AL525" s="1806"/>
      <c r="AM525" s="631"/>
      <c r="AN525" s="631"/>
      <c r="AO525" s="631"/>
      <c r="AP525" s="556"/>
      <c r="AQ525" s="1485"/>
      <c r="AR525" s="1487"/>
      <c r="AS525" s="1483"/>
      <c r="AT525" s="1483"/>
      <c r="AU525" s="1488"/>
      <c r="AV525" s="451"/>
      <c r="AW525" s="13"/>
    </row>
    <row r="526" spans="1:49" ht="54" hidden="1" customHeight="1">
      <c r="A526" s="17">
        <f>OBRA!I524</f>
        <v>2020</v>
      </c>
      <c r="B526" s="895" t="s">
        <v>2098</v>
      </c>
      <c r="C526" s="895">
        <v>206.37</v>
      </c>
      <c r="D526" s="895"/>
      <c r="E526" s="2" t="str">
        <f>OBRA!K524</f>
        <v>RAMO 33</v>
      </c>
      <c r="F526" s="205" t="s">
        <v>1431</v>
      </c>
      <c r="G526" s="164" t="s">
        <v>2239</v>
      </c>
      <c r="H526" s="451" t="str">
        <f>OBRA!L524</f>
        <v>GMJ 037C- OP/2020</v>
      </c>
      <c r="I526" s="2" t="str">
        <f>OBRA!M524</f>
        <v>ADJUDICACIÓN DIRECTA</v>
      </c>
      <c r="J526" s="328" t="str">
        <f>OBRA!N524</f>
        <v>"CONSTRUCCIÓN DE BANQUETAS EN UNIDAD DEPORTIVA ZARAGOZA” EN LA CABECERA MUNICIPAL DE JOCOTEPEC, JALISCO.</v>
      </c>
      <c r="K526" s="597"/>
      <c r="L526" s="780" t="s">
        <v>4040</v>
      </c>
      <c r="M526" s="780" t="s">
        <v>1979</v>
      </c>
      <c r="N526" s="585" t="s">
        <v>4068</v>
      </c>
      <c r="O526" s="4">
        <f>OBRA!P524</f>
        <v>229496.26</v>
      </c>
      <c r="P526" s="1208">
        <f t="shared" si="33"/>
        <v>197841.60344827588</v>
      </c>
      <c r="Q526" s="1208"/>
      <c r="R526" s="6">
        <f>OBRA!Q524</f>
        <v>44168</v>
      </c>
      <c r="S526" s="1327">
        <f>OBRA!T524</f>
        <v>44167</v>
      </c>
      <c r="T526" s="5">
        <f>OBRA!R524</f>
        <v>44172</v>
      </c>
      <c r="U526" s="12">
        <f>OBRA!S524</f>
        <v>44184</v>
      </c>
      <c r="V526" s="761">
        <v>0</v>
      </c>
      <c r="W526" s="1203">
        <f>OBRA!AQ524+OBRA!AR524</f>
        <v>229496.26</v>
      </c>
      <c r="X526" s="1235" t="s">
        <v>3380</v>
      </c>
      <c r="Y526" s="639" t="str">
        <f>OBRA!U524</f>
        <v>PLANOS Y OBRAS LODEIRO S.A. DE C.V.</v>
      </c>
      <c r="Z526" s="639" t="s">
        <v>5823</v>
      </c>
      <c r="AA526" s="640" t="s">
        <v>3388</v>
      </c>
      <c r="AB526" s="675" t="s">
        <v>3389</v>
      </c>
      <c r="AC526" s="650" t="s">
        <v>3390</v>
      </c>
      <c r="AD526" s="198" t="str">
        <f>OBRA!V524</f>
        <v>ING. RIGOBERTO OR / ARQ. JAIME CONDE</v>
      </c>
      <c r="AE526" s="174">
        <v>251.6</v>
      </c>
      <c r="AF526" s="202" t="s">
        <v>1552</v>
      </c>
      <c r="AG526" s="694">
        <f t="shared" si="32"/>
        <v>912.14729729729731</v>
      </c>
      <c r="AH526" s="202">
        <v>2000</v>
      </c>
      <c r="AI526" s="566">
        <v>22000</v>
      </c>
      <c r="AJ526" s="566"/>
      <c r="AK526" s="1813">
        <v>20.292607</v>
      </c>
      <c r="AL526" s="1814">
        <v>103.435622</v>
      </c>
      <c r="AM526" s="1509" t="s">
        <v>3834</v>
      </c>
      <c r="AN526" s="1435" t="s">
        <v>3834</v>
      </c>
      <c r="AO526" s="1435" t="s">
        <v>3834</v>
      </c>
      <c r="AP526" s="1436" t="s">
        <v>3834</v>
      </c>
      <c r="AQ526" s="1451" t="s">
        <v>3834</v>
      </c>
      <c r="AR526" s="1487"/>
      <c r="AS526" s="1483"/>
      <c r="AT526" s="1483"/>
      <c r="AU526" s="1488"/>
      <c r="AV526" s="451"/>
      <c r="AW526" s="13"/>
    </row>
    <row r="527" spans="1:49" ht="106.5" hidden="1" customHeight="1">
      <c r="A527" s="17">
        <f>OBRA!I525</f>
        <v>2020</v>
      </c>
      <c r="B527" s="895" t="s">
        <v>2098</v>
      </c>
      <c r="C527" s="895">
        <v>206.38</v>
      </c>
      <c r="D527" s="895"/>
      <c r="E527" s="2" t="str">
        <f>OBRA!K525</f>
        <v>CUENTA CORRIENTE</v>
      </c>
      <c r="F527" s="205" t="s">
        <v>1431</v>
      </c>
      <c r="G527" s="164" t="s">
        <v>2239</v>
      </c>
      <c r="H527" s="451"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664"/>
      <c r="L527" s="780" t="s">
        <v>4059</v>
      </c>
      <c r="M527" s="780" t="s">
        <v>3820</v>
      </c>
      <c r="N527" s="554" t="s">
        <v>4068</v>
      </c>
      <c r="O527" s="4">
        <f>OBRA!P525</f>
        <v>868714.16</v>
      </c>
      <c r="P527" s="1208">
        <f t="shared" si="33"/>
        <v>748891.51724137936</v>
      </c>
      <c r="Q527" s="1208"/>
      <c r="R527" s="6">
        <f>OBRA!Q525</f>
        <v>44548</v>
      </c>
      <c r="S527" s="1327">
        <f>OBRA!T525</f>
        <v>44181</v>
      </c>
      <c r="T527" s="5">
        <f>OBRA!R525</f>
        <v>44194</v>
      </c>
      <c r="U527" s="12">
        <f>OBRA!S525</f>
        <v>44284</v>
      </c>
      <c r="V527" s="305">
        <v>217178.54</v>
      </c>
      <c r="W527" s="1289">
        <f>OBRA!AQ525+OBRA!AR525</f>
        <v>0</v>
      </c>
      <c r="X527" s="1202" t="s">
        <v>3381</v>
      </c>
      <c r="Y527" s="639" t="str">
        <f>OBRA!U525</f>
        <v>ALSERCON SA DE CV</v>
      </c>
      <c r="Z527" s="639" t="s">
        <v>5823</v>
      </c>
      <c r="AA527" s="640" t="s">
        <v>2183</v>
      </c>
      <c r="AB527" s="1234" t="s">
        <v>2184</v>
      </c>
      <c r="AC527" s="639" t="s">
        <v>2797</v>
      </c>
      <c r="AD527" s="200" t="str">
        <f>OBRA!V525</f>
        <v>ARQ. JAIME CONDE GOMEZ</v>
      </c>
      <c r="AE527" s="174">
        <v>462.05</v>
      </c>
      <c r="AF527" s="202" t="s">
        <v>1552</v>
      </c>
      <c r="AG527" s="682">
        <f t="shared" si="32"/>
        <v>0</v>
      </c>
      <c r="AH527" s="202">
        <v>350</v>
      </c>
      <c r="AI527" s="566">
        <v>500</v>
      </c>
      <c r="AJ527" s="566"/>
      <c r="AK527" s="1813">
        <v>20.297528</v>
      </c>
      <c r="AL527" s="1814">
        <v>103.47035</v>
      </c>
      <c r="AM527" s="1509" t="s">
        <v>3694</v>
      </c>
      <c r="AN527" s="1435" t="s">
        <v>3694</v>
      </c>
      <c r="AO527" s="1435" t="s">
        <v>3694</v>
      </c>
      <c r="AP527" s="1436" t="s">
        <v>3694</v>
      </c>
      <c r="AQ527" s="1485"/>
      <c r="AR527" s="1487"/>
      <c r="AS527" s="1483"/>
      <c r="AT527" s="1483"/>
      <c r="AU527" s="1488"/>
      <c r="AV527" s="451"/>
      <c r="AW527" s="13"/>
    </row>
    <row r="528" spans="1:49" ht="144.75" hidden="1" customHeight="1">
      <c r="A528" s="17">
        <f>OBRA!I526</f>
        <v>2021</v>
      </c>
      <c r="B528" s="895" t="s">
        <v>2098</v>
      </c>
      <c r="C528" s="895">
        <v>210.01</v>
      </c>
      <c r="D528" s="895"/>
      <c r="E528" s="2" t="str">
        <f>OBRA!K526</f>
        <v>FOCOCI</v>
      </c>
      <c r="F528" s="806" t="s">
        <v>3849</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4"/>
      <c r="L528" s="780" t="s">
        <v>4105</v>
      </c>
      <c r="M528" s="780" t="s">
        <v>2611</v>
      </c>
      <c r="N528" s="585" t="s">
        <v>3849</v>
      </c>
      <c r="O528" s="4">
        <f>OBRA!P526</f>
        <v>9000000</v>
      </c>
      <c r="P528" s="1208">
        <f t="shared" si="33"/>
        <v>7758620.6896551726</v>
      </c>
      <c r="Q528" s="1208"/>
      <c r="R528" s="6">
        <f>OBRA!Q526</f>
        <v>44251</v>
      </c>
      <c r="S528" s="1327" t="str">
        <f>OBRA!T526</f>
        <v>-</v>
      </c>
      <c r="T528" s="5">
        <f>OBRA!R526</f>
        <v>44251</v>
      </c>
      <c r="U528" s="12">
        <f>OBRA!S526</f>
        <v>44469</v>
      </c>
      <c r="V528" s="1405">
        <v>0</v>
      </c>
      <c r="W528" s="1203">
        <f>W576+W577</f>
        <v>9000000</v>
      </c>
      <c r="X528" s="1202" t="s">
        <v>68</v>
      </c>
      <c r="Y528" s="639" t="s">
        <v>68</v>
      </c>
      <c r="Z528" s="639" t="s">
        <v>68</v>
      </c>
      <c r="AA528" s="640" t="s">
        <v>68</v>
      </c>
      <c r="AB528" s="639" t="s">
        <v>68</v>
      </c>
      <c r="AC528" s="1234" t="s">
        <v>68</v>
      </c>
      <c r="AD528" s="200" t="str">
        <f>OBRA!V526</f>
        <v>N/A</v>
      </c>
      <c r="AE528" s="174" t="s">
        <v>68</v>
      </c>
      <c r="AF528" s="202" t="s">
        <v>68</v>
      </c>
      <c r="AG528" s="653" t="s">
        <v>1177</v>
      </c>
      <c r="AH528" s="202">
        <v>350</v>
      </c>
      <c r="AI528" s="566">
        <v>500</v>
      </c>
      <c r="AJ528" s="566"/>
      <c r="AK528" s="1802"/>
      <c r="AL528" s="1803"/>
      <c r="AM528" s="629" t="s">
        <v>3849</v>
      </c>
      <c r="AN528" s="629" t="s">
        <v>68</v>
      </c>
      <c r="AO528" s="629" t="s">
        <v>68</v>
      </c>
      <c r="AP528" s="566" t="s">
        <v>68</v>
      </c>
      <c r="AQ528" s="1690" t="s">
        <v>68</v>
      </c>
      <c r="AR528" s="1692" t="s">
        <v>68</v>
      </c>
      <c r="AS528" s="1693" t="s">
        <v>68</v>
      </c>
      <c r="AT528" s="1693" t="s">
        <v>68</v>
      </c>
      <c r="AU528" s="1694" t="s">
        <v>68</v>
      </c>
      <c r="AV528" s="633" t="s">
        <v>551</v>
      </c>
      <c r="AW528" s="13"/>
    </row>
    <row r="529" spans="1:49" s="1241" customFormat="1" ht="113.25" hidden="1" customHeight="1">
      <c r="A529" s="588">
        <f>OBRA!I527</f>
        <v>2021</v>
      </c>
      <c r="B529" s="1773" t="s">
        <v>2098</v>
      </c>
      <c r="C529" s="1773">
        <v>211.01</v>
      </c>
      <c r="D529" s="1773"/>
      <c r="E529" s="203" t="str">
        <f>OBRA!K527</f>
        <v>CUENTA CORRIENTE</v>
      </c>
      <c r="F529" s="1747" t="s">
        <v>1431</v>
      </c>
      <c r="G529" s="636" t="s">
        <v>2239</v>
      </c>
      <c r="H529" s="1774"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4126</v>
      </c>
      <c r="M529" s="112" t="s">
        <v>3664</v>
      </c>
      <c r="N529" s="112"/>
      <c r="O529" s="1255">
        <f>OBRA!P527</f>
        <v>710000</v>
      </c>
      <c r="P529" s="1255">
        <f t="shared" si="33"/>
        <v>612068.96551724139</v>
      </c>
      <c r="Q529" s="1255"/>
      <c r="R529" s="1746">
        <f>OBRA!Q527</f>
        <v>44221</v>
      </c>
      <c r="S529" s="1775" t="str">
        <f>OBRA!T527</f>
        <v>-</v>
      </c>
      <c r="T529" s="1262">
        <f>OBRA!R527</f>
        <v>44222</v>
      </c>
      <c r="U529" s="1268">
        <f>OBRA!S527</f>
        <v>44377</v>
      </c>
      <c r="V529" s="1750">
        <v>0</v>
      </c>
      <c r="W529" s="1777">
        <f>OBRA!AQ527+OBRA!AR527</f>
        <v>0</v>
      </c>
      <c r="X529" s="1778" t="s">
        <v>3523</v>
      </c>
      <c r="Y529" s="1779" t="str">
        <f>OBRA!U527</f>
        <v>N/A</v>
      </c>
      <c r="Z529" s="639" t="s">
        <v>68</v>
      </c>
      <c r="AA529" s="1790" t="str">
        <f>Y529</f>
        <v>N/A</v>
      </c>
      <c r="AB529" s="1779" t="s">
        <v>1177</v>
      </c>
      <c r="AC529" s="1790" t="s">
        <v>1177</v>
      </c>
      <c r="AD529" s="1781" t="str">
        <f>OBRA!V527</f>
        <v>ING. LUIS RIGOBERTO OLMEDO NAVARRO</v>
      </c>
      <c r="AE529" s="955"/>
      <c r="AF529" s="203"/>
      <c r="AG529" s="1782" t="e">
        <f t="shared" ref="AG529:AG568" si="34">W529/AE529</f>
        <v>#DIV/0!</v>
      </c>
      <c r="AH529" s="203">
        <v>500</v>
      </c>
      <c r="AI529" s="567">
        <v>3000</v>
      </c>
      <c r="AJ529" s="567"/>
      <c r="AK529" s="1811" t="s">
        <v>68</v>
      </c>
      <c r="AL529" s="1812" t="s">
        <v>68</v>
      </c>
      <c r="AM529" s="1791"/>
      <c r="AN529" s="1791"/>
      <c r="AO529" s="1791"/>
      <c r="AP529" s="567"/>
      <c r="AQ529" s="1784"/>
      <c r="AR529" s="1785" t="s">
        <v>68</v>
      </c>
      <c r="AS529" s="1786" t="s">
        <v>68</v>
      </c>
      <c r="AT529" s="1786"/>
      <c r="AU529" s="1787"/>
      <c r="AV529" s="1774"/>
      <c r="AW529" s="1756"/>
    </row>
    <row r="530" spans="1:49" ht="103.5" hidden="1" customHeight="1">
      <c r="A530" s="17">
        <f>OBRA!I528</f>
        <v>2021</v>
      </c>
      <c r="B530" s="895" t="s">
        <v>2098</v>
      </c>
      <c r="C530" s="895">
        <v>211.02</v>
      </c>
      <c r="D530" s="895"/>
      <c r="E530" s="2" t="str">
        <f>OBRA!K528</f>
        <v>CUENTA CORRIENTE</v>
      </c>
      <c r="F530" s="205" t="s">
        <v>1431</v>
      </c>
      <c r="G530" s="164" t="s">
        <v>2239</v>
      </c>
      <c r="H530" s="451"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97"/>
      <c r="L530" s="780" t="s">
        <v>3906</v>
      </c>
      <c r="M530" s="780" t="s">
        <v>3664</v>
      </c>
      <c r="N530" s="554" t="s">
        <v>3978</v>
      </c>
      <c r="O530" s="4">
        <f>OBRA!P528</f>
        <v>650000</v>
      </c>
      <c r="P530" s="1208">
        <f t="shared" si="33"/>
        <v>560344.82758620696</v>
      </c>
      <c r="Q530" s="1208"/>
      <c r="R530" s="6">
        <f>OBRA!Q528</f>
        <v>44221</v>
      </c>
      <c r="S530" s="1327" t="str">
        <f>OBRA!T528</f>
        <v>-</v>
      </c>
      <c r="T530" s="5">
        <f>OBRA!R528</f>
        <v>44222</v>
      </c>
      <c r="U530" s="12">
        <f>OBRA!S528</f>
        <v>44377</v>
      </c>
      <c r="V530" s="240">
        <v>0</v>
      </c>
      <c r="W530" s="1203">
        <f>OBRA!AQ528+OBRA!AR528</f>
        <v>693456.15999999992</v>
      </c>
      <c r="X530" s="1202" t="s">
        <v>3525</v>
      </c>
      <c r="Y530" s="639" t="str">
        <f>OBRA!U528</f>
        <v>N/A</v>
      </c>
      <c r="Z530" s="639" t="s">
        <v>68</v>
      </c>
      <c r="AA530" s="640" t="str">
        <f t="shared" ref="AA530:AA541" si="35">Y530</f>
        <v>N/A</v>
      </c>
      <c r="AB530" s="639" t="s">
        <v>1177</v>
      </c>
      <c r="AC530" s="640" t="s">
        <v>1177</v>
      </c>
      <c r="AD530" s="198" t="str">
        <f>OBRA!V528</f>
        <v xml:space="preserve">ING. ENRIQUE ENRÍQUEZ VÁZQUEZ </v>
      </c>
      <c r="AE530" s="231">
        <v>567.16999999999996</v>
      </c>
      <c r="AF530" s="426" t="s">
        <v>1552</v>
      </c>
      <c r="AG530" s="1979">
        <f t="shared" si="34"/>
        <v>1222.6601548036742</v>
      </c>
      <c r="AH530" s="560"/>
      <c r="AI530" s="556"/>
      <c r="AJ530" s="556"/>
      <c r="AK530" s="1813">
        <v>20.327221999999999</v>
      </c>
      <c r="AL530" s="1814">
        <v>103.480161</v>
      </c>
      <c r="AM530" s="629" t="s">
        <v>3978</v>
      </c>
      <c r="AN530" s="631"/>
      <c r="AO530" s="631"/>
      <c r="AP530" s="556"/>
      <c r="AQ530" s="1485"/>
      <c r="AR530" s="1494" t="s">
        <v>68</v>
      </c>
      <c r="AS530" s="1495" t="s">
        <v>68</v>
      </c>
      <c r="AT530" s="1483"/>
      <c r="AU530" s="1488"/>
      <c r="AV530" s="451"/>
      <c r="AW530" s="13"/>
    </row>
    <row r="531" spans="1:49" ht="115.5" hidden="1" customHeight="1">
      <c r="A531" s="17">
        <f>OBRA!I529</f>
        <v>2021</v>
      </c>
      <c r="B531" s="895" t="s">
        <v>2098</v>
      </c>
      <c r="C531" s="895">
        <v>211.03</v>
      </c>
      <c r="D531" s="895"/>
      <c r="E531" s="2" t="str">
        <f>OBRA!K529</f>
        <v>RAMO 33</v>
      </c>
      <c r="F531" s="19" t="s">
        <v>1431</v>
      </c>
      <c r="G531" s="164" t="s">
        <v>2239</v>
      </c>
      <c r="H531" s="451"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3907</v>
      </c>
      <c r="M531" s="780" t="s">
        <v>1979</v>
      </c>
      <c r="N531" s="597"/>
      <c r="O531" s="4">
        <f>OBRA!P529</f>
        <v>174639.07</v>
      </c>
      <c r="P531" s="1208">
        <f t="shared" si="33"/>
        <v>150550.92241379313</v>
      </c>
      <c r="Q531" s="1208"/>
      <c r="R531" s="6">
        <f>OBRA!Q529</f>
        <v>44435</v>
      </c>
      <c r="S531" s="1327" t="str">
        <f>OBRA!T529</f>
        <v>-</v>
      </c>
      <c r="T531" s="5">
        <f>OBRA!R529</f>
        <v>44440</v>
      </c>
      <c r="U531" s="12">
        <f>OBRA!S529</f>
        <v>44455</v>
      </c>
      <c r="V531" s="240">
        <v>0</v>
      </c>
      <c r="W531" s="1289">
        <f>OBRA!AQ529+OBRA!AR529</f>
        <v>0</v>
      </c>
      <c r="X531" s="1202" t="s">
        <v>3524</v>
      </c>
      <c r="Y531" s="639" t="str">
        <f>OBRA!U529</f>
        <v>N/A</v>
      </c>
      <c r="Z531" s="639" t="s">
        <v>68</v>
      </c>
      <c r="AA531" s="640" t="str">
        <f t="shared" si="35"/>
        <v>N/A</v>
      </c>
      <c r="AB531" s="639" t="s">
        <v>1177</v>
      </c>
      <c r="AC531" s="640" t="s">
        <v>1177</v>
      </c>
      <c r="AD531" s="198" t="str">
        <f>OBRA!V529</f>
        <v>ING. J. GUADALUPE IBARRA RAMIREZ</v>
      </c>
      <c r="AE531" s="231">
        <v>48.83</v>
      </c>
      <c r="AF531" s="202" t="s">
        <v>1454</v>
      </c>
      <c r="AG531" s="682">
        <f t="shared" si="34"/>
        <v>0</v>
      </c>
      <c r="AH531" s="560"/>
      <c r="AI531" s="556"/>
      <c r="AJ531" s="556"/>
      <c r="AK531" s="1813">
        <v>20.287732999999999</v>
      </c>
      <c r="AL531" s="1814">
        <v>103.416605</v>
      </c>
      <c r="AM531" s="631"/>
      <c r="AN531" s="631"/>
      <c r="AO531" s="631"/>
      <c r="AP531" s="556"/>
      <c r="AQ531" s="1485"/>
      <c r="AR531" s="1494" t="s">
        <v>68</v>
      </c>
      <c r="AS531" s="1495" t="s">
        <v>68</v>
      </c>
      <c r="AT531" s="1483"/>
      <c r="AU531" s="1488"/>
      <c r="AV531" s="451"/>
      <c r="AW531" s="13"/>
    </row>
    <row r="532" spans="1:49" ht="75.75" hidden="1" customHeight="1">
      <c r="A532" s="17">
        <f>OBRA!I530</f>
        <v>2021</v>
      </c>
      <c r="B532" s="895" t="s">
        <v>2098</v>
      </c>
      <c r="C532" s="895">
        <v>211.04</v>
      </c>
      <c r="D532" s="895"/>
      <c r="E532" s="2" t="str">
        <f>OBRA!K530</f>
        <v>CUENTA CORRIENTE</v>
      </c>
      <c r="F532" s="19" t="s">
        <v>1431</v>
      </c>
      <c r="G532" s="164" t="s">
        <v>2239</v>
      </c>
      <c r="H532" s="451" t="str">
        <f>OBRA!L530</f>
        <v>DOP/AD/004/2021</v>
      </c>
      <c r="I532" s="2" t="str">
        <f>OBRA!M530</f>
        <v>ADMINISTRACIÓN DIRECTA</v>
      </c>
      <c r="J532" s="3" t="str">
        <f>OBRA!N530</f>
        <v>"REHABILITACIÓN DE PISOS EN AULAS DE LA ESCUELA PRIMARIA JOSE SANTANA", EN LA CABECERA MUNICIPAL DE JOCOTEPEC, JALISCO.</v>
      </c>
      <c r="K532" s="597"/>
      <c r="L532" s="780" t="s">
        <v>3908</v>
      </c>
      <c r="M532" s="780" t="s">
        <v>1979</v>
      </c>
      <c r="N532" s="597"/>
      <c r="O532" s="4">
        <f>OBRA!P530</f>
        <v>27000</v>
      </c>
      <c r="P532" s="1208">
        <f t="shared" si="33"/>
        <v>23275.862068965518</v>
      </c>
      <c r="Q532" s="1208"/>
      <c r="R532" s="6">
        <f>OBRA!Q530</f>
        <v>44225</v>
      </c>
      <c r="S532" s="1327" t="str">
        <f>OBRA!T530</f>
        <v>-</v>
      </c>
      <c r="T532" s="5">
        <f>OBRA!R530</f>
        <v>44228</v>
      </c>
      <c r="U532" s="12">
        <f>OBRA!S530</f>
        <v>44250</v>
      </c>
      <c r="V532" s="240">
        <v>0</v>
      </c>
      <c r="W532" s="1289">
        <f>OBRA!AQ530+OBRA!AR530</f>
        <v>0</v>
      </c>
      <c r="X532" s="1202" t="s">
        <v>3524</v>
      </c>
      <c r="Y532" s="639" t="str">
        <f>OBRA!U530</f>
        <v>N/A</v>
      </c>
      <c r="Z532" s="639" t="s">
        <v>68</v>
      </c>
      <c r="AA532" s="640" t="str">
        <f t="shared" si="35"/>
        <v>N/A</v>
      </c>
      <c r="AB532" s="639" t="s">
        <v>1177</v>
      </c>
      <c r="AC532" s="640" t="s">
        <v>1177</v>
      </c>
      <c r="AD532" s="198" t="str">
        <f>OBRA!V530</f>
        <v>LIC. SALVADOR CONTRERAS OLGUÍN</v>
      </c>
      <c r="AE532" s="169"/>
      <c r="AF532" s="426" t="s">
        <v>1552</v>
      </c>
      <c r="AG532" s="682" t="e">
        <f t="shared" si="34"/>
        <v>#DIV/0!</v>
      </c>
      <c r="AH532" s="202">
        <v>250</v>
      </c>
      <c r="AI532" s="566">
        <v>950</v>
      </c>
      <c r="AJ532" s="566"/>
      <c r="AK532" s="1813">
        <v>20.284606</v>
      </c>
      <c r="AL532" s="1814">
        <v>103.42886799999999</v>
      </c>
      <c r="AM532" s="631"/>
      <c r="AN532" s="631"/>
      <c r="AO532" s="631"/>
      <c r="AP532" s="556"/>
      <c r="AQ532" s="1485"/>
      <c r="AR532" s="1494" t="s">
        <v>68</v>
      </c>
      <c r="AS532" s="1495" t="s">
        <v>68</v>
      </c>
      <c r="AT532" s="1483"/>
      <c r="AU532" s="1488"/>
      <c r="AV532" s="451"/>
      <c r="AW532" s="13"/>
    </row>
    <row r="533" spans="1:49" ht="86.25" hidden="1" customHeight="1">
      <c r="A533" s="17">
        <f>OBRA!I531</f>
        <v>2021</v>
      </c>
      <c r="B533" s="895" t="s">
        <v>2098</v>
      </c>
      <c r="C533" s="895">
        <v>211.05</v>
      </c>
      <c r="D533" s="895"/>
      <c r="E533" s="2" t="str">
        <f>OBRA!K531</f>
        <v>CUENTA CORRIENTE</v>
      </c>
      <c r="F533" s="19" t="s">
        <v>1431</v>
      </c>
      <c r="G533" s="164" t="s">
        <v>2239</v>
      </c>
      <c r="H533" s="451"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97"/>
      <c r="L533" s="780" t="s">
        <v>3905</v>
      </c>
      <c r="M533" s="780" t="s">
        <v>2542</v>
      </c>
      <c r="N533" s="597"/>
      <c r="O533" s="4">
        <f>OBRA!P531</f>
        <v>266000</v>
      </c>
      <c r="P533" s="1208">
        <f t="shared" si="33"/>
        <v>229310.34482758623</v>
      </c>
      <c r="Q533" s="1208"/>
      <c r="R533" s="6">
        <f>OBRA!Q531</f>
        <v>44225</v>
      </c>
      <c r="S533" s="1327" t="str">
        <f>OBRA!T531</f>
        <v>-</v>
      </c>
      <c r="T533" s="5">
        <f>OBRA!R531</f>
        <v>44228</v>
      </c>
      <c r="U533" s="12">
        <f>OBRA!S531</f>
        <v>44281</v>
      </c>
      <c r="V533" s="240">
        <v>0</v>
      </c>
      <c r="W533" s="1289">
        <f>OBRA!AQ531+OBRA!AR531</f>
        <v>0</v>
      </c>
      <c r="X533" s="1235" t="s">
        <v>4184</v>
      </c>
      <c r="Y533" s="639" t="str">
        <f>OBRA!U531</f>
        <v>N/A</v>
      </c>
      <c r="Z533" s="639" t="s">
        <v>68</v>
      </c>
      <c r="AA533" s="640" t="str">
        <f t="shared" si="35"/>
        <v>N/A</v>
      </c>
      <c r="AB533" s="639" t="s">
        <v>1177</v>
      </c>
      <c r="AC533" s="640" t="s">
        <v>1177</v>
      </c>
      <c r="AD533" s="198" t="str">
        <f>OBRA!V531</f>
        <v>ING. LUIS RIGOBERTO OLMEDO NAVARRO</v>
      </c>
      <c r="AE533" s="231">
        <f>330+158+164</f>
        <v>652</v>
      </c>
      <c r="AF533" s="426" t="s">
        <v>1454</v>
      </c>
      <c r="AG533" s="720">
        <f t="shared" si="34"/>
        <v>0</v>
      </c>
      <c r="AH533" s="560"/>
      <c r="AI533" s="556"/>
      <c r="AJ533" s="556"/>
      <c r="AK533" s="1813">
        <v>20.356826000000002</v>
      </c>
      <c r="AL533" s="1814">
        <v>103.48700100000001</v>
      </c>
      <c r="AM533" s="631"/>
      <c r="AN533" s="631"/>
      <c r="AO533" s="631"/>
      <c r="AP533" s="556"/>
      <c r="AQ533" s="1485"/>
      <c r="AR533" s="1494" t="s">
        <v>68</v>
      </c>
      <c r="AS533" s="1495" t="s">
        <v>68</v>
      </c>
      <c r="AT533" s="1483"/>
      <c r="AU533" s="1488"/>
      <c r="AV533" s="451"/>
      <c r="AW533" s="13"/>
    </row>
    <row r="534" spans="1:49" s="1241" customFormat="1" ht="48.75" hidden="1" customHeight="1">
      <c r="A534" s="588">
        <f>OBRA!I532</f>
        <v>2021</v>
      </c>
      <c r="B534" s="1773" t="s">
        <v>2098</v>
      </c>
      <c r="C534" s="1773">
        <v>211.06</v>
      </c>
      <c r="D534" s="1773"/>
      <c r="E534" s="203">
        <f>OBRA!K532</f>
        <v>0</v>
      </c>
      <c r="F534" s="1747"/>
      <c r="G534" s="636" t="s">
        <v>2239</v>
      </c>
      <c r="H534" s="1774" t="str">
        <f>OBRA!L532</f>
        <v>DOP/AD/006/2021</v>
      </c>
      <c r="I534" s="203" t="str">
        <f>OBRA!M532</f>
        <v>CANCELADA</v>
      </c>
      <c r="J534" s="112">
        <f>OBRA!N532</f>
        <v>0</v>
      </c>
      <c r="K534" s="112"/>
      <c r="L534" s="112"/>
      <c r="M534" s="112"/>
      <c r="N534" s="112"/>
      <c r="O534" s="1255">
        <f>OBRA!P532</f>
        <v>0</v>
      </c>
      <c r="P534" s="1255">
        <f t="shared" si="33"/>
        <v>0</v>
      </c>
      <c r="Q534" s="1255"/>
      <c r="R534" s="1746">
        <f>OBRA!Q532</f>
        <v>0</v>
      </c>
      <c r="S534" s="1775" t="str">
        <f>OBRA!T532</f>
        <v>-</v>
      </c>
      <c r="T534" s="1262">
        <f>OBRA!R532</f>
        <v>0</v>
      </c>
      <c r="U534" s="1268">
        <f>OBRA!S532</f>
        <v>0</v>
      </c>
      <c r="V534" s="1750">
        <v>0</v>
      </c>
      <c r="W534" s="1777">
        <f>OBRA!AQ532+OBRA!AR532</f>
        <v>0</v>
      </c>
      <c r="X534" s="1778"/>
      <c r="Y534" s="1779" t="str">
        <f>OBRA!U532</f>
        <v>N/A</v>
      </c>
      <c r="Z534" s="639" t="s">
        <v>68</v>
      </c>
      <c r="AA534" s="1790" t="str">
        <f t="shared" si="35"/>
        <v>N/A</v>
      </c>
      <c r="AB534" s="1779" t="s">
        <v>1177</v>
      </c>
      <c r="AC534" s="1790" t="s">
        <v>1177</v>
      </c>
      <c r="AD534" s="1781" t="str">
        <f>OBRA!V532</f>
        <v>DANIEL RODRIGUEZ</v>
      </c>
      <c r="AE534" s="955"/>
      <c r="AF534" s="203"/>
      <c r="AG534" s="1782" t="e">
        <f t="shared" si="34"/>
        <v>#DIV/0!</v>
      </c>
      <c r="AH534" s="203"/>
      <c r="AI534" s="567"/>
      <c r="AJ534" s="567"/>
      <c r="AK534" s="1811"/>
      <c r="AL534" s="1812"/>
      <c r="AM534" s="1791"/>
      <c r="AN534" s="1791"/>
      <c r="AO534" s="1791"/>
      <c r="AP534" s="567"/>
      <c r="AQ534" s="1784"/>
      <c r="AR534" s="1785" t="s">
        <v>68</v>
      </c>
      <c r="AS534" s="1786" t="s">
        <v>68</v>
      </c>
      <c r="AT534" s="1786"/>
      <c r="AU534" s="1787"/>
      <c r="AV534" s="1774"/>
      <c r="AW534" s="1756"/>
    </row>
    <row r="535" spans="1:49" s="1241" customFormat="1" ht="77.25" hidden="1" customHeight="1">
      <c r="A535" s="588">
        <f>OBRA!I533</f>
        <v>2021</v>
      </c>
      <c r="B535" s="1773" t="s">
        <v>2098</v>
      </c>
      <c r="C535" s="1773">
        <v>211.07</v>
      </c>
      <c r="D535" s="1773"/>
      <c r="E535" s="203" t="str">
        <f>OBRA!K533</f>
        <v>CUENTA CORRIENTE</v>
      </c>
      <c r="F535" s="1747" t="s">
        <v>1431</v>
      </c>
      <c r="G535" s="636" t="s">
        <v>2239</v>
      </c>
      <c r="H535" s="1774"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4133</v>
      </c>
      <c r="M535" s="112" t="s">
        <v>2551</v>
      </c>
      <c r="N535" s="1788" t="s">
        <v>3979</v>
      </c>
      <c r="O535" s="1255">
        <f>OBRA!P533</f>
        <v>227155</v>
      </c>
      <c r="P535" s="1255">
        <f t="shared" si="33"/>
        <v>195823.27586206899</v>
      </c>
      <c r="Q535" s="1255"/>
      <c r="R535" s="1746">
        <f>OBRA!Q533</f>
        <v>44302</v>
      </c>
      <c r="S535" s="1775" t="str">
        <f>OBRA!T533</f>
        <v>-</v>
      </c>
      <c r="T535" s="1262">
        <f>OBRA!R533</f>
        <v>44228</v>
      </c>
      <c r="U535" s="1268">
        <f>OBRA!S533</f>
        <v>44281</v>
      </c>
      <c r="V535" s="1750">
        <v>0</v>
      </c>
      <c r="W535" s="1777">
        <f>OBRA!AQ533+OBRA!AR533</f>
        <v>0</v>
      </c>
      <c r="X535" s="1778" t="s">
        <v>3966</v>
      </c>
      <c r="Y535" s="1779" t="str">
        <f>OBRA!U533</f>
        <v>N/A</v>
      </c>
      <c r="Z535" s="639" t="s">
        <v>68</v>
      </c>
      <c r="AA535" s="1790" t="str">
        <f t="shared" si="35"/>
        <v>N/A</v>
      </c>
      <c r="AB535" s="1779" t="s">
        <v>1177</v>
      </c>
      <c r="AC535" s="1790" t="s">
        <v>1177</v>
      </c>
      <c r="AD535" s="1781">
        <f>OBRA!V533</f>
        <v>0</v>
      </c>
      <c r="AE535" s="955"/>
      <c r="AF535" s="203"/>
      <c r="AG535" s="1782" t="e">
        <f t="shared" si="34"/>
        <v>#DIV/0!</v>
      </c>
      <c r="AH535" s="203"/>
      <c r="AI535" s="567"/>
      <c r="AJ535" s="567"/>
      <c r="AK535" s="1855">
        <v>20.339117999999999</v>
      </c>
      <c r="AL535" s="1856">
        <v>103.37781699999999</v>
      </c>
      <c r="AM535" s="1791" t="s">
        <v>3979</v>
      </c>
      <c r="AN535" s="1791"/>
      <c r="AO535" s="1791"/>
      <c r="AP535" s="567"/>
      <c r="AQ535" s="1784"/>
      <c r="AR535" s="1785" t="s">
        <v>68</v>
      </c>
      <c r="AS535" s="1786" t="s">
        <v>68</v>
      </c>
      <c r="AT535" s="1786"/>
      <c r="AU535" s="1787"/>
      <c r="AV535" s="1774"/>
      <c r="AW535" s="1756"/>
    </row>
    <row r="536" spans="1:49" ht="84" hidden="1" customHeight="1">
      <c r="A536" s="17">
        <f>OBRA!I534</f>
        <v>2021</v>
      </c>
      <c r="B536" s="895" t="s">
        <v>2098</v>
      </c>
      <c r="C536" s="895">
        <v>211.08</v>
      </c>
      <c r="D536" s="895"/>
      <c r="E536" s="2" t="str">
        <f>OBRA!K534</f>
        <v>RAMO 33</v>
      </c>
      <c r="F536" s="19" t="s">
        <v>1431</v>
      </c>
      <c r="G536" s="164" t="s">
        <v>2239</v>
      </c>
      <c r="H536" s="451"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97"/>
      <c r="L536" s="780" t="s">
        <v>3996</v>
      </c>
      <c r="M536" s="780" t="s">
        <v>2548</v>
      </c>
      <c r="N536" s="597"/>
      <c r="O536" s="4">
        <f>OBRA!P534</f>
        <v>113778.58</v>
      </c>
      <c r="P536" s="1208">
        <f t="shared" si="33"/>
        <v>98084.982758620696</v>
      </c>
      <c r="Q536" s="1208"/>
      <c r="R536" s="6">
        <f>OBRA!Q534</f>
        <v>44356</v>
      </c>
      <c r="S536" s="1327" t="str">
        <f>OBRA!T534</f>
        <v>-</v>
      </c>
      <c r="T536" s="5">
        <f>OBRA!R534</f>
        <v>44361</v>
      </c>
      <c r="U536" s="12">
        <f>OBRA!S534</f>
        <v>44379</v>
      </c>
      <c r="V536" s="240">
        <v>0</v>
      </c>
      <c r="W536" s="1289">
        <f>OBRA!AQ534+OBRA!AR534</f>
        <v>0</v>
      </c>
      <c r="X536" s="1235" t="s">
        <v>3969</v>
      </c>
      <c r="Y536" s="639" t="str">
        <f>OBRA!U534</f>
        <v>N/A</v>
      </c>
      <c r="Z536" s="639" t="s">
        <v>68</v>
      </c>
      <c r="AA536" s="640" t="str">
        <f t="shared" si="35"/>
        <v>N/A</v>
      </c>
      <c r="AB536" s="639" t="s">
        <v>1177</v>
      </c>
      <c r="AC536" s="640" t="s">
        <v>1177</v>
      </c>
      <c r="AD536" s="198" t="str">
        <f>OBRA!V534</f>
        <v>DANIEL RODRIGUEZ</v>
      </c>
      <c r="AE536" s="231">
        <v>62</v>
      </c>
      <c r="AF536" s="426" t="s">
        <v>1454</v>
      </c>
      <c r="AG536" s="1979">
        <f t="shared" si="34"/>
        <v>0</v>
      </c>
      <c r="AH536" s="560"/>
      <c r="AI536" s="556"/>
      <c r="AJ536" s="556"/>
      <c r="AK536" s="1813">
        <v>20.278479000000001</v>
      </c>
      <c r="AL536" s="1814">
        <v>103.435001</v>
      </c>
      <c r="AM536" s="631"/>
      <c r="AN536" s="631"/>
      <c r="AO536" s="631"/>
      <c r="AP536" s="556"/>
      <c r="AQ536" s="1485"/>
      <c r="AR536" s="1494" t="s">
        <v>68</v>
      </c>
      <c r="AS536" s="1495" t="s">
        <v>68</v>
      </c>
      <c r="AT536" s="1483"/>
      <c r="AU536" s="1488"/>
      <c r="AV536" s="451"/>
      <c r="AW536" s="13"/>
    </row>
    <row r="537" spans="1:49" s="1241" customFormat="1" ht="90.75" hidden="1" customHeight="1">
      <c r="A537" s="588">
        <f>OBRA!I535</f>
        <v>2021</v>
      </c>
      <c r="B537" s="1773" t="s">
        <v>2098</v>
      </c>
      <c r="C537" s="1773">
        <v>211.09</v>
      </c>
      <c r="D537" s="1773"/>
      <c r="E537" s="203" t="str">
        <f>OBRA!K535</f>
        <v>CUENTA CORRIENTE</v>
      </c>
      <c r="F537" s="1747" t="s">
        <v>1431</v>
      </c>
      <c r="G537" s="636" t="s">
        <v>2239</v>
      </c>
      <c r="H537" s="1774"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3996</v>
      </c>
      <c r="M537" s="112" t="s">
        <v>2548</v>
      </c>
      <c r="N537" s="112"/>
      <c r="O537" s="1255">
        <f>OBRA!P535</f>
        <v>77686.679999999993</v>
      </c>
      <c r="P537" s="1255">
        <f t="shared" si="33"/>
        <v>66971.275862068971</v>
      </c>
      <c r="Q537" s="1255"/>
      <c r="R537" s="1746">
        <f>OBRA!Q535</f>
        <v>44356</v>
      </c>
      <c r="S537" s="1775" t="str">
        <f>OBRA!T535</f>
        <v>-</v>
      </c>
      <c r="T537" s="1262">
        <f>OBRA!R535</f>
        <v>44369</v>
      </c>
      <c r="U537" s="1268">
        <f>OBRA!S535</f>
        <v>44383</v>
      </c>
      <c r="V537" s="1750">
        <v>0</v>
      </c>
      <c r="W537" s="1777">
        <f>OBRA!AQ535+OBRA!AR535</f>
        <v>0</v>
      </c>
      <c r="X537" s="1778" t="s">
        <v>3969</v>
      </c>
      <c r="Y537" s="1779" t="str">
        <f>OBRA!U535</f>
        <v>N/A</v>
      </c>
      <c r="Z537" s="639" t="s">
        <v>68</v>
      </c>
      <c r="AA537" s="1790" t="str">
        <f t="shared" si="35"/>
        <v>N/A</v>
      </c>
      <c r="AB537" s="1779" t="s">
        <v>1177</v>
      </c>
      <c r="AC537" s="1790" t="s">
        <v>1177</v>
      </c>
      <c r="AD537" s="1781" t="str">
        <f>OBRA!V535</f>
        <v>DANIEL RODRIGUEZ</v>
      </c>
      <c r="AE537" s="955"/>
      <c r="AF537" s="203"/>
      <c r="AG537" s="1857" t="e">
        <f t="shared" si="34"/>
        <v>#DIV/0!</v>
      </c>
      <c r="AH537" s="203"/>
      <c r="AI537" s="567"/>
      <c r="AJ537" s="567"/>
      <c r="AK537" s="1855">
        <v>20.278479000000001</v>
      </c>
      <c r="AL537" s="1856">
        <v>103.435001</v>
      </c>
      <c r="AM537" s="1791"/>
      <c r="AN537" s="1791"/>
      <c r="AO537" s="1791"/>
      <c r="AP537" s="567"/>
      <c r="AQ537" s="1784"/>
      <c r="AR537" s="1785" t="s">
        <v>68</v>
      </c>
      <c r="AS537" s="1786" t="s">
        <v>68</v>
      </c>
      <c r="AT537" s="1786"/>
      <c r="AU537" s="1787"/>
      <c r="AV537" s="1774"/>
      <c r="AW537" s="1756"/>
    </row>
    <row r="538" spans="1:49" s="1241" customFormat="1" ht="60" hidden="1" customHeight="1">
      <c r="A538" s="588">
        <f>OBRA!I536</f>
        <v>2021</v>
      </c>
      <c r="B538" s="1773" t="s">
        <v>2098</v>
      </c>
      <c r="C538" s="1773">
        <v>211.1</v>
      </c>
      <c r="D538" s="1773"/>
      <c r="E538" s="203">
        <f>OBRA!K536</f>
        <v>0</v>
      </c>
      <c r="F538" s="1747"/>
      <c r="G538" s="636" t="s">
        <v>2239</v>
      </c>
      <c r="H538" s="1774" t="str">
        <f>OBRA!L536</f>
        <v>DOP/AD/010/2021</v>
      </c>
      <c r="I538" s="203" t="str">
        <f>OBRA!M536</f>
        <v>CANCELADA</v>
      </c>
      <c r="J538" s="112">
        <f>OBRA!N536</f>
        <v>0</v>
      </c>
      <c r="K538" s="112"/>
      <c r="L538" s="112" t="s">
        <v>68</v>
      </c>
      <c r="M538" s="112" t="s">
        <v>68</v>
      </c>
      <c r="N538" s="112"/>
      <c r="O538" s="1255">
        <f>OBRA!P536</f>
        <v>0</v>
      </c>
      <c r="P538" s="1255">
        <f t="shared" si="33"/>
        <v>0</v>
      </c>
      <c r="Q538" s="1255"/>
      <c r="R538" s="1746">
        <f>OBRA!Q536</f>
        <v>0</v>
      </c>
      <c r="S538" s="1775">
        <f>OBRA!T536</f>
        <v>0</v>
      </c>
      <c r="T538" s="1262">
        <f>OBRA!R536</f>
        <v>0</v>
      </c>
      <c r="U538" s="1268">
        <f>OBRA!S536</f>
        <v>0</v>
      </c>
      <c r="V538" s="1750">
        <v>0</v>
      </c>
      <c r="W538" s="1777">
        <f>OBRA!AQ536+OBRA!AR536</f>
        <v>0</v>
      </c>
      <c r="X538" s="1778"/>
      <c r="Y538" s="1779" t="str">
        <f>OBRA!U536</f>
        <v>N/A</v>
      </c>
      <c r="Z538" s="639" t="s">
        <v>68</v>
      </c>
      <c r="AA538" s="1790" t="str">
        <f t="shared" si="35"/>
        <v>N/A</v>
      </c>
      <c r="AB538" s="1779" t="s">
        <v>1177</v>
      </c>
      <c r="AC538" s="1790" t="s">
        <v>1177</v>
      </c>
      <c r="AD538" s="1781">
        <f>OBRA!V536</f>
        <v>0</v>
      </c>
      <c r="AE538" s="955"/>
      <c r="AF538" s="203"/>
      <c r="AG538" s="1782" t="e">
        <f>W538/AE538</f>
        <v>#DIV/0!</v>
      </c>
      <c r="AH538" s="203"/>
      <c r="AI538" s="567"/>
      <c r="AJ538" s="567"/>
      <c r="AK538" s="1811"/>
      <c r="AL538" s="1812"/>
      <c r="AM538" s="1791"/>
      <c r="AN538" s="1791"/>
      <c r="AO538" s="1791"/>
      <c r="AP538" s="567"/>
      <c r="AQ538" s="1784"/>
      <c r="AR538" s="1785" t="s">
        <v>68</v>
      </c>
      <c r="AS538" s="1786" t="s">
        <v>68</v>
      </c>
      <c r="AT538" s="1786"/>
      <c r="AU538" s="1787"/>
      <c r="AV538" s="1774"/>
      <c r="AW538" s="1756"/>
    </row>
    <row r="539" spans="1:49" ht="135.75" hidden="1" customHeight="1">
      <c r="A539" s="17">
        <f>OBRA!I537</f>
        <v>2021</v>
      </c>
      <c r="B539" s="895" t="s">
        <v>2098</v>
      </c>
      <c r="C539" s="895">
        <v>211.11</v>
      </c>
      <c r="D539" s="895"/>
      <c r="E539" s="202" t="str">
        <f>OBRA!K537</f>
        <v>CUENTA CORRIENTE</v>
      </c>
      <c r="F539" s="205" t="s">
        <v>1431</v>
      </c>
      <c r="G539" s="164" t="s">
        <v>2239</v>
      </c>
      <c r="H539" s="451"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4021</v>
      </c>
      <c r="M539" s="780" t="s">
        <v>1979</v>
      </c>
      <c r="N539" s="597"/>
      <c r="O539" s="4">
        <f>OBRA!P537</f>
        <v>271040</v>
      </c>
      <c r="P539" s="1208">
        <f t="shared" si="33"/>
        <v>233655.17241379313</v>
      </c>
      <c r="Q539" s="1208"/>
      <c r="R539" s="6">
        <f>OBRA!Q537</f>
        <v>44232</v>
      </c>
      <c r="S539" s="1327" t="str">
        <f>OBRA!T537</f>
        <v>-</v>
      </c>
      <c r="T539" s="5">
        <f>OBRA!R537</f>
        <v>44236</v>
      </c>
      <c r="U539" s="12">
        <f>OBRA!S537</f>
        <v>44257</v>
      </c>
      <c r="V539" s="240">
        <v>0</v>
      </c>
      <c r="W539" s="1289">
        <f>OBRA!AQ537+OBRA!AR537</f>
        <v>0</v>
      </c>
      <c r="X539" s="1235" t="s">
        <v>4185</v>
      </c>
      <c r="Y539" s="639" t="str">
        <f>OBRA!U537</f>
        <v>N/A</v>
      </c>
      <c r="Z539" s="639" t="s">
        <v>68</v>
      </c>
      <c r="AA539" s="640" t="str">
        <f t="shared" si="35"/>
        <v>N/A</v>
      </c>
      <c r="AB539" s="639" t="s">
        <v>1177</v>
      </c>
      <c r="AC539" s="640" t="s">
        <v>1177</v>
      </c>
      <c r="AD539" s="198" t="str">
        <f>OBRA!V537</f>
        <v>ING. LUIS RIGOBERTO OLMEDO NAVARRO</v>
      </c>
      <c r="AE539" s="231">
        <v>536.30999999999995</v>
      </c>
      <c r="AF539" s="426" t="s">
        <v>1552</v>
      </c>
      <c r="AG539" s="757">
        <f t="shared" si="34"/>
        <v>0</v>
      </c>
      <c r="AH539" s="560"/>
      <c r="AI539" s="556"/>
      <c r="AJ539" s="556"/>
      <c r="AK539" s="1813">
        <v>20.285461999999999</v>
      </c>
      <c r="AL539" s="1814">
        <v>103.429884</v>
      </c>
      <c r="AM539" s="631"/>
      <c r="AN539" s="631"/>
      <c r="AO539" s="631"/>
      <c r="AP539" s="556"/>
      <c r="AQ539" s="1485"/>
      <c r="AR539" s="1494"/>
      <c r="AS539" s="1495"/>
      <c r="AT539" s="1495"/>
      <c r="AU539" s="1496"/>
      <c r="AV539" s="451"/>
      <c r="AW539" s="13"/>
    </row>
    <row r="540" spans="1:49" s="1241" customFormat="1" ht="41.25" hidden="1" customHeight="1">
      <c r="A540" s="588">
        <f>OBRA!I538</f>
        <v>2021</v>
      </c>
      <c r="B540" s="1773" t="s">
        <v>2098</v>
      </c>
      <c r="C540" s="1773">
        <v>211.12</v>
      </c>
      <c r="D540" s="1773"/>
      <c r="E540" s="203" t="str">
        <f>OBRA!K538</f>
        <v>RASTRO DIGNO 2020</v>
      </c>
      <c r="F540" s="1747" t="s">
        <v>1431</v>
      </c>
      <c r="G540" s="636" t="s">
        <v>2239</v>
      </c>
      <c r="H540" s="1774"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33"/>
        <v>106899.75000000001</v>
      </c>
      <c r="Q540" s="1255"/>
      <c r="R540" s="1746">
        <f>OBRA!Q538</f>
        <v>44438</v>
      </c>
      <c r="S540" s="1775" t="str">
        <f>OBRA!T538</f>
        <v>-</v>
      </c>
      <c r="T540" s="1262">
        <f>OBRA!R538</f>
        <v>44445</v>
      </c>
      <c r="U540" s="1268">
        <f>OBRA!S538</f>
        <v>44463</v>
      </c>
      <c r="V540" s="1750">
        <v>0</v>
      </c>
      <c r="W540" s="1777">
        <f>OBRA!AQ538+OBRA!AR538</f>
        <v>0</v>
      </c>
      <c r="X540" s="1778"/>
      <c r="Y540" s="1779" t="str">
        <f>OBRA!U538</f>
        <v>-</v>
      </c>
      <c r="Z540" s="639" t="s">
        <v>68</v>
      </c>
      <c r="AA540" s="1790" t="str">
        <f t="shared" si="35"/>
        <v>-</v>
      </c>
      <c r="AB540" s="1779" t="s">
        <v>1177</v>
      </c>
      <c r="AC540" s="1790" t="s">
        <v>1177</v>
      </c>
      <c r="AD540" s="1781" t="str">
        <f>OBRA!V538</f>
        <v>ARQ. JAIME CONDE GOMEZ</v>
      </c>
      <c r="AE540" s="955"/>
      <c r="AF540" s="203"/>
      <c r="AG540" s="1782" t="e">
        <f t="shared" si="34"/>
        <v>#DIV/0!</v>
      </c>
      <c r="AH540" s="203"/>
      <c r="AI540" s="567"/>
      <c r="AJ540" s="567"/>
      <c r="AK540" s="1811"/>
      <c r="AL540" s="1812"/>
      <c r="AM540" s="1791"/>
      <c r="AN540" s="1791"/>
      <c r="AO540" s="1791"/>
      <c r="AP540" s="567"/>
      <c r="AQ540" s="1784"/>
      <c r="AR540" s="1785" t="s">
        <v>68</v>
      </c>
      <c r="AS540" s="1786" t="s">
        <v>68</v>
      </c>
      <c r="AT540" s="1786"/>
      <c r="AU540" s="1787"/>
      <c r="AV540" s="1774"/>
      <c r="AW540" s="1756"/>
    </row>
    <row r="541" spans="1:49" ht="114.75" hidden="1" customHeight="1">
      <c r="A541" s="17">
        <f>OBRA!I539</f>
        <v>2021</v>
      </c>
      <c r="B541" s="895" t="s">
        <v>2098</v>
      </c>
      <c r="C541" s="1858">
        <v>211.13</v>
      </c>
      <c r="D541" s="1858"/>
      <c r="E541" s="2" t="str">
        <f>OBRA!K539</f>
        <v>CUENTA CORRIENTE</v>
      </c>
      <c r="F541" s="19" t="s">
        <v>1431</v>
      </c>
      <c r="G541" s="164" t="s">
        <v>2239</v>
      </c>
      <c r="H541" s="451"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97"/>
      <c r="L541" s="780" t="s">
        <v>4130</v>
      </c>
      <c r="M541" s="780" t="s">
        <v>1979</v>
      </c>
      <c r="N541" s="597"/>
      <c r="O541" s="4">
        <f>OBRA!P539</f>
        <v>168528.09</v>
      </c>
      <c r="P541" s="1208">
        <f t="shared" si="33"/>
        <v>145282.83620689655</v>
      </c>
      <c r="Q541" s="1208"/>
      <c r="R541" s="6">
        <f>OBRA!Q539</f>
        <v>44407</v>
      </c>
      <c r="S541" s="1327" t="str">
        <f>OBRA!T539</f>
        <v>-</v>
      </c>
      <c r="T541" s="5">
        <f>OBRA!R539</f>
        <v>44410</v>
      </c>
      <c r="U541" s="12">
        <f>OBRA!S539</f>
        <v>44469</v>
      </c>
      <c r="V541" s="240">
        <v>0</v>
      </c>
      <c r="W541" s="1289">
        <f>OBRA!AQ539+OBRA!AR539</f>
        <v>0</v>
      </c>
      <c r="X541" s="1235" t="s">
        <v>4186</v>
      </c>
      <c r="Y541" s="639" t="str">
        <f>OBRA!U539</f>
        <v>N/A</v>
      </c>
      <c r="Z541" s="639" t="s">
        <v>68</v>
      </c>
      <c r="AA541" s="640" t="str">
        <f t="shared" si="35"/>
        <v>N/A</v>
      </c>
      <c r="AB541" s="639" t="s">
        <v>1177</v>
      </c>
      <c r="AC541" s="640" t="s">
        <v>1177</v>
      </c>
      <c r="AD541" s="198" t="str">
        <f>OBRA!V539</f>
        <v>ING. J. GUADALUPE IBARRA RAMIREZ</v>
      </c>
      <c r="AE541" s="231">
        <v>561.4</v>
      </c>
      <c r="AF541" s="426" t="s">
        <v>1552</v>
      </c>
      <c r="AG541" s="757">
        <f t="shared" si="34"/>
        <v>0</v>
      </c>
      <c r="AH541" s="560"/>
      <c r="AI541" s="556"/>
      <c r="AJ541" s="556"/>
      <c r="AK541" s="1813">
        <v>20.280659</v>
      </c>
      <c r="AL541" s="1814">
        <v>103.44593</v>
      </c>
      <c r="AM541" s="1554"/>
      <c r="AN541" s="1554"/>
      <c r="AO541" s="1554"/>
      <c r="AP541" s="556"/>
      <c r="AQ541" s="1485"/>
      <c r="AR541" s="1494"/>
      <c r="AS541" s="1495"/>
      <c r="AT541" s="1495"/>
      <c r="AU541" s="1496"/>
      <c r="AV541" s="451"/>
      <c r="AW541" s="13"/>
    </row>
    <row r="542" spans="1:49" ht="114.75" hidden="1" customHeight="1">
      <c r="A542" s="17">
        <f>OBRA!I540</f>
        <v>2021</v>
      </c>
      <c r="B542" s="1676" t="s">
        <v>2098</v>
      </c>
      <c r="C542" s="1864">
        <v>211.14</v>
      </c>
      <c r="D542" s="1864"/>
      <c r="E542" s="451" t="str">
        <f>OBRA!K540</f>
        <v>EMP P/LA REACTIVACIÓN ECONÓMICA EN MPIOS</v>
      </c>
      <c r="F542" s="561"/>
      <c r="G542" s="164" t="s">
        <v>2239</v>
      </c>
      <c r="H542" s="451" t="str">
        <f>OBRA!L540</f>
        <v>DOP/AD/014/2021</v>
      </c>
      <c r="I542" s="2" t="str">
        <f>OBRA!M540</f>
        <v>ADMINISTRACIÓN DIRECTA</v>
      </c>
      <c r="J542" s="3" t="str">
        <f>OBRA!N540</f>
        <v>CONSTRUCCIÓN DE EMPEDRADO ZAMPEADO EN VIALIDAD CALLE GUAYABITOS, EN LA LOCALIDAD DE CHANTEPEC, DEL MUNICIPIO DE JOCOTEPEC, JALISCO.</v>
      </c>
      <c r="K542" s="597"/>
      <c r="L542" s="780" t="s">
        <v>4134</v>
      </c>
      <c r="M542" s="780" t="s">
        <v>2574</v>
      </c>
      <c r="N542" s="585"/>
      <c r="O542" s="4">
        <f>OBRA!P540</f>
        <v>80674.649999999994</v>
      </c>
      <c r="P542" s="1208">
        <f t="shared" ref="P542:P548" si="36">O542/1.16</f>
        <v>69547.112068965522</v>
      </c>
      <c r="Q542" s="1208"/>
      <c r="R542" s="6">
        <f>OBRA!Q540</f>
        <v>44378</v>
      </c>
      <c r="S542" s="1327" t="str">
        <f>OBRA!T540</f>
        <v>-</v>
      </c>
      <c r="T542" s="5">
        <f>OBRA!R540</f>
        <v>44438</v>
      </c>
      <c r="U542" s="12">
        <f>OBRA!S540</f>
        <v>44464</v>
      </c>
      <c r="V542" s="1736"/>
      <c r="W542" s="1289">
        <f>OBRA!AQ540+OBRA!AR540</f>
        <v>0</v>
      </c>
      <c r="X542" s="1235" t="s">
        <v>4187</v>
      </c>
      <c r="Y542" s="639" t="str">
        <f>OBRA!U540</f>
        <v>N/A</v>
      </c>
      <c r="Z542" s="639" t="s">
        <v>68</v>
      </c>
      <c r="AA542" s="640" t="str">
        <f t="shared" ref="AA542:AA548" si="37">Y542</f>
        <v>N/A</v>
      </c>
      <c r="AB542" s="639" t="s">
        <v>1177</v>
      </c>
      <c r="AC542" s="640" t="s">
        <v>1177</v>
      </c>
      <c r="AD542" s="198" t="str">
        <f>OBRA!V540</f>
        <v>DANIEL RODRIGUEZ</v>
      </c>
      <c r="AE542" s="231">
        <v>231</v>
      </c>
      <c r="AF542" s="426" t="s">
        <v>1552</v>
      </c>
      <c r="AG542" s="720">
        <f t="shared" ref="AG542:AG548" si="38">W542/AE542</f>
        <v>0</v>
      </c>
      <c r="AH542" s="560"/>
      <c r="AI542" s="556"/>
      <c r="AJ542" s="556"/>
      <c r="AK542" s="1813">
        <v>20.289618999999998</v>
      </c>
      <c r="AL542" s="1814">
        <v>103.41275899999999</v>
      </c>
      <c r="AM542" s="1554"/>
      <c r="AN542" s="1554"/>
      <c r="AO542" s="1554"/>
      <c r="AP542" s="556"/>
      <c r="AQ542" s="1485"/>
      <c r="AR542" s="1494"/>
      <c r="AS542" s="1495"/>
      <c r="AT542" s="1495"/>
      <c r="AU542" s="1496"/>
      <c r="AV542" s="451"/>
      <c r="AW542" s="13"/>
    </row>
    <row r="543" spans="1:49" ht="114.75" hidden="1" customHeight="1">
      <c r="A543" s="17">
        <f>OBRA!I541</f>
        <v>2021</v>
      </c>
      <c r="B543" s="1676" t="s">
        <v>2098</v>
      </c>
      <c r="C543" s="1864">
        <v>211.15</v>
      </c>
      <c r="D543" s="1864"/>
      <c r="E543" s="451" t="str">
        <f>OBRA!K541</f>
        <v>EMP P/LA REACTIVACIÓN ECONÓMICA EN MPIOS</v>
      </c>
      <c r="F543" s="561"/>
      <c r="G543" s="164" t="s">
        <v>2239</v>
      </c>
      <c r="H543" s="451" t="str">
        <f>OBRA!L541</f>
        <v>DOP/AD/015/2021</v>
      </c>
      <c r="I543" s="2" t="str">
        <f>OBRA!M541</f>
        <v>ADMINISTRACIÓN DIRECTA</v>
      </c>
      <c r="J543" s="3" t="str">
        <f>OBRA!N541</f>
        <v>CONSTRUCCIÓN DE EMPEDRADO ZAMPEADO EN LA LOCALIDAD DE LA LOMA</v>
      </c>
      <c r="K543" s="597"/>
      <c r="L543" s="780" t="s">
        <v>4135</v>
      </c>
      <c r="M543" s="780" t="s">
        <v>2548</v>
      </c>
      <c r="N543" s="585"/>
      <c r="O543" s="4">
        <f>OBRA!P541</f>
        <v>966321.38</v>
      </c>
      <c r="P543" s="1208">
        <f t="shared" si="36"/>
        <v>833035.67241379316</v>
      </c>
      <c r="Q543" s="1208"/>
      <c r="R543" s="6">
        <f>OBRA!Q541</f>
        <v>44378</v>
      </c>
      <c r="S543" s="1327" t="str">
        <f>OBRA!T541</f>
        <v>-</v>
      </c>
      <c r="T543" s="5">
        <f>OBRA!R541</f>
        <v>44438</v>
      </c>
      <c r="U543" s="12">
        <f>OBRA!S541</f>
        <v>44452</v>
      </c>
      <c r="V543" s="1736"/>
      <c r="W543" s="1289">
        <f>OBRA!AQ541+OBRA!AR541</f>
        <v>0</v>
      </c>
      <c r="X543" s="1235" t="s">
        <v>4188</v>
      </c>
      <c r="Y543" s="639" t="str">
        <f>OBRA!U541</f>
        <v>N/A</v>
      </c>
      <c r="Z543" s="639" t="s">
        <v>68</v>
      </c>
      <c r="AA543" s="640" t="str">
        <f t="shared" si="37"/>
        <v>N/A</v>
      </c>
      <c r="AB543" s="639" t="s">
        <v>1177</v>
      </c>
      <c r="AC543" s="640" t="s">
        <v>1177</v>
      </c>
      <c r="AD543" s="198" t="str">
        <f>OBRA!V541</f>
        <v>DANIEL RODRIGUEZ</v>
      </c>
      <c r="AE543" s="231">
        <f>805.55+1130.32+736.37</f>
        <v>2672.24</v>
      </c>
      <c r="AF543" s="426" t="s">
        <v>1552</v>
      </c>
      <c r="AG543" s="720">
        <f t="shared" si="38"/>
        <v>0</v>
      </c>
      <c r="AH543" s="560"/>
      <c r="AI543" s="556"/>
      <c r="AJ543" s="556"/>
      <c r="AK543" s="1813" t="s">
        <v>68</v>
      </c>
      <c r="AL543" s="1814" t="s">
        <v>68</v>
      </c>
      <c r="AM543" s="1554"/>
      <c r="AN543" s="1554"/>
      <c r="AO543" s="1554"/>
      <c r="AP543" s="556"/>
      <c r="AQ543" s="1485"/>
      <c r="AR543" s="1494"/>
      <c r="AS543" s="1495"/>
      <c r="AT543" s="1495"/>
      <c r="AU543" s="1496"/>
      <c r="AV543" s="451"/>
      <c r="AW543" s="13"/>
    </row>
    <row r="544" spans="1:49" ht="114.75" hidden="1" customHeight="1">
      <c r="A544" s="17">
        <f>OBRA!I542</f>
        <v>2021</v>
      </c>
      <c r="B544" s="1676" t="s">
        <v>2098</v>
      </c>
      <c r="C544" s="1864">
        <v>211.16</v>
      </c>
      <c r="D544" s="1864"/>
      <c r="E544" s="451" t="str">
        <f>OBRA!K542</f>
        <v>EMP P/LA REACTIVACIÓN ECONÓMICA EN MPIOS</v>
      </c>
      <c r="F544" s="561"/>
      <c r="G544" s="164" t="s">
        <v>2239</v>
      </c>
      <c r="H544" s="451" t="str">
        <f>OBRA!L542</f>
        <v>DOP/AD/016/2021</v>
      </c>
      <c r="I544" s="2" t="str">
        <f>OBRA!M542</f>
        <v>ADMINISTRACIÓN DIRECTA</v>
      </c>
      <c r="J544" s="3" t="str">
        <f>OBRA!N542</f>
        <v>CONSTRUCCIÓN DE EMPEDRADO ZAMPEADO EN LA LOCALIDAD DE LA SAN JUAN COSALA</v>
      </c>
      <c r="K544" s="597"/>
      <c r="L544" s="780" t="s">
        <v>4136</v>
      </c>
      <c r="M544" s="780" t="s">
        <v>2560</v>
      </c>
      <c r="N544" s="585"/>
      <c r="O544" s="4">
        <f>OBRA!P542</f>
        <v>831652.39</v>
      </c>
      <c r="P544" s="1208">
        <f t="shared" si="36"/>
        <v>716941.71551724139</v>
      </c>
      <c r="Q544" s="1208"/>
      <c r="R544" s="6">
        <f>OBRA!Q542</f>
        <v>44378</v>
      </c>
      <c r="S544" s="1327">
        <f>OBRA!T542</f>
        <v>0</v>
      </c>
      <c r="T544" s="5">
        <f>OBRA!R542</f>
        <v>44466</v>
      </c>
      <c r="U544" s="12">
        <f>OBRA!S542</f>
        <v>44541</v>
      </c>
      <c r="V544" s="1736"/>
      <c r="W544" s="1289">
        <f>OBRA!AQ542+OBRA!AR542</f>
        <v>0</v>
      </c>
      <c r="X544" s="1235" t="s">
        <v>4188</v>
      </c>
      <c r="Y544" s="639" t="str">
        <f>OBRA!U542</f>
        <v>N/A</v>
      </c>
      <c r="Z544" s="639" t="s">
        <v>68</v>
      </c>
      <c r="AA544" s="640" t="str">
        <f t="shared" si="37"/>
        <v>N/A</v>
      </c>
      <c r="AB544" s="639" t="s">
        <v>1177</v>
      </c>
      <c r="AC544" s="640" t="s">
        <v>1177</v>
      </c>
      <c r="AD544" s="198" t="str">
        <f>OBRA!V542</f>
        <v>DANIEL RODRIGUEZ</v>
      </c>
      <c r="AE544" s="231">
        <f>545.85+494.4+497.78+740.6</f>
        <v>2278.63</v>
      </c>
      <c r="AF544" s="426" t="s">
        <v>1552</v>
      </c>
      <c r="AG544" s="720">
        <f t="shared" si="38"/>
        <v>0</v>
      </c>
      <c r="AH544" s="560"/>
      <c r="AI544" s="556"/>
      <c r="AJ544" s="556"/>
      <c r="AK544" s="1813" t="s">
        <v>68</v>
      </c>
      <c r="AL544" s="1814" t="s">
        <v>68</v>
      </c>
      <c r="AM544" s="1554"/>
      <c r="AN544" s="1554"/>
      <c r="AO544" s="1554"/>
      <c r="AP544" s="556"/>
      <c r="AQ544" s="1485"/>
      <c r="AR544" s="1494"/>
      <c r="AS544" s="1495"/>
      <c r="AT544" s="1495"/>
      <c r="AU544" s="1496"/>
      <c r="AV544" s="451"/>
      <c r="AW544" s="13"/>
    </row>
    <row r="545" spans="1:49" ht="114.75" hidden="1" customHeight="1">
      <c r="A545" s="17">
        <f>OBRA!I543</f>
        <v>2021</v>
      </c>
      <c r="B545" s="1676" t="s">
        <v>2098</v>
      </c>
      <c r="C545" s="1864">
        <v>211.17</v>
      </c>
      <c r="D545" s="1864"/>
      <c r="E545" s="451" t="str">
        <f>OBRA!K543</f>
        <v>EMP P/LA REACTIVACIÓN ECONÓMICA EN MPIOS</v>
      </c>
      <c r="F545" s="561"/>
      <c r="G545" s="164" t="s">
        <v>2239</v>
      </c>
      <c r="H545" s="451" t="str">
        <f>OBRA!L543</f>
        <v>DOP/AD/017/2021</v>
      </c>
      <c r="I545" s="2" t="str">
        <f>OBRA!M543</f>
        <v>ADMINISTRACIÓN DIRECTA</v>
      </c>
      <c r="J545" s="3" t="str">
        <f>OBRA!N543</f>
        <v>CONSTRUCCIÓN DE EMPEDRADO ZAMPEADO EN LA LOCALIDAD DE LA NEXTIPAC</v>
      </c>
      <c r="K545" s="597"/>
      <c r="L545" s="780" t="s">
        <v>4137</v>
      </c>
      <c r="M545" s="780" t="s">
        <v>2613</v>
      </c>
      <c r="N545" s="585"/>
      <c r="O545" s="4">
        <f>OBRA!P543</f>
        <v>1965177.84</v>
      </c>
      <c r="P545" s="1208">
        <f t="shared" si="36"/>
        <v>1694118.8275862071</v>
      </c>
      <c r="Q545" s="1208"/>
      <c r="R545" s="6">
        <f>OBRA!Q543</f>
        <v>44378</v>
      </c>
      <c r="S545" s="1327">
        <f>OBRA!T543</f>
        <v>0</v>
      </c>
      <c r="T545" s="5">
        <f>OBRA!R543</f>
        <v>44438</v>
      </c>
      <c r="U545" s="12">
        <f>OBRA!S543</f>
        <v>44492</v>
      </c>
      <c r="V545" s="1736"/>
      <c r="W545" s="1289">
        <f>OBRA!AQ543+OBRA!AR543</f>
        <v>0</v>
      </c>
      <c r="X545" s="1235" t="s">
        <v>4188</v>
      </c>
      <c r="Y545" s="639" t="str">
        <f>OBRA!U543</f>
        <v>N/A</v>
      </c>
      <c r="Z545" s="639" t="s">
        <v>68</v>
      </c>
      <c r="AA545" s="640" t="str">
        <f t="shared" si="37"/>
        <v>N/A</v>
      </c>
      <c r="AB545" s="639" t="s">
        <v>1177</v>
      </c>
      <c r="AC545" s="640" t="s">
        <v>1177</v>
      </c>
      <c r="AD545" s="198" t="str">
        <f>OBRA!V543</f>
        <v>DANIEL RODRIGUEZ</v>
      </c>
      <c r="AE545" s="231">
        <f>2042.44+3523.2</f>
        <v>5565.6399999999994</v>
      </c>
      <c r="AF545" s="426" t="s">
        <v>1552</v>
      </c>
      <c r="AG545" s="720">
        <f t="shared" si="38"/>
        <v>0</v>
      </c>
      <c r="AH545" s="560"/>
      <c r="AI545" s="556"/>
      <c r="AJ545" s="556"/>
      <c r="AK545" s="1813" t="s">
        <v>68</v>
      </c>
      <c r="AL545" s="1814" t="s">
        <v>68</v>
      </c>
      <c r="AM545" s="1554"/>
      <c r="AN545" s="1554"/>
      <c r="AO545" s="1554"/>
      <c r="AP545" s="556"/>
      <c r="AQ545" s="1485"/>
      <c r="AR545" s="1494"/>
      <c r="AS545" s="1495"/>
      <c r="AT545" s="1495"/>
      <c r="AU545" s="1496"/>
      <c r="AV545" s="451"/>
      <c r="AW545" s="13"/>
    </row>
    <row r="546" spans="1:49" ht="114.75" hidden="1" customHeight="1">
      <c r="A546" s="17">
        <f>OBRA!I544</f>
        <v>2021</v>
      </c>
      <c r="B546" s="1676" t="s">
        <v>2098</v>
      </c>
      <c r="C546" s="1864">
        <v>211.18</v>
      </c>
      <c r="D546" s="1864"/>
      <c r="E546" s="451" t="str">
        <f>OBRA!K544</f>
        <v>EMP P/LA REACTIVACIÓN ECONÓMICA EN MPIOS</v>
      </c>
      <c r="F546" s="561"/>
      <c r="G546" s="164" t="s">
        <v>2239</v>
      </c>
      <c r="H546" s="451"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97"/>
      <c r="L546" s="780" t="s">
        <v>4138</v>
      </c>
      <c r="M546" s="780" t="s">
        <v>2699</v>
      </c>
      <c r="N546" s="585"/>
      <c r="O546" s="4">
        <f>OBRA!P544</f>
        <v>643795.13</v>
      </c>
      <c r="P546" s="1208">
        <f t="shared" si="36"/>
        <v>554995.80172413797</v>
      </c>
      <c r="Q546" s="1208"/>
      <c r="R546" s="6">
        <f>OBRA!Q544</f>
        <v>44378</v>
      </c>
      <c r="S546" s="1327">
        <f>OBRA!T544</f>
        <v>0</v>
      </c>
      <c r="T546" s="5">
        <f>OBRA!R544</f>
        <v>44487</v>
      </c>
      <c r="U546" s="12">
        <f>OBRA!S544</f>
        <v>44541</v>
      </c>
      <c r="V546" s="1736"/>
      <c r="W546" s="1289">
        <f>OBRA!AQ544+OBRA!AR544</f>
        <v>0</v>
      </c>
      <c r="X546" s="1235" t="s">
        <v>4188</v>
      </c>
      <c r="Y546" s="639" t="str">
        <f>OBRA!U544</f>
        <v>N/A</v>
      </c>
      <c r="Z546" s="639" t="s">
        <v>68</v>
      </c>
      <c r="AA546" s="640" t="str">
        <f t="shared" si="37"/>
        <v>N/A</v>
      </c>
      <c r="AB546" s="639" t="s">
        <v>1177</v>
      </c>
      <c r="AC546" s="640" t="s">
        <v>1177</v>
      </c>
      <c r="AD546" s="198" t="str">
        <f>OBRA!V544</f>
        <v>DANIEL RODRIGUEZ</v>
      </c>
      <c r="AE546" s="231">
        <v>1782.99</v>
      </c>
      <c r="AF546" s="426" t="s">
        <v>1552</v>
      </c>
      <c r="AG546" s="720">
        <f t="shared" si="38"/>
        <v>0</v>
      </c>
      <c r="AH546" s="560"/>
      <c r="AI546" s="556"/>
      <c r="AJ546" s="556"/>
      <c r="AK546" s="1813">
        <v>20.388923999999999</v>
      </c>
      <c r="AL546" s="1814">
        <v>103.53686999999999</v>
      </c>
      <c r="AM546" s="1554"/>
      <c r="AN546" s="1554"/>
      <c r="AO546" s="1554"/>
      <c r="AP546" s="556"/>
      <c r="AQ546" s="1485"/>
      <c r="AR546" s="1494"/>
      <c r="AS546" s="1495"/>
      <c r="AT546" s="1495"/>
      <c r="AU546" s="1496"/>
      <c r="AV546" s="451"/>
      <c r="AW546" s="13"/>
    </row>
    <row r="547" spans="1:49" ht="114.75" hidden="1" customHeight="1">
      <c r="A547" s="17">
        <f>OBRA!I545</f>
        <v>2021</v>
      </c>
      <c r="B547" s="1676" t="s">
        <v>2098</v>
      </c>
      <c r="C547" s="1864">
        <v>211.19</v>
      </c>
      <c r="D547" s="1864"/>
      <c r="E547" s="451" t="str">
        <f>OBRA!K545</f>
        <v>EMP P/LA REACTIVACIÓN ECONÓMICA EN MPIOS</v>
      </c>
      <c r="F547" s="561"/>
      <c r="G547" s="164" t="s">
        <v>2239</v>
      </c>
      <c r="H547" s="451"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97"/>
      <c r="L547" s="780" t="s">
        <v>4139</v>
      </c>
      <c r="M547" s="780" t="s">
        <v>2551</v>
      </c>
      <c r="N547" s="585"/>
      <c r="O547" s="4">
        <f>OBRA!P545</f>
        <v>512378.61</v>
      </c>
      <c r="P547" s="1208">
        <f t="shared" si="36"/>
        <v>441705.69827586209</v>
      </c>
      <c r="Q547" s="1208"/>
      <c r="R547" s="6">
        <f>OBRA!Q545</f>
        <v>44378</v>
      </c>
      <c r="S547" s="1327">
        <f>OBRA!T545</f>
        <v>0</v>
      </c>
      <c r="T547" s="5">
        <f>OBRA!R545</f>
        <v>44513</v>
      </c>
      <c r="U547" s="12">
        <f>OBRA!S545</f>
        <v>44541</v>
      </c>
      <c r="V547" s="1736"/>
      <c r="W547" s="1289">
        <f>OBRA!AQ545+OBRA!AR545</f>
        <v>0</v>
      </c>
      <c r="X547" s="1235" t="s">
        <v>4188</v>
      </c>
      <c r="Y547" s="639" t="str">
        <f>OBRA!U545</f>
        <v>N/A</v>
      </c>
      <c r="Z547" s="639" t="s">
        <v>68</v>
      </c>
      <c r="AA547" s="640" t="str">
        <f t="shared" si="37"/>
        <v>N/A</v>
      </c>
      <c r="AB547" s="639" t="s">
        <v>1177</v>
      </c>
      <c r="AC547" s="640" t="s">
        <v>1177</v>
      </c>
      <c r="AD547" s="198" t="str">
        <f>OBRA!V545</f>
        <v>DANIEL RODRIGUEZ</v>
      </c>
      <c r="AE547" s="231">
        <v>1361.3</v>
      </c>
      <c r="AF547" s="426" t="s">
        <v>1552</v>
      </c>
      <c r="AG547" s="720">
        <f t="shared" si="38"/>
        <v>0</v>
      </c>
      <c r="AH547" s="560"/>
      <c r="AI547" s="556"/>
      <c r="AJ547" s="556"/>
      <c r="AK547" s="1813">
        <v>20.339117999999999</v>
      </c>
      <c r="AL547" s="1814">
        <v>103.37781699999999</v>
      </c>
      <c r="AM547" s="1554"/>
      <c r="AN547" s="1554"/>
      <c r="AO547" s="1554"/>
      <c r="AP547" s="556"/>
      <c r="AQ547" s="1485"/>
      <c r="AR547" s="1494"/>
      <c r="AS547" s="1495"/>
      <c r="AT547" s="1495"/>
      <c r="AU547" s="1496"/>
      <c r="AV547" s="451"/>
      <c r="AW547" s="13"/>
    </row>
    <row r="548" spans="1:49" s="1241" customFormat="1" ht="114.75" hidden="1" customHeight="1">
      <c r="A548" s="588">
        <f>OBRA!I546</f>
        <v>2021</v>
      </c>
      <c r="B548" s="1773" t="s">
        <v>2098</v>
      </c>
      <c r="C548" s="1859">
        <v>211.2</v>
      </c>
      <c r="D548" s="1860"/>
      <c r="E548" s="203">
        <f>OBRA!K546</f>
        <v>0</v>
      </c>
      <c r="F548" s="1747"/>
      <c r="G548" s="636"/>
      <c r="H548" s="1774" t="str">
        <f>OBRA!L546</f>
        <v>DOP/AD/020/2021</v>
      </c>
      <c r="I548" s="203" t="str">
        <f>OBRA!M546</f>
        <v>CANCELADA</v>
      </c>
      <c r="J548" s="112">
        <f>OBRA!N546</f>
        <v>0</v>
      </c>
      <c r="K548" s="112"/>
      <c r="L548" s="112"/>
      <c r="M548" s="112"/>
      <c r="N548" s="1788"/>
      <c r="O548" s="1255">
        <f>OBRA!P546</f>
        <v>0</v>
      </c>
      <c r="P548" s="1255">
        <f t="shared" si="36"/>
        <v>0</v>
      </c>
      <c r="Q548" s="1255"/>
      <c r="R548" s="1746">
        <f>OBRA!Q546</f>
        <v>0</v>
      </c>
      <c r="S548" s="1775">
        <f>OBRA!T546</f>
        <v>0</v>
      </c>
      <c r="T548" s="1262">
        <f>OBRA!R546</f>
        <v>0</v>
      </c>
      <c r="U548" s="1268">
        <f>OBRA!S546</f>
        <v>0</v>
      </c>
      <c r="V548" s="1750"/>
      <c r="W548" s="1777">
        <f>OBRA!AQ546+OBRA!AR546</f>
        <v>0</v>
      </c>
      <c r="X548" s="1778"/>
      <c r="Y548" s="1779">
        <f>OBRA!U546</f>
        <v>0</v>
      </c>
      <c r="Z548" s="639" t="s">
        <v>68</v>
      </c>
      <c r="AA548" s="1790">
        <f t="shared" si="37"/>
        <v>0</v>
      </c>
      <c r="AB548" s="1779" t="s">
        <v>1177</v>
      </c>
      <c r="AC548" s="1790" t="s">
        <v>1177</v>
      </c>
      <c r="AD548" s="1781">
        <f>OBRA!V546</f>
        <v>0</v>
      </c>
      <c r="AE548" s="955"/>
      <c r="AF548" s="203"/>
      <c r="AG548" s="1782" t="e">
        <f t="shared" si="38"/>
        <v>#DIV/0!</v>
      </c>
      <c r="AH548" s="203"/>
      <c r="AI548" s="567"/>
      <c r="AJ548" s="567"/>
      <c r="AK548" s="1811"/>
      <c r="AL548" s="1812"/>
      <c r="AM548" s="1783"/>
      <c r="AN548" s="1783"/>
      <c r="AO548" s="1783"/>
      <c r="AP548" s="567"/>
      <c r="AQ548" s="1784"/>
      <c r="AR548" s="1785"/>
      <c r="AS548" s="1786"/>
      <c r="AT548" s="1786"/>
      <c r="AU548" s="1787"/>
      <c r="AV548" s="1774"/>
      <c r="AW548" s="1756"/>
    </row>
    <row r="549" spans="1:49" ht="101.25" hidden="1" customHeight="1">
      <c r="A549" s="17">
        <f>OBRA!I547</f>
        <v>2021</v>
      </c>
      <c r="B549" s="1676" t="s">
        <v>2098</v>
      </c>
      <c r="C549" s="1864">
        <v>214.01</v>
      </c>
      <c r="D549" s="1864"/>
      <c r="E549" s="451" t="str">
        <f>OBRA!K547</f>
        <v>CUENTA CORRIENTE</v>
      </c>
      <c r="F549" s="19" t="s">
        <v>1431</v>
      </c>
      <c r="G549" s="249" t="s">
        <v>2900</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3865</v>
      </c>
      <c r="L549" s="3" t="s">
        <v>3807</v>
      </c>
      <c r="M549" s="3" t="s">
        <v>2611</v>
      </c>
      <c r="N549" s="554" t="s">
        <v>3861</v>
      </c>
      <c r="O549" s="4">
        <f>OBRA!P547</f>
        <v>45000</v>
      </c>
      <c r="P549" s="1208">
        <f t="shared" si="33"/>
        <v>38793.103448275862</v>
      </c>
      <c r="Q549" s="4" t="s">
        <v>3999</v>
      </c>
      <c r="R549" s="6">
        <f>OBRA!Q547</f>
        <v>44204</v>
      </c>
      <c r="S549" s="1327" t="str">
        <f>OBRA!T547</f>
        <v>-</v>
      </c>
      <c r="T549" s="5">
        <f>OBRA!R547</f>
        <v>44208</v>
      </c>
      <c r="U549" s="12">
        <f>OBRA!S547</f>
        <v>44298</v>
      </c>
      <c r="V549" s="1199">
        <v>0</v>
      </c>
      <c r="W549" s="1289">
        <f>OBRA!AQ547+OBRA!AR547</f>
        <v>0</v>
      </c>
      <c r="X549" s="1235" t="s">
        <v>1431</v>
      </c>
      <c r="Y549" s="639" t="str">
        <f>OBRA!U547</f>
        <v>URIEL PALOS CUEVAS</v>
      </c>
      <c r="Z549" s="639" t="s">
        <v>5822</v>
      </c>
      <c r="AA549" s="675" t="str">
        <f t="shared" ref="AA549:AA554" si="39">Y549</f>
        <v>URIEL PALOS CUEVAS</v>
      </c>
      <c r="AB549" s="675" t="s">
        <v>4548</v>
      </c>
      <c r="AC549" s="675" t="s">
        <v>4549</v>
      </c>
      <c r="AD549" s="200" t="str">
        <f>OBRA!V547</f>
        <v>DANIEL RODRIGUEZ</v>
      </c>
      <c r="AE549" s="169"/>
      <c r="AF549" s="560"/>
      <c r="AG549" s="720" t="e">
        <f t="shared" si="34"/>
        <v>#DIV/0!</v>
      </c>
      <c r="AH549" s="560"/>
      <c r="AI549" s="556"/>
      <c r="AJ549" s="556"/>
      <c r="AK549" s="721"/>
      <c r="AL549" s="1806"/>
      <c r="AM549" s="1554"/>
      <c r="AN549" s="1554"/>
      <c r="AO549" s="1554"/>
      <c r="AP549" s="566" t="s">
        <v>68</v>
      </c>
      <c r="AQ549" s="627" t="s">
        <v>68</v>
      </c>
      <c r="AR549" s="1494"/>
      <c r="AS549" s="1495"/>
      <c r="AT549" s="1495"/>
      <c r="AU549" s="1496"/>
      <c r="AV549" s="451"/>
      <c r="AW549" s="13"/>
    </row>
    <row r="550" spans="1:49" ht="98.25" hidden="1" customHeight="1">
      <c r="A550" s="17">
        <f>OBRA!I548</f>
        <v>2021</v>
      </c>
      <c r="B550" s="1676" t="s">
        <v>2098</v>
      </c>
      <c r="C550" s="1864">
        <v>214.02</v>
      </c>
      <c r="D550" s="1864"/>
      <c r="E550" s="451" t="str">
        <f>OBRA!K548</f>
        <v>CUENTA CORRIENTE</v>
      </c>
      <c r="F550" s="19" t="s">
        <v>1431</v>
      </c>
      <c r="G550" s="249" t="s">
        <v>2900</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328" t="s">
        <v>5757</v>
      </c>
      <c r="L550" s="3" t="s">
        <v>3807</v>
      </c>
      <c r="M550" s="3" t="s">
        <v>2611</v>
      </c>
      <c r="N550" s="554" t="s">
        <v>3861</v>
      </c>
      <c r="O550" s="4">
        <f>OBRA!P548</f>
        <v>64960</v>
      </c>
      <c r="P550" s="1208">
        <f t="shared" si="33"/>
        <v>56000.000000000007</v>
      </c>
      <c r="Q550" s="4" t="s">
        <v>3999</v>
      </c>
      <c r="R550" s="6">
        <f>OBRA!Q548</f>
        <v>44224</v>
      </c>
      <c r="S550" s="1327" t="str">
        <f>OBRA!T548</f>
        <v>-</v>
      </c>
      <c r="T550" s="5">
        <f>OBRA!R548</f>
        <v>44228</v>
      </c>
      <c r="U550" s="12">
        <f>OBRA!S548</f>
        <v>44255</v>
      </c>
      <c r="V550" s="1199">
        <v>0</v>
      </c>
      <c r="W550" s="1289">
        <f>OBRA!AQ548+OBRA!AR548</f>
        <v>0</v>
      </c>
      <c r="X550" s="1235" t="s">
        <v>1431</v>
      </c>
      <c r="Y550" s="639" t="str">
        <f>OBRA!U548</f>
        <v>GRUPO ARANGE, S.A. DE C.V.</v>
      </c>
      <c r="Z550" s="639" t="s">
        <v>5823</v>
      </c>
      <c r="AA550" s="1234" t="str">
        <f t="shared" si="39"/>
        <v>GRUPO ARANGE, S.A. DE C.V.</v>
      </c>
      <c r="AB550" s="1553"/>
      <c r="AC550" s="1553"/>
      <c r="AD550" s="198" t="str">
        <f>OBRA!V548</f>
        <v>DANIEL RODRIGUEZ</v>
      </c>
      <c r="AE550" s="169"/>
      <c r="AF550" s="560"/>
      <c r="AG550" s="720" t="e">
        <f t="shared" si="34"/>
        <v>#DIV/0!</v>
      </c>
      <c r="AH550" s="560"/>
      <c r="AI550" s="556"/>
      <c r="AJ550" s="556"/>
      <c r="AK550" s="721"/>
      <c r="AL550" s="1806"/>
      <c r="AM550" s="1554"/>
      <c r="AN550" s="1554"/>
      <c r="AO550" s="1554"/>
      <c r="AP550" s="566" t="s">
        <v>68</v>
      </c>
      <c r="AQ550" s="627" t="s">
        <v>68</v>
      </c>
      <c r="AR550" s="1494"/>
      <c r="AS550" s="1495"/>
      <c r="AT550" s="1495"/>
      <c r="AU550" s="1496"/>
      <c r="AV550" s="451"/>
      <c r="AW550" s="13"/>
    </row>
    <row r="551" spans="1:49" s="1241" customFormat="1" ht="36" hidden="1" customHeight="1">
      <c r="A551" s="588">
        <f>OBRA!I549</f>
        <v>2021</v>
      </c>
      <c r="B551" s="1773" t="s">
        <v>2098</v>
      </c>
      <c r="C551" s="1860">
        <v>214.03</v>
      </c>
      <c r="D551" s="1860"/>
      <c r="E551" s="203" t="str">
        <f>OBRA!K549</f>
        <v>CUENTA CORRIENTE</v>
      </c>
      <c r="F551" s="1747" t="s">
        <v>1431</v>
      </c>
      <c r="G551" s="636" t="s">
        <v>2900</v>
      </c>
      <c r="H551" s="1774" t="str">
        <f>OBRA!L549</f>
        <v>C- OP 003/2021</v>
      </c>
      <c r="I551" s="203" t="str">
        <f>OBRA!M549</f>
        <v>ARRENDAMIENTO (CANCELADO)</v>
      </c>
      <c r="J551" s="112">
        <f>OBRA!N549</f>
        <v>0</v>
      </c>
      <c r="K551" s="112"/>
      <c r="L551" s="112" t="s">
        <v>68</v>
      </c>
      <c r="M551" s="112" t="s">
        <v>68</v>
      </c>
      <c r="N551" s="1788"/>
      <c r="O551" s="1255">
        <f>OBRA!P549</f>
        <v>0</v>
      </c>
      <c r="P551" s="1255">
        <f t="shared" si="33"/>
        <v>0</v>
      </c>
      <c r="Q551" s="4" t="s">
        <v>2328</v>
      </c>
      <c r="R551" s="1746">
        <f>OBRA!Q549</f>
        <v>0</v>
      </c>
      <c r="S551" s="1775" t="str">
        <f>OBRA!T549</f>
        <v>-</v>
      </c>
      <c r="T551" s="1262">
        <f>OBRA!R549</f>
        <v>0</v>
      </c>
      <c r="U551" s="1268">
        <f>OBRA!S549</f>
        <v>0</v>
      </c>
      <c r="V551" s="1776">
        <v>0</v>
      </c>
      <c r="W551" s="1777">
        <f>OBRA!AQ549+OBRA!AR549</f>
        <v>0</v>
      </c>
      <c r="X551" s="1778"/>
      <c r="Y551" s="1779">
        <f>OBRA!U549</f>
        <v>0</v>
      </c>
      <c r="Z551" s="1779" t="s">
        <v>5823</v>
      </c>
      <c r="AA551" s="1780">
        <f t="shared" si="39"/>
        <v>0</v>
      </c>
      <c r="AB551" s="1780"/>
      <c r="AC551" s="1779"/>
      <c r="AD551" s="1781">
        <f>OBRA!V549</f>
        <v>0</v>
      </c>
      <c r="AE551" s="955"/>
      <c r="AF551" s="203"/>
      <c r="AG551" s="1782" t="e">
        <f t="shared" si="34"/>
        <v>#DIV/0!</v>
      </c>
      <c r="AH551" s="203"/>
      <c r="AI551" s="567"/>
      <c r="AJ551" s="567"/>
      <c r="AK551" s="1811"/>
      <c r="AL551" s="1812"/>
      <c r="AM551" s="1783"/>
      <c r="AN551" s="1783"/>
      <c r="AO551" s="1783"/>
      <c r="AP551" s="567" t="s">
        <v>68</v>
      </c>
      <c r="AQ551" s="1784" t="s">
        <v>68</v>
      </c>
      <c r="AR551" s="1785"/>
      <c r="AS551" s="1786"/>
      <c r="AT551" s="1786"/>
      <c r="AU551" s="1787"/>
      <c r="AV551" s="1774"/>
      <c r="AW551" s="1756"/>
    </row>
    <row r="552" spans="1:49" ht="90" hidden="1" customHeight="1">
      <c r="A552" s="17">
        <f>OBRA!I550</f>
        <v>2021</v>
      </c>
      <c r="B552" s="1676" t="s">
        <v>2098</v>
      </c>
      <c r="C552" s="1864">
        <v>214.04</v>
      </c>
      <c r="D552" s="1864"/>
      <c r="E552" s="451" t="str">
        <f>OBRA!K550</f>
        <v>CUENTA CORRIENTE</v>
      </c>
      <c r="F552" s="19" t="s">
        <v>1431</v>
      </c>
      <c r="G552" s="249" t="s">
        <v>2900</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3866</v>
      </c>
      <c r="L552" s="328" t="s">
        <v>3867</v>
      </c>
      <c r="M552" s="328" t="s">
        <v>2542</v>
      </c>
      <c r="N552" s="554" t="s">
        <v>3861</v>
      </c>
      <c r="O552" s="4">
        <f>OBRA!P550</f>
        <v>580</v>
      </c>
      <c r="P552" s="1208">
        <f t="shared" si="33"/>
        <v>500.00000000000006</v>
      </c>
      <c r="Q552" s="4" t="s">
        <v>2328</v>
      </c>
      <c r="R552" s="6">
        <f>OBRA!Q550</f>
        <v>44227</v>
      </c>
      <c r="S552" s="1327" t="str">
        <f>OBRA!T550</f>
        <v>-</v>
      </c>
      <c r="T552" s="5" t="str">
        <f>OBRA!R550</f>
        <v>-</v>
      </c>
      <c r="U552" s="12" t="str">
        <f>OBRA!S550</f>
        <v>-</v>
      </c>
      <c r="V552" s="1199">
        <v>0</v>
      </c>
      <c r="W552" s="1289">
        <f>OBRA!AQ550+OBRA!AR550</f>
        <v>0</v>
      </c>
      <c r="X552" s="1235" t="s">
        <v>1431</v>
      </c>
      <c r="Y552" s="639" t="str">
        <f>OBRA!U550</f>
        <v>ING. SERGIO CABRERA</v>
      </c>
      <c r="Z552" s="639" t="s">
        <v>5822</v>
      </c>
      <c r="AA552" s="1234" t="str">
        <f t="shared" si="39"/>
        <v>ING. SERGIO CABRERA</v>
      </c>
      <c r="AB552" s="675" t="s">
        <v>2999</v>
      </c>
      <c r="AC552" s="650" t="s">
        <v>2999</v>
      </c>
      <c r="AD552" s="198" t="str">
        <f>OBRA!V550</f>
        <v>LIC. SALVADOR CONTRERAS OLGUÍN</v>
      </c>
      <c r="AE552" s="174">
        <v>1</v>
      </c>
      <c r="AF552" s="202" t="s">
        <v>2328</v>
      </c>
      <c r="AG552" s="720">
        <f t="shared" si="34"/>
        <v>0</v>
      </c>
      <c r="AH552" s="560"/>
      <c r="AI552" s="556"/>
      <c r="AJ552" s="556"/>
      <c r="AK552" s="721"/>
      <c r="AL552" s="1806"/>
      <c r="AM552" s="1554"/>
      <c r="AN552" s="1554"/>
      <c r="AO552" s="1554"/>
      <c r="AP552" s="566" t="s">
        <v>68</v>
      </c>
      <c r="AQ552" s="627" t="s">
        <v>68</v>
      </c>
      <c r="AR552" s="1494"/>
      <c r="AS552" s="1495"/>
      <c r="AT552" s="1495"/>
      <c r="AU552" s="1496"/>
      <c r="AV552" s="451"/>
      <c r="AW552" s="13"/>
    </row>
    <row r="553" spans="1:49" ht="105" hidden="1" customHeight="1">
      <c r="A553" s="17">
        <f>OBRA!I551</f>
        <v>2021</v>
      </c>
      <c r="B553" s="1676" t="s">
        <v>2098</v>
      </c>
      <c r="C553" s="1864">
        <v>214.05</v>
      </c>
      <c r="D553" s="1864"/>
      <c r="E553" s="451" t="str">
        <f>OBRA!K551</f>
        <v>CUENTA CORRIENTE</v>
      </c>
      <c r="F553" s="19" t="s">
        <v>1431</v>
      </c>
      <c r="G553" s="249" t="s">
        <v>2900</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28" t="s">
        <v>5759</v>
      </c>
      <c r="L553" s="328" t="s">
        <v>3867</v>
      </c>
      <c r="M553" s="328" t="s">
        <v>2542</v>
      </c>
      <c r="N553" s="554" t="s">
        <v>3861</v>
      </c>
      <c r="O553" s="65">
        <f>OBRA!P551</f>
        <v>696</v>
      </c>
      <c r="P553" s="1208">
        <f t="shared" si="33"/>
        <v>600</v>
      </c>
      <c r="Q553" s="4" t="s">
        <v>2498</v>
      </c>
      <c r="R553" s="214">
        <f>OBRA!Q551</f>
        <v>44227</v>
      </c>
      <c r="S553" s="1408" t="str">
        <f>OBRA!T551</f>
        <v>-</v>
      </c>
      <c r="T553" s="521" t="str">
        <f>OBRA!R551</f>
        <v>-</v>
      </c>
      <c r="U553" s="559" t="str">
        <f>OBRA!S551</f>
        <v>-</v>
      </c>
      <c r="V553" s="1199">
        <v>0</v>
      </c>
      <c r="W553" s="1289">
        <f>OBRA!AQ551+OBRA!AR551</f>
        <v>0</v>
      </c>
      <c r="X553" s="1235" t="s">
        <v>1431</v>
      </c>
      <c r="Y553" s="650" t="str">
        <f>OBRA!U551</f>
        <v>ING. SERGIO CABRERA</v>
      </c>
      <c r="Z553" s="650" t="s">
        <v>5822</v>
      </c>
      <c r="AA553" s="1234" t="str">
        <f t="shared" si="39"/>
        <v>ING. SERGIO CABRERA</v>
      </c>
      <c r="AB553" s="675" t="s">
        <v>2999</v>
      </c>
      <c r="AC553" s="650" t="s">
        <v>2999</v>
      </c>
      <c r="AD553" s="608" t="str">
        <f>OBRA!V551</f>
        <v>LIC. SALVADOR CONTRERAS OLGUÍN</v>
      </c>
      <c r="AE553" s="169"/>
      <c r="AF553" s="560"/>
      <c r="AG553" s="720" t="e">
        <f t="shared" si="34"/>
        <v>#DIV/0!</v>
      </c>
      <c r="AH553" s="560"/>
      <c r="AI553" s="556"/>
      <c r="AJ553" s="556"/>
      <c r="AK553" s="721"/>
      <c r="AL553" s="1806"/>
      <c r="AM553" s="1554"/>
      <c r="AN553" s="1554"/>
      <c r="AO553" s="1554"/>
      <c r="AP553" s="566" t="s">
        <v>68</v>
      </c>
      <c r="AQ553" s="627" t="s">
        <v>68</v>
      </c>
      <c r="AR553" s="1494"/>
      <c r="AS553" s="1495"/>
      <c r="AT553" s="1495"/>
      <c r="AU553" s="1496"/>
      <c r="AV553" s="451"/>
      <c r="AW553" s="13"/>
    </row>
    <row r="554" spans="1:49" ht="95.25" hidden="1" customHeight="1">
      <c r="A554" s="17">
        <f>OBRA!I552</f>
        <v>2021</v>
      </c>
      <c r="B554" s="1676" t="s">
        <v>2098</v>
      </c>
      <c r="C554" s="1864">
        <v>214.06</v>
      </c>
      <c r="D554" s="1864"/>
      <c r="E554" s="451" t="str">
        <f>OBRA!K552</f>
        <v>CUENTA CORRIENTE</v>
      </c>
      <c r="F554" s="19" t="s">
        <v>1431</v>
      </c>
      <c r="G554" s="249" t="s">
        <v>2900</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28" t="s">
        <v>5758</v>
      </c>
      <c r="L554" s="3" t="s">
        <v>3807</v>
      </c>
      <c r="M554" s="3" t="s">
        <v>2611</v>
      </c>
      <c r="N554" s="554" t="s">
        <v>3861</v>
      </c>
      <c r="O554" s="65">
        <f>OBRA!P552</f>
        <v>23200</v>
      </c>
      <c r="P554" s="1208">
        <f t="shared" si="33"/>
        <v>20000</v>
      </c>
      <c r="Q554" s="4" t="s">
        <v>3999</v>
      </c>
      <c r="R554" s="214">
        <f>OBRA!Q552</f>
        <v>44263</v>
      </c>
      <c r="S554" s="1408" t="str">
        <f>OBRA!T552</f>
        <v>-</v>
      </c>
      <c r="T554" s="521" t="str">
        <f>OBRA!R552</f>
        <v>-</v>
      </c>
      <c r="U554" s="559" t="str">
        <f>OBRA!S552</f>
        <v>-</v>
      </c>
      <c r="V554" s="1199">
        <v>0</v>
      </c>
      <c r="W554" s="1289">
        <f>OBRA!AQ552+OBRA!AR552</f>
        <v>0</v>
      </c>
      <c r="X554" s="1235" t="s">
        <v>1431</v>
      </c>
      <c r="Y554" s="650" t="str">
        <f>OBRA!U552</f>
        <v xml:space="preserve">SEBASTIAN MARQUEZ RAMOS </v>
      </c>
      <c r="Z554" s="650" t="s">
        <v>5822</v>
      </c>
      <c r="AA554" s="1234" t="str">
        <f t="shared" si="39"/>
        <v xml:space="preserve">SEBASTIAN MARQUEZ RAMOS </v>
      </c>
      <c r="AB554" s="675" t="s">
        <v>2999</v>
      </c>
      <c r="AC554" s="650" t="s">
        <v>2999</v>
      </c>
      <c r="AD554" s="608" t="str">
        <f>OBRA!V552</f>
        <v>DANIEL RODRIGUEZ</v>
      </c>
      <c r="AE554" s="169"/>
      <c r="AF554" s="560"/>
      <c r="AG554" s="720" t="e">
        <f t="shared" si="34"/>
        <v>#DIV/0!</v>
      </c>
      <c r="AH554" s="560"/>
      <c r="AI554" s="556"/>
      <c r="AJ554" s="556"/>
      <c r="AK554" s="721"/>
      <c r="AL554" s="1806"/>
      <c r="AM554" s="1554"/>
      <c r="AN554" s="1554"/>
      <c r="AO554" s="1554"/>
      <c r="AP554" s="566" t="s">
        <v>68</v>
      </c>
      <c r="AQ554" s="627" t="s">
        <v>68</v>
      </c>
      <c r="AR554" s="1494"/>
      <c r="AS554" s="1495"/>
      <c r="AT554" s="1495"/>
      <c r="AU554" s="1496"/>
      <c r="AV554" s="451"/>
      <c r="AW554" s="13"/>
    </row>
    <row r="555" spans="1:49" ht="94.5" hidden="1" customHeight="1">
      <c r="A555" s="17">
        <f>OBRA!I553</f>
        <v>2021</v>
      </c>
      <c r="B555" s="1676" t="s">
        <v>2098</v>
      </c>
      <c r="C555" s="1864">
        <v>214.07</v>
      </c>
      <c r="D555" s="1864"/>
      <c r="E555" s="451" t="str">
        <f>OBRA!K553</f>
        <v>CUENTA CORRIENTE</v>
      </c>
      <c r="F555" s="19" t="s">
        <v>1431</v>
      </c>
      <c r="G555" s="249" t="s">
        <v>2900</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28" t="s">
        <v>5758</v>
      </c>
      <c r="L555" s="3" t="s">
        <v>3807</v>
      </c>
      <c r="M555" s="3" t="s">
        <v>2611</v>
      </c>
      <c r="N555" s="554" t="s">
        <v>3861</v>
      </c>
      <c r="O555" s="65">
        <f>OBRA!P553</f>
        <v>23200</v>
      </c>
      <c r="P555" s="1208">
        <f t="shared" si="33"/>
        <v>20000</v>
      </c>
      <c r="Q555" s="4" t="s">
        <v>3999</v>
      </c>
      <c r="R555" s="214">
        <f>OBRA!Q553</f>
        <v>44263</v>
      </c>
      <c r="S555" s="1408" t="str">
        <f>OBRA!T553</f>
        <v>-</v>
      </c>
      <c r="T555" s="521" t="str">
        <f>OBRA!R553</f>
        <v>-</v>
      </c>
      <c r="U555" s="559" t="str">
        <f>OBRA!S553</f>
        <v>-</v>
      </c>
      <c r="V555" s="1199">
        <v>0</v>
      </c>
      <c r="W555" s="1289">
        <f>OBRA!AQ553+OBRA!AR553</f>
        <v>0</v>
      </c>
      <c r="X555" s="1235" t="s">
        <v>1431</v>
      </c>
      <c r="Y555" s="650" t="str">
        <f>OBRA!U553</f>
        <v>GRUPO ARANGE, S.A. DE C.V.</v>
      </c>
      <c r="Z555" s="650" t="s">
        <v>5823</v>
      </c>
      <c r="AA555" s="675" t="s">
        <v>2942</v>
      </c>
      <c r="AB555" s="675" t="s">
        <v>2922</v>
      </c>
      <c r="AC555" s="650" t="s">
        <v>4550</v>
      </c>
      <c r="AD555" s="200" t="str">
        <f>OBRA!V553</f>
        <v>DANIEL RODRIGUEZ</v>
      </c>
      <c r="AE555" s="169"/>
      <c r="AF555" s="560"/>
      <c r="AG555" s="720" t="e">
        <f t="shared" si="34"/>
        <v>#DIV/0!</v>
      </c>
      <c r="AH555" s="560"/>
      <c r="AI555" s="556"/>
      <c r="AJ555" s="556"/>
      <c r="AK555" s="721"/>
      <c r="AL555" s="1806"/>
      <c r="AM555" s="1554"/>
      <c r="AN555" s="1554"/>
      <c r="AO555" s="1554"/>
      <c r="AP555" s="566" t="s">
        <v>68</v>
      </c>
      <c r="AQ555" s="627" t="s">
        <v>68</v>
      </c>
      <c r="AR555" s="1494"/>
      <c r="AS555" s="1495"/>
      <c r="AT555" s="1495"/>
      <c r="AU555" s="1496"/>
      <c r="AV555" s="451"/>
      <c r="AW555" s="13"/>
    </row>
    <row r="556" spans="1:49" ht="114.75" hidden="1" customHeight="1">
      <c r="A556" s="17">
        <f>OBRA!I554</f>
        <v>2021</v>
      </c>
      <c r="B556" s="1676" t="s">
        <v>2098</v>
      </c>
      <c r="C556" s="1864">
        <v>214.08</v>
      </c>
      <c r="D556" s="1864"/>
      <c r="E556" s="451" t="str">
        <f>OBRA!K554</f>
        <v>CUENTA CORRIENTE</v>
      </c>
      <c r="F556" s="19" t="s">
        <v>1431</v>
      </c>
      <c r="G556" s="249" t="s">
        <v>2900</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28" t="s">
        <v>5751</v>
      </c>
      <c r="L556" s="780" t="s">
        <v>3996</v>
      </c>
      <c r="M556" s="780" t="s">
        <v>2548</v>
      </c>
      <c r="N556" s="554" t="s">
        <v>3861</v>
      </c>
      <c r="O556" s="65">
        <f>OBRA!P554</f>
        <v>4686.3999999999996</v>
      </c>
      <c r="P556" s="1208">
        <f t="shared" si="33"/>
        <v>4040</v>
      </c>
      <c r="Q556" s="4" t="s">
        <v>5668</v>
      </c>
      <c r="R556" s="214">
        <f>OBRA!Q554</f>
        <v>44364</v>
      </c>
      <c r="S556" s="1408" t="str">
        <f>OBRA!T554</f>
        <v>-</v>
      </c>
      <c r="T556" s="521" t="str">
        <f>OBRA!R554</f>
        <v>-</v>
      </c>
      <c r="U556" s="559" t="str">
        <f>OBRA!S554</f>
        <v>-</v>
      </c>
      <c r="V556" s="1199">
        <v>0</v>
      </c>
      <c r="W556" s="1289">
        <f>OBRA!AQ554+OBRA!AR554</f>
        <v>0</v>
      </c>
      <c r="X556" s="1235" t="s">
        <v>1431</v>
      </c>
      <c r="Y556" s="650" t="str">
        <f>OBRA!U554</f>
        <v>INDUSTRIAS UNIDAS BOGDAN, S.A. DE C.V.</v>
      </c>
      <c r="Z556" s="650" t="s">
        <v>5823</v>
      </c>
      <c r="AA556" s="675" t="s">
        <v>3993</v>
      </c>
      <c r="AB556" s="675" t="s">
        <v>3994</v>
      </c>
      <c r="AC556" s="650" t="s">
        <v>4551</v>
      </c>
      <c r="AD556" s="200" t="str">
        <f>OBRA!V554</f>
        <v>DANIEL RODRIGUEZ</v>
      </c>
      <c r="AE556" s="169"/>
      <c r="AF556" s="560"/>
      <c r="AG556" s="720" t="e">
        <f t="shared" si="34"/>
        <v>#DIV/0!</v>
      </c>
      <c r="AH556" s="560"/>
      <c r="AI556" s="556"/>
      <c r="AJ556" s="556"/>
      <c r="AK556" s="721"/>
      <c r="AL556" s="1806"/>
      <c r="AM556" s="1554"/>
      <c r="AN556" s="1554"/>
      <c r="AO556" s="1554"/>
      <c r="AP556" s="566" t="s">
        <v>68</v>
      </c>
      <c r="AQ556" s="627" t="s">
        <v>68</v>
      </c>
      <c r="AR556" s="1494"/>
      <c r="AS556" s="1495"/>
      <c r="AT556" s="1495"/>
      <c r="AU556" s="1496"/>
      <c r="AV556" s="451"/>
      <c r="AW556" s="13"/>
    </row>
    <row r="557" spans="1:49" ht="114.75" hidden="1" customHeight="1">
      <c r="A557" s="17">
        <f>OBRA!I555</f>
        <v>2021</v>
      </c>
      <c r="B557" s="1676" t="s">
        <v>2098</v>
      </c>
      <c r="C557" s="1864">
        <v>214.09</v>
      </c>
      <c r="D557" s="1864"/>
      <c r="E557" s="451" t="str">
        <f>OBRA!K555</f>
        <v>CUENTA CORRIENTE</v>
      </c>
      <c r="F557" s="19" t="s">
        <v>1431</v>
      </c>
      <c r="G557" s="249" t="s">
        <v>2900</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3868</v>
      </c>
      <c r="L557" s="780" t="s">
        <v>3996</v>
      </c>
      <c r="M557" s="780" t="s">
        <v>2548</v>
      </c>
      <c r="N557" s="554" t="s">
        <v>3862</v>
      </c>
      <c r="O557" s="4">
        <f>OBRA!P555</f>
        <v>554.48</v>
      </c>
      <c r="P557" s="1208">
        <f t="shared" si="33"/>
        <v>478.00000000000006</v>
      </c>
      <c r="Q557" s="4" t="s">
        <v>2328</v>
      </c>
      <c r="R557" s="6">
        <f>OBRA!Q555</f>
        <v>44364</v>
      </c>
      <c r="S557" s="1327" t="str">
        <f>OBRA!T555</f>
        <v>-</v>
      </c>
      <c r="T557" s="5" t="str">
        <f>OBRA!R555</f>
        <v>-</v>
      </c>
      <c r="U557" s="12" t="str">
        <f>OBRA!S555</f>
        <v>-</v>
      </c>
      <c r="V557" s="1405">
        <v>0</v>
      </c>
      <c r="W557" s="1289">
        <f>OBRA!AQ555+OBRA!AR555</f>
        <v>0</v>
      </c>
      <c r="X557" s="1235" t="s">
        <v>1431</v>
      </c>
      <c r="Y557" s="639" t="str">
        <f>OBRA!U555</f>
        <v>INDUSTRIAS UNIDAS BOGDAN, S.A. DE C.V.</v>
      </c>
      <c r="Z557" s="639" t="s">
        <v>5823</v>
      </c>
      <c r="AA557" s="675" t="s">
        <v>3993</v>
      </c>
      <c r="AB557" s="675" t="s">
        <v>3994</v>
      </c>
      <c r="AC557" s="675" t="s">
        <v>4551</v>
      </c>
      <c r="AD557" s="198" t="str">
        <f>OBRA!V555</f>
        <v>DANIEL RODRIGUEZ</v>
      </c>
      <c r="AE557" s="169"/>
      <c r="AF557" s="560"/>
      <c r="AG557" s="720" t="e">
        <f t="shared" si="34"/>
        <v>#DIV/0!</v>
      </c>
      <c r="AH557" s="560"/>
      <c r="AI557" s="556"/>
      <c r="AJ557" s="556"/>
      <c r="AK557" s="721"/>
      <c r="AL557" s="1806"/>
      <c r="AM557" s="1554"/>
      <c r="AN557" s="1554"/>
      <c r="AO557" s="1554"/>
      <c r="AP557" s="566" t="s">
        <v>68</v>
      </c>
      <c r="AQ557" s="627" t="s">
        <v>68</v>
      </c>
      <c r="AR557" s="1494"/>
      <c r="AS557" s="1495"/>
      <c r="AT557" s="1495"/>
      <c r="AU557" s="1496"/>
      <c r="AV557" s="451"/>
      <c r="AW557" s="13"/>
    </row>
    <row r="558" spans="1:49" ht="89.25" hidden="1" customHeight="1">
      <c r="A558" s="17">
        <f>OBRA!I556</f>
        <v>2021</v>
      </c>
      <c r="B558" s="1676" t="s">
        <v>2098</v>
      </c>
      <c r="C558" s="1864">
        <v>215.01</v>
      </c>
      <c r="D558" s="1864"/>
      <c r="E558" s="451" t="str">
        <f>OBRA!K556</f>
        <v>CUENTA CORRIENTE</v>
      </c>
      <c r="F558" s="19" t="s">
        <v>1431</v>
      </c>
      <c r="G558" s="249" t="s">
        <v>2900</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28" t="s">
        <v>5731</v>
      </c>
      <c r="L558" s="780" t="s">
        <v>4140</v>
      </c>
      <c r="M558" s="780" t="s">
        <v>2613</v>
      </c>
      <c r="N558" s="597"/>
      <c r="O558" s="65">
        <f>OBRA!P556</f>
        <v>11600</v>
      </c>
      <c r="P558" s="1208">
        <f t="shared" si="33"/>
        <v>10000</v>
      </c>
      <c r="Q558" s="85" t="s">
        <v>68</v>
      </c>
      <c r="R558" s="214">
        <f>OBRA!Q556</f>
        <v>44204</v>
      </c>
      <c r="S558" s="1408" t="str">
        <f>OBRA!T556</f>
        <v>-</v>
      </c>
      <c r="T558" s="521">
        <f>OBRA!R556</f>
        <v>44207</v>
      </c>
      <c r="U558" s="559">
        <f>OBRA!S556</f>
        <v>44214</v>
      </c>
      <c r="V558" s="1199">
        <v>0</v>
      </c>
      <c r="W558" s="1289">
        <f>OBRA!AQ556+OBRA!AR556</f>
        <v>0</v>
      </c>
      <c r="X558" s="1235" t="s">
        <v>1431</v>
      </c>
      <c r="Y558" s="650" t="str">
        <f>OBRA!U556</f>
        <v>J. TRINIDAD NÚÑEZ BRITO</v>
      </c>
      <c r="Z558" s="650" t="s">
        <v>5822</v>
      </c>
      <c r="AA558" s="1553" t="str">
        <f>Y558</f>
        <v>J. TRINIDAD NÚÑEZ BRITO</v>
      </c>
      <c r="AB558" s="1553"/>
      <c r="AC558" s="1553"/>
      <c r="AD558" s="198" t="str">
        <f>OBRA!V556</f>
        <v>ING. MIGUEL MACHUCA HERNÁNDEZ</v>
      </c>
      <c r="AE558" s="169"/>
      <c r="AF558" s="560"/>
      <c r="AG558" s="682" t="e">
        <f t="shared" si="34"/>
        <v>#DIV/0!</v>
      </c>
      <c r="AH558" s="560"/>
      <c r="AI558" s="556"/>
      <c r="AJ558" s="556"/>
      <c r="AK558" s="721"/>
      <c r="AL558" s="1806"/>
      <c r="AM558" s="1554"/>
      <c r="AN558" s="1554"/>
      <c r="AO558" s="1554"/>
      <c r="AP558" s="566" t="s">
        <v>68</v>
      </c>
      <c r="AQ558" s="627" t="s">
        <v>68</v>
      </c>
      <c r="AR558" s="1494"/>
      <c r="AS558" s="1495"/>
      <c r="AT558" s="1495"/>
      <c r="AU558" s="1496"/>
      <c r="AV558" s="451"/>
      <c r="AW558" s="13"/>
    </row>
    <row r="559" spans="1:49" s="1241" customFormat="1" ht="44.25" hidden="1" customHeight="1">
      <c r="A559" s="588">
        <f>OBRA!I557</f>
        <v>2021</v>
      </c>
      <c r="B559" s="1773" t="s">
        <v>2098</v>
      </c>
      <c r="C559" s="1860">
        <v>215.02</v>
      </c>
      <c r="D559" s="1860"/>
      <c r="E559" s="203" t="str">
        <f>OBRA!K557</f>
        <v>CUENTA CORRIENTE</v>
      </c>
      <c r="F559" s="1747" t="s">
        <v>1431</v>
      </c>
      <c r="G559" s="636" t="s">
        <v>2900</v>
      </c>
      <c r="H559" s="1774" t="str">
        <f>OBRA!L557</f>
        <v>C.P.S.P. D.O.P. 002/2021</v>
      </c>
      <c r="I559" s="203" t="str">
        <f>OBRA!M557</f>
        <v>SERVICIOS (CANCELADO)</v>
      </c>
      <c r="J559" s="112">
        <f>OBRA!N557</f>
        <v>0</v>
      </c>
      <c r="K559" s="112"/>
      <c r="L559" s="112" t="s">
        <v>68</v>
      </c>
      <c r="M559" s="112" t="s">
        <v>68</v>
      </c>
      <c r="N559" s="1788"/>
      <c r="O559" s="1255">
        <f>OBRA!P557</f>
        <v>0</v>
      </c>
      <c r="P559" s="1255">
        <f t="shared" si="33"/>
        <v>0</v>
      </c>
      <c r="Q559" s="1255"/>
      <c r="R559" s="1746">
        <f>OBRA!Q557</f>
        <v>0</v>
      </c>
      <c r="S559" s="1775" t="str">
        <f>OBRA!T557</f>
        <v>-</v>
      </c>
      <c r="T559" s="1262">
        <f>OBRA!R557</f>
        <v>0</v>
      </c>
      <c r="U559" s="1268">
        <f>OBRA!S557</f>
        <v>0</v>
      </c>
      <c r="V559" s="1789">
        <v>0</v>
      </c>
      <c r="W559" s="1777">
        <f>OBRA!AQ557+OBRA!AR557</f>
        <v>0</v>
      </c>
      <c r="X559" s="1778"/>
      <c r="Y559" s="1779">
        <f>OBRA!U557</f>
        <v>0</v>
      </c>
      <c r="Z559" s="1779" t="s">
        <v>68</v>
      </c>
      <c r="AA559" s="1780"/>
      <c r="AB559" s="1780"/>
      <c r="AC559" s="1780"/>
      <c r="AD559" s="1781">
        <f>OBRA!V557</f>
        <v>0</v>
      </c>
      <c r="AE559" s="955"/>
      <c r="AF559" s="203"/>
      <c r="AG559" s="1782" t="e">
        <f t="shared" si="34"/>
        <v>#DIV/0!</v>
      </c>
      <c r="AH559" s="203"/>
      <c r="AI559" s="567"/>
      <c r="AJ559" s="567"/>
      <c r="AK559" s="1811"/>
      <c r="AL559" s="1812"/>
      <c r="AM559" s="1783"/>
      <c r="AN559" s="1783"/>
      <c r="AO559" s="1783"/>
      <c r="AP559" s="567" t="s">
        <v>68</v>
      </c>
      <c r="AQ559" s="1784" t="s">
        <v>68</v>
      </c>
      <c r="AR559" s="1785"/>
      <c r="AS559" s="1786"/>
      <c r="AT559" s="1786"/>
      <c r="AU559" s="1787"/>
      <c r="AV559" s="1774"/>
      <c r="AW559" s="1756"/>
    </row>
    <row r="560" spans="1:49" ht="84.75" hidden="1" customHeight="1">
      <c r="A560" s="17">
        <f>OBRA!I558</f>
        <v>2021</v>
      </c>
      <c r="B560" s="1676" t="s">
        <v>2098</v>
      </c>
      <c r="C560" s="1864">
        <v>215.03</v>
      </c>
      <c r="D560" s="1864"/>
      <c r="E560" s="451" t="str">
        <f>OBRA!K558</f>
        <v>CUENTA CORRIENTE</v>
      </c>
      <c r="F560" s="19" t="s">
        <v>1431</v>
      </c>
      <c r="G560" s="249" t="s">
        <v>2900</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28" t="s">
        <v>5760</v>
      </c>
      <c r="L560" s="780" t="s">
        <v>4021</v>
      </c>
      <c r="M560" s="780" t="s">
        <v>1979</v>
      </c>
      <c r="N560" s="597"/>
      <c r="O560" s="65">
        <f>OBRA!P558</f>
        <v>23200</v>
      </c>
      <c r="P560" s="1208">
        <f t="shared" si="33"/>
        <v>20000</v>
      </c>
      <c r="Q560" s="85" t="s">
        <v>68</v>
      </c>
      <c r="R560" s="214">
        <f>OBRA!Q558</f>
        <v>44212</v>
      </c>
      <c r="S560" s="1408" t="str">
        <f>OBRA!T558</f>
        <v>-</v>
      </c>
      <c r="T560" s="521" t="str">
        <f>OBRA!R558</f>
        <v>-</v>
      </c>
      <c r="U560" s="559" t="str">
        <f>OBRA!S558</f>
        <v>-</v>
      </c>
      <c r="V560" s="1199">
        <v>0</v>
      </c>
      <c r="W560" s="1289">
        <f>OBRA!AQ558+OBRA!AR558</f>
        <v>0</v>
      </c>
      <c r="X560" s="1235" t="s">
        <v>1431</v>
      </c>
      <c r="Y560" s="650" t="str">
        <f>OBRA!U558</f>
        <v>ARGUELLES ARQUITECTOS, S.A. DE C.V.</v>
      </c>
      <c r="Z560" s="650" t="s">
        <v>5823</v>
      </c>
      <c r="AA560" s="675" t="s">
        <v>4552</v>
      </c>
      <c r="AB560" s="675" t="s">
        <v>1576</v>
      </c>
      <c r="AC560" s="675" t="s">
        <v>4553</v>
      </c>
      <c r="AD560" s="198" t="str">
        <f>OBRA!V558</f>
        <v>ARQ. FRANCISCO SALAZAR</v>
      </c>
      <c r="AE560" s="169"/>
      <c r="AF560" s="560"/>
      <c r="AG560" s="682" t="e">
        <f t="shared" si="34"/>
        <v>#DIV/0!</v>
      </c>
      <c r="AH560" s="560"/>
      <c r="AI560" s="556"/>
      <c r="AJ560" s="556"/>
      <c r="AK560" s="721"/>
      <c r="AL560" s="1806"/>
      <c r="AM560" s="1554"/>
      <c r="AN560" s="1554"/>
      <c r="AO560" s="1554"/>
      <c r="AP560" s="566" t="s">
        <v>68</v>
      </c>
      <c r="AQ560" s="627" t="s">
        <v>68</v>
      </c>
      <c r="AR560" s="1494"/>
      <c r="AS560" s="1495"/>
      <c r="AT560" s="1495"/>
      <c r="AU560" s="1496"/>
      <c r="AV560" s="451"/>
      <c r="AW560" s="13"/>
    </row>
    <row r="561" spans="1:49" s="1241" customFormat="1" ht="51" hidden="1" customHeight="1">
      <c r="A561" s="588">
        <f>OBRA!I559</f>
        <v>2021</v>
      </c>
      <c r="B561" s="1773" t="s">
        <v>2098</v>
      </c>
      <c r="C561" s="1860">
        <v>215.04</v>
      </c>
      <c r="D561" s="1860"/>
      <c r="E561" s="203" t="str">
        <f>OBRA!K559</f>
        <v>CUENTA CORRIENTE</v>
      </c>
      <c r="F561" s="1747" t="s">
        <v>1431</v>
      </c>
      <c r="G561" s="636" t="s">
        <v>2900</v>
      </c>
      <c r="H561" s="1774" t="str">
        <f>OBRA!L559</f>
        <v>C.P.S.P. D.O.P. 004/2021</v>
      </c>
      <c r="I561" s="203" t="str">
        <f>OBRA!M559</f>
        <v>SERVICIOS (CANCELADO)</v>
      </c>
      <c r="J561" s="112">
        <f>OBRA!N559</f>
        <v>0</v>
      </c>
      <c r="K561" s="112"/>
      <c r="L561" s="112" t="s">
        <v>68</v>
      </c>
      <c r="M561" s="112" t="s">
        <v>68</v>
      </c>
      <c r="N561" s="112"/>
      <c r="O561" s="1255">
        <f>OBRA!P559</f>
        <v>0</v>
      </c>
      <c r="P561" s="1255">
        <f t="shared" si="33"/>
        <v>0</v>
      </c>
      <c r="Q561" s="1255"/>
      <c r="R561" s="1746">
        <f>OBRA!Q559</f>
        <v>0</v>
      </c>
      <c r="S561" s="1775" t="str">
        <f>OBRA!T559</f>
        <v>-</v>
      </c>
      <c r="T561" s="1262">
        <f>OBRA!R559</f>
        <v>0</v>
      </c>
      <c r="U561" s="1268">
        <f>OBRA!S559</f>
        <v>0</v>
      </c>
      <c r="V561" s="1776">
        <v>0</v>
      </c>
      <c r="W561" s="1777">
        <f>OBRA!AQ559+OBRA!AR559</f>
        <v>0</v>
      </c>
      <c r="X561" s="1778"/>
      <c r="Y561" s="1779">
        <f>OBRA!U559</f>
        <v>0</v>
      </c>
      <c r="Z561" s="1779" t="s">
        <v>68</v>
      </c>
      <c r="AA561" s="1780"/>
      <c r="AB561" s="1780"/>
      <c r="AC561" s="1780"/>
      <c r="AD561" s="1781">
        <f>OBRA!V559</f>
        <v>0</v>
      </c>
      <c r="AE561" s="955"/>
      <c r="AF561" s="203"/>
      <c r="AG561" s="1782" t="e">
        <f t="shared" si="34"/>
        <v>#DIV/0!</v>
      </c>
      <c r="AH561" s="203"/>
      <c r="AI561" s="567"/>
      <c r="AJ561" s="567"/>
      <c r="AK561" s="1811"/>
      <c r="AL561" s="1812"/>
      <c r="AM561" s="1783"/>
      <c r="AN561" s="1783"/>
      <c r="AO561" s="1783"/>
      <c r="AP561" s="567" t="s">
        <v>68</v>
      </c>
      <c r="AQ561" s="1784" t="s">
        <v>68</v>
      </c>
      <c r="AR561" s="1785"/>
      <c r="AS561" s="1786"/>
      <c r="AT561" s="1786"/>
      <c r="AU561" s="1787"/>
      <c r="AV561" s="1774"/>
      <c r="AW561" s="1756"/>
    </row>
    <row r="562" spans="1:49" ht="171.75" hidden="1" customHeight="1">
      <c r="A562" s="17">
        <f>OBRA!I560</f>
        <v>2021</v>
      </c>
      <c r="B562" s="1676" t="s">
        <v>2098</v>
      </c>
      <c r="C562" s="1864">
        <v>215.05</v>
      </c>
      <c r="D562" s="1864"/>
      <c r="E562" s="451" t="str">
        <f>OBRA!K560</f>
        <v>CUENTA CORRIENTE</v>
      </c>
      <c r="F562" s="19" t="s">
        <v>1431</v>
      </c>
      <c r="G562" s="249" t="s">
        <v>2900</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28" t="s">
        <v>5761</v>
      </c>
      <c r="L562" s="780" t="s">
        <v>4141</v>
      </c>
      <c r="M562" s="780" t="s">
        <v>2548</v>
      </c>
      <c r="N562" s="597"/>
      <c r="O562" s="65">
        <f>OBRA!P560</f>
        <v>16239.999999999998</v>
      </c>
      <c r="P562" s="1208">
        <f t="shared" si="33"/>
        <v>14000</v>
      </c>
      <c r="Q562" s="85" t="s">
        <v>68</v>
      </c>
      <c r="R562" s="214">
        <f>OBRA!Q560</f>
        <v>44400</v>
      </c>
      <c r="S562" s="1408" t="str">
        <f>OBRA!T560</f>
        <v>-</v>
      </c>
      <c r="T562" s="521">
        <f>OBRA!R560</f>
        <v>0</v>
      </c>
      <c r="U562" s="559">
        <f>OBRA!S560</f>
        <v>0</v>
      </c>
      <c r="V562" s="1199">
        <v>0</v>
      </c>
      <c r="W562" s="1289">
        <f>OBRA!AQ560+OBRA!AR560</f>
        <v>0</v>
      </c>
      <c r="X562" s="1235" t="s">
        <v>1431</v>
      </c>
      <c r="Y562" s="650" t="str">
        <f>OBRA!U560</f>
        <v>ING. JUAN IGNACIO NAVARRO BALTAZAR</v>
      </c>
      <c r="Z562" s="650" t="s">
        <v>5822</v>
      </c>
      <c r="AA562" s="1553" t="str">
        <f>Y562</f>
        <v>ING. JUAN IGNACIO NAVARRO BALTAZAR</v>
      </c>
      <c r="AB562" s="1553"/>
      <c r="AC562" s="1553"/>
      <c r="AD562" s="608">
        <f>OBRA!V560</f>
        <v>0</v>
      </c>
      <c r="AE562" s="169"/>
      <c r="AF562" s="560"/>
      <c r="AG562" s="682" t="e">
        <f t="shared" si="34"/>
        <v>#DIV/0!</v>
      </c>
      <c r="AH562" s="560"/>
      <c r="AI562" s="556"/>
      <c r="AJ562" s="556"/>
      <c r="AK562" s="721"/>
      <c r="AL562" s="1806"/>
      <c r="AM562" s="1554"/>
      <c r="AN562" s="1554"/>
      <c r="AO562" s="1554"/>
      <c r="AP562" s="566" t="s">
        <v>68</v>
      </c>
      <c r="AQ562" s="627" t="s">
        <v>68</v>
      </c>
      <c r="AR562" s="1494"/>
      <c r="AS562" s="1495"/>
      <c r="AT562" s="1495"/>
      <c r="AU562" s="1496"/>
      <c r="AV562" s="451"/>
      <c r="AW562" s="13"/>
    </row>
    <row r="563" spans="1:49" s="1241" customFormat="1" ht="51" hidden="1" customHeight="1">
      <c r="A563" s="588">
        <f>OBRA!I561</f>
        <v>2021</v>
      </c>
      <c r="B563" s="1773" t="s">
        <v>2098</v>
      </c>
      <c r="C563" s="1860">
        <v>215.06</v>
      </c>
      <c r="D563" s="1860"/>
      <c r="E563" s="203" t="str">
        <f>OBRA!K561</f>
        <v>CUENTA CORRIENTE</v>
      </c>
      <c r="F563" s="1747" t="s">
        <v>1431</v>
      </c>
      <c r="G563" s="636" t="s">
        <v>2900</v>
      </c>
      <c r="H563" s="1774" t="str">
        <f>OBRA!L561</f>
        <v>C.P.S.P. D.O.P. 006/2021</v>
      </c>
      <c r="I563" s="203" t="str">
        <f>OBRA!M561</f>
        <v>SERVICIOS (CANCELADO)</v>
      </c>
      <c r="J563" s="112">
        <f>OBRA!N561</f>
        <v>0</v>
      </c>
      <c r="K563" s="112"/>
      <c r="L563" s="112" t="s">
        <v>68</v>
      </c>
      <c r="M563" s="112" t="s">
        <v>68</v>
      </c>
      <c r="N563" s="112"/>
      <c r="O563" s="1255">
        <f>OBRA!P561</f>
        <v>0</v>
      </c>
      <c r="P563" s="1255">
        <f t="shared" si="33"/>
        <v>0</v>
      </c>
      <c r="Q563" s="1255"/>
      <c r="R563" s="1746">
        <f>OBRA!Q561</f>
        <v>0</v>
      </c>
      <c r="S563" s="1775" t="str">
        <f>OBRA!T561</f>
        <v>-</v>
      </c>
      <c r="T563" s="1262">
        <f>OBRA!R561</f>
        <v>0</v>
      </c>
      <c r="U563" s="1268">
        <f>OBRA!S561</f>
        <v>0</v>
      </c>
      <c r="V563" s="1776">
        <v>0</v>
      </c>
      <c r="W563" s="1777">
        <f>OBRA!AQ561+OBRA!AR561</f>
        <v>0</v>
      </c>
      <c r="X563" s="1778"/>
      <c r="Y563" s="1779">
        <f>OBRA!U561</f>
        <v>0</v>
      </c>
      <c r="Z563" s="1779" t="s">
        <v>68</v>
      </c>
      <c r="AA563" s="1780"/>
      <c r="AB563" s="1780"/>
      <c r="AC563" s="1780"/>
      <c r="AD563" s="1781">
        <f>OBRA!V561</f>
        <v>0</v>
      </c>
      <c r="AE563" s="955"/>
      <c r="AF563" s="203"/>
      <c r="AG563" s="1782" t="e">
        <f t="shared" si="34"/>
        <v>#DIV/0!</v>
      </c>
      <c r="AH563" s="203"/>
      <c r="AI563" s="567"/>
      <c r="AJ563" s="567"/>
      <c r="AK563" s="1811"/>
      <c r="AL563" s="1812"/>
      <c r="AM563" s="1783"/>
      <c r="AN563" s="1783"/>
      <c r="AO563" s="1783"/>
      <c r="AP563" s="567" t="s">
        <v>68</v>
      </c>
      <c r="AQ563" s="1784" t="s">
        <v>68</v>
      </c>
      <c r="AR563" s="1785"/>
      <c r="AS563" s="1786"/>
      <c r="AT563" s="1786"/>
      <c r="AU563" s="1787"/>
      <c r="AV563" s="1774"/>
      <c r="AW563" s="1756"/>
    </row>
    <row r="564" spans="1:49" ht="141" hidden="1" customHeight="1">
      <c r="A564" s="17">
        <f>OBRA!I562</f>
        <v>2021</v>
      </c>
      <c r="B564" s="1676" t="s">
        <v>2098</v>
      </c>
      <c r="C564" s="1864">
        <v>215.07</v>
      </c>
      <c r="D564" s="1864"/>
      <c r="E564" s="451" t="str">
        <f>OBRA!K562</f>
        <v>CUENTA CORRIENTE</v>
      </c>
      <c r="F564" s="19" t="s">
        <v>1431</v>
      </c>
      <c r="G564" s="249" t="s">
        <v>2900</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28" t="s">
        <v>5762</v>
      </c>
      <c r="L564" s="780" t="s">
        <v>4142</v>
      </c>
      <c r="M564" s="780" t="s">
        <v>1979</v>
      </c>
      <c r="N564" s="597"/>
      <c r="O564" s="65">
        <f>OBRA!P562</f>
        <v>16240</v>
      </c>
      <c r="P564" s="1208">
        <f t="shared" si="33"/>
        <v>14000.000000000002</v>
      </c>
      <c r="Q564" s="85" t="s">
        <v>68</v>
      </c>
      <c r="R564" s="214">
        <f>OBRA!Q562</f>
        <v>44441</v>
      </c>
      <c r="S564" s="1408" t="str">
        <f>OBRA!T562</f>
        <v>-</v>
      </c>
      <c r="T564" s="521" t="str">
        <f>OBRA!R562</f>
        <v>-</v>
      </c>
      <c r="U564" s="559" t="str">
        <f>OBRA!S562</f>
        <v>-</v>
      </c>
      <c r="V564" s="1199">
        <v>0</v>
      </c>
      <c r="W564" s="1289">
        <f>OBRA!AQ562+OBRA!AR562</f>
        <v>0</v>
      </c>
      <c r="X564" s="1235" t="s">
        <v>1431</v>
      </c>
      <c r="Y564" s="650" t="str">
        <f>OBRA!U562</f>
        <v>ECCOC DE GUADALAJARA, S.A. DE C.V.</v>
      </c>
      <c r="Z564" s="650" t="s">
        <v>5823</v>
      </c>
      <c r="AA564" s="675" t="s">
        <v>4554</v>
      </c>
      <c r="AB564" s="675" t="s">
        <v>4480</v>
      </c>
      <c r="AC564" s="675" t="s">
        <v>4481</v>
      </c>
      <c r="AD564" s="608">
        <f>OBRA!V562</f>
        <v>0</v>
      </c>
      <c r="AE564" s="169"/>
      <c r="AF564" s="560"/>
      <c r="AG564" s="682" t="e">
        <f t="shared" si="34"/>
        <v>#DIV/0!</v>
      </c>
      <c r="AH564" s="560"/>
      <c r="AI564" s="556"/>
      <c r="AJ564" s="556"/>
      <c r="AK564" s="721"/>
      <c r="AL564" s="1806"/>
      <c r="AM564" s="1554"/>
      <c r="AN564" s="1554"/>
      <c r="AO564" s="1554"/>
      <c r="AP564" s="566" t="s">
        <v>68</v>
      </c>
      <c r="AQ564" s="627" t="s">
        <v>68</v>
      </c>
      <c r="AR564" s="1494"/>
      <c r="AS564" s="1495"/>
      <c r="AT564" s="1495"/>
      <c r="AU564" s="1496"/>
      <c r="AV564" s="451"/>
      <c r="AW564" s="13"/>
    </row>
    <row r="565" spans="1:49" ht="254.25" hidden="1" customHeight="1">
      <c r="A565" s="17">
        <f>OBRA!I563</f>
        <v>2021</v>
      </c>
      <c r="B565" s="1676" t="s">
        <v>2098</v>
      </c>
      <c r="C565" s="1864">
        <v>215.08</v>
      </c>
      <c r="D565" s="1864"/>
      <c r="E565" s="451" t="str">
        <f>OBRA!K563</f>
        <v>CUENTA CORRIENTE</v>
      </c>
      <c r="F565" s="19" t="s">
        <v>1431</v>
      </c>
      <c r="G565" s="249" t="s">
        <v>2900</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28" t="s">
        <v>5763</v>
      </c>
      <c r="L565" s="780" t="s">
        <v>4021</v>
      </c>
      <c r="M565" s="780" t="s">
        <v>1979</v>
      </c>
      <c r="N565" s="597"/>
      <c r="O565" s="65">
        <f>OBRA!P563</f>
        <v>226407.64</v>
      </c>
      <c r="P565" s="1208">
        <f t="shared" si="33"/>
        <v>195179.00000000003</v>
      </c>
      <c r="Q565" s="85" t="s">
        <v>68</v>
      </c>
      <c r="R565" s="214">
        <f>OBRA!Q563</f>
        <v>44435</v>
      </c>
      <c r="S565" s="1408" t="str">
        <f>OBRA!T563</f>
        <v>-</v>
      </c>
      <c r="T565" s="521" t="str">
        <f>OBRA!R563</f>
        <v>-</v>
      </c>
      <c r="U565" s="559" t="str">
        <f>OBRA!S563</f>
        <v>-</v>
      </c>
      <c r="V565" s="1199">
        <v>0</v>
      </c>
      <c r="W565" s="1289">
        <f>OBRA!AQ563+OBRA!AR563</f>
        <v>0</v>
      </c>
      <c r="X565" s="1235" t="s">
        <v>1431</v>
      </c>
      <c r="Y565" s="650" t="str">
        <f>OBRA!U563</f>
        <v>ING. MARCO ANTONIO PAREDES RODRÍGUEZ</v>
      </c>
      <c r="Z565" s="650" t="s">
        <v>5822</v>
      </c>
      <c r="AA565" s="1553" t="str">
        <f>Y565</f>
        <v>ING. MARCO ANTONIO PAREDES RODRÍGUEZ</v>
      </c>
      <c r="AB565" s="1553"/>
      <c r="AC565" s="1553"/>
      <c r="AD565" s="608">
        <f>OBRA!V563</f>
        <v>0</v>
      </c>
      <c r="AE565" s="169"/>
      <c r="AF565" s="560"/>
      <c r="AG565" s="682" t="e">
        <f t="shared" si="34"/>
        <v>#DIV/0!</v>
      </c>
      <c r="AH565" s="560"/>
      <c r="AI565" s="556"/>
      <c r="AJ565" s="556"/>
      <c r="AK565" s="721"/>
      <c r="AL565" s="1806"/>
      <c r="AM565" s="1554"/>
      <c r="AN565" s="1554"/>
      <c r="AO565" s="1554"/>
      <c r="AP565" s="566" t="s">
        <v>68</v>
      </c>
      <c r="AQ565" s="627" t="s">
        <v>68</v>
      </c>
      <c r="AR565" s="1494"/>
      <c r="AS565" s="1495"/>
      <c r="AT565" s="1495"/>
      <c r="AU565" s="1496"/>
      <c r="AV565" s="451"/>
      <c r="AW565" s="13"/>
    </row>
    <row r="566" spans="1:49" ht="134.25" hidden="1" customHeight="1">
      <c r="A566" s="17">
        <f>OBRA!I564</f>
        <v>2021</v>
      </c>
      <c r="B566" s="1676" t="s">
        <v>2098</v>
      </c>
      <c r="C566" s="1864">
        <v>215.09</v>
      </c>
      <c r="D566" s="1864"/>
      <c r="E566" s="451" t="str">
        <f>OBRA!K564</f>
        <v>CUENTA CORRIENTE</v>
      </c>
      <c r="F566" s="19" t="s">
        <v>1431</v>
      </c>
      <c r="G566" s="249" t="s">
        <v>2900</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28" t="s">
        <v>5764</v>
      </c>
      <c r="L566" s="780" t="s">
        <v>4143</v>
      </c>
      <c r="M566" s="780" t="s">
        <v>2611</v>
      </c>
      <c r="N566" s="597"/>
      <c r="O566" s="65">
        <f>OBRA!P564</f>
        <v>91300</v>
      </c>
      <c r="P566" s="1208">
        <f t="shared" si="33"/>
        <v>78706.896551724145</v>
      </c>
      <c r="Q566" s="85" t="s">
        <v>68</v>
      </c>
      <c r="R566" s="214">
        <f>OBRA!Q564</f>
        <v>44432</v>
      </c>
      <c r="S566" s="1408" t="str">
        <f>OBRA!T564</f>
        <v>-</v>
      </c>
      <c r="T566" s="521" t="str">
        <f>OBRA!R564</f>
        <v>-</v>
      </c>
      <c r="U566" s="559" t="str">
        <f>OBRA!S564</f>
        <v>-</v>
      </c>
      <c r="V566" s="1199">
        <v>0</v>
      </c>
      <c r="W566" s="1289">
        <f>OBRA!AQ564+OBRA!AR564</f>
        <v>0</v>
      </c>
      <c r="X566" s="1235" t="s">
        <v>1431</v>
      </c>
      <c r="Y566" s="650" t="str">
        <f>OBRA!U564</f>
        <v>KRISPOD CONSTRUCTORA, DISEÑO Y CONSTRUCCIÓN S.A. DE C.V.</v>
      </c>
      <c r="Z566" s="650" t="s">
        <v>5823</v>
      </c>
      <c r="AA566" s="675" t="s">
        <v>4555</v>
      </c>
      <c r="AB566" s="675" t="s">
        <v>4556</v>
      </c>
      <c r="AC566" s="675" t="s">
        <v>4557</v>
      </c>
      <c r="AD566" s="608">
        <f>OBRA!V564</f>
        <v>0</v>
      </c>
      <c r="AE566" s="169"/>
      <c r="AF566" s="560"/>
      <c r="AG566" s="682" t="e">
        <f t="shared" si="34"/>
        <v>#DIV/0!</v>
      </c>
      <c r="AH566" s="560"/>
      <c r="AI566" s="556"/>
      <c r="AJ566" s="556"/>
      <c r="AK566" s="721"/>
      <c r="AL566" s="1806"/>
      <c r="AM566" s="1554"/>
      <c r="AN566" s="1554"/>
      <c r="AO566" s="1554"/>
      <c r="AP566" s="566" t="s">
        <v>68</v>
      </c>
      <c r="AQ566" s="627" t="s">
        <v>68</v>
      </c>
      <c r="AR566" s="1494"/>
      <c r="AS566" s="1495"/>
      <c r="AT566" s="1495"/>
      <c r="AU566" s="1496"/>
      <c r="AV566" s="451"/>
      <c r="AW566" s="13"/>
    </row>
    <row r="567" spans="1:49" ht="111" hidden="1" customHeight="1">
      <c r="A567" s="17">
        <f>OBRA!I565</f>
        <v>2021</v>
      </c>
      <c r="B567" s="895" t="s">
        <v>2098</v>
      </c>
      <c r="C567" s="1861">
        <v>216.01</v>
      </c>
      <c r="D567" s="1861"/>
      <c r="E567" s="2" t="str">
        <f>OBRA!K565</f>
        <v>CUENTA CORRIENTE</v>
      </c>
      <c r="F567" s="19" t="s">
        <v>1431</v>
      </c>
      <c r="G567" s="164" t="s">
        <v>2239</v>
      </c>
      <c r="H567" s="451" t="str">
        <f>OBRA!L565</f>
        <v>GMJ 001C- OP/2021</v>
      </c>
      <c r="I567" s="2" t="str">
        <f>OBRA!M565</f>
        <v>ADJUDICACIÓN DIRECTA</v>
      </c>
      <c r="J567" s="3" t="str">
        <f>OBRA!N565</f>
        <v>"PERFORACIÓN DE POZO PROFUNDO "MORELOS" A 250 ML", EN LA AGENCIA MUNICIPAL DE NEXTIPAC, DEL MUNICIPIO DE JOCOTEPEC, JALISCO.</v>
      </c>
      <c r="K567" s="328" t="s">
        <v>3813</v>
      </c>
      <c r="L567" s="328" t="s">
        <v>3673</v>
      </c>
      <c r="M567" s="328" t="s">
        <v>2613</v>
      </c>
      <c r="N567" s="554" t="s">
        <v>3547</v>
      </c>
      <c r="O567" s="4">
        <f>OBRA!P565</f>
        <v>1300000</v>
      </c>
      <c r="P567" s="1208">
        <f t="shared" si="33"/>
        <v>1120689.6551724139</v>
      </c>
      <c r="Q567" s="1208"/>
      <c r="R567" s="6">
        <f>OBRA!Q565</f>
        <v>44208</v>
      </c>
      <c r="S567" s="1327">
        <f>OBRA!T565</f>
        <v>44207</v>
      </c>
      <c r="T567" s="5">
        <f>OBRA!R565</f>
        <v>44231</v>
      </c>
      <c r="U567" s="12">
        <f>OBRA!S565</f>
        <v>44377</v>
      </c>
      <c r="V567" s="305">
        <v>325000.68</v>
      </c>
      <c r="W567" s="1203">
        <f>OBRA!AQ565+OBRA!AR565</f>
        <v>1293027.17</v>
      </c>
      <c r="X567" s="1202" t="s">
        <v>3502</v>
      </c>
      <c r="Y567" s="639" t="s">
        <v>2972</v>
      </c>
      <c r="Z567" s="639" t="s">
        <v>5822</v>
      </c>
      <c r="AA567" s="1234" t="str">
        <f>Y567</f>
        <v>JESSICA MONSERRAT RIVERA TORRES</v>
      </c>
      <c r="AB567" s="675" t="s">
        <v>2999</v>
      </c>
      <c r="AC567" s="675" t="s">
        <v>2999</v>
      </c>
      <c r="AD567" s="198" t="str">
        <f>OBRA!V565</f>
        <v>ING. MIGUEL MACHUCA HERNÁNDEZ / ING. LUIS RIGOBERTO OLMEDO NAVARRO</v>
      </c>
      <c r="AE567" s="20">
        <v>250</v>
      </c>
      <c r="AF567" s="2" t="s">
        <v>1454</v>
      </c>
      <c r="AG567" s="694">
        <f t="shared" si="34"/>
        <v>5172.1086799999994</v>
      </c>
      <c r="AH567" s="202">
        <v>10000</v>
      </c>
      <c r="AI567" s="566">
        <v>22000</v>
      </c>
      <c r="AJ567" s="566"/>
      <c r="AK567" s="1813">
        <v>20.28668</v>
      </c>
      <c r="AL567" s="1814">
        <v>103.42398300000001</v>
      </c>
      <c r="AM567" s="1435" t="s">
        <v>3835</v>
      </c>
      <c r="AN567" s="1435" t="s">
        <v>3835</v>
      </c>
      <c r="AO567" s="1435" t="s">
        <v>3835</v>
      </c>
      <c r="AP567" s="1436" t="s">
        <v>3835</v>
      </c>
      <c r="AQ567" s="1451" t="s">
        <v>3835</v>
      </c>
      <c r="AR567" s="1487"/>
      <c r="AS567" s="1483"/>
      <c r="AT567" s="1483"/>
      <c r="AU567" s="1488"/>
      <c r="AV567" s="451" t="s">
        <v>551</v>
      </c>
      <c r="AW567" s="13"/>
    </row>
    <row r="568" spans="1:49" ht="216" hidden="1" customHeight="1">
      <c r="A568" s="17">
        <f>OBRA!I566</f>
        <v>2021</v>
      </c>
      <c r="B568" s="1676" t="s">
        <v>2098</v>
      </c>
      <c r="C568" s="1864">
        <v>216.02</v>
      </c>
      <c r="D568" s="1864"/>
      <c r="E568" s="451" t="str">
        <f>OBRA!K566</f>
        <v>RAMO 33</v>
      </c>
      <c r="F568" s="19" t="s">
        <v>1431</v>
      </c>
      <c r="G568" s="164" t="s">
        <v>2239</v>
      </c>
      <c r="H568" s="451"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566" t="s">
        <v>3839</v>
      </c>
      <c r="L568" s="328" t="s">
        <v>3665</v>
      </c>
      <c r="M568" s="328" t="s">
        <v>2613</v>
      </c>
      <c r="N568" s="554" t="s">
        <v>3842</v>
      </c>
      <c r="O568" s="4">
        <f>OBRA!P566</f>
        <v>2242164.25</v>
      </c>
      <c r="P568" s="1208">
        <f t="shared" si="33"/>
        <v>1932900.2155172415</v>
      </c>
      <c r="Q568" s="1208"/>
      <c r="R568" s="6">
        <f>OBRA!Q566</f>
        <v>44210</v>
      </c>
      <c r="S568" s="1327" t="str">
        <f>OBRA!T566</f>
        <v>NO APLICA</v>
      </c>
      <c r="T568" s="5">
        <f>OBRA!R566</f>
        <v>44211</v>
      </c>
      <c r="U568" s="12">
        <f>OBRA!S566</f>
        <v>44270</v>
      </c>
      <c r="V568" s="761">
        <v>0</v>
      </c>
      <c r="W568" s="1203">
        <f>OBRA!AQ566+OBRA!AR566</f>
        <v>2507056.77</v>
      </c>
      <c r="X568" s="1280" t="s">
        <v>3503</v>
      </c>
      <c r="Y568" s="639" t="str">
        <f>OBRA!U566</f>
        <v>CONCRETOS, ASFALTOS Y CIMENTACIONES EDIR, S.A. DE C.V.</v>
      </c>
      <c r="Z568" s="639" t="s">
        <v>5823</v>
      </c>
      <c r="AA568" s="640" t="s">
        <v>3504</v>
      </c>
      <c r="AB568" s="1234" t="s">
        <v>3505</v>
      </c>
      <c r="AC568" s="639" t="s">
        <v>3506</v>
      </c>
      <c r="AD568" s="200" t="str">
        <f>OBRA!V566</f>
        <v xml:space="preserve">ING. ENRIQUE ENRÍQUEZ VÁZQUEZ </v>
      </c>
      <c r="AE568" s="174">
        <v>788.8</v>
      </c>
      <c r="AF568" s="202" t="s">
        <v>1552</v>
      </c>
      <c r="AG568" s="694">
        <f t="shared" si="34"/>
        <v>3178.317406186613</v>
      </c>
      <c r="AH568" s="202">
        <v>1000</v>
      </c>
      <c r="AI568" s="566">
        <v>5000</v>
      </c>
      <c r="AJ568" s="566"/>
      <c r="AK568" s="1813">
        <v>20.286808000000001</v>
      </c>
      <c r="AL568" s="1814">
        <v>103.42434799999999</v>
      </c>
      <c r="AM568" s="629" t="s">
        <v>3845</v>
      </c>
      <c r="AN568" s="629" t="s">
        <v>3845</v>
      </c>
      <c r="AO568" s="629" t="s">
        <v>3845</v>
      </c>
      <c r="AP568" s="551" t="s">
        <v>3845</v>
      </c>
      <c r="AQ568" s="1793" t="s">
        <v>3845</v>
      </c>
      <c r="AR568" s="1487"/>
      <c r="AS568" s="1483"/>
      <c r="AT568" s="1483"/>
      <c r="AU568" s="1488"/>
      <c r="AV568" s="451" t="s">
        <v>551</v>
      </c>
      <c r="AW568" s="13"/>
    </row>
    <row r="569" spans="1:49" s="1241" customFormat="1" ht="86.25" hidden="1" customHeight="1">
      <c r="A569" s="588">
        <f>OBRA!I567</f>
        <v>2021</v>
      </c>
      <c r="B569" s="1773" t="s">
        <v>2098</v>
      </c>
      <c r="C569" s="1860">
        <v>216.03</v>
      </c>
      <c r="D569" s="1860"/>
      <c r="E569" s="203" t="str">
        <f>OBRA!K567</f>
        <v>CUENTA CORRIENTE</v>
      </c>
      <c r="F569" s="1747" t="s">
        <v>1431</v>
      </c>
      <c r="G569" s="636" t="s">
        <v>2239</v>
      </c>
      <c r="H569" s="1774"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4144</v>
      </c>
      <c r="M569" s="112" t="s">
        <v>2613</v>
      </c>
      <c r="N569" s="1788"/>
      <c r="O569" s="1255">
        <f>OBRA!P567</f>
        <v>195609.22</v>
      </c>
      <c r="P569" s="1255">
        <f t="shared" si="33"/>
        <v>168628.63793103449</v>
      </c>
      <c r="Q569" s="1255"/>
      <c r="R569" s="1746">
        <f>OBRA!Q567</f>
        <v>44208</v>
      </c>
      <c r="S569" s="1775">
        <f>OBRA!T567</f>
        <v>44207</v>
      </c>
      <c r="T569" s="1262">
        <f>OBRA!R567</f>
        <v>44242</v>
      </c>
      <c r="U569" s="1268">
        <f>OBRA!S567</f>
        <v>44270</v>
      </c>
      <c r="V569" s="1750">
        <v>0</v>
      </c>
      <c r="W569" s="1777">
        <f>OBRA!AQ567+OBRA!AR567</f>
        <v>0</v>
      </c>
      <c r="X569" s="1778" t="s">
        <v>3508</v>
      </c>
      <c r="Y569" s="1779" t="str">
        <f>OBRA!U567</f>
        <v>C. SERGIO CABRERA</v>
      </c>
      <c r="Z569" s="1779" t="s">
        <v>5822</v>
      </c>
      <c r="AA569" s="1790" t="s">
        <v>3507</v>
      </c>
      <c r="AB569" s="1790" t="s">
        <v>3389</v>
      </c>
      <c r="AC569" s="1779" t="s">
        <v>3390</v>
      </c>
      <c r="AD569" s="1781" t="str">
        <f>OBRA!V567</f>
        <v xml:space="preserve">ING. ENRIQUE ENRÍQUEZ VÁZQUEZ </v>
      </c>
      <c r="AE569" s="955"/>
      <c r="AF569" s="203" t="s">
        <v>1552</v>
      </c>
      <c r="AG569" s="1782" t="e">
        <f t="shared" ref="AG569:AG585" si="40">W569/AE569</f>
        <v>#DIV/0!</v>
      </c>
      <c r="AH569" s="203"/>
      <c r="AI569" s="567"/>
      <c r="AJ569" s="567"/>
      <c r="AK569" s="1855">
        <v>20.286808000000001</v>
      </c>
      <c r="AL569" s="1856">
        <v>103.42434799999999</v>
      </c>
      <c r="AM569" s="1791"/>
      <c r="AN569" s="1791"/>
      <c r="AO569" s="1791"/>
      <c r="AP569" s="567"/>
      <c r="AQ569" s="1784"/>
      <c r="AR569" s="1785"/>
      <c r="AS569" s="1786"/>
      <c r="AT569" s="1786"/>
      <c r="AU569" s="1787"/>
      <c r="AV569" s="1774"/>
      <c r="AW569" s="1756"/>
    </row>
    <row r="570" spans="1:49" ht="227.25" hidden="1" customHeight="1">
      <c r="A570" s="17">
        <f>OBRA!I568</f>
        <v>2021</v>
      </c>
      <c r="B570" s="1676" t="s">
        <v>2098</v>
      </c>
      <c r="C570" s="1864">
        <v>216.04</v>
      </c>
      <c r="D570" s="1864"/>
      <c r="E570" s="451" t="str">
        <f>OBRA!K568</f>
        <v>RAMO 33</v>
      </c>
      <c r="F570" s="19" t="s">
        <v>1431</v>
      </c>
      <c r="G570" s="164" t="s">
        <v>2239</v>
      </c>
      <c r="H570" s="451"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566" t="s">
        <v>3839</v>
      </c>
      <c r="L570" s="328" t="s">
        <v>3666</v>
      </c>
      <c r="M570" s="328" t="s">
        <v>2613</v>
      </c>
      <c r="N570" s="554" t="s">
        <v>3547</v>
      </c>
      <c r="O570" s="4">
        <f>OBRA!P568</f>
        <v>8221905.6500000004</v>
      </c>
      <c r="P570" s="1208">
        <f t="shared" si="33"/>
        <v>7087849.6982758632</v>
      </c>
      <c r="Q570" s="1208"/>
      <c r="R570" s="6">
        <f>OBRA!Q568</f>
        <v>44210</v>
      </c>
      <c r="S570" s="1327" t="str">
        <f>OBRA!T568</f>
        <v>NO APLICA</v>
      </c>
      <c r="T570" s="5">
        <f>OBRA!R568</f>
        <v>44211</v>
      </c>
      <c r="U570" s="12">
        <f>OBRA!S568</f>
        <v>44266</v>
      </c>
      <c r="V570" s="761">
        <v>0</v>
      </c>
      <c r="W570" s="1203">
        <f>OBRA!AQ568+OBRA!AR568</f>
        <v>8221897.79</v>
      </c>
      <c r="X570" s="1573" t="s">
        <v>3840</v>
      </c>
      <c r="Y570" s="639" t="str">
        <f>OBRA!U568</f>
        <v>TERRACERÍAS Y PAVIMENTOS DE LA RIBERA, S.A. DE C.V.</v>
      </c>
      <c r="Z570" s="639" t="s">
        <v>5823</v>
      </c>
      <c r="AA570" s="652" t="s">
        <v>739</v>
      </c>
      <c r="AB570" s="652" t="s">
        <v>3511</v>
      </c>
      <c r="AC570" s="650" t="s">
        <v>3676</v>
      </c>
      <c r="AD570" s="200" t="str">
        <f>OBRA!V568</f>
        <v xml:space="preserve">ING. ENRIQUE ENRÍQUEZ VÁZQUEZ </v>
      </c>
      <c r="AE570" s="174">
        <v>2431.5300000000002</v>
      </c>
      <c r="AF570" s="202" t="s">
        <v>1552</v>
      </c>
      <c r="AG570" s="694">
        <f t="shared" si="40"/>
        <v>3381.3680234255794</v>
      </c>
      <c r="AH570" s="202">
        <v>1000</v>
      </c>
      <c r="AI570" s="566">
        <v>5000</v>
      </c>
      <c r="AJ570" s="566"/>
      <c r="AK570" s="1813">
        <v>20.287118</v>
      </c>
      <c r="AL570" s="1814">
        <v>103.42209699999999</v>
      </c>
      <c r="AM570" s="629" t="s">
        <v>3841</v>
      </c>
      <c r="AN570" s="629" t="s">
        <v>3841</v>
      </c>
      <c r="AO570" s="629" t="s">
        <v>3841</v>
      </c>
      <c r="AP570" s="551" t="s">
        <v>3841</v>
      </c>
      <c r="AQ570" s="1793" t="s">
        <v>3845</v>
      </c>
      <c r="AR570" s="1487"/>
      <c r="AS570" s="1483"/>
      <c r="AT570" s="1483"/>
      <c r="AU570" s="1488"/>
      <c r="AV570" s="451" t="s">
        <v>551</v>
      </c>
      <c r="AW570" s="13"/>
    </row>
    <row r="571" spans="1:49" ht="170.25" hidden="1" customHeight="1">
      <c r="A571" s="17">
        <f>OBRA!I569</f>
        <v>2021</v>
      </c>
      <c r="B571" s="1676" t="s">
        <v>2098</v>
      </c>
      <c r="C571" s="1864">
        <v>216.05</v>
      </c>
      <c r="D571" s="1864"/>
      <c r="E571" s="451" t="str">
        <f>OBRA!K569</f>
        <v>CUENTA CORRIENTE</v>
      </c>
      <c r="F571" s="19" t="s">
        <v>1431</v>
      </c>
      <c r="G571" s="164" t="s">
        <v>2239</v>
      </c>
      <c r="H571" s="451" t="str">
        <f>OBRA!L569</f>
        <v>GMJ 005C- OP/2021</v>
      </c>
      <c r="I571" s="2" t="str">
        <f>OBRA!M569</f>
        <v>ADJUDICACIÓN DIRECTA</v>
      </c>
      <c r="J571" s="3" t="str">
        <f>OBRA!N569</f>
        <v>"IMAGEN URBANA EN CALLE MORELOS ENTRE CALLE GONZÁLEZ ORTEGA A CRISTOBAL COLÓN" EN LA CABECERA MUNICIPAL DE JOCOTEPEC, JALISCO, (NEXTIPAC).</v>
      </c>
      <c r="K571" s="328" t="s">
        <v>4487</v>
      </c>
      <c r="L571" s="328" t="s">
        <v>4145</v>
      </c>
      <c r="M571" s="328" t="s">
        <v>2613</v>
      </c>
      <c r="N571" s="585"/>
      <c r="O571" s="4">
        <f>OBRA!P569</f>
        <v>758856.32</v>
      </c>
      <c r="P571" s="1208">
        <f t="shared" si="33"/>
        <v>654186.48275862064</v>
      </c>
      <c r="Q571" s="1208"/>
      <c r="R571" s="6">
        <f>OBRA!Q569</f>
        <v>44208</v>
      </c>
      <c r="S571" s="1327">
        <f>OBRA!T569</f>
        <v>44207</v>
      </c>
      <c r="T571" s="5">
        <f>OBRA!R569</f>
        <v>44271</v>
      </c>
      <c r="U571" s="12">
        <f>OBRA!S569</f>
        <v>44275</v>
      </c>
      <c r="V571" s="761">
        <v>0</v>
      </c>
      <c r="W571" s="1203">
        <f>OBRA!AQ569+OBRA!AR569</f>
        <v>434553.82</v>
      </c>
      <c r="X571" s="1202" t="s">
        <v>3508</v>
      </c>
      <c r="Y571" s="639" t="str">
        <f>OBRA!U569</f>
        <v>TERRACERÍAS Y PAVIMENTOS DE LA RIBERA, S.A. DE C.V.</v>
      </c>
      <c r="Z571" s="639" t="s">
        <v>5823</v>
      </c>
      <c r="AA571" s="640" t="s">
        <v>739</v>
      </c>
      <c r="AB571" s="640" t="s">
        <v>3511</v>
      </c>
      <c r="AC571" s="639" t="s">
        <v>3512</v>
      </c>
      <c r="AD571" s="200" t="str">
        <f>OBRA!V569</f>
        <v xml:space="preserve">ING. ENRIQUE ENRÍQUEZ VÁZQUEZ </v>
      </c>
      <c r="AE571" s="20">
        <v>12445.58</v>
      </c>
      <c r="AF571" s="2" t="s">
        <v>1552</v>
      </c>
      <c r="AG571" s="694">
        <f t="shared" si="40"/>
        <v>34.916317278905446</v>
      </c>
      <c r="AH571" s="202">
        <v>200</v>
      </c>
      <c r="AI571" s="566">
        <v>11000</v>
      </c>
      <c r="AJ571" s="566"/>
      <c r="AK571" s="1813">
        <v>20.287118</v>
      </c>
      <c r="AL571" s="1814">
        <v>103.42209699999999</v>
      </c>
      <c r="AM571" s="631"/>
      <c r="AN571" s="631"/>
      <c r="AO571" s="631"/>
      <c r="AP571" s="556"/>
      <c r="AQ571" s="1485"/>
      <c r="AR571" s="1487"/>
      <c r="AS571" s="1483"/>
      <c r="AT571" s="1483"/>
      <c r="AU571" s="1488"/>
      <c r="AV571" s="451"/>
      <c r="AW571" s="13"/>
    </row>
    <row r="572" spans="1:49" ht="210.75" hidden="1" customHeight="1">
      <c r="A572" s="17">
        <f>OBRA!I570</f>
        <v>2021</v>
      </c>
      <c r="B572" s="1676" t="s">
        <v>2098</v>
      </c>
      <c r="C572" s="1864">
        <v>216.06</v>
      </c>
      <c r="D572" s="1864"/>
      <c r="E572" s="451" t="str">
        <f>OBRA!K570</f>
        <v>RAMO 33</v>
      </c>
      <c r="F572" s="19" t="s">
        <v>1431</v>
      </c>
      <c r="G572" s="164" t="s">
        <v>2239</v>
      </c>
      <c r="H572" s="451"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566" t="s">
        <v>3839</v>
      </c>
      <c r="L572" s="328" t="s">
        <v>4146</v>
      </c>
      <c r="M572" s="328" t="s">
        <v>2613</v>
      </c>
      <c r="N572" s="554" t="s">
        <v>3547</v>
      </c>
      <c r="O572" s="4">
        <f>OBRA!P570</f>
        <v>1379641.73</v>
      </c>
      <c r="P572" s="1208">
        <f t="shared" si="33"/>
        <v>1189346.3189655172</v>
      </c>
      <c r="Q572" s="1208"/>
      <c r="R572" s="6">
        <f>OBRA!Q570</f>
        <v>44208</v>
      </c>
      <c r="S572" s="1327">
        <f>OBRA!T570</f>
        <v>44207</v>
      </c>
      <c r="T572" s="5">
        <f>OBRA!R570</f>
        <v>44211</v>
      </c>
      <c r="U572" s="12">
        <f>OBRA!S570</f>
        <v>44256</v>
      </c>
      <c r="V572" s="761">
        <v>0</v>
      </c>
      <c r="W572" s="1203">
        <f>OBRA!AQ570+OBRA!AR570</f>
        <v>1239899.07</v>
      </c>
      <c r="X572" s="1280" t="s">
        <v>3514</v>
      </c>
      <c r="Y572" s="639" t="str">
        <f>OBRA!U570</f>
        <v xml:space="preserve">SERVICIOS Y CONSTRUCCIONES NATENIO, S.A. DE C.V. </v>
      </c>
      <c r="Z572" s="639" t="s">
        <v>5823</v>
      </c>
      <c r="AA572" s="640" t="s">
        <v>2844</v>
      </c>
      <c r="AB572" s="640" t="s">
        <v>2845</v>
      </c>
      <c r="AC572" s="639" t="s">
        <v>3009</v>
      </c>
      <c r="AD572" s="200" t="str">
        <f>OBRA!V570</f>
        <v>ING. VICTOR MANUEL PACHECO AZCONA</v>
      </c>
      <c r="AE572" s="20">
        <f>370*2</f>
        <v>740</v>
      </c>
      <c r="AF572" s="2" t="s">
        <v>1552</v>
      </c>
      <c r="AG572" s="694">
        <f t="shared" si="40"/>
        <v>1675.539283783784</v>
      </c>
      <c r="AH572" s="202">
        <v>200</v>
      </c>
      <c r="AI572" s="566">
        <v>11000</v>
      </c>
      <c r="AJ572" s="566"/>
      <c r="AK572" s="1813">
        <v>20.287731000000001</v>
      </c>
      <c r="AL572" s="1814">
        <v>103.418091</v>
      </c>
      <c r="AM572" s="629" t="s">
        <v>4250</v>
      </c>
      <c r="AN572" s="631"/>
      <c r="AO572" s="629" t="s">
        <v>4250</v>
      </c>
      <c r="AP572" s="556"/>
      <c r="AQ572" s="1793" t="s">
        <v>4250</v>
      </c>
      <c r="AR572" s="1487"/>
      <c r="AS572" s="1483"/>
      <c r="AT572" s="1483"/>
      <c r="AU572" s="1488"/>
      <c r="AV572" s="451"/>
      <c r="AW572" s="13"/>
    </row>
    <row r="573" spans="1:49" s="1241" customFormat="1" ht="61.5" hidden="1" customHeight="1">
      <c r="A573" s="588">
        <f>OBRA!I571</f>
        <v>2021</v>
      </c>
      <c r="B573" s="1773" t="s">
        <v>2098</v>
      </c>
      <c r="C573" s="1862">
        <v>216.07</v>
      </c>
      <c r="D573" s="1862"/>
      <c r="E573" s="203" t="str">
        <f>OBRA!K571</f>
        <v>CUENTA CORRIENTE</v>
      </c>
      <c r="F573" s="1747" t="s">
        <v>1431</v>
      </c>
      <c r="G573" s="636" t="s">
        <v>2239</v>
      </c>
      <c r="H573" s="1774" t="str">
        <f>OBRA!L571</f>
        <v>GMJ 007C- OP/2021</v>
      </c>
      <c r="I573" s="203" t="str">
        <f>OBRA!M571</f>
        <v>CANCELADA</v>
      </c>
      <c r="J573" s="112" t="str">
        <f>OBRA!N571</f>
        <v>"IMAGEN URBANA EN CALLE MORELOS DE CALLE CRISTOBAL COLÓN A CALLE RICO" EN LA CABECERA MUNICIPAL DE JOCOTEPEC, JALISCO, (NEXTIPAC).</v>
      </c>
      <c r="K573" s="112"/>
      <c r="L573" s="112" t="s">
        <v>4146</v>
      </c>
      <c r="M573" s="112" t="s">
        <v>2613</v>
      </c>
      <c r="N573" s="1788" t="s">
        <v>3547</v>
      </c>
      <c r="O573" s="1255">
        <f>OBRA!P571</f>
        <v>101577.38</v>
      </c>
      <c r="P573" s="1255">
        <f t="shared" si="33"/>
        <v>87566.706896551739</v>
      </c>
      <c r="Q573" s="1255"/>
      <c r="R573" s="1746">
        <f>OBRA!Q571</f>
        <v>44208</v>
      </c>
      <c r="S573" s="1775">
        <f>OBRA!T571</f>
        <v>44207</v>
      </c>
      <c r="T573" s="1262">
        <f>OBRA!R571</f>
        <v>44270</v>
      </c>
      <c r="U573" s="1268">
        <f>OBRA!S571</f>
        <v>44275</v>
      </c>
      <c r="V573" s="1750">
        <v>0</v>
      </c>
      <c r="W573" s="1777">
        <f>OBRA!AQ571+OBRA!AR571</f>
        <v>0</v>
      </c>
      <c r="X573" s="1778" t="s">
        <v>3508</v>
      </c>
      <c r="Y573" s="1779" t="str">
        <f>OBRA!U571</f>
        <v xml:space="preserve">SERVICIOS Y CONSTRUCCIONES NATENIO, S.A. DE C.V. </v>
      </c>
      <c r="Z573" s="1779" t="s">
        <v>5823</v>
      </c>
      <c r="AA573" s="1790" t="s">
        <v>2844</v>
      </c>
      <c r="AB573" s="1790" t="s">
        <v>2845</v>
      </c>
      <c r="AC573" s="1779" t="s">
        <v>3009</v>
      </c>
      <c r="AD573" s="1781" t="str">
        <f>OBRA!V571</f>
        <v>ING. VICTOR MANUEL PACHECO AZCONA</v>
      </c>
      <c r="AE573" s="955"/>
      <c r="AF573" s="203" t="s">
        <v>1552</v>
      </c>
      <c r="AG573" s="1782" t="e">
        <f t="shared" si="40"/>
        <v>#DIV/0!</v>
      </c>
      <c r="AH573" s="203"/>
      <c r="AI573" s="567"/>
      <c r="AJ573" s="567"/>
      <c r="AK573" s="1855">
        <v>20.287731000000001</v>
      </c>
      <c r="AL573" s="1856">
        <v>103.418091</v>
      </c>
      <c r="AM573" s="1791"/>
      <c r="AN573" s="1791"/>
      <c r="AO573" s="1791"/>
      <c r="AP573" s="567"/>
      <c r="AQ573" s="1784"/>
      <c r="AR573" s="1785"/>
      <c r="AS573" s="1786"/>
      <c r="AT573" s="1786"/>
      <c r="AU573" s="1787"/>
      <c r="AV573" s="1774"/>
      <c r="AW573" s="1756"/>
    </row>
    <row r="574" spans="1:49" ht="224.25" hidden="1" customHeight="1">
      <c r="A574" s="17">
        <f>OBRA!I572</f>
        <v>2021</v>
      </c>
      <c r="B574" s="895" t="s">
        <v>2098</v>
      </c>
      <c r="C574" s="1858">
        <v>216.08</v>
      </c>
      <c r="D574" s="1858"/>
      <c r="E574" s="2" t="str">
        <f>OBRA!K572</f>
        <v>RAMO 33</v>
      </c>
      <c r="F574" s="19" t="s">
        <v>1431</v>
      </c>
      <c r="G574" s="164" t="s">
        <v>2239</v>
      </c>
      <c r="H574" s="451"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566" t="s">
        <v>3839</v>
      </c>
      <c r="L574" s="328" t="s">
        <v>4147</v>
      </c>
      <c r="M574" s="328" t="s">
        <v>2613</v>
      </c>
      <c r="N574" s="554" t="s">
        <v>3547</v>
      </c>
      <c r="O574" s="4">
        <f>OBRA!P572</f>
        <v>1301387.07</v>
      </c>
      <c r="P574" s="1208">
        <f t="shared" si="33"/>
        <v>1121885.4051724139</v>
      </c>
      <c r="Q574" s="1208"/>
      <c r="R574" s="6">
        <f>OBRA!Q572</f>
        <v>44200</v>
      </c>
      <c r="S574" s="1327">
        <f>OBRA!T572</f>
        <v>44197</v>
      </c>
      <c r="T574" s="5">
        <f>OBRA!R572</f>
        <v>44201</v>
      </c>
      <c r="U574" s="12">
        <f>OBRA!S572</f>
        <v>44270</v>
      </c>
      <c r="V574" s="761">
        <v>0</v>
      </c>
      <c r="W574" s="1203">
        <f>OBRA!AQ572+OBRA!AR572</f>
        <v>1116853.6100000001</v>
      </c>
      <c r="X574" s="1280" t="s">
        <v>3515</v>
      </c>
      <c r="Y574" s="639" t="str">
        <f>OBRA!U572</f>
        <v xml:space="preserve">DESARROLLO DAP S.A. DE C.V. </v>
      </c>
      <c r="Z574" s="639" t="s">
        <v>5823</v>
      </c>
      <c r="AA574" s="640" t="s">
        <v>3516</v>
      </c>
      <c r="AB574" s="1234" t="s">
        <v>2980</v>
      </c>
      <c r="AC574" s="639" t="s">
        <v>3401</v>
      </c>
      <c r="AD574" s="200" t="str">
        <f>OBRA!V572</f>
        <v>ING. VICTOR MANUEL PACHECO AZCONA</v>
      </c>
      <c r="AE574" s="174">
        <v>2593.23</v>
      </c>
      <c r="AF574" s="202" t="s">
        <v>1552</v>
      </c>
      <c r="AG574" s="694">
        <f t="shared" si="40"/>
        <v>430.68050654974689</v>
      </c>
      <c r="AH574" s="202">
        <v>500</v>
      </c>
      <c r="AI574" s="566">
        <v>11000</v>
      </c>
      <c r="AJ574" s="566"/>
      <c r="AK574" s="1813">
        <v>20.287754</v>
      </c>
      <c r="AL574" s="1814">
        <v>103.416543</v>
      </c>
      <c r="AM574" s="629" t="s">
        <v>4251</v>
      </c>
      <c r="AN574" s="629" t="s">
        <v>4251</v>
      </c>
      <c r="AO574" s="629" t="s">
        <v>4251</v>
      </c>
      <c r="AP574" s="551" t="s">
        <v>4251</v>
      </c>
      <c r="AQ574" s="1793" t="s">
        <v>4251</v>
      </c>
      <c r="AR574" s="1487"/>
      <c r="AS574" s="1483"/>
      <c r="AT574" s="1483"/>
      <c r="AU574" s="1488"/>
      <c r="AV574" s="451" t="s">
        <v>551</v>
      </c>
      <c r="AW574" s="13"/>
    </row>
    <row r="575" spans="1:49" ht="90" hidden="1" customHeight="1">
      <c r="A575" s="17">
        <f>OBRA!I573</f>
        <v>2021</v>
      </c>
      <c r="B575" s="1676" t="s">
        <v>2098</v>
      </c>
      <c r="C575" s="1864">
        <v>216.09</v>
      </c>
      <c r="D575" s="1864"/>
      <c r="E575" s="451" t="str">
        <f>OBRA!K573</f>
        <v>CUENTA CORRIENTE</v>
      </c>
      <c r="F575" s="19" t="s">
        <v>1431</v>
      </c>
      <c r="G575" s="164" t="s">
        <v>2239</v>
      </c>
      <c r="H575" s="451"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780" t="s">
        <v>4507</v>
      </c>
      <c r="L575" s="328" t="s">
        <v>4147</v>
      </c>
      <c r="M575" s="328" t="s">
        <v>2613</v>
      </c>
      <c r="N575" s="554" t="s">
        <v>3842</v>
      </c>
      <c r="O575" s="4">
        <f>OBRA!P573</f>
        <v>2617705.66</v>
      </c>
      <c r="P575" s="1208">
        <f t="shared" si="33"/>
        <v>2256642.8103448278</v>
      </c>
      <c r="Q575" s="1208"/>
      <c r="R575" s="6">
        <f>OBRA!Q573</f>
        <v>44208</v>
      </c>
      <c r="S575" s="1327" t="str">
        <f>OBRA!T573</f>
        <v>NO APLICA</v>
      </c>
      <c r="T575" s="5">
        <f>OBRA!R573</f>
        <v>44227</v>
      </c>
      <c r="U575" s="12">
        <f>OBRA!S573</f>
        <v>44270</v>
      </c>
      <c r="V575" s="761">
        <v>0</v>
      </c>
      <c r="W575" s="1289">
        <f>OBRA!AQ573+OBRA!AR573</f>
        <v>1480943.65</v>
      </c>
      <c r="X575" s="1280" t="s">
        <v>3518</v>
      </c>
      <c r="Y575" s="639" t="str">
        <f>OBRA!U573</f>
        <v xml:space="preserve">DESARROLLO DAP S.A. DE C.V. </v>
      </c>
      <c r="Z575" s="639" t="s">
        <v>5823</v>
      </c>
      <c r="AA575" s="640" t="s">
        <v>3516</v>
      </c>
      <c r="AB575" s="640" t="s">
        <v>2980</v>
      </c>
      <c r="AC575" s="639" t="s">
        <v>3401</v>
      </c>
      <c r="AD575" s="200" t="str">
        <f>OBRA!V573</f>
        <v>ING. VICTOR MANUEL PACHECO AZCONA</v>
      </c>
      <c r="AE575" s="231">
        <v>2523.9299999999998</v>
      </c>
      <c r="AF575" s="426" t="s">
        <v>1552</v>
      </c>
      <c r="AG575" s="1979">
        <f t="shared" si="40"/>
        <v>586.76098386246849</v>
      </c>
      <c r="AH575" s="202">
        <v>1000</v>
      </c>
      <c r="AI575" s="566">
        <v>5000</v>
      </c>
      <c r="AJ575" s="566"/>
      <c r="AK575" s="1813">
        <v>20.287754</v>
      </c>
      <c r="AL575" s="1814">
        <v>103.416543</v>
      </c>
      <c r="AM575" s="631" t="s">
        <v>4508</v>
      </c>
      <c r="AN575" s="631" t="s">
        <v>4508</v>
      </c>
      <c r="AO575" s="631" t="s">
        <v>4508</v>
      </c>
      <c r="AP575" s="1835" t="s">
        <v>4508</v>
      </c>
      <c r="AQ575" s="1792" t="s">
        <v>4508</v>
      </c>
      <c r="AR575" s="1487"/>
      <c r="AS575" s="1483"/>
      <c r="AT575" s="1483"/>
      <c r="AU575" s="1488"/>
      <c r="AV575" s="451"/>
      <c r="AW575" s="13"/>
    </row>
    <row r="576" spans="1:49" ht="91.5" hidden="1" customHeight="1">
      <c r="A576" s="17">
        <f>OBRA!I574</f>
        <v>2021</v>
      </c>
      <c r="B576" s="1676" t="s">
        <v>2098</v>
      </c>
      <c r="C576" s="1864">
        <v>216.1</v>
      </c>
      <c r="D576" s="1865"/>
      <c r="E576" s="451" t="str">
        <f>OBRA!K574</f>
        <v>FOCOCI</v>
      </c>
      <c r="F576" s="806" t="s">
        <v>3849</v>
      </c>
      <c r="G576" s="164" t="s">
        <v>2239</v>
      </c>
      <c r="H576" s="451"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97"/>
      <c r="L576" s="328" t="s">
        <v>4148</v>
      </c>
      <c r="M576" s="328" t="s">
        <v>1979</v>
      </c>
      <c r="N576" s="554" t="s">
        <v>3842</v>
      </c>
      <c r="O576" s="4">
        <f>OBRA!P574</f>
        <v>4895145.74</v>
      </c>
      <c r="P576" s="1208">
        <f t="shared" si="33"/>
        <v>4219953.2241379311</v>
      </c>
      <c r="Q576" s="1208"/>
      <c r="R576" s="6">
        <f>OBRA!Q574</f>
        <v>44239</v>
      </c>
      <c r="S576" s="1327" t="str">
        <f>OBRA!T574</f>
        <v>NO APLICA</v>
      </c>
      <c r="T576" s="5">
        <f>OBRA!R574</f>
        <v>44242</v>
      </c>
      <c r="U576" s="12">
        <f>OBRA!S574</f>
        <v>44331</v>
      </c>
      <c r="V576" s="1198">
        <v>1223786.43</v>
      </c>
      <c r="W576" s="1289">
        <f>OBRA!AQ574+OBRA!AR574</f>
        <v>5000000</v>
      </c>
      <c r="X576" s="1235" t="s">
        <v>3968</v>
      </c>
      <c r="Y576" s="639" t="str">
        <f>OBRA!U574</f>
        <v>ALSERCON SA DE CV</v>
      </c>
      <c r="Z576" s="639" t="s">
        <v>5823</v>
      </c>
      <c r="AA576" s="652" t="s">
        <v>2183</v>
      </c>
      <c r="AB576" s="652" t="s">
        <v>2184</v>
      </c>
      <c r="AC576" s="650" t="s">
        <v>3404</v>
      </c>
      <c r="AD576" s="200" t="str">
        <f>OBRA!V574</f>
        <v>ARQ. JAIME CONDE GOMEZ</v>
      </c>
      <c r="AE576" s="231">
        <v>3357.6</v>
      </c>
      <c r="AF576" s="426" t="s">
        <v>1552</v>
      </c>
      <c r="AG576" s="1979">
        <f t="shared" si="40"/>
        <v>1489.1589230402669</v>
      </c>
      <c r="AH576" s="202">
        <v>500</v>
      </c>
      <c r="AI576" s="566">
        <v>6000</v>
      </c>
      <c r="AJ576" s="566"/>
      <c r="AK576" s="1813">
        <v>20.288573</v>
      </c>
      <c r="AL576" s="1814">
        <v>103.436711</v>
      </c>
      <c r="AM576" s="1435" t="s">
        <v>3886</v>
      </c>
      <c r="AN576" s="1435" t="s">
        <v>3886</v>
      </c>
      <c r="AO576" s="1435" t="s">
        <v>3886</v>
      </c>
      <c r="AP576" s="1436" t="s">
        <v>3886</v>
      </c>
      <c r="AQ576" s="1436" t="s">
        <v>3886</v>
      </c>
      <c r="AR576" s="1487"/>
      <c r="AS576" s="1483"/>
      <c r="AT576" s="1483"/>
      <c r="AU576" s="1488"/>
      <c r="AV576" s="451"/>
      <c r="AW576" s="13"/>
    </row>
    <row r="577" spans="1:49" ht="67.5" hidden="1" customHeight="1">
      <c r="A577" s="17">
        <f>OBRA!I575</f>
        <v>2021</v>
      </c>
      <c r="B577" s="1676" t="s">
        <v>2098</v>
      </c>
      <c r="C577" s="1864">
        <v>216.11</v>
      </c>
      <c r="D577" s="1865"/>
      <c r="E577" s="451" t="str">
        <f>OBRA!K575</f>
        <v>FOCOCI</v>
      </c>
      <c r="F577" s="806" t="s">
        <v>3849</v>
      </c>
      <c r="G577" s="164" t="s">
        <v>2239</v>
      </c>
      <c r="H577" s="451" t="str">
        <f>OBRA!L575</f>
        <v>FOCOCI-OP-CSS-011/2021</v>
      </c>
      <c r="I577" s="2" t="str">
        <f>OBRA!M575</f>
        <v>CONCURSO SIMPLIFICADO SUMARIO</v>
      </c>
      <c r="J577" s="328" t="str">
        <f>OBRA!N575</f>
        <v>"REHABILITACIÓN DE INGRESO A ZAPOTITÁN DE HIDALGO DE LA CARRETERA FEDERAL AL PUENTE EN EL MUNICIPIO DE JOCOTEPEC, JALISCO".</v>
      </c>
      <c r="K577" s="597"/>
      <c r="L577" s="328" t="s">
        <v>3777</v>
      </c>
      <c r="M577" s="3" t="s">
        <v>3664</v>
      </c>
      <c r="N577" s="554" t="s">
        <v>3672</v>
      </c>
      <c r="O577" s="85">
        <f>OBRA!P575</f>
        <v>3973863.2</v>
      </c>
      <c r="P577" s="1208">
        <f t="shared" si="33"/>
        <v>3425744.1379310349</v>
      </c>
      <c r="Q577" s="1208"/>
      <c r="R577" s="69">
        <f>OBRA!Q575</f>
        <v>44278</v>
      </c>
      <c r="S577" s="1327" t="str">
        <f>OBRA!T575</f>
        <v>NO APLICA</v>
      </c>
      <c r="T577" s="255">
        <f>OBRA!R575</f>
        <v>44280</v>
      </c>
      <c r="U577" s="245">
        <f>OBRA!S575</f>
        <v>44347</v>
      </c>
      <c r="V577" s="1198">
        <v>993465.8</v>
      </c>
      <c r="W577" s="1289">
        <f>OBRA!AQ575+OBRA!AR575</f>
        <v>4000000</v>
      </c>
      <c r="X577" s="1235" t="s">
        <v>3781</v>
      </c>
      <c r="Y577" s="650" t="str">
        <f>OBRA!U575</f>
        <v>COREGO CONSTRUCCIONES, S.A. DE C.V.</v>
      </c>
      <c r="Z577" s="650" t="s">
        <v>5823</v>
      </c>
      <c r="AA577" s="652" t="s">
        <v>3778</v>
      </c>
      <c r="AB577" s="652" t="s">
        <v>3779</v>
      </c>
      <c r="AC577" s="650" t="s">
        <v>3780</v>
      </c>
      <c r="AD577" s="200" t="str">
        <f>OBRA!V575</f>
        <v xml:space="preserve">ING. ENRIQUE ENRÍQUEZ VÁZQUEZ </v>
      </c>
      <c r="AE577" s="231">
        <v>17929</v>
      </c>
      <c r="AF577" s="426" t="s">
        <v>1552</v>
      </c>
      <c r="AG577" s="1979">
        <f t="shared" si="40"/>
        <v>223.10223659992192</v>
      </c>
      <c r="AH577" s="202">
        <v>2000</v>
      </c>
      <c r="AI577" s="566">
        <v>4000</v>
      </c>
      <c r="AJ577" s="566"/>
      <c r="AK577" s="1813">
        <v>20.323613000000002</v>
      </c>
      <c r="AL577" s="1814">
        <v>103.487735</v>
      </c>
      <c r="AM577" s="631" t="s">
        <v>4509</v>
      </c>
      <c r="AN577" s="631"/>
      <c r="AO577" s="631"/>
      <c r="AP577" s="556"/>
      <c r="AQ577" s="1485"/>
      <c r="AR577" s="1487"/>
      <c r="AS577" s="1483"/>
      <c r="AT577" s="1483"/>
      <c r="AU577" s="1488"/>
      <c r="AV577" s="451"/>
      <c r="AW577" s="13"/>
    </row>
    <row r="578" spans="1:49" s="1241" customFormat="1" ht="64.5" hidden="1" customHeight="1">
      <c r="A578" s="588">
        <f>OBRA!I576</f>
        <v>2021</v>
      </c>
      <c r="B578" s="1773" t="s">
        <v>2098</v>
      </c>
      <c r="C578" s="1860">
        <v>216.12</v>
      </c>
      <c r="D578" s="1860"/>
      <c r="E578" s="203" t="str">
        <f>OBRA!K576</f>
        <v>CUENTA CORRIENTE</v>
      </c>
      <c r="F578" s="1747" t="s">
        <v>1431</v>
      </c>
      <c r="G578" s="636" t="s">
        <v>2239</v>
      </c>
      <c r="H578" s="1774" t="str">
        <f>OBRA!L576</f>
        <v>GMJ 012C- OP/2021</v>
      </c>
      <c r="I578" s="203" t="str">
        <f>OBRA!M576</f>
        <v>CANCELADA</v>
      </c>
      <c r="J578" s="112" t="str">
        <f>OBRA!N576</f>
        <v>"REHABILITACIÓN DE POZO PROFUNDO UBICADO EN EL ATRIO DEL TEMPLO DEL SEÑOR DEL MONTE, EN LA CABECERA MUNICIPAL DE JOCOTEPEC, JALISCO.</v>
      </c>
      <c r="K578" s="112"/>
      <c r="L578" s="112" t="s">
        <v>3674</v>
      </c>
      <c r="M578" s="112" t="s">
        <v>1979</v>
      </c>
      <c r="N578" s="1788"/>
      <c r="O578" s="1255">
        <f>OBRA!P576</f>
        <v>144561.23000000001</v>
      </c>
      <c r="P578" s="1255">
        <f t="shared" si="33"/>
        <v>124621.75000000001</v>
      </c>
      <c r="Q578" s="1255"/>
      <c r="R578" s="1746">
        <f>OBRA!Q576</f>
        <v>0</v>
      </c>
      <c r="S578" s="1775">
        <f>OBRA!T576</f>
        <v>44228</v>
      </c>
      <c r="T578" s="1262">
        <f>OBRA!R576</f>
        <v>44228</v>
      </c>
      <c r="U578" s="1268">
        <f>OBRA!S576</f>
        <v>44255</v>
      </c>
      <c r="V578" s="1776">
        <v>0</v>
      </c>
      <c r="W578" s="1777">
        <f>OBRA!AQ576+OBRA!AR576</f>
        <v>0</v>
      </c>
      <c r="X578" s="1778"/>
      <c r="Y578" s="1779" t="str">
        <f>OBRA!U576</f>
        <v>JESSICA MONSERRAT RIVERA TORRES</v>
      </c>
      <c r="Z578" s="1779" t="s">
        <v>5822</v>
      </c>
      <c r="AA578" s="1790" t="str">
        <f>Y578</f>
        <v>JESSICA MONSERRAT RIVERA TORRES</v>
      </c>
      <c r="AB578" s="1780" t="s">
        <v>4494</v>
      </c>
      <c r="AC578" s="1780" t="s">
        <v>4494</v>
      </c>
      <c r="AD578" s="1781">
        <f>OBRA!V576</f>
        <v>0</v>
      </c>
      <c r="AE578" s="955"/>
      <c r="AF578" s="203"/>
      <c r="AG578" s="1782" t="e">
        <f t="shared" si="40"/>
        <v>#DIV/0!</v>
      </c>
      <c r="AH578" s="203"/>
      <c r="AI578" s="567"/>
      <c r="AJ578" s="567"/>
      <c r="AK578" s="1811"/>
      <c r="AL578" s="1812"/>
      <c r="AM578" s="1791"/>
      <c r="AN578" s="1791"/>
      <c r="AO578" s="1791"/>
      <c r="AP578" s="567"/>
      <c r="AQ578" s="1784"/>
      <c r="AR578" s="1785"/>
      <c r="AS578" s="1786"/>
      <c r="AT578" s="1786"/>
      <c r="AU578" s="1787"/>
      <c r="AV578" s="1774"/>
      <c r="AW578" s="1756"/>
    </row>
    <row r="579" spans="1:49" ht="129.75" hidden="1" customHeight="1">
      <c r="A579" s="17">
        <f>OBRA!I577</f>
        <v>2021</v>
      </c>
      <c r="B579" s="1676" t="s">
        <v>2098</v>
      </c>
      <c r="C579" s="1864">
        <v>216.13</v>
      </c>
      <c r="D579" s="1864"/>
      <c r="E579" s="451" t="str">
        <f>OBRA!K577</f>
        <v>CUENTA CORRIENTE</v>
      </c>
      <c r="F579" s="19" t="s">
        <v>1431</v>
      </c>
      <c r="G579" s="164" t="s">
        <v>2239</v>
      </c>
      <c r="H579" s="451"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3922</v>
      </c>
      <c r="L579" s="328" t="s">
        <v>3675</v>
      </c>
      <c r="M579" s="3" t="s">
        <v>3664</v>
      </c>
      <c r="N579" s="554" t="s">
        <v>3672</v>
      </c>
      <c r="O579" s="4">
        <f>OBRA!P577</f>
        <v>1127177.8999999999</v>
      </c>
      <c r="P579" s="1208">
        <f t="shared" si="33"/>
        <v>971705.08620689658</v>
      </c>
      <c r="Q579" s="1208"/>
      <c r="R579" s="6">
        <f>OBRA!Q577</f>
        <v>44242</v>
      </c>
      <c r="S579" s="1327">
        <f>OBRA!T577</f>
        <v>44242</v>
      </c>
      <c r="T579" s="5">
        <f>OBRA!R577</f>
        <v>44242</v>
      </c>
      <c r="U579" s="12">
        <f>OBRA!S577</f>
        <v>44332</v>
      </c>
      <c r="V579" s="1198">
        <v>281794.48</v>
      </c>
      <c r="W579" s="1203">
        <f>OBRA!AQ577+OBRA!AR577</f>
        <v>725739.42</v>
      </c>
      <c r="X579" s="1201" t="s">
        <v>3967</v>
      </c>
      <c r="Y579" s="639" t="str">
        <f>OBRA!U577</f>
        <v xml:space="preserve">INFRAESTRUCTURA Y EDIFICACIONES OROZCO S.A. DE C.V. </v>
      </c>
      <c r="Z579" s="639" t="s">
        <v>5823</v>
      </c>
      <c r="AA579" s="652" t="s">
        <v>3924</v>
      </c>
      <c r="AB579" s="675" t="s">
        <v>2926</v>
      </c>
      <c r="AC579" s="650" t="s">
        <v>3925</v>
      </c>
      <c r="AD579" s="200" t="str">
        <f>OBRA!V577</f>
        <v xml:space="preserve">ING. ENRIQUE ENRÍQUEZ VÁZQUEZ </v>
      </c>
      <c r="AE579" s="231">
        <v>1768</v>
      </c>
      <c r="AF579" s="426" t="s">
        <v>1552</v>
      </c>
      <c r="AG579" s="757">
        <f t="shared" si="40"/>
        <v>410.4860972850679</v>
      </c>
      <c r="AH579" s="202">
        <v>2000</v>
      </c>
      <c r="AI579" s="566">
        <v>4000</v>
      </c>
      <c r="AJ579" s="566"/>
      <c r="AK579" s="1813">
        <v>20.327687999999998</v>
      </c>
      <c r="AL579" s="1814">
        <v>103.47994300000001</v>
      </c>
      <c r="AM579" s="1435" t="s">
        <v>4189</v>
      </c>
      <c r="AN579" s="1435" t="s">
        <v>4189</v>
      </c>
      <c r="AO579" s="1435" t="s">
        <v>4189</v>
      </c>
      <c r="AP579" s="556"/>
      <c r="AQ579" s="1485"/>
      <c r="AR579" s="1487"/>
      <c r="AS579" s="1483"/>
      <c r="AT579" s="1483"/>
      <c r="AU579" s="1488"/>
      <c r="AV579" s="451"/>
      <c r="AW579" s="13"/>
    </row>
    <row r="580" spans="1:49" ht="131.25" hidden="1" customHeight="1">
      <c r="A580" s="17">
        <f>OBRA!I578</f>
        <v>2021</v>
      </c>
      <c r="B580" s="1676" t="s">
        <v>2098</v>
      </c>
      <c r="C580" s="1864">
        <v>216.14</v>
      </c>
      <c r="D580" s="1864"/>
      <c r="E580" s="451" t="str">
        <f>OBRA!K578</f>
        <v>CUENTA CORRIENTE</v>
      </c>
      <c r="F580" s="19" t="s">
        <v>1431</v>
      </c>
      <c r="G580" s="164" t="s">
        <v>2239</v>
      </c>
      <c r="H580" s="451"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3923</v>
      </c>
      <c r="L580" s="328" t="s">
        <v>3675</v>
      </c>
      <c r="M580" s="3" t="s">
        <v>3664</v>
      </c>
      <c r="N580" s="554" t="s">
        <v>3672</v>
      </c>
      <c r="O580" s="4">
        <f>OBRA!P578</f>
        <v>1311375.01</v>
      </c>
      <c r="P580" s="1208">
        <f t="shared" si="33"/>
        <v>1130495.6982758623</v>
      </c>
      <c r="Q580" s="1208"/>
      <c r="R580" s="6">
        <f>OBRA!Q578</f>
        <v>44242</v>
      </c>
      <c r="S580" s="1327">
        <f>OBRA!T578</f>
        <v>44242</v>
      </c>
      <c r="T580" s="5">
        <f>OBRA!R578</f>
        <v>44242</v>
      </c>
      <c r="U580" s="12">
        <f>OBRA!S578</f>
        <v>44332</v>
      </c>
      <c r="V580" s="1198">
        <v>327843.75</v>
      </c>
      <c r="W580" s="1203">
        <f>OBRA!AQ578+OBRA!AR578</f>
        <v>940185.83</v>
      </c>
      <c r="X580" s="1235" t="s">
        <v>3967</v>
      </c>
      <c r="Y580" s="639" t="str">
        <f>OBRA!U578</f>
        <v>SUPERVISIÓN PROYECTOS Y LABORATORIO PARA LA CONSTRUCCIÓN, S.A. DE C.V.</v>
      </c>
      <c r="Z580" s="639" t="s">
        <v>5823</v>
      </c>
      <c r="AA580" s="652" t="s">
        <v>3928</v>
      </c>
      <c r="AB580" s="652" t="s">
        <v>3830</v>
      </c>
      <c r="AC580" s="650" t="s">
        <v>3929</v>
      </c>
      <c r="AD580" s="200" t="str">
        <f>OBRA!V578</f>
        <v xml:space="preserve">ING. ENRIQUE ENRÍQUEZ VÁZQUEZ </v>
      </c>
      <c r="AE580" s="231">
        <v>18185.669999999998</v>
      </c>
      <c r="AF580" s="426" t="s">
        <v>1552</v>
      </c>
      <c r="AG580" s="1979">
        <f t="shared" si="40"/>
        <v>51.699268160040297</v>
      </c>
      <c r="AH580" s="202">
        <v>2000</v>
      </c>
      <c r="AI580" s="566">
        <v>4000</v>
      </c>
      <c r="AJ580" s="566"/>
      <c r="AK580" s="1813">
        <v>20.327687999999998</v>
      </c>
      <c r="AL580" s="1814">
        <v>103.47994300000001</v>
      </c>
      <c r="AM580" s="631"/>
      <c r="AN580" s="631"/>
      <c r="AO580" s="631"/>
      <c r="AP580" s="556"/>
      <c r="AQ580" s="1485"/>
      <c r="AR580" s="1487"/>
      <c r="AS580" s="1483"/>
      <c r="AT580" s="1483"/>
      <c r="AU580" s="1488"/>
      <c r="AV580" s="451"/>
      <c r="AW580" s="13"/>
    </row>
    <row r="581" spans="1:49" ht="129" hidden="1" customHeight="1">
      <c r="A581" s="17">
        <f>OBRA!I579</f>
        <v>2021</v>
      </c>
      <c r="B581" s="895" t="s">
        <v>2098</v>
      </c>
      <c r="C581" s="1863">
        <v>216.15</v>
      </c>
      <c r="D581" s="1863"/>
      <c r="E581" s="2" t="str">
        <f>OBRA!K579</f>
        <v>CUENTA CORRIENTE</v>
      </c>
      <c r="F581" s="19" t="s">
        <v>1431</v>
      </c>
      <c r="G581" s="164" t="s">
        <v>2239</v>
      </c>
      <c r="H581" s="451" t="str">
        <f>OBRA!L579</f>
        <v>GMJ 015C- OP/2021</v>
      </c>
      <c r="I581" s="2" t="str">
        <f>OBRA!M579</f>
        <v>ADJUDICACIÓN DIRECTA</v>
      </c>
      <c r="J581" s="3" t="str">
        <f>OBRA!N579</f>
        <v>"EQUIPAMIENTO DE POZO MORELOS" EN LA AGENCIA MINICIPAL DE NEXTIPAC, DEL MUNICIPIO DE JOCOTEPEC, JALISCO.</v>
      </c>
      <c r="K581" s="328" t="s">
        <v>4336</v>
      </c>
      <c r="L581" s="328" t="s">
        <v>4140</v>
      </c>
      <c r="M581" s="3" t="s">
        <v>2613</v>
      </c>
      <c r="N581" s="554" t="s">
        <v>3672</v>
      </c>
      <c r="O581" s="4">
        <f>OBRA!P579</f>
        <v>347784.24</v>
      </c>
      <c r="P581" s="1208">
        <f t="shared" si="33"/>
        <v>299814</v>
      </c>
      <c r="Q581" s="1208"/>
      <c r="R581" s="6">
        <f>OBRA!Q579</f>
        <v>44305</v>
      </c>
      <c r="S581" s="1327">
        <f>OBRA!T579</f>
        <v>44302</v>
      </c>
      <c r="T581" s="5">
        <f>OBRA!R579</f>
        <v>44378</v>
      </c>
      <c r="U581" s="12">
        <f>OBRA!S579</f>
        <v>44424</v>
      </c>
      <c r="V581" s="1198">
        <v>86946.23</v>
      </c>
      <c r="W581" s="1203">
        <f>OBRA!AQ579+OBRA!AR579</f>
        <v>347784.24</v>
      </c>
      <c r="X581" s="1235" t="s">
        <v>3783</v>
      </c>
      <c r="Y581" s="639" t="str">
        <f>OBRA!U579</f>
        <v>MARCO ANTONIO PAREDES RODRÍGUEZ</v>
      </c>
      <c r="Z581" s="639" t="s">
        <v>5822</v>
      </c>
      <c r="AA581" s="640" t="str">
        <f>Y581</f>
        <v>MARCO ANTONIO PAREDES RODRÍGUEZ</v>
      </c>
      <c r="AB581" s="675" t="s">
        <v>4337</v>
      </c>
      <c r="AC581" s="675" t="s">
        <v>4338</v>
      </c>
      <c r="AD581" s="200" t="str">
        <f>OBRA!V579</f>
        <v>ING. LUIS RIGOBERTO OLMEDO NAVARRO</v>
      </c>
      <c r="AE581" s="174">
        <v>1</v>
      </c>
      <c r="AF581" s="202" t="s">
        <v>1466</v>
      </c>
      <c r="AG581" s="694">
        <f t="shared" si="40"/>
        <v>347784.24</v>
      </c>
      <c r="AH581" s="202">
        <v>22000</v>
      </c>
      <c r="AI581" s="566">
        <v>22000</v>
      </c>
      <c r="AJ581" s="566"/>
      <c r="AK581" s="1813">
        <v>20.28668</v>
      </c>
      <c r="AL581" s="1814">
        <v>103.42398300000001</v>
      </c>
      <c r="AM581" s="629" t="s">
        <v>4335</v>
      </c>
      <c r="AN581" s="629" t="s">
        <v>4335</v>
      </c>
      <c r="AO581" s="629" t="s">
        <v>4335</v>
      </c>
      <c r="AP581" s="551" t="s">
        <v>4335</v>
      </c>
      <c r="AQ581" s="1793" t="s">
        <v>4335</v>
      </c>
      <c r="AR581" s="1487"/>
      <c r="AS581" s="1483"/>
      <c r="AT581" s="1483"/>
      <c r="AU581" s="1488"/>
      <c r="AV581" s="451" t="s">
        <v>551</v>
      </c>
      <c r="AW581" s="13"/>
    </row>
    <row r="582" spans="1:49" ht="123" hidden="1" customHeight="1">
      <c r="A582" s="17">
        <f>OBRA!I580</f>
        <v>2021</v>
      </c>
      <c r="B582" s="895" t="s">
        <v>2098</v>
      </c>
      <c r="C582" s="1858">
        <v>216.16</v>
      </c>
      <c r="D582" s="1858"/>
      <c r="E582" s="2" t="str">
        <f>OBRA!K580</f>
        <v>CUENTA CORRIENTE</v>
      </c>
      <c r="F582" s="19" t="s">
        <v>1431</v>
      </c>
      <c r="G582" s="164" t="s">
        <v>2239</v>
      </c>
      <c r="H582" s="451" t="str">
        <f>OBRA!L580</f>
        <v>GMJ 016C- OP/2021</v>
      </c>
      <c r="I582" s="2" t="str">
        <f>OBRA!M580</f>
        <v>ADJUDICACIÓN DIRECTA</v>
      </c>
      <c r="J582" s="3" t="str">
        <f>OBRA!N580</f>
        <v>"PROYECTO DE ELECTRIFICACIÓN Y EQUIPAMIENTO 1ERA ETAPA DE POZO PROFUNDO ALLENDE", UBICADO EN LA CABECERA MUNICIPAL DE JOCOTEPEC, JALISCO</v>
      </c>
      <c r="K582" s="328" t="s">
        <v>4329</v>
      </c>
      <c r="L582" s="3" t="s">
        <v>3786</v>
      </c>
      <c r="M582" s="3" t="s">
        <v>1979</v>
      </c>
      <c r="N582" s="554" t="s">
        <v>3672</v>
      </c>
      <c r="O582" s="4">
        <f>OBRA!P580</f>
        <v>1083547.78</v>
      </c>
      <c r="P582" s="1208">
        <f t="shared" si="33"/>
        <v>934092.91379310354</v>
      </c>
      <c r="Q582" s="1208"/>
      <c r="R582" s="6">
        <f>OBRA!Q580</f>
        <v>44308</v>
      </c>
      <c r="S582" s="1327">
        <f>OBRA!T580</f>
        <v>44302</v>
      </c>
      <c r="T582" s="5">
        <f>OBRA!R580</f>
        <v>44322</v>
      </c>
      <c r="U582" s="12">
        <f>OBRA!S580</f>
        <v>44347</v>
      </c>
      <c r="V582" s="1198">
        <v>270886.94</v>
      </c>
      <c r="W582" s="1203">
        <f>OBRA!AQ580+OBRA!AR580</f>
        <v>1083547.77</v>
      </c>
      <c r="X582" s="1202" t="s">
        <v>3787</v>
      </c>
      <c r="Y582" s="639" t="str">
        <f>OBRA!U580</f>
        <v>CONVADI, S.A. DE C.V.</v>
      </c>
      <c r="Z582" s="639" t="s">
        <v>5823</v>
      </c>
      <c r="AA582" s="640" t="s">
        <v>3788</v>
      </c>
      <c r="AB582" s="1234" t="s">
        <v>3377</v>
      </c>
      <c r="AC582" s="1234" t="s">
        <v>3378</v>
      </c>
      <c r="AD582" s="198" t="str">
        <f>OBRA!V580</f>
        <v>ING. ALEJANDRO SIGALA MOLINA</v>
      </c>
      <c r="AE582" s="20">
        <v>1</v>
      </c>
      <c r="AF582" s="2" t="s">
        <v>1466</v>
      </c>
      <c r="AG582" s="682">
        <f t="shared" si="40"/>
        <v>1083547.77</v>
      </c>
      <c r="AH582" s="202">
        <v>22000</v>
      </c>
      <c r="AI582" s="566">
        <v>22000</v>
      </c>
      <c r="AJ582" s="566"/>
      <c r="AK582" s="1813">
        <v>20.291990999999999</v>
      </c>
      <c r="AL582" s="1814">
        <v>103.42882400000001</v>
      </c>
      <c r="AM582" s="629" t="s">
        <v>4328</v>
      </c>
      <c r="AN582" s="629" t="s">
        <v>4328</v>
      </c>
      <c r="AO582" s="629" t="s">
        <v>4328</v>
      </c>
      <c r="AP582" s="551" t="s">
        <v>4328</v>
      </c>
      <c r="AQ582" s="1793" t="s">
        <v>4328</v>
      </c>
      <c r="AR582" s="1487"/>
      <c r="AS582" s="1483"/>
      <c r="AT582" s="1483"/>
      <c r="AU582" s="1488"/>
      <c r="AV582" s="451" t="s">
        <v>551</v>
      </c>
      <c r="AW582" s="13"/>
    </row>
    <row r="583" spans="1:49" ht="90" hidden="1" customHeight="1">
      <c r="A583" s="17">
        <f>OBRA!I581</f>
        <v>2021</v>
      </c>
      <c r="B583" s="1676" t="s">
        <v>2098</v>
      </c>
      <c r="C583" s="1864">
        <v>216.17</v>
      </c>
      <c r="D583" s="1864"/>
      <c r="E583" s="451" t="str">
        <f>OBRA!K581</f>
        <v>CUENTA CORRIENTE</v>
      </c>
      <c r="F583" s="19" t="s">
        <v>1431</v>
      </c>
      <c r="G583" s="164" t="s">
        <v>2239</v>
      </c>
      <c r="H583" s="451" t="str">
        <f>OBRA!L581</f>
        <v>GMJ 017C- OP/2021</v>
      </c>
      <c r="I583" s="2" t="str">
        <f>OBRA!M581</f>
        <v>ADJUDICACIÓN DIRECTA</v>
      </c>
      <c r="J583" s="3" t="str">
        <f>OBRA!N581</f>
        <v>"PROYECTO DE ELÉCTRICO DEL RASTRO MUNICIPAL, ETAPA 1,  EN LA CABECERA MUNICIPAL DE JOCOTEPEC, JALISCO</v>
      </c>
      <c r="K583" s="328" t="s">
        <v>4340</v>
      </c>
      <c r="L583" s="328" t="s">
        <v>2006</v>
      </c>
      <c r="M583" s="328" t="s">
        <v>1979</v>
      </c>
      <c r="N583" s="554" t="s">
        <v>3672</v>
      </c>
      <c r="O583" s="4">
        <f>OBRA!P581</f>
        <v>652301.56999999995</v>
      </c>
      <c r="P583" s="1208">
        <f t="shared" si="33"/>
        <v>562328.93965517241</v>
      </c>
      <c r="Q583" s="1208"/>
      <c r="R583" s="6">
        <f>OBRA!Q581</f>
        <v>44440</v>
      </c>
      <c r="S583" s="1327">
        <f>OBRA!T581</f>
        <v>44438</v>
      </c>
      <c r="T583" s="5">
        <f>OBRA!R581</f>
        <v>44445</v>
      </c>
      <c r="U583" s="12">
        <f>OBRA!S581</f>
        <v>44463</v>
      </c>
      <c r="V583" s="1198">
        <v>163075.39000000001</v>
      </c>
      <c r="W583" s="1203">
        <f>OBRA!AQ581+OBRA!AR581</f>
        <v>793793.33</v>
      </c>
      <c r="X583" s="1235" t="s">
        <v>4341</v>
      </c>
      <c r="Y583" s="639" t="str">
        <f>OBRA!U581</f>
        <v>GRUPO ARANGE, S.A. DE C.V.</v>
      </c>
      <c r="Z583" s="639" t="s">
        <v>5823</v>
      </c>
      <c r="AA583" s="652" t="s">
        <v>4342</v>
      </c>
      <c r="AB583" s="650" t="s">
        <v>2922</v>
      </c>
      <c r="AC583" s="650" t="s">
        <v>4343</v>
      </c>
      <c r="AD583" s="198" t="str">
        <f>OBRA!V581</f>
        <v>LIC. SALVADOR CONTRERAS OLGUÍN</v>
      </c>
      <c r="AE583" s="174">
        <v>1</v>
      </c>
      <c r="AF583" s="202" t="s">
        <v>1577</v>
      </c>
      <c r="AG583" s="694">
        <f t="shared" si="40"/>
        <v>793793.33</v>
      </c>
      <c r="AH583" s="202">
        <v>2000</v>
      </c>
      <c r="AI583" s="566">
        <v>47000</v>
      </c>
      <c r="AJ583" s="566"/>
      <c r="AK583" s="1813">
        <v>20.279305999999998</v>
      </c>
      <c r="AL583" s="1814">
        <v>103.44510099999999</v>
      </c>
      <c r="AM583" s="629" t="s">
        <v>4339</v>
      </c>
      <c r="AN583" s="629" t="s">
        <v>4339</v>
      </c>
      <c r="AO583" s="629" t="s">
        <v>4339</v>
      </c>
      <c r="AP583" s="1835"/>
      <c r="AQ583" s="1793" t="s">
        <v>4339</v>
      </c>
      <c r="AR583" s="1487"/>
      <c r="AS583" s="1483"/>
      <c r="AT583" s="1483"/>
      <c r="AU583" s="1488"/>
      <c r="AV583" s="451"/>
      <c r="AW583" s="13"/>
    </row>
    <row r="584" spans="1:49" ht="99.75" hidden="1" customHeight="1">
      <c r="A584" s="17">
        <f>OBRA!I582</f>
        <v>2021</v>
      </c>
      <c r="B584" s="1676" t="s">
        <v>2098</v>
      </c>
      <c r="C584" s="1864">
        <v>216.18</v>
      </c>
      <c r="D584" s="1864"/>
      <c r="E584" s="451" t="str">
        <f>OBRA!K582</f>
        <v>CUENTA CORRIENTE</v>
      </c>
      <c r="F584" s="19" t="s">
        <v>1431</v>
      </c>
      <c r="G584" s="164" t="s">
        <v>2239</v>
      </c>
      <c r="H584" s="451"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97"/>
      <c r="L584" s="328" t="s">
        <v>4147</v>
      </c>
      <c r="M584" s="328" t="s">
        <v>2613</v>
      </c>
      <c r="N584" s="554" t="s">
        <v>3672</v>
      </c>
      <c r="O584" s="4">
        <f>OBRA!P582</f>
        <v>1137012.22</v>
      </c>
      <c r="P584" s="1208">
        <f t="shared" si="33"/>
        <v>980182.94827586215</v>
      </c>
      <c r="Q584" s="1208"/>
      <c r="R584" s="6">
        <f>OBRA!Q582</f>
        <v>44454</v>
      </c>
      <c r="S584" s="1327">
        <f>OBRA!T582</f>
        <v>44452</v>
      </c>
      <c r="T584" s="5">
        <f>OBRA!R582</f>
        <v>44456</v>
      </c>
      <c r="U584" s="12">
        <f>OBRA!S582</f>
        <v>44499</v>
      </c>
      <c r="V584" s="1822">
        <v>0</v>
      </c>
      <c r="W584" s="1289">
        <f>OBRA!AQ582+OBRA!AR582</f>
        <v>0</v>
      </c>
      <c r="X584" s="1201"/>
      <c r="Y584" s="639" t="str">
        <f>OBRA!U582</f>
        <v xml:space="preserve">ING. SERGIO CABRERA </v>
      </c>
      <c r="Z584" s="639" t="s">
        <v>5822</v>
      </c>
      <c r="AA584" s="640" t="str">
        <f>Y584</f>
        <v xml:space="preserve">ING. SERGIO CABRERA </v>
      </c>
      <c r="AB584" s="1372"/>
      <c r="AC584" s="1372"/>
      <c r="AD584" s="198" t="str">
        <f>OBRA!V582</f>
        <v>ING. J. GUADALUPE IBARRA RAMIREZ</v>
      </c>
      <c r="AE584" s="231">
        <v>1661</v>
      </c>
      <c r="AF584" s="426" t="s">
        <v>1552</v>
      </c>
      <c r="AG584" s="757">
        <f t="shared" si="40"/>
        <v>0</v>
      </c>
      <c r="AH584" s="560"/>
      <c r="AI584" s="556"/>
      <c r="AJ584" s="556"/>
      <c r="AK584" s="1813">
        <v>20.287754</v>
      </c>
      <c r="AL584" s="1814">
        <v>103.416543</v>
      </c>
      <c r="AM584" s="631"/>
      <c r="AN584" s="631"/>
      <c r="AO584" s="631"/>
      <c r="AP584" s="556"/>
      <c r="AQ584" s="1485"/>
      <c r="AR584" s="1487"/>
      <c r="AS584" s="1483"/>
      <c r="AT584" s="1483"/>
      <c r="AU584" s="1488"/>
      <c r="AV584" s="451"/>
      <c r="AW584" s="13"/>
    </row>
    <row r="585" spans="1:49" ht="60" hidden="1" customHeight="1">
      <c r="A585" s="17">
        <f>OBRA!I583</f>
        <v>2021</v>
      </c>
      <c r="B585" s="1676" t="s">
        <v>3989</v>
      </c>
      <c r="C585" s="1864">
        <v>217</v>
      </c>
      <c r="D585" s="1864"/>
      <c r="E585" s="633" t="str">
        <f>OBRA!K583</f>
        <v xml:space="preserve">CULTURA CARDINAL </v>
      </c>
      <c r="F585" s="561"/>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597"/>
      <c r="L585" s="328" t="s">
        <v>4159</v>
      </c>
      <c r="M585" s="328" t="s">
        <v>1979</v>
      </c>
      <c r="N585" s="597"/>
      <c r="O585" s="85">
        <f>OBRA!P583</f>
        <v>100000</v>
      </c>
      <c r="P585" s="1208">
        <f t="shared" si="33"/>
        <v>86206.896551724145</v>
      </c>
      <c r="Q585" s="1208"/>
      <c r="R585" s="69">
        <f>OBRA!Q583</f>
        <v>44504</v>
      </c>
      <c r="S585" s="1327" t="str">
        <f>OBRA!T583</f>
        <v>NO APLICA</v>
      </c>
      <c r="T585" s="255">
        <f>OBRA!R583</f>
        <v>44508</v>
      </c>
      <c r="U585" s="245">
        <f>OBRA!S583</f>
        <v>44561</v>
      </c>
      <c r="V585" s="1821">
        <v>0</v>
      </c>
      <c r="W585" s="1289">
        <f>OBRA!AQ583+OBRA!AR583</f>
        <v>0</v>
      </c>
      <c r="X585" s="1235" t="s">
        <v>4208</v>
      </c>
      <c r="Y585" s="650" t="str">
        <f>OBRA!U583</f>
        <v>N/A</v>
      </c>
      <c r="Z585" s="650" t="s">
        <v>68</v>
      </c>
      <c r="AA585" s="652" t="str">
        <f>Y585</f>
        <v>N/A</v>
      </c>
      <c r="AB585" s="650" t="s">
        <v>1177</v>
      </c>
      <c r="AC585" s="675" t="s">
        <v>1177</v>
      </c>
      <c r="AD585" s="200" t="str">
        <f>OBRA!V583</f>
        <v>ARQ. JAIME CONDE GOMEZ</v>
      </c>
      <c r="AE585" s="231">
        <v>84</v>
      </c>
      <c r="AF585" s="426" t="s">
        <v>1552</v>
      </c>
      <c r="AG585" s="757">
        <f t="shared" si="40"/>
        <v>0</v>
      </c>
      <c r="AH585" s="560"/>
      <c r="AI585" s="556"/>
      <c r="AJ585" s="556"/>
      <c r="AK585" s="1815"/>
      <c r="AL585" s="1816"/>
      <c r="AM585" s="631"/>
      <c r="AN585" s="631"/>
      <c r="AO585" s="631"/>
      <c r="AP585" s="556"/>
      <c r="AQ585" s="1485"/>
      <c r="AR585" s="1487"/>
      <c r="AS585" s="1483"/>
      <c r="AT585" s="1483"/>
      <c r="AU585" s="1488"/>
      <c r="AV585" s="451"/>
      <c r="AW585" s="13"/>
    </row>
    <row r="586" spans="1:49" ht="60" hidden="1" customHeight="1">
      <c r="A586" s="17">
        <f>OBRA!I584</f>
        <v>2021</v>
      </c>
      <c r="B586" s="1676" t="s">
        <v>3989</v>
      </c>
      <c r="C586" s="1864">
        <v>217</v>
      </c>
      <c r="D586" s="1864"/>
      <c r="E586" s="633" t="str">
        <f>OBRA!K584</f>
        <v>CUENTA CORRIENTE</v>
      </c>
      <c r="F586" s="19"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597"/>
      <c r="L586" s="597"/>
      <c r="M586" s="328" t="s">
        <v>1979</v>
      </c>
      <c r="N586" s="597"/>
      <c r="O586" s="85">
        <f>OBRA!P584</f>
        <v>400000</v>
      </c>
      <c r="P586" s="1208">
        <f>O586/1.16</f>
        <v>344827.58620689658</v>
      </c>
      <c r="Q586" s="1208"/>
      <c r="R586" s="69">
        <f>OBRA!Q584</f>
        <v>44560</v>
      </c>
      <c r="S586" s="1327" t="str">
        <f>OBRA!T584</f>
        <v>NO APLICA</v>
      </c>
      <c r="T586" s="255">
        <f>OBRA!R584</f>
        <v>44561</v>
      </c>
      <c r="U586" s="245">
        <f>OBRA!S584</f>
        <v>44651</v>
      </c>
      <c r="V586" s="1821">
        <v>0</v>
      </c>
      <c r="W586" s="1289">
        <f>OBRA!AQ584+OBRA!AR584</f>
        <v>0</v>
      </c>
      <c r="X586" s="1235" t="s">
        <v>4207</v>
      </c>
      <c r="Y586" s="650" t="str">
        <f>OBRA!U584</f>
        <v>N/A</v>
      </c>
      <c r="Z586" s="650" t="s">
        <v>68</v>
      </c>
      <c r="AA586" s="652" t="str">
        <f>Y586</f>
        <v>N/A</v>
      </c>
      <c r="AB586" s="650" t="s">
        <v>1177</v>
      </c>
      <c r="AC586" s="652" t="s">
        <v>1177</v>
      </c>
      <c r="AD586" s="200" t="str">
        <f>OBRA!V584</f>
        <v>ING. J. GUADALUPE IBARRA RAMIREZ</v>
      </c>
      <c r="AE586" s="169"/>
      <c r="AF586" s="426" t="s">
        <v>1552</v>
      </c>
      <c r="AG586" s="720" t="e">
        <f>W586/AE586</f>
        <v>#DIV/0!</v>
      </c>
      <c r="AH586" s="560"/>
      <c r="AI586" s="556"/>
      <c r="AJ586" s="556"/>
      <c r="AK586" s="1815"/>
      <c r="AL586" s="1816"/>
      <c r="AM586" s="631"/>
      <c r="AN586" s="631"/>
      <c r="AO586" s="631"/>
      <c r="AP586" s="556"/>
      <c r="AQ586" s="1485"/>
      <c r="AR586" s="1487"/>
      <c r="AS586" s="1483"/>
      <c r="AT586" s="1483"/>
      <c r="AU586" s="1488"/>
      <c r="AV586" s="451"/>
      <c r="AW586" s="13"/>
    </row>
    <row r="587" spans="1:49" ht="74.25" hidden="1" customHeight="1" thickBot="1">
      <c r="A587" s="17">
        <f>OBRA!I585</f>
        <v>2021</v>
      </c>
      <c r="B587" s="1676" t="s">
        <v>3989</v>
      </c>
      <c r="C587" s="1864"/>
      <c r="D587" s="1864"/>
      <c r="E587" s="451" t="str">
        <f>OBRA!K585</f>
        <v>CUENTA CORRIENTE</v>
      </c>
      <c r="F587" s="19" t="s">
        <v>1431</v>
      </c>
      <c r="G587" s="40" t="s">
        <v>2900</v>
      </c>
      <c r="H587" s="35" t="str">
        <f>OBRA!L585</f>
        <v>C.P.S.P. D.O.P. 001/2021</v>
      </c>
      <c r="I587" s="2" t="str">
        <f>OBRA!M585</f>
        <v>SERVICIOS</v>
      </c>
      <c r="J587" s="3" t="str">
        <f>OBRA!N585</f>
        <v>ESTUDIO DE MECÁNICA DE SUELOS Y EL ESTUDIO DE CÁLCULO ESTRUCTURAL EN LA ESCUELA JOSÉ SANTANA, EN LA CABECERA MUNICIPAL DE JOCOTEPEC, JALISCO.</v>
      </c>
      <c r="K587" s="328" t="s">
        <v>5765</v>
      </c>
      <c r="L587" s="328" t="s">
        <v>4160</v>
      </c>
      <c r="M587" s="328" t="s">
        <v>1979</v>
      </c>
      <c r="N587" s="597"/>
      <c r="O587" s="4">
        <f>OBRA!P585</f>
        <v>42920</v>
      </c>
      <c r="P587" s="1208">
        <f t="shared" ref="P587:P601" si="41">O587/1.16</f>
        <v>37000</v>
      </c>
      <c r="Q587" s="85" t="s">
        <v>68</v>
      </c>
      <c r="R587" s="6">
        <f>OBRA!Q585</f>
        <v>44512</v>
      </c>
      <c r="S587" s="1327" t="str">
        <f>OBRA!T585</f>
        <v>NO APLICA</v>
      </c>
      <c r="T587" s="5" t="str">
        <f>OBRA!R585</f>
        <v>-</v>
      </c>
      <c r="U587" s="12" t="str">
        <f>OBRA!S585</f>
        <v>-</v>
      </c>
      <c r="V587" s="1822"/>
      <c r="W587" s="1207">
        <f>OBRA!AQ585+OBRA!AR585</f>
        <v>0</v>
      </c>
      <c r="X587" s="1235" t="s">
        <v>1431</v>
      </c>
      <c r="Y587" s="650" t="str">
        <f>OBRA!U585</f>
        <v>ECCOC DE GUADALAJARA, S.A. DE C.V.</v>
      </c>
      <c r="Z587" s="650" t="s">
        <v>5823</v>
      </c>
      <c r="AA587" s="640" t="str">
        <f t="shared" ref="AA587:AA601" si="42">Y587</f>
        <v>ECCOC DE GUADALAJARA, S.A. DE C.V.</v>
      </c>
      <c r="AB587" s="1372"/>
      <c r="AC587" s="1373"/>
      <c r="AD587" s="608">
        <f>OBRA!V585</f>
        <v>0</v>
      </c>
      <c r="AE587" s="20"/>
      <c r="AF587" s="2"/>
      <c r="AG587" s="638" t="e">
        <f t="shared" ref="AG587:AG596" si="43">W587/AE587</f>
        <v>#DIV/0!</v>
      </c>
      <c r="AH587" s="2"/>
      <c r="AI587" s="563"/>
      <c r="AJ587" s="563"/>
      <c r="AK587" s="1807"/>
      <c r="AL587" s="1808"/>
      <c r="AM587" s="631"/>
      <c r="AN587" s="631"/>
      <c r="AO587" s="631"/>
      <c r="AP587" s="556"/>
      <c r="AQ587" s="1485"/>
      <c r="AR587" s="1489"/>
      <c r="AS587" s="1490"/>
      <c r="AT587" s="1490"/>
      <c r="AU587" s="1491"/>
      <c r="AV587" s="451"/>
      <c r="AW587" s="13"/>
    </row>
    <row r="588" spans="1:49" ht="75" hidden="1" customHeight="1">
      <c r="A588" s="17">
        <f>OBRA!I586</f>
        <v>2021</v>
      </c>
      <c r="B588" s="895" t="s">
        <v>3989</v>
      </c>
      <c r="C588" s="1863"/>
      <c r="D588" s="1863"/>
      <c r="E588" s="2" t="str">
        <f>OBRA!K586</f>
        <v>CUENTA CORRIENTE</v>
      </c>
      <c r="F588" s="19" t="s">
        <v>1431</v>
      </c>
      <c r="G588" s="40" t="s">
        <v>2900</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328" t="s">
        <v>5766</v>
      </c>
      <c r="L588" s="328" t="s">
        <v>4161</v>
      </c>
      <c r="M588" s="328" t="s">
        <v>2613</v>
      </c>
      <c r="N588" s="597"/>
      <c r="O588" s="4">
        <f>OBRA!P586</f>
        <v>5800</v>
      </c>
      <c r="P588" s="1208">
        <f t="shared" si="41"/>
        <v>5000</v>
      </c>
      <c r="Q588" s="85" t="s">
        <v>68</v>
      </c>
      <c r="R588" s="6">
        <f>OBRA!Q586</f>
        <v>44512</v>
      </c>
      <c r="S588" s="1327" t="str">
        <f>OBRA!T586</f>
        <v>NO APLICA</v>
      </c>
      <c r="T588" s="5" t="str">
        <f>OBRA!R586</f>
        <v>-</v>
      </c>
      <c r="U588" s="12" t="str">
        <f>OBRA!S586</f>
        <v>-</v>
      </c>
      <c r="V588" s="1822"/>
      <c r="W588" s="1207">
        <f>OBRA!AQ586+OBRA!AR586</f>
        <v>0</v>
      </c>
      <c r="X588" s="1235" t="s">
        <v>1431</v>
      </c>
      <c r="Y588" s="650" t="str">
        <f>OBRA!U586</f>
        <v>CARLOS MANUEL PELAYO CERVERA</v>
      </c>
      <c r="Z588" s="650" t="s">
        <v>5822</v>
      </c>
      <c r="AA588" s="640" t="str">
        <f t="shared" si="42"/>
        <v>CARLOS MANUEL PELAYO CERVERA</v>
      </c>
      <c r="AB588" s="1372"/>
      <c r="AC588" s="1373"/>
      <c r="AD588" s="608">
        <f>OBRA!V586</f>
        <v>0</v>
      </c>
      <c r="AE588" s="20"/>
      <c r="AF588" s="2"/>
      <c r="AG588" s="638" t="e">
        <f t="shared" si="43"/>
        <v>#DIV/0!</v>
      </c>
      <c r="AH588" s="2"/>
      <c r="AI588" s="563"/>
      <c r="AJ588" s="563"/>
      <c r="AK588" s="1807"/>
      <c r="AL588" s="1808"/>
      <c r="AM588" s="631"/>
      <c r="AN588" s="631"/>
      <c r="AO588" s="631"/>
      <c r="AP588" s="556"/>
      <c r="AQ588" s="561"/>
      <c r="AR588" s="171"/>
      <c r="AS588" s="171"/>
      <c r="AT588" s="171"/>
      <c r="AU588" s="171"/>
      <c r="AV588" s="35"/>
      <c r="AW588" s="13"/>
    </row>
    <row r="589" spans="1:49" ht="193.5" hidden="1" customHeight="1">
      <c r="A589" s="17">
        <f>OBRA!I587</f>
        <v>2021</v>
      </c>
      <c r="B589" s="895" t="s">
        <v>3989</v>
      </c>
      <c r="C589" s="895"/>
      <c r="D589" s="895"/>
      <c r="E589" s="2" t="str">
        <f>OBRA!K587</f>
        <v>CUENTA CORRIENTE</v>
      </c>
      <c r="F589" s="19" t="s">
        <v>1431</v>
      </c>
      <c r="G589" s="40" t="s">
        <v>2900</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28" t="s">
        <v>5764</v>
      </c>
      <c r="L589" s="328" t="s">
        <v>4162</v>
      </c>
      <c r="M589" s="328" t="s">
        <v>2548</v>
      </c>
      <c r="N589" s="597"/>
      <c r="O589" s="4">
        <f>OBRA!P587</f>
        <v>34800</v>
      </c>
      <c r="P589" s="1208">
        <f t="shared" si="41"/>
        <v>30000.000000000004</v>
      </c>
      <c r="Q589" s="85" t="s">
        <v>68</v>
      </c>
      <c r="R589" s="6">
        <f>OBRA!Q587</f>
        <v>44515</v>
      </c>
      <c r="S589" s="1327" t="str">
        <f>OBRA!T587</f>
        <v>NO APLICA</v>
      </c>
      <c r="T589" s="5" t="str">
        <f>OBRA!R587</f>
        <v>-</v>
      </c>
      <c r="U589" s="12" t="str">
        <f>OBRA!S587</f>
        <v>-</v>
      </c>
      <c r="V589" s="1822"/>
      <c r="W589" s="1207">
        <f>OBRA!AQ587+OBRA!AR587</f>
        <v>0</v>
      </c>
      <c r="X589" s="1235" t="s">
        <v>1431</v>
      </c>
      <c r="Y589" s="650" t="str">
        <f>OBRA!U587</f>
        <v>ING. SERGIO CABRERA</v>
      </c>
      <c r="Z589" s="650" t="s">
        <v>5822</v>
      </c>
      <c r="AA589" s="640" t="str">
        <f t="shared" si="42"/>
        <v>ING. SERGIO CABRERA</v>
      </c>
      <c r="AB589" s="1372"/>
      <c r="AC589" s="1373"/>
      <c r="AD589" s="608">
        <f>OBRA!V587</f>
        <v>0</v>
      </c>
      <c r="AE589" s="20"/>
      <c r="AF589" s="2"/>
      <c r="AG589" s="638" t="e">
        <f t="shared" si="43"/>
        <v>#DIV/0!</v>
      </c>
      <c r="AH589" s="2"/>
      <c r="AI589" s="563"/>
      <c r="AJ589" s="563"/>
      <c r="AK589" s="1807"/>
      <c r="AL589" s="1808"/>
      <c r="AM589" s="631"/>
      <c r="AN589" s="631"/>
      <c r="AO589" s="631"/>
      <c r="AP589" s="556"/>
      <c r="AQ589" s="561"/>
      <c r="AR589" s="556"/>
      <c r="AS589" s="556"/>
      <c r="AT589" s="556"/>
      <c r="AU589" s="556"/>
      <c r="AV589" s="35"/>
      <c r="AW589" s="13"/>
    </row>
    <row r="590" spans="1:49" ht="96.75" hidden="1" customHeight="1">
      <c r="A590" s="17">
        <f>OBRA!I588</f>
        <v>2021</v>
      </c>
      <c r="B590" s="895" t="s">
        <v>3989</v>
      </c>
      <c r="C590" s="895"/>
      <c r="D590" s="895"/>
      <c r="E590" s="2" t="str">
        <f>OBRA!K588</f>
        <v>CUENTA CORRIENTE</v>
      </c>
      <c r="F590" s="19" t="s">
        <v>1431</v>
      </c>
      <c r="G590" s="40" t="s">
        <v>2900</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28" t="s">
        <v>5767</v>
      </c>
      <c r="L590" s="328" t="s">
        <v>4163</v>
      </c>
      <c r="M590" s="328" t="s">
        <v>1979</v>
      </c>
      <c r="N590" s="597"/>
      <c r="O590" s="4">
        <f>OBRA!P588</f>
        <v>28999.999999999996</v>
      </c>
      <c r="P590" s="1208">
        <f t="shared" si="41"/>
        <v>25000</v>
      </c>
      <c r="Q590" s="85" t="s">
        <v>68</v>
      </c>
      <c r="R590" s="6">
        <f>OBRA!Q588</f>
        <v>44533</v>
      </c>
      <c r="S590" s="1327" t="str">
        <f>OBRA!T588</f>
        <v>NO APLICA</v>
      </c>
      <c r="T590" s="5">
        <f>OBRA!R588</f>
        <v>44543</v>
      </c>
      <c r="U590" s="12">
        <f>OBRA!S588</f>
        <v>44546</v>
      </c>
      <c r="V590" s="1822"/>
      <c r="W590" s="1207">
        <f>OBRA!AQ588+OBRA!AR588</f>
        <v>0</v>
      </c>
      <c r="X590" s="1235" t="s">
        <v>1431</v>
      </c>
      <c r="Y590" s="650" t="str">
        <f>OBRA!U588</f>
        <v xml:space="preserve">SERVICIOS Y CONSTRUCCIONES NATENIO, S.A. DE C.V. </v>
      </c>
      <c r="Z590" s="650" t="s">
        <v>5823</v>
      </c>
      <c r="AA590" s="640" t="str">
        <f t="shared" si="42"/>
        <v xml:space="preserve">SERVICIOS Y CONSTRUCCIONES NATENIO, S.A. DE C.V. </v>
      </c>
      <c r="AB590" s="1372"/>
      <c r="AC590" s="1373"/>
      <c r="AD590" s="608">
        <f>OBRA!V588</f>
        <v>0</v>
      </c>
      <c r="AE590" s="20"/>
      <c r="AF590" s="2"/>
      <c r="AG590" s="638" t="e">
        <f t="shared" si="43"/>
        <v>#DIV/0!</v>
      </c>
      <c r="AH590" s="2"/>
      <c r="AI590" s="563"/>
      <c r="AJ590" s="563"/>
      <c r="AK590" s="1807"/>
      <c r="AL590" s="1808"/>
      <c r="AM590" s="631"/>
      <c r="AN590" s="631"/>
      <c r="AO590" s="631"/>
      <c r="AP590" s="556"/>
      <c r="AQ590" s="561"/>
      <c r="AR590" s="556"/>
      <c r="AS590" s="556"/>
      <c r="AT590" s="556"/>
      <c r="AU590" s="556"/>
      <c r="AV590" s="35"/>
      <c r="AW590" s="13"/>
    </row>
    <row r="591" spans="1:49" s="1241" customFormat="1" ht="15" hidden="1" customHeight="1">
      <c r="A591" s="588">
        <f>OBRA!I589</f>
        <v>2021</v>
      </c>
      <c r="B591" s="1773" t="s">
        <v>3989</v>
      </c>
      <c r="C591" s="1773"/>
      <c r="D591" s="1773"/>
      <c r="E591" s="203">
        <f>OBRA!K589</f>
        <v>0</v>
      </c>
      <c r="F591" s="1747"/>
      <c r="G591" s="636"/>
      <c r="H591" s="1756" t="str">
        <f>OBRA!L589</f>
        <v>GMJ 001C- OP/2021</v>
      </c>
      <c r="I591" s="203" t="str">
        <f>OBRA!M589</f>
        <v>CANCELADA</v>
      </c>
      <c r="J591" s="112">
        <f>OBRA!N589</f>
        <v>0</v>
      </c>
      <c r="K591" s="112"/>
      <c r="L591" s="112" t="s">
        <v>68</v>
      </c>
      <c r="M591" s="112" t="s">
        <v>68</v>
      </c>
      <c r="N591" s="112"/>
      <c r="O591" s="1255">
        <f>OBRA!P589</f>
        <v>0</v>
      </c>
      <c r="P591" s="1255">
        <f t="shared" si="41"/>
        <v>0</v>
      </c>
      <c r="Q591" s="1255"/>
      <c r="R591" s="1746">
        <f>OBRA!Q589</f>
        <v>0</v>
      </c>
      <c r="S591" s="1775">
        <f>OBRA!T589</f>
        <v>0</v>
      </c>
      <c r="T591" s="1262">
        <f>OBRA!R589</f>
        <v>0</v>
      </c>
      <c r="U591" s="1268">
        <f>OBRA!S589</f>
        <v>0</v>
      </c>
      <c r="V591" s="1823"/>
      <c r="W591" s="1777">
        <f>OBRA!AQ589+OBRA!AR589</f>
        <v>0</v>
      </c>
      <c r="X591" s="1778"/>
      <c r="Y591" s="1779" t="str">
        <f>OBRA!U589</f>
        <v xml:space="preserve">ING. SERGIO CABRERA </v>
      </c>
      <c r="Z591" s="1779" t="s">
        <v>5822</v>
      </c>
      <c r="AA591" s="1790" t="str">
        <f t="shared" si="42"/>
        <v xml:space="preserve">ING. SERGIO CABRERA </v>
      </c>
      <c r="AB591" s="1779"/>
      <c r="AC591" s="1790"/>
      <c r="AD591" s="1781" t="str">
        <f>OBRA!V589</f>
        <v>ING. J. GUADALUPE IBARRA RAMIREZ</v>
      </c>
      <c r="AE591" s="955"/>
      <c r="AF591" s="203"/>
      <c r="AG591" s="1782" t="e">
        <f t="shared" si="43"/>
        <v>#DIV/0!</v>
      </c>
      <c r="AH591" s="203"/>
      <c r="AI591" s="567"/>
      <c r="AJ591" s="567"/>
      <c r="AK591" s="1811"/>
      <c r="AL591" s="1812"/>
      <c r="AM591" s="1791"/>
      <c r="AN591" s="1791"/>
      <c r="AO591" s="1791"/>
      <c r="AP591" s="567"/>
      <c r="AQ591" s="1747"/>
      <c r="AR591" s="567"/>
      <c r="AS591" s="567"/>
      <c r="AT591" s="567"/>
      <c r="AU591" s="567"/>
      <c r="AV591" s="340"/>
      <c r="AW591" s="1756"/>
    </row>
    <row r="592" spans="1:49" ht="69.75" hidden="1" customHeight="1">
      <c r="A592" s="17">
        <f>OBRA!I590</f>
        <v>2021</v>
      </c>
      <c r="B592" s="895" t="s">
        <v>3989</v>
      </c>
      <c r="C592" s="895"/>
      <c r="D592" s="895"/>
      <c r="E592" s="2" t="str">
        <f>OBRA!K590</f>
        <v>CUENTA CORRIENTE</v>
      </c>
      <c r="F592" s="19" t="s">
        <v>1431</v>
      </c>
      <c r="G592" s="40" t="s">
        <v>2239</v>
      </c>
      <c r="H592" s="13" t="str">
        <f>OBRA!L590</f>
        <v>GMJ 002C- OP/2021</v>
      </c>
      <c r="I592" s="2" t="str">
        <f>OBRA!M590</f>
        <v>ADJUDICACIÓN DIRECTA</v>
      </c>
      <c r="J592" s="3" t="str">
        <f>OBRA!N590</f>
        <v>"REHABILITACIÓN DE LÍNEA DE AGUA POTABLE Y LÍNEA DRENAJE EN CALLE LIBERTAD" EN LA DELEGACIÓN DE POTRERILLOS, DEL MUNICIPIO DE JOCOTEPEC, JALISCO.</v>
      </c>
      <c r="K592" s="597"/>
      <c r="L592" s="328" t="s">
        <v>4133</v>
      </c>
      <c r="M592" s="328" t="s">
        <v>2551</v>
      </c>
      <c r="N592" s="597" t="s">
        <v>3842</v>
      </c>
      <c r="O592" s="4">
        <f>OBRA!P590</f>
        <v>715198.43</v>
      </c>
      <c r="P592" s="1208">
        <f t="shared" si="41"/>
        <v>616550.3706896553</v>
      </c>
      <c r="Q592" s="1208"/>
      <c r="R592" s="6">
        <f>OBRA!Q590</f>
        <v>44504</v>
      </c>
      <c r="S592" s="1327">
        <f>OBRA!T590</f>
        <v>44504</v>
      </c>
      <c r="T592" s="5">
        <f>OBRA!R590</f>
        <v>44508</v>
      </c>
      <c r="U592" s="12">
        <f>OBRA!S590</f>
        <v>44548</v>
      </c>
      <c r="V592" s="1822">
        <v>0</v>
      </c>
      <c r="W592" s="1289">
        <f>OBRA!AQ590+OBRA!AR590</f>
        <v>0</v>
      </c>
      <c r="X592" s="1573" t="s">
        <v>4209</v>
      </c>
      <c r="Y592" s="650" t="str">
        <f>OBRA!U590</f>
        <v>ING. SERGIO CABRERA</v>
      </c>
      <c r="Z592" s="650" t="s">
        <v>5822</v>
      </c>
      <c r="AA592" s="652" t="str">
        <f t="shared" si="42"/>
        <v>ING. SERGIO CABRERA</v>
      </c>
      <c r="AB592" s="650" t="s">
        <v>1926</v>
      </c>
      <c r="AC592" s="652" t="s">
        <v>4248</v>
      </c>
      <c r="AD592" s="200" t="str">
        <f>OBRA!V590</f>
        <v>ING. J. GUADALUPE IBARRA RAMIREZ</v>
      </c>
      <c r="AE592" s="231">
        <v>216</v>
      </c>
      <c r="AF592" s="426" t="s">
        <v>1454</v>
      </c>
      <c r="AG592" s="720">
        <f t="shared" si="43"/>
        <v>0</v>
      </c>
      <c r="AH592" s="560"/>
      <c r="AI592" s="556"/>
      <c r="AJ592" s="556"/>
      <c r="AK592" s="1813">
        <v>20.339117999999999</v>
      </c>
      <c r="AL592" s="1814">
        <v>103.37781699999999</v>
      </c>
      <c r="AM592" s="631"/>
      <c r="AN592" s="631"/>
      <c r="AO592" s="631"/>
      <c r="AP592" s="556"/>
      <c r="AQ592" s="561"/>
      <c r="AR592" s="556"/>
      <c r="AS592" s="556"/>
      <c r="AT592" s="556"/>
      <c r="AU592" s="556"/>
      <c r="AV592" s="35"/>
      <c r="AW592" s="13"/>
    </row>
    <row r="593" spans="1:49" ht="110.25" hidden="1" customHeight="1">
      <c r="A593" s="17">
        <f>OBRA!I591</f>
        <v>2021</v>
      </c>
      <c r="B593" s="895" t="s">
        <v>3989</v>
      </c>
      <c r="C593" s="895"/>
      <c r="D593" s="895"/>
      <c r="E593" s="2" t="str">
        <f>OBRA!K591</f>
        <v>RAMO 33</v>
      </c>
      <c r="F593" s="19" t="s">
        <v>1431</v>
      </c>
      <c r="G593" s="164" t="s">
        <v>2239</v>
      </c>
      <c r="H593" s="13"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381" t="s">
        <v>4247</v>
      </c>
      <c r="L593" s="328" t="s">
        <v>4164</v>
      </c>
      <c r="M593" s="328" t="s">
        <v>2560</v>
      </c>
      <c r="N593" s="554" t="s">
        <v>3842</v>
      </c>
      <c r="O593" s="4">
        <f>OBRA!P591</f>
        <v>347130.34</v>
      </c>
      <c r="P593" s="1208">
        <f t="shared" si="41"/>
        <v>299250.29310344829</v>
      </c>
      <c r="Q593" s="1208"/>
      <c r="R593" s="6">
        <f>OBRA!Q591</f>
        <v>44522</v>
      </c>
      <c r="S593" s="1327">
        <f>OBRA!T591</f>
        <v>44518</v>
      </c>
      <c r="T593" s="5">
        <f>OBRA!R591</f>
        <v>44523</v>
      </c>
      <c r="U593" s="12">
        <f>OBRA!S591</f>
        <v>44560</v>
      </c>
      <c r="V593" s="1821">
        <v>0</v>
      </c>
      <c r="W593" s="1203">
        <f>OBRA!AQ591+OBRA!AR591</f>
        <v>347130.34</v>
      </c>
      <c r="X593" s="1573" t="s">
        <v>4210</v>
      </c>
      <c r="Y593" s="650" t="str">
        <f>OBRA!U591</f>
        <v>ING. SERGIO CABRERA</v>
      </c>
      <c r="Z593" s="650" t="s">
        <v>5822</v>
      </c>
      <c r="AA593" s="652" t="s">
        <v>739</v>
      </c>
      <c r="AB593" s="650" t="s">
        <v>1926</v>
      </c>
      <c r="AC593" s="652" t="s">
        <v>4248</v>
      </c>
      <c r="AD593" s="200" t="str">
        <f>OBRA!V591</f>
        <v>ING. J. GUADALUPE IBARRA RAMIREZ</v>
      </c>
      <c r="AE593" s="174">
        <v>436</v>
      </c>
      <c r="AF593" s="202" t="s">
        <v>1454</v>
      </c>
      <c r="AG593" s="694">
        <f t="shared" si="43"/>
        <v>796.17050458715607</v>
      </c>
      <c r="AH593" s="202">
        <v>550</v>
      </c>
      <c r="AI593" s="566">
        <v>4000</v>
      </c>
      <c r="AJ593" s="566"/>
      <c r="AK593" s="1813">
        <v>20.289048000000001</v>
      </c>
      <c r="AL593" s="1814">
        <v>103.34877899999999</v>
      </c>
      <c r="AM593" s="629" t="s">
        <v>4249</v>
      </c>
      <c r="AN593" s="631"/>
      <c r="AO593" s="629" t="s">
        <v>4249</v>
      </c>
      <c r="AP593" s="551" t="s">
        <v>4249</v>
      </c>
      <c r="AQ593" s="806" t="s">
        <v>4249</v>
      </c>
      <c r="AR593" s="556"/>
      <c r="AS593" s="556"/>
      <c r="AT593" s="556"/>
      <c r="AU593" s="556"/>
      <c r="AV593" s="35"/>
      <c r="AW593" s="13"/>
    </row>
    <row r="594" spans="1:49" ht="117" hidden="1" customHeight="1">
      <c r="A594" s="17">
        <f>OBRA!I592</f>
        <v>2021</v>
      </c>
      <c r="B594" s="895" t="s">
        <v>3989</v>
      </c>
      <c r="C594" s="895"/>
      <c r="D594" s="895"/>
      <c r="E594" s="2" t="str">
        <f>OBRA!K592</f>
        <v>RAMO 33</v>
      </c>
      <c r="F594" s="19" t="s">
        <v>1431</v>
      </c>
      <c r="G594" s="164" t="s">
        <v>2239</v>
      </c>
      <c r="H594" s="13"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4246</v>
      </c>
      <c r="L594" s="328" t="s">
        <v>4164</v>
      </c>
      <c r="M594" s="328" t="s">
        <v>2560</v>
      </c>
      <c r="N594" s="554" t="s">
        <v>3842</v>
      </c>
      <c r="O594" s="4">
        <f>OBRA!P592</f>
        <v>791064.19</v>
      </c>
      <c r="P594" s="1208">
        <f t="shared" si="41"/>
        <v>681951.88793103443</v>
      </c>
      <c r="Q594" s="1208"/>
      <c r="R594" s="6">
        <f>OBRA!Q592</f>
        <v>44522</v>
      </c>
      <c r="S594" s="1327">
        <f>OBRA!T592</f>
        <v>44518</v>
      </c>
      <c r="T594" s="5">
        <f>OBRA!R592</f>
        <v>44523</v>
      </c>
      <c r="U594" s="12">
        <f>OBRA!S592</f>
        <v>44530</v>
      </c>
      <c r="V594" s="1821">
        <v>0</v>
      </c>
      <c r="W594" s="1203">
        <f>OBRA!AQ592+OBRA!AR592</f>
        <v>791064.19</v>
      </c>
      <c r="X594" s="1573" t="s">
        <v>4211</v>
      </c>
      <c r="Y594" s="650" t="str">
        <f>OBRA!U592</f>
        <v>ING. SERGIO CABRERA</v>
      </c>
      <c r="Z594" s="650" t="s">
        <v>5822</v>
      </c>
      <c r="AA594" s="652" t="s">
        <v>739</v>
      </c>
      <c r="AB594" s="650" t="s">
        <v>1926</v>
      </c>
      <c r="AC594" s="652" t="s">
        <v>4248</v>
      </c>
      <c r="AD594" s="200" t="str">
        <f>OBRA!V592</f>
        <v>ING. J. GUADALUPE IBARRA RAMIREZ</v>
      </c>
      <c r="AE594" s="174">
        <v>510.53</v>
      </c>
      <c r="AF594" s="202" t="s">
        <v>1454</v>
      </c>
      <c r="AG594" s="694">
        <f t="shared" si="43"/>
        <v>1549.4959943588035</v>
      </c>
      <c r="AH594" s="202">
        <v>550</v>
      </c>
      <c r="AI594" s="566">
        <v>4000</v>
      </c>
      <c r="AJ594" s="566"/>
      <c r="AK594" s="1813">
        <v>20.289048000000001</v>
      </c>
      <c r="AL594" s="1814">
        <v>103.34877899999999</v>
      </c>
      <c r="AM594" s="629" t="s">
        <v>4252</v>
      </c>
      <c r="AN594" s="629" t="s">
        <v>4252</v>
      </c>
      <c r="AO594" s="629" t="s">
        <v>4252</v>
      </c>
      <c r="AP594" s="551" t="s">
        <v>4252</v>
      </c>
      <c r="AQ594" s="806" t="s">
        <v>4253</v>
      </c>
      <c r="AR594" s="1487"/>
      <c r="AS594" s="1483"/>
      <c r="AT594" s="1483"/>
      <c r="AU594" s="1488"/>
      <c r="AV594" s="35" t="s">
        <v>551</v>
      </c>
      <c r="AW594" s="13"/>
    </row>
    <row r="595" spans="1:49" ht="64.5" hidden="1" customHeight="1">
      <c r="A595" s="17">
        <f>OBRA!I593</f>
        <v>2021</v>
      </c>
      <c r="B595" s="895" t="s">
        <v>3989</v>
      </c>
      <c r="C595" s="895"/>
      <c r="D595" s="895"/>
      <c r="E595" s="2" t="str">
        <f>OBRA!K593</f>
        <v>RAMO 33</v>
      </c>
      <c r="F595" s="19" t="s">
        <v>1431</v>
      </c>
      <c r="G595" s="164" t="s">
        <v>2239</v>
      </c>
      <c r="H595" s="13" t="str">
        <f>OBRA!L593</f>
        <v>GMJ 005C- OP/2021</v>
      </c>
      <c r="I595" s="2" t="str">
        <f>OBRA!M593</f>
        <v>ADJUDICACIÓN DIRECTA</v>
      </c>
      <c r="J595" s="3" t="str">
        <f>OBRA!N593</f>
        <v>"CONSTRUCCIÓN DE BANQUETAS EN CALLE LAZARO CÁRDENAS ENTRE C. VERANO Y C. INVIERNO" EN LA CABECERA MUNICIPAL DE JOCOTEPEC, JALISCO.</v>
      </c>
      <c r="K595" s="1381" t="s">
        <v>4254</v>
      </c>
      <c r="L595" s="328" t="s">
        <v>4165</v>
      </c>
      <c r="M595" s="328" t="s">
        <v>1979</v>
      </c>
      <c r="N595" s="554" t="s">
        <v>3842</v>
      </c>
      <c r="O595" s="4">
        <f>OBRA!P593</f>
        <v>100144.26</v>
      </c>
      <c r="P595" s="1208">
        <f t="shared" si="41"/>
        <v>86331.258620689652</v>
      </c>
      <c r="Q595" s="1208"/>
      <c r="R595" s="6">
        <f>OBRA!Q593</f>
        <v>44522</v>
      </c>
      <c r="S595" s="1327">
        <f>OBRA!T593</f>
        <v>44522</v>
      </c>
      <c r="T595" s="5">
        <f>OBRA!R593</f>
        <v>44524</v>
      </c>
      <c r="U595" s="12">
        <f>OBRA!S593</f>
        <v>44558</v>
      </c>
      <c r="V595" s="1821">
        <v>0</v>
      </c>
      <c r="W595" s="1203">
        <f>OBRA!AQ593+OBRA!AR593</f>
        <v>100144.26</v>
      </c>
      <c r="X595" s="1573" t="s">
        <v>4212</v>
      </c>
      <c r="Y595" s="650" t="str">
        <f>OBRA!U593</f>
        <v>PLANOS Y OBRAS LODEIRO S.A. DE C.V.</v>
      </c>
      <c r="Z595" s="650" t="s">
        <v>5823</v>
      </c>
      <c r="AA595" s="652" t="s">
        <v>3507</v>
      </c>
      <c r="AB595" s="650" t="s">
        <v>3389</v>
      </c>
      <c r="AC595" s="652" t="s">
        <v>3390</v>
      </c>
      <c r="AD595" s="200" t="str">
        <f>OBRA!V593</f>
        <v>ING. J. GUADALUPE IBARRA RAMIREZ</v>
      </c>
      <c r="AE595" s="174">
        <v>155.30000000000001</v>
      </c>
      <c r="AF595" s="202" t="s">
        <v>1552</v>
      </c>
      <c r="AG595" s="694">
        <f t="shared" si="43"/>
        <v>644.84391500321954</v>
      </c>
      <c r="AH595" s="202">
        <v>100</v>
      </c>
      <c r="AI595" s="566">
        <v>5000</v>
      </c>
      <c r="AJ595" s="566"/>
      <c r="AK595" s="1813">
        <v>20.292034999999998</v>
      </c>
      <c r="AL595" s="1814">
        <v>103.43631999999999</v>
      </c>
      <c r="AM595" s="629" t="s">
        <v>4255</v>
      </c>
      <c r="AN595" s="629" t="s">
        <v>4325</v>
      </c>
      <c r="AO595" s="629" t="s">
        <v>4255</v>
      </c>
      <c r="AP595" s="551" t="s">
        <v>4255</v>
      </c>
      <c r="AQ595" s="806" t="s">
        <v>4255</v>
      </c>
      <c r="AR595" s="1487"/>
      <c r="AS595" s="1483"/>
      <c r="AT595" s="1483"/>
      <c r="AU595" s="1488"/>
      <c r="AV595" s="35" t="s">
        <v>551</v>
      </c>
      <c r="AW595" s="13"/>
    </row>
    <row r="596" spans="1:49" ht="84" hidden="1" customHeight="1">
      <c r="A596" s="17">
        <f>OBRA!I594</f>
        <v>2021</v>
      </c>
      <c r="B596" s="895" t="s">
        <v>3989</v>
      </c>
      <c r="C596" s="895"/>
      <c r="D596" s="895"/>
      <c r="E596" s="2" t="str">
        <f>OBRA!K594</f>
        <v>RAMO 33</v>
      </c>
      <c r="F596" s="19" t="s">
        <v>1431</v>
      </c>
      <c r="G596" s="164" t="s">
        <v>2239</v>
      </c>
      <c r="H596" s="13"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381" t="s">
        <v>4256</v>
      </c>
      <c r="L596" s="328" t="s">
        <v>4166</v>
      </c>
      <c r="M596" s="328" t="s">
        <v>2560</v>
      </c>
      <c r="N596" s="554" t="s">
        <v>3842</v>
      </c>
      <c r="O596" s="4">
        <f>OBRA!P594</f>
        <v>252763.45</v>
      </c>
      <c r="P596" s="1208">
        <f t="shared" si="41"/>
        <v>217899.52586206899</v>
      </c>
      <c r="Q596" s="1208"/>
      <c r="R596" s="6">
        <f>OBRA!Q594</f>
        <v>44522</v>
      </c>
      <c r="S596" s="1327">
        <f>OBRA!T594</f>
        <v>44522</v>
      </c>
      <c r="T596" s="5">
        <f>OBRA!R594</f>
        <v>44523</v>
      </c>
      <c r="U596" s="12">
        <f>OBRA!S594</f>
        <v>44559</v>
      </c>
      <c r="V596" s="1821">
        <v>0</v>
      </c>
      <c r="W596" s="1203">
        <f>OBRA!AQ594+OBRA!AR594</f>
        <v>252763.45</v>
      </c>
      <c r="X596" s="1573" t="s">
        <v>4213</v>
      </c>
      <c r="Y596" s="650" t="str">
        <f>OBRA!U594</f>
        <v>ING. SERGIO CABRERA</v>
      </c>
      <c r="Z596" s="650" t="s">
        <v>5822</v>
      </c>
      <c r="AA596" s="652" t="s">
        <v>739</v>
      </c>
      <c r="AB596" s="650" t="s">
        <v>1926</v>
      </c>
      <c r="AC596" s="652" t="s">
        <v>4248</v>
      </c>
      <c r="AD596" s="200" t="str">
        <f>OBRA!V594</f>
        <v>ING. J. GUADALUPE IBARRA RAMIREZ</v>
      </c>
      <c r="AE596" s="174">
        <v>160</v>
      </c>
      <c r="AF596" s="202" t="s">
        <v>1454</v>
      </c>
      <c r="AG596" s="694">
        <f t="shared" si="43"/>
        <v>1579.7715625000001</v>
      </c>
      <c r="AH596" s="202">
        <v>8000</v>
      </c>
      <c r="AI596" s="566">
        <v>8000</v>
      </c>
      <c r="AJ596" s="566"/>
      <c r="AK596" s="1813">
        <v>20.287679000000001</v>
      </c>
      <c r="AL596" s="1814">
        <v>103.344832</v>
      </c>
      <c r="AM596" s="629" t="s">
        <v>4257</v>
      </c>
      <c r="AN596" s="629" t="s">
        <v>4257</v>
      </c>
      <c r="AO596" s="629" t="s">
        <v>4257</v>
      </c>
      <c r="AP596" s="551" t="s">
        <v>4258</v>
      </c>
      <c r="AQ596" s="806" t="s">
        <v>4258</v>
      </c>
      <c r="AR596" s="1487"/>
      <c r="AS596" s="1483"/>
      <c r="AT596" s="1483"/>
      <c r="AU596" s="1488"/>
      <c r="AV596" s="35" t="s">
        <v>551</v>
      </c>
      <c r="AW596" s="13"/>
    </row>
    <row r="597" spans="1:49" ht="109.5" hidden="1" customHeight="1">
      <c r="A597" s="17">
        <f>OBRA!I595</f>
        <v>2021</v>
      </c>
      <c r="B597" s="895" t="s">
        <v>3989</v>
      </c>
      <c r="C597" s="895"/>
      <c r="D597" s="895"/>
      <c r="E597" s="2" t="str">
        <f>OBRA!K595</f>
        <v>CUENTA CORRIENTE</v>
      </c>
      <c r="F597" s="19" t="s">
        <v>1431</v>
      </c>
      <c r="G597" s="164" t="s">
        <v>2239</v>
      </c>
      <c r="H597" s="13"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381" t="s">
        <v>4324</v>
      </c>
      <c r="L597" s="328" t="s">
        <v>1695</v>
      </c>
      <c r="M597" s="328" t="s">
        <v>2574</v>
      </c>
      <c r="N597" s="554" t="s">
        <v>3842</v>
      </c>
      <c r="O597" s="4">
        <f>OBRA!P595</f>
        <v>360015.52</v>
      </c>
      <c r="P597" s="1208">
        <f t="shared" si="41"/>
        <v>310358.20689655177</v>
      </c>
      <c r="Q597" s="1208"/>
      <c r="R597" s="6">
        <f>OBRA!Q595</f>
        <v>44560</v>
      </c>
      <c r="S597" s="1327">
        <f>OBRA!T595</f>
        <v>44560</v>
      </c>
      <c r="T597" s="5">
        <f>OBRA!R595</f>
        <v>44560</v>
      </c>
      <c r="U597" s="12">
        <f>OBRA!S595</f>
        <v>44569</v>
      </c>
      <c r="V597" s="1821">
        <v>0</v>
      </c>
      <c r="W597" s="1203">
        <f>OBRA!AQ595+OBRA!AR595</f>
        <v>347130.35</v>
      </c>
      <c r="X597" s="1573" t="s">
        <v>4214</v>
      </c>
      <c r="Y597" s="650" t="str">
        <f>OBRA!U595</f>
        <v>ING. SERGIO CABRERA</v>
      </c>
      <c r="Z597" s="650" t="s">
        <v>5822</v>
      </c>
      <c r="AA597" s="652" t="str">
        <f t="shared" si="42"/>
        <v>ING. SERGIO CABRERA</v>
      </c>
      <c r="AB597" s="650" t="s">
        <v>1926</v>
      </c>
      <c r="AC597" s="652" t="s">
        <v>4327</v>
      </c>
      <c r="AD597" s="200" t="str">
        <f>OBRA!V595</f>
        <v>C. DANIEL RODRIGUEZ VALENZUELA</v>
      </c>
      <c r="AE597" s="174">
        <v>324.42</v>
      </c>
      <c r="AF597" s="202" t="s">
        <v>1454</v>
      </c>
      <c r="AG597" s="694">
        <f>W597/AE597</f>
        <v>1070.0029283028173</v>
      </c>
      <c r="AH597" s="202">
        <v>200</v>
      </c>
      <c r="AI597" s="566">
        <v>1000</v>
      </c>
      <c r="AJ597" s="566"/>
      <c r="AK597" s="1813">
        <v>20.288636</v>
      </c>
      <c r="AL597" s="1814">
        <v>103.413993</v>
      </c>
      <c r="AM597" s="629" t="s">
        <v>4325</v>
      </c>
      <c r="AN597" s="629" t="s">
        <v>4325</v>
      </c>
      <c r="AO597" s="629" t="s">
        <v>4325</v>
      </c>
      <c r="AP597" s="551" t="s">
        <v>4325</v>
      </c>
      <c r="AQ597" s="806" t="s">
        <v>4325</v>
      </c>
      <c r="AR597" s="1487"/>
      <c r="AS597" s="1483"/>
      <c r="AT597" s="1483"/>
      <c r="AU597" s="1488"/>
      <c r="AV597" s="35" t="s">
        <v>551</v>
      </c>
      <c r="AW597" s="13"/>
    </row>
    <row r="598" spans="1:49" ht="78" hidden="1" customHeight="1">
      <c r="A598" s="17">
        <f>OBRA!I596</f>
        <v>2022</v>
      </c>
      <c r="B598" s="895" t="s">
        <v>3989</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89"/>
      <c r="L598" s="1889"/>
      <c r="M598" s="1889" t="str">
        <f>OBRA!O596</f>
        <v>-</v>
      </c>
      <c r="N598" s="1917" t="s">
        <v>5064</v>
      </c>
      <c r="O598" s="4">
        <f>OBRA!P596</f>
        <v>70000</v>
      </c>
      <c r="P598" s="1208">
        <f t="shared" si="41"/>
        <v>60344.827586206899</v>
      </c>
      <c r="Q598" s="1208"/>
      <c r="R598" s="6">
        <f>OBRA!Q596</f>
        <v>44693</v>
      </c>
      <c r="S598" s="1327" t="str">
        <f>OBRA!T596</f>
        <v>NO APLICA</v>
      </c>
      <c r="T598" s="5">
        <f>OBRA!R596</f>
        <v>44697</v>
      </c>
      <c r="U598" s="12">
        <f>OBRA!S596</f>
        <v>44728</v>
      </c>
      <c r="V598" s="1849">
        <v>0</v>
      </c>
      <c r="W598" s="1289">
        <f>OBRA!AQ596+OBRA!AR596</f>
        <v>15106.08</v>
      </c>
      <c r="X598" s="1847" t="s">
        <v>4207</v>
      </c>
      <c r="Y598" s="650" t="str">
        <f>OBRA!U596</f>
        <v>N/A</v>
      </c>
      <c r="Z598" s="650" t="s">
        <v>68</v>
      </c>
      <c r="AA598" s="652" t="str">
        <f t="shared" si="42"/>
        <v>N/A</v>
      </c>
      <c r="AB598" s="1281" t="s">
        <v>1177</v>
      </c>
      <c r="AC598" s="446" t="s">
        <v>1177</v>
      </c>
      <c r="AD598" s="769" t="str">
        <f>OBRA!V596</f>
        <v>ARQ. JAIME CONDE GOMEZ</v>
      </c>
      <c r="AE598" s="169"/>
      <c r="AF598" s="426" t="s">
        <v>1552</v>
      </c>
      <c r="AG598" s="720" t="e">
        <f t="shared" ref="AG598:AG662" si="44">W598/AE598</f>
        <v>#DIV/0!</v>
      </c>
      <c r="AH598" s="1075"/>
      <c r="AI598" s="1913"/>
      <c r="AJ598" s="1913"/>
      <c r="AK598" s="1914"/>
      <c r="AL598" s="1915"/>
      <c r="AM598" s="1916" t="s">
        <v>5064</v>
      </c>
      <c r="AN598" s="631"/>
      <c r="AO598" s="631"/>
      <c r="AP598" s="575" t="s">
        <v>5064</v>
      </c>
      <c r="AQ598" s="561"/>
      <c r="AR598" s="556"/>
      <c r="AS598" s="556"/>
      <c r="AT598" s="556"/>
      <c r="AU598" s="556"/>
      <c r="AV598" s="35"/>
      <c r="AW598" s="13"/>
    </row>
    <row r="599" spans="1:49" ht="66" hidden="1" customHeight="1">
      <c r="A599" s="17">
        <f>OBRA!I597</f>
        <v>2022</v>
      </c>
      <c r="B599" s="895" t="s">
        <v>3989</v>
      </c>
      <c r="C599" s="895"/>
      <c r="D599" s="895"/>
      <c r="E599" s="2" t="str">
        <f>OBRA!K597</f>
        <v>RAMO 33</v>
      </c>
      <c r="F599" s="768" t="s">
        <v>1431</v>
      </c>
      <c r="G599" s="1003" t="s">
        <v>2239</v>
      </c>
      <c r="H599" s="13" t="str">
        <f>OBRA!L597</f>
        <v>DOP/AD/002/2022</v>
      </c>
      <c r="I599" s="2" t="str">
        <f>OBRA!M597</f>
        <v>ADMINISTRACIÓN DIRECTA</v>
      </c>
      <c r="J599" s="3" t="str">
        <f>OBRA!N597</f>
        <v>"CONSTRUCCIÓN DE BANQUETAS EN EL PUENTE 20 DE NOVIEMBRE", EN LA LOCALIDAD DE ZAPOTITÁN DE HIDALGO, DEL MUNICIPIO DE JOCOTEPEC, JALISCO.</v>
      </c>
      <c r="K599" s="1912" t="s">
        <v>4655</v>
      </c>
      <c r="L599" s="780" t="s">
        <v>4439</v>
      </c>
      <c r="M599" s="328" t="str">
        <f>OBRA!O597</f>
        <v>ZAPOTITÁN DE HIDALGO</v>
      </c>
      <c r="N599" s="1917" t="s">
        <v>4654</v>
      </c>
      <c r="O599" s="4">
        <f>OBRA!P597</f>
        <v>60152.28</v>
      </c>
      <c r="P599" s="1208">
        <f t="shared" si="41"/>
        <v>51855.413793103449</v>
      </c>
      <c r="Q599" s="1208"/>
      <c r="R599" s="6">
        <f>OBRA!Q597</f>
        <v>44707</v>
      </c>
      <c r="S599" s="1327" t="str">
        <f>OBRA!T597</f>
        <v>NO APLICA</v>
      </c>
      <c r="T599" s="5">
        <f>OBRA!R597</f>
        <v>44718</v>
      </c>
      <c r="U599" s="12">
        <f>OBRA!S597</f>
        <v>44726</v>
      </c>
      <c r="V599" s="1849">
        <v>0</v>
      </c>
      <c r="W599" s="1990">
        <f>OBRA!AQ597+OBRA!AR597</f>
        <v>62956.53</v>
      </c>
      <c r="X599" s="1848" t="s">
        <v>4447</v>
      </c>
      <c r="Y599" s="639" t="str">
        <f>OBRA!U597</f>
        <v>N/A</v>
      </c>
      <c r="Z599" s="639" t="s">
        <v>68</v>
      </c>
      <c r="AA599" s="640" t="str">
        <f t="shared" si="42"/>
        <v>N/A</v>
      </c>
      <c r="AB599" s="1281" t="s">
        <v>1177</v>
      </c>
      <c r="AC599" s="446" t="s">
        <v>1177</v>
      </c>
      <c r="AD599" s="769" t="str">
        <f>OBRA!V597</f>
        <v>ING. LUIS RIGOBERTO OLMEDO NAVARRO</v>
      </c>
      <c r="AE599" s="231">
        <v>70.05</v>
      </c>
      <c r="AF599" s="426" t="s">
        <v>1552</v>
      </c>
      <c r="AG599" s="757">
        <f t="shared" si="44"/>
        <v>898.73704496788014</v>
      </c>
      <c r="AH599" s="426">
        <v>1000</v>
      </c>
      <c r="AI599" s="1796">
        <v>2000</v>
      </c>
      <c r="AJ599" s="1796"/>
      <c r="AK599" s="1909">
        <v>20.326066000000001</v>
      </c>
      <c r="AL599" s="1910">
        <v>103.475779</v>
      </c>
      <c r="AM599" s="1916" t="s">
        <v>4654</v>
      </c>
      <c r="AN599" s="1916" t="s">
        <v>4654</v>
      </c>
      <c r="AO599" s="1916" t="s">
        <v>4654</v>
      </c>
      <c r="AP599" s="575" t="s">
        <v>4654</v>
      </c>
      <c r="AQ599" s="455" t="s">
        <v>4654</v>
      </c>
      <c r="AR599" s="556"/>
      <c r="AS599" s="556"/>
      <c r="AT599" s="556"/>
      <c r="AU599" s="556"/>
      <c r="AV599" s="1991" t="s">
        <v>551</v>
      </c>
      <c r="AW599" s="13"/>
    </row>
    <row r="600" spans="1:49" ht="100.5" hidden="1" customHeight="1">
      <c r="A600" s="17">
        <f>OBRA!I598</f>
        <v>2022</v>
      </c>
      <c r="B600" s="895" t="s">
        <v>3989</v>
      </c>
      <c r="C600" s="895"/>
      <c r="D600" s="895"/>
      <c r="E600" s="2" t="str">
        <f>OBRA!K598</f>
        <v>CUENTA CORRIENTE</v>
      </c>
      <c r="F600" s="768" t="s">
        <v>1431</v>
      </c>
      <c r="G600" s="1003" t="s">
        <v>2239</v>
      </c>
      <c r="H600" s="13"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911"/>
      <c r="L600" s="328" t="s">
        <v>4543</v>
      </c>
      <c r="M600" s="328" t="str">
        <f>OBRA!O598</f>
        <v>SAN JUAN COSALÁ</v>
      </c>
      <c r="N600" s="1917" t="s">
        <v>5065</v>
      </c>
      <c r="O600" s="4">
        <f>OBRA!P598</f>
        <v>81200</v>
      </c>
      <c r="P600" s="1208">
        <f t="shared" si="41"/>
        <v>70000</v>
      </c>
      <c r="Q600" s="1208"/>
      <c r="R600" s="6">
        <f>OBRA!Q598</f>
        <v>44777</v>
      </c>
      <c r="S600" s="1327" t="str">
        <f>OBRA!T598</f>
        <v>NO APLICA</v>
      </c>
      <c r="T600" s="5">
        <f>OBRA!R598</f>
        <v>44781</v>
      </c>
      <c r="U600" s="12">
        <f>OBRA!S598</f>
        <v>44799</v>
      </c>
      <c r="V600" s="1849">
        <v>0</v>
      </c>
      <c r="W600" s="1990">
        <f>OBRA!AQ598+OBRA!AR598</f>
        <v>85112.38</v>
      </c>
      <c r="X600" s="1848" t="s">
        <v>5066</v>
      </c>
      <c r="Y600" s="639" t="str">
        <f>OBRA!U598</f>
        <v>N/A</v>
      </c>
      <c r="Z600" s="639" t="s">
        <v>68</v>
      </c>
      <c r="AA600" s="640" t="str">
        <f t="shared" si="42"/>
        <v>N/A</v>
      </c>
      <c r="AB600" s="1281" t="s">
        <v>1177</v>
      </c>
      <c r="AC600" s="446" t="s">
        <v>1177</v>
      </c>
      <c r="AD600" s="769" t="str">
        <f>OBRA!V598</f>
        <v>ING. LUIS RIGOBERTO OLMEDO NAVARRO</v>
      </c>
      <c r="AE600" s="231">
        <v>67</v>
      </c>
      <c r="AF600" s="202" t="s">
        <v>1552</v>
      </c>
      <c r="AG600" s="757">
        <f t="shared" si="44"/>
        <v>1270.3340298507464</v>
      </c>
      <c r="AH600" s="426">
        <v>100</v>
      </c>
      <c r="AI600" s="1796">
        <v>600</v>
      </c>
      <c r="AJ600" s="1796"/>
      <c r="AK600" s="1909">
        <v>20.291401</v>
      </c>
      <c r="AL600" s="1910">
        <v>103.34714700000001</v>
      </c>
      <c r="AM600" s="1916" t="s">
        <v>5065</v>
      </c>
      <c r="AN600" s="1916" t="s">
        <v>5065</v>
      </c>
      <c r="AO600" s="1916" t="s">
        <v>5065</v>
      </c>
      <c r="AP600" s="575" t="s">
        <v>5065</v>
      </c>
      <c r="AQ600" s="455" t="s">
        <v>5065</v>
      </c>
      <c r="AR600" s="556"/>
      <c r="AS600" s="556"/>
      <c r="AT600" s="556"/>
      <c r="AU600" s="556"/>
      <c r="AV600" s="35"/>
      <c r="AW600" s="13"/>
    </row>
    <row r="601" spans="1:49" ht="84.75" hidden="1" customHeight="1">
      <c r="A601" s="17">
        <f>OBRA!I599</f>
        <v>2022</v>
      </c>
      <c r="B601" s="895" t="s">
        <v>3989</v>
      </c>
      <c r="C601" s="895"/>
      <c r="D601" s="895"/>
      <c r="E601" s="2" t="str">
        <f>OBRA!K599</f>
        <v>CUENTA CORRIENTE</v>
      </c>
      <c r="F601" s="768" t="s">
        <v>1431</v>
      </c>
      <c r="G601" s="632"/>
      <c r="H601" s="13"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911"/>
      <c r="L601" s="780" t="s">
        <v>5067</v>
      </c>
      <c r="M601" s="780" t="str">
        <f>OBRA!O599</f>
        <v>NEXTIPAC</v>
      </c>
      <c r="N601" s="1917" t="s">
        <v>5068</v>
      </c>
      <c r="O601" s="4">
        <f>OBRA!P599</f>
        <v>330190.86</v>
      </c>
      <c r="P601" s="1208">
        <f t="shared" si="41"/>
        <v>284647.29310344829</v>
      </c>
      <c r="Q601" s="1208"/>
      <c r="R601" s="6">
        <f>OBRA!Q599</f>
        <v>44595</v>
      </c>
      <c r="S601" s="1327" t="str">
        <f>OBRA!T599</f>
        <v>NO APLICA</v>
      </c>
      <c r="T601" s="5">
        <f>OBRA!R599</f>
        <v>44599</v>
      </c>
      <c r="U601" s="12">
        <f>OBRA!S599</f>
        <v>44617</v>
      </c>
      <c r="V601" s="1849">
        <v>0</v>
      </c>
      <c r="W601" s="1990">
        <f>OBRA!AQ599+OBRA!AR599</f>
        <v>330191.75</v>
      </c>
      <c r="X601" s="1848" t="s">
        <v>5069</v>
      </c>
      <c r="Y601" s="639" t="str">
        <f>OBRA!U599</f>
        <v>N/A</v>
      </c>
      <c r="Z601" s="639" t="s">
        <v>68</v>
      </c>
      <c r="AA601" s="640" t="str">
        <f t="shared" si="42"/>
        <v>N/A</v>
      </c>
      <c r="AB601" s="1281" t="s">
        <v>1177</v>
      </c>
      <c r="AC601" s="446" t="s">
        <v>1177</v>
      </c>
      <c r="AD601" s="769" t="str">
        <f>OBRA!V599</f>
        <v>C. DANIEL RODRIGUEZ VALENZUELA</v>
      </c>
      <c r="AE601" s="231">
        <v>666</v>
      </c>
      <c r="AF601" s="426" t="s">
        <v>1454</v>
      </c>
      <c r="AG601" s="757">
        <f t="shared" si="44"/>
        <v>495.78340840840843</v>
      </c>
      <c r="AH601" s="560"/>
      <c r="AI601" s="556"/>
      <c r="AJ601" s="556"/>
      <c r="AK601" s="1815"/>
      <c r="AL601" s="1816"/>
      <c r="AM601" s="1916" t="s">
        <v>5068</v>
      </c>
      <c r="AN601" s="1916" t="s">
        <v>5068</v>
      </c>
      <c r="AO601" s="1916" t="s">
        <v>5068</v>
      </c>
      <c r="AP601" s="556"/>
      <c r="AQ601" s="455" t="s">
        <v>5068</v>
      </c>
      <c r="AR601" s="556"/>
      <c r="AS601" s="556"/>
      <c r="AT601" s="556"/>
      <c r="AU601" s="556"/>
      <c r="AV601" s="35"/>
      <c r="AW601" s="13"/>
    </row>
    <row r="602" spans="1:49" ht="68.25" hidden="1" customHeight="1">
      <c r="A602" s="17">
        <f>OBRA!I600</f>
        <v>2022</v>
      </c>
      <c r="B602" s="895" t="s">
        <v>3989</v>
      </c>
      <c r="C602" s="895"/>
      <c r="D602" s="895"/>
      <c r="E602" s="2" t="str">
        <f>OBRA!K600</f>
        <v>CUENTA CORRIENTE</v>
      </c>
      <c r="F602" s="768" t="s">
        <v>1431</v>
      </c>
      <c r="G602" s="632"/>
      <c r="H602" s="13" t="str">
        <f>OBRA!L600</f>
        <v>DOP/AD/005/2022</v>
      </c>
      <c r="I602" s="2" t="str">
        <f>OBRA!M600</f>
        <v>ADMINISTRACIÓN DIRECTA</v>
      </c>
      <c r="J602" s="3" t="str">
        <f>OBRA!N600</f>
        <v>"CONSTRUCCIÓN DE SUPERFICIE DE RODAMIENTO EN CALLE 12 DE OCTUBRE", EN LA LOCALIDAD DE SAN PEDRO TESISTÁN, DEL MUNICIPIO DE JOCOTEPEC, JALISCO</v>
      </c>
      <c r="K602" s="1911"/>
      <c r="L602" s="780" t="s">
        <v>4652</v>
      </c>
      <c r="M602" s="780" t="str">
        <f>OBRA!O600</f>
        <v>SAN PEDRO TESISTÁN</v>
      </c>
      <c r="N602" s="1917" t="s">
        <v>5070</v>
      </c>
      <c r="O602" s="4">
        <f>OBRA!P600</f>
        <v>86073.66</v>
      </c>
      <c r="P602" s="1208">
        <f t="shared" ref="P602:P665" si="45">O602/1.16</f>
        <v>74201.431034482768</v>
      </c>
      <c r="Q602" s="1208"/>
      <c r="R602" s="6">
        <f>OBRA!Q600</f>
        <v>44875</v>
      </c>
      <c r="S602" s="1327" t="str">
        <f>OBRA!T600</f>
        <v>NO APLICA</v>
      </c>
      <c r="T602" s="5">
        <f>OBRA!R600</f>
        <v>44886</v>
      </c>
      <c r="U602" s="12">
        <f>OBRA!S600</f>
        <v>44893</v>
      </c>
      <c r="V602" s="1849">
        <v>0</v>
      </c>
      <c r="W602" s="1990">
        <f>OBRA!AQ600+OBRA!AR600</f>
        <v>35139.68</v>
      </c>
      <c r="X602" s="1848" t="s">
        <v>4207</v>
      </c>
      <c r="Y602" s="639" t="str">
        <f>OBRA!U600</f>
        <v>N/A</v>
      </c>
      <c r="Z602" s="639" t="s">
        <v>68</v>
      </c>
      <c r="AA602" s="640" t="str">
        <f t="shared" ref="AA602:AA662" si="46">Y602</f>
        <v>N/A</v>
      </c>
      <c r="AB602" s="1281" t="s">
        <v>1177</v>
      </c>
      <c r="AC602" s="446" t="s">
        <v>1177</v>
      </c>
      <c r="AD602" s="769" t="str">
        <f>OBRA!V600</f>
        <v>C. DANIEL RODRIGUEZ VALENZUELA</v>
      </c>
      <c r="AE602" s="231">
        <v>134</v>
      </c>
      <c r="AF602" s="426" t="s">
        <v>1552</v>
      </c>
      <c r="AG602" s="757">
        <f t="shared" si="44"/>
        <v>262.23641791044776</v>
      </c>
      <c r="AH602" s="560"/>
      <c r="AI602" s="556"/>
      <c r="AJ602" s="556"/>
      <c r="AK602" s="1813">
        <v>20.228021999999999</v>
      </c>
      <c r="AL602" s="1814">
        <v>103.416735</v>
      </c>
      <c r="AM602" s="1916" t="s">
        <v>5070</v>
      </c>
      <c r="AN602" s="1916" t="s">
        <v>5070</v>
      </c>
      <c r="AO602" s="1916" t="s">
        <v>5070</v>
      </c>
      <c r="AP602" s="575" t="s">
        <v>5070</v>
      </c>
      <c r="AQ602" s="561"/>
      <c r="AR602" s="556"/>
      <c r="AS602" s="556"/>
      <c r="AT602" s="556"/>
      <c r="AU602" s="556"/>
      <c r="AV602" s="35"/>
      <c r="AW602" s="13"/>
    </row>
    <row r="603" spans="1:49" ht="68.25" hidden="1" customHeight="1">
      <c r="A603" s="17">
        <f>OBRA!I601</f>
        <v>2022</v>
      </c>
      <c r="B603" s="895" t="s">
        <v>3989</v>
      </c>
      <c r="C603" s="895"/>
      <c r="D603" s="895"/>
      <c r="E603" s="2" t="str">
        <f>OBRA!K601</f>
        <v>CUENTA CORRIENTE</v>
      </c>
      <c r="F603" s="768" t="s">
        <v>1431</v>
      </c>
      <c r="G603" s="632"/>
      <c r="H603" s="13" t="str">
        <f>OBRA!L601</f>
        <v>DOP/AD/006/2022</v>
      </c>
      <c r="I603" s="2" t="str">
        <f>OBRA!M601</f>
        <v>ADMINISTRACIÓN DIRECTA</v>
      </c>
      <c r="J603" s="3" t="str">
        <f>OBRA!N601</f>
        <v>"CONSTRUCCIÓN DE SUPERFICIE DE RODAMIENTO EN CALLE LIBERTAD", EN LA LOCALIDAD DE SAN PEDRO TESISTÁN, DEL MUNICIPIO DE JOCOTEPEC, JALISCO</v>
      </c>
      <c r="K603" s="1911"/>
      <c r="L603" s="780" t="s">
        <v>4653</v>
      </c>
      <c r="M603" s="780" t="str">
        <f>OBRA!O601</f>
        <v>SAN PEDRO TESISTÁN</v>
      </c>
      <c r="N603" s="1917" t="s">
        <v>5071</v>
      </c>
      <c r="O603" s="4">
        <f>OBRA!P601</f>
        <v>109829.72</v>
      </c>
      <c r="P603" s="1208">
        <f t="shared" si="45"/>
        <v>94680.79310344829</v>
      </c>
      <c r="Q603" s="1208"/>
      <c r="R603" s="6">
        <f>OBRA!Q601</f>
        <v>44875</v>
      </c>
      <c r="S603" s="1327" t="str">
        <f>OBRA!T601</f>
        <v>NO APLICA</v>
      </c>
      <c r="T603" s="5">
        <f>OBRA!R601</f>
        <v>44879</v>
      </c>
      <c r="U603" s="12">
        <f>OBRA!S601</f>
        <v>44886</v>
      </c>
      <c r="V603" s="1849">
        <v>0</v>
      </c>
      <c r="W603" s="1990">
        <f>OBRA!AQ601+OBRA!AR601</f>
        <v>71209.119999999995</v>
      </c>
      <c r="X603" s="1848" t="s">
        <v>4207</v>
      </c>
      <c r="Y603" s="639" t="str">
        <f>OBRA!U601</f>
        <v>N/A</v>
      </c>
      <c r="Z603" s="639" t="s">
        <v>68</v>
      </c>
      <c r="AA603" s="640" t="str">
        <f t="shared" si="46"/>
        <v>N/A</v>
      </c>
      <c r="AB603" s="1281" t="s">
        <v>1177</v>
      </c>
      <c r="AC603" s="446" t="s">
        <v>1177</v>
      </c>
      <c r="AD603" s="769" t="str">
        <f>OBRA!V601</f>
        <v>C. DANIEL RODRIGUEZ VALENZUELA</v>
      </c>
      <c r="AE603" s="231">
        <v>210.5</v>
      </c>
      <c r="AF603" s="426" t="s">
        <v>1552</v>
      </c>
      <c r="AG603" s="757">
        <f t="shared" si="44"/>
        <v>338.28560570071255</v>
      </c>
      <c r="AH603" s="560"/>
      <c r="AI603" s="556"/>
      <c r="AJ603" s="556"/>
      <c r="AK603" s="1813">
        <v>20.224917999999999</v>
      </c>
      <c r="AL603" s="1814">
        <v>103.41208399999999</v>
      </c>
      <c r="AM603" s="1916" t="s">
        <v>5071</v>
      </c>
      <c r="AN603" s="1916" t="s">
        <v>5071</v>
      </c>
      <c r="AO603" s="1916" t="s">
        <v>5071</v>
      </c>
      <c r="AP603" s="575" t="s">
        <v>5071</v>
      </c>
      <c r="AQ603" s="561"/>
      <c r="AR603" s="556"/>
      <c r="AS603" s="556"/>
      <c r="AT603" s="556"/>
      <c r="AU603" s="556"/>
      <c r="AV603" s="35"/>
      <c r="AW603" s="13"/>
    </row>
    <row r="604" spans="1:49" ht="15" hidden="1" customHeight="1">
      <c r="A604" s="17">
        <f>OBRA!I602</f>
        <v>2022</v>
      </c>
      <c r="B604" s="895" t="s">
        <v>3989</v>
      </c>
      <c r="C604" s="895"/>
      <c r="D604" s="895"/>
      <c r="E604" s="2" t="str">
        <f>OBRA!K602</f>
        <v>CUENTA CORRIENTE</v>
      </c>
      <c r="F604" s="561"/>
      <c r="G604" s="632"/>
      <c r="H604" s="13" t="str">
        <f>OBRA!L602</f>
        <v>MANTENIMIENTOS</v>
      </c>
      <c r="I604" s="2" t="str">
        <f>OBRA!M602</f>
        <v>MANTENIMIENTOS</v>
      </c>
      <c r="J604" s="3" t="str">
        <f>OBRA!N602</f>
        <v>REMODELACIÓN DE PRESIDENCIA</v>
      </c>
      <c r="K604" s="1911"/>
      <c r="L604" s="597"/>
      <c r="M604" s="597" t="str">
        <f>OBRA!O602</f>
        <v>CABECERA MUNICIPAL</v>
      </c>
      <c r="N604" s="597"/>
      <c r="O604" s="4">
        <f>OBRA!P602</f>
        <v>0</v>
      </c>
      <c r="P604" s="1208">
        <f t="shared" si="45"/>
        <v>0</v>
      </c>
      <c r="Q604" s="1208"/>
      <c r="R604" s="6" t="str">
        <f>OBRA!Q602</f>
        <v>N/A</v>
      </c>
      <c r="S604" s="1327" t="str">
        <f>OBRA!T602</f>
        <v>NO APLICA</v>
      </c>
      <c r="T604" s="5">
        <f>OBRA!R602</f>
        <v>44562</v>
      </c>
      <c r="U604" s="12">
        <f>OBRA!S602</f>
        <v>44926</v>
      </c>
      <c r="V604" s="1849">
        <v>0</v>
      </c>
      <c r="W604" s="1289">
        <f>OBRA!AQ602+OBRA!AR602</f>
        <v>0</v>
      </c>
      <c r="X604" s="1201"/>
      <c r="Y604" s="639" t="str">
        <f>OBRA!U602</f>
        <v>N/A</v>
      </c>
      <c r="Z604" s="639" t="s">
        <v>68</v>
      </c>
      <c r="AA604" s="640" t="str">
        <f t="shared" si="46"/>
        <v>N/A</v>
      </c>
      <c r="AB604" s="1281" t="s">
        <v>1177</v>
      </c>
      <c r="AC604" s="446" t="s">
        <v>1177</v>
      </c>
      <c r="AD604" s="608" t="str">
        <f>OBRA!V602</f>
        <v>ING. J. GUADALUPE IBARRA RAMIREZ</v>
      </c>
      <c r="AE604" s="169"/>
      <c r="AF604" s="560"/>
      <c r="AG604" s="720" t="e">
        <f t="shared" si="44"/>
        <v>#DIV/0!</v>
      </c>
      <c r="AH604" s="560"/>
      <c r="AI604" s="556"/>
      <c r="AJ604" s="556"/>
      <c r="AK604" s="1815"/>
      <c r="AL604" s="1816"/>
      <c r="AM604" s="631"/>
      <c r="AN604" s="631"/>
      <c r="AO604" s="631"/>
      <c r="AP604" s="556"/>
      <c r="AQ604" s="561"/>
      <c r="AR604" s="556"/>
      <c r="AS604" s="556"/>
      <c r="AT604" s="556"/>
      <c r="AU604" s="556"/>
      <c r="AV604" s="35"/>
      <c r="AW604" s="13"/>
    </row>
    <row r="605" spans="1:49" ht="51" hidden="1" customHeight="1">
      <c r="A605" s="17">
        <f>OBRA!I603</f>
        <v>2022</v>
      </c>
      <c r="B605" s="895" t="s">
        <v>3989</v>
      </c>
      <c r="C605" s="895"/>
      <c r="D605" s="895"/>
      <c r="E605" s="2" t="str">
        <f>OBRA!K603</f>
        <v>CUENTA CORRIENTE</v>
      </c>
      <c r="F605" s="768" t="s">
        <v>1431</v>
      </c>
      <c r="G605" s="632"/>
      <c r="H605" s="13" t="str">
        <f>OBRA!L603</f>
        <v>DOP/AD/007/2022</v>
      </c>
      <c r="I605" s="2" t="str">
        <f>OBRA!M603</f>
        <v>ADMINISTRACIÓN DIRECTA</v>
      </c>
      <c r="J605" s="3" t="str">
        <f>OBRA!N603</f>
        <v>“CONSTRUCCIÓN DE BAÑOS PÚBLICOS”, EN LA LOCALIDAD DE EL MOLINO, DEL MUNICIPIO DE JOCOTEPEC, JALISCO</v>
      </c>
      <c r="K605" s="1911"/>
      <c r="L605" s="780" t="s">
        <v>5072</v>
      </c>
      <c r="M605" s="780" t="str">
        <f>OBRA!O603</f>
        <v>EL MOLINO</v>
      </c>
      <c r="N605" s="597"/>
      <c r="O605" s="4">
        <f>OBRA!P603</f>
        <v>297707.86</v>
      </c>
      <c r="P605" s="1208">
        <f t="shared" si="45"/>
        <v>256644.70689655174</v>
      </c>
      <c r="Q605" s="1208"/>
      <c r="R605" s="6">
        <f>OBRA!Q603</f>
        <v>44875</v>
      </c>
      <c r="S605" s="1327" t="str">
        <f>OBRA!T603</f>
        <v>NO APLICA</v>
      </c>
      <c r="T605" s="5">
        <f>OBRA!R603</f>
        <v>44880</v>
      </c>
      <c r="U605" s="12">
        <f>OBRA!S603</f>
        <v>44926</v>
      </c>
      <c r="V605" s="1849">
        <v>0</v>
      </c>
      <c r="W605" s="1990">
        <f>OBRA!AQ603+OBRA!AR603</f>
        <v>55290.869999999995</v>
      </c>
      <c r="X605" s="1848" t="s">
        <v>5073</v>
      </c>
      <c r="Y605" s="639" t="str">
        <f>OBRA!U603</f>
        <v>N/A</v>
      </c>
      <c r="Z605" s="639" t="s">
        <v>68</v>
      </c>
      <c r="AA605" s="640" t="str">
        <f t="shared" si="46"/>
        <v>N/A</v>
      </c>
      <c r="AB605" s="1281" t="s">
        <v>1177</v>
      </c>
      <c r="AC605" s="446" t="s">
        <v>1177</v>
      </c>
      <c r="AD605" s="769" t="str">
        <f>OBRA!V603</f>
        <v>ARQ. JAIME CONDE GOMEZ</v>
      </c>
      <c r="AE605" s="231">
        <v>20.82</v>
      </c>
      <c r="AF605" s="426" t="s">
        <v>1552</v>
      </c>
      <c r="AG605" s="757">
        <f t="shared" si="44"/>
        <v>2655.6613832853022</v>
      </c>
      <c r="AH605" s="560"/>
      <c r="AI605" s="556"/>
      <c r="AJ605" s="556"/>
      <c r="AK605" s="1815"/>
      <c r="AL605" s="1816"/>
      <c r="AM605" s="1916" t="s">
        <v>5074</v>
      </c>
      <c r="AN605" s="1916" t="s">
        <v>5074</v>
      </c>
      <c r="AO605" s="1916" t="s">
        <v>5074</v>
      </c>
      <c r="AP605" s="575" t="s">
        <v>5074</v>
      </c>
      <c r="AQ605" s="561"/>
      <c r="AR605" s="556"/>
      <c r="AS605" s="556"/>
      <c r="AT605" s="556"/>
      <c r="AU605" s="556"/>
      <c r="AV605" s="35"/>
      <c r="AW605" s="13"/>
    </row>
    <row r="606" spans="1:49" ht="58.5" hidden="1" customHeight="1">
      <c r="A606" s="17">
        <f>OBRA!I604</f>
        <v>2022</v>
      </c>
      <c r="B606" s="895" t="s">
        <v>3989</v>
      </c>
      <c r="C606" s="895"/>
      <c r="D606" s="895"/>
      <c r="E606" s="2" t="str">
        <f>OBRA!K604</f>
        <v>CUENTA CORRIENTE</v>
      </c>
      <c r="F606" s="561"/>
      <c r="G606" s="632"/>
      <c r="H606" s="13" t="str">
        <f>OBRA!L604</f>
        <v>DOP/AD/001-B/2022</v>
      </c>
      <c r="I606" s="2" t="str">
        <f>OBRA!M604</f>
        <v>ADMINISTRACIÓN DIRECTA</v>
      </c>
      <c r="J606" s="3" t="str">
        <f>OBRA!N604</f>
        <v>"REMODELACIÓN DE PRESIDENCIA (2DA ETAPA)", EN LA CABECERA MUNICIPAL DE JOCOTEPEC.</v>
      </c>
      <c r="K606" s="1911"/>
      <c r="L606" s="597"/>
      <c r="M606" s="328" t="str">
        <f>OBRA!O604</f>
        <v>CABECERA MUNICIPAL</v>
      </c>
      <c r="N606" s="597"/>
      <c r="O606" s="4">
        <f>OBRA!P604</f>
        <v>800000</v>
      </c>
      <c r="P606" s="1208">
        <f t="shared" si="45"/>
        <v>689655.17241379316</v>
      </c>
      <c r="Q606" s="1208"/>
      <c r="R606" s="6">
        <f>OBRA!Q604</f>
        <v>44620</v>
      </c>
      <c r="S606" s="1327" t="str">
        <f>OBRA!T604</f>
        <v>NO APLICA</v>
      </c>
      <c r="T606" s="5">
        <f>OBRA!R604</f>
        <v>44624</v>
      </c>
      <c r="U606" s="12">
        <f>OBRA!S604</f>
        <v>44773</v>
      </c>
      <c r="V606" s="1849">
        <v>0</v>
      </c>
      <c r="W606" s="1289">
        <f>OBRA!AQ604+OBRA!AR604</f>
        <v>0</v>
      </c>
      <c r="X606" s="1201"/>
      <c r="Y606" s="639" t="str">
        <f>OBRA!U604</f>
        <v>N/A</v>
      </c>
      <c r="Z606" s="639" t="s">
        <v>68</v>
      </c>
      <c r="AA606" s="640" t="str">
        <f t="shared" si="46"/>
        <v>N/A</v>
      </c>
      <c r="AB606" s="1281" t="s">
        <v>1177</v>
      </c>
      <c r="AC606" s="446" t="s">
        <v>1177</v>
      </c>
      <c r="AD606" s="200" t="str">
        <f>OBRA!V604</f>
        <v>ING. J. GUADALUPE IBARRA RAMIREZ</v>
      </c>
      <c r="AE606" s="169"/>
      <c r="AF606" s="560"/>
      <c r="AG606" s="720" t="e">
        <f t="shared" si="44"/>
        <v>#DIV/0!</v>
      </c>
      <c r="AH606" s="560"/>
      <c r="AI606" s="556"/>
      <c r="AJ606" s="556"/>
      <c r="AK606" s="1815"/>
      <c r="AL606" s="1816"/>
      <c r="AM606" s="631"/>
      <c r="AN606" s="631"/>
      <c r="AO606" s="631"/>
      <c r="AP606" s="556"/>
      <c r="AQ606" s="561"/>
      <c r="AR606" s="556"/>
      <c r="AS606" s="556"/>
      <c r="AT606" s="556"/>
      <c r="AU606" s="556"/>
      <c r="AV606" s="35"/>
      <c r="AW606" s="13"/>
    </row>
    <row r="607" spans="1:49" ht="15" hidden="1" customHeight="1">
      <c r="A607" s="17">
        <f>OBRA!I605</f>
        <v>2022</v>
      </c>
      <c r="B607" s="895" t="s">
        <v>3989</v>
      </c>
      <c r="C607" s="895"/>
      <c r="D607" s="895"/>
      <c r="E607" s="2">
        <f>OBRA!K605</f>
        <v>0</v>
      </c>
      <c r="F607" s="561"/>
      <c r="G607" s="632"/>
      <c r="H607" s="13" t="str">
        <f>OBRA!L605</f>
        <v>DOP/AD/010/2022</v>
      </c>
      <c r="I607" s="2" t="str">
        <f>OBRA!M605</f>
        <v>CANCELADA</v>
      </c>
      <c r="J607" s="3" t="str">
        <f>OBRA!N605</f>
        <v>-</v>
      </c>
      <c r="K607" s="1911"/>
      <c r="L607" s="597"/>
      <c r="M607" s="597">
        <f>OBRA!O605</f>
        <v>0</v>
      </c>
      <c r="N607" s="597"/>
      <c r="O607" s="4">
        <f>OBRA!P605</f>
        <v>0</v>
      </c>
      <c r="P607" s="1208">
        <f t="shared" si="45"/>
        <v>0</v>
      </c>
      <c r="Q607" s="1208"/>
      <c r="R607" s="6">
        <f>OBRA!Q605</f>
        <v>0</v>
      </c>
      <c r="S607" s="1327" t="str">
        <f>OBRA!T605</f>
        <v>NO APLICA</v>
      </c>
      <c r="T607" s="5">
        <f>OBRA!R605</f>
        <v>0</v>
      </c>
      <c r="U607" s="12">
        <f>OBRA!S605</f>
        <v>0</v>
      </c>
      <c r="V607" s="1849">
        <v>0</v>
      </c>
      <c r="W607" s="1289">
        <f>OBRA!AQ605+OBRA!AR605</f>
        <v>0</v>
      </c>
      <c r="X607" s="1201"/>
      <c r="Y607" s="639" t="str">
        <f>OBRA!U605</f>
        <v>N/A</v>
      </c>
      <c r="Z607" s="639" t="s">
        <v>68</v>
      </c>
      <c r="AA607" s="640" t="str">
        <f t="shared" si="46"/>
        <v>N/A</v>
      </c>
      <c r="AB607" s="1281" t="s">
        <v>1177</v>
      </c>
      <c r="AC607" s="446" t="s">
        <v>1177</v>
      </c>
      <c r="AD607" s="608">
        <f>OBRA!V605</f>
        <v>0</v>
      </c>
      <c r="AE607" s="169"/>
      <c r="AF607" s="560"/>
      <c r="AG607" s="720" t="e">
        <f t="shared" si="44"/>
        <v>#DIV/0!</v>
      </c>
      <c r="AH607" s="560"/>
      <c r="AI607" s="556"/>
      <c r="AJ607" s="556"/>
      <c r="AK607" s="1815"/>
      <c r="AL607" s="1816"/>
      <c r="AM607" s="631"/>
      <c r="AN607" s="631"/>
      <c r="AO607" s="631"/>
      <c r="AP607" s="556"/>
      <c r="AQ607" s="561"/>
      <c r="AR607" s="556"/>
      <c r="AS607" s="556"/>
      <c r="AT607" s="556"/>
      <c r="AU607" s="556"/>
      <c r="AV607" s="35"/>
      <c r="AW607" s="13"/>
    </row>
    <row r="608" spans="1:49" ht="100.5" hidden="1" customHeight="1">
      <c r="A608" s="17">
        <f>OBRA!I606</f>
        <v>2022</v>
      </c>
      <c r="B608" s="895" t="s">
        <v>3989</v>
      </c>
      <c r="C608" s="895"/>
      <c r="D608" s="895"/>
      <c r="E608" s="2" t="str">
        <f>OBRA!K606</f>
        <v>CUENTA CORRIENTE</v>
      </c>
      <c r="F608" s="768" t="s">
        <v>1431</v>
      </c>
      <c r="G608" s="1003" t="s">
        <v>2900</v>
      </c>
      <c r="H608" s="189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4461</v>
      </c>
      <c r="L608" s="780" t="s">
        <v>4462</v>
      </c>
      <c r="M608" s="328" t="str">
        <f>OBRA!O606</f>
        <v>MPIO: SAN JUAN COSALA, SAN PEDRO TESISTÁN, POTRERILLOS Y SAN LUCIANO</v>
      </c>
      <c r="N608" s="1893" t="s">
        <v>4561</v>
      </c>
      <c r="O608" s="4">
        <f>OBRA!P606</f>
        <v>69600</v>
      </c>
      <c r="P608" s="1208">
        <f t="shared" si="45"/>
        <v>60000.000000000007</v>
      </c>
      <c r="Q608" s="85" t="s">
        <v>68</v>
      </c>
      <c r="R608" s="6">
        <f>OBRA!Q606</f>
        <v>44572</v>
      </c>
      <c r="S608" s="1327" t="str">
        <f>OBRA!T606</f>
        <v>-</v>
      </c>
      <c r="T608" s="5">
        <f>OBRA!R606</f>
        <v>44578</v>
      </c>
      <c r="U608" s="12">
        <f>OBRA!S606</f>
        <v>44581</v>
      </c>
      <c r="V608" s="1820">
        <v>0</v>
      </c>
      <c r="W608" s="1289">
        <f>OBRA!AQ606+OBRA!AR606</f>
        <v>0</v>
      </c>
      <c r="X608" s="1235" t="s">
        <v>1431</v>
      </c>
      <c r="Y608" s="650" t="str">
        <f>OBRA!U606</f>
        <v>ING. J. TRINIDAD NUÑEZ BRITO</v>
      </c>
      <c r="Z608" s="650" t="s">
        <v>5822</v>
      </c>
      <c r="AA608" s="640" t="str">
        <f t="shared" si="46"/>
        <v>ING. J. TRINIDAD NUÑEZ BRITO</v>
      </c>
      <c r="AB608" s="1372" t="s">
        <v>4475</v>
      </c>
      <c r="AC608" s="1373" t="s">
        <v>4478</v>
      </c>
      <c r="AD608" s="608" t="str">
        <f>OBRA!V606</f>
        <v>LIC. SALVADOR CONTRERAS OLGUÍN</v>
      </c>
      <c r="AE608" s="231">
        <v>4</v>
      </c>
      <c r="AF608" s="426" t="s">
        <v>1466</v>
      </c>
      <c r="AG608" s="720">
        <f t="shared" si="44"/>
        <v>0</v>
      </c>
      <c r="AH608" s="560"/>
      <c r="AI608" s="556"/>
      <c r="AJ608" s="556"/>
      <c r="AK608" s="721"/>
      <c r="AL608" s="1806"/>
      <c r="AM608" s="631"/>
      <c r="AN608" s="631"/>
      <c r="AO608" s="631"/>
      <c r="AP608" s="556"/>
      <c r="AQ608" s="561"/>
      <c r="AR608" s="556"/>
      <c r="AS608" s="556"/>
      <c r="AT608" s="556"/>
      <c r="AU608" s="556"/>
      <c r="AV608" s="35"/>
      <c r="AW608" s="13"/>
    </row>
    <row r="609" spans="1:49" s="1241" customFormat="1" ht="105" hidden="1" customHeight="1">
      <c r="A609" s="588">
        <f>OBRA!I607</f>
        <v>2022</v>
      </c>
      <c r="B609" s="895" t="s">
        <v>3989</v>
      </c>
      <c r="C609" s="1773"/>
      <c r="D609" s="1773"/>
      <c r="E609" s="203" t="str">
        <f>OBRA!K607</f>
        <v>CUENTA CORRIENTE</v>
      </c>
      <c r="F609" s="1747" t="s">
        <v>1431</v>
      </c>
      <c r="G609" s="636" t="s">
        <v>2900</v>
      </c>
      <c r="H609" s="1756"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4463</v>
      </c>
      <c r="L609" s="112" t="s">
        <v>4462</v>
      </c>
      <c r="M609" s="112" t="str">
        <f>OBRA!O607</f>
        <v>MPIO: SAN JUAN COSALA, SAN PEDRO TESISTÁN, POTRERILLOS Y SAN LUCIANO</v>
      </c>
      <c r="N609" s="112"/>
      <c r="O609" s="1255">
        <f>OBRA!P607</f>
        <v>12000</v>
      </c>
      <c r="P609" s="1255">
        <f t="shared" si="45"/>
        <v>10344.827586206897</v>
      </c>
      <c r="Q609" s="1255"/>
      <c r="R609" s="1746">
        <f>OBRA!Q607</f>
        <v>44575</v>
      </c>
      <c r="S609" s="1775" t="str">
        <f>OBRA!T607</f>
        <v>-</v>
      </c>
      <c r="T609" s="1262">
        <f>OBRA!R607</f>
        <v>44578</v>
      </c>
      <c r="U609" s="1268">
        <f>OBRA!S607</f>
        <v>44582</v>
      </c>
      <c r="V609" s="1823">
        <v>0</v>
      </c>
      <c r="W609" s="1777">
        <f>OBRA!AQ607+OBRA!AR607</f>
        <v>0</v>
      </c>
      <c r="X609" s="1778" t="s">
        <v>75</v>
      </c>
      <c r="Y609" s="1779" t="str">
        <f>OBRA!U607</f>
        <v>PEDRO MACHUCA SAAVEDRA</v>
      </c>
      <c r="Z609" s="1779" t="s">
        <v>5822</v>
      </c>
      <c r="AA609" s="1790" t="str">
        <f t="shared" si="46"/>
        <v>PEDRO MACHUCA SAAVEDRA</v>
      </c>
      <c r="AB609" s="1779" t="s">
        <v>627</v>
      </c>
      <c r="AC609" s="1790" t="s">
        <v>627</v>
      </c>
      <c r="AD609" s="1781" t="str">
        <f>OBRA!V607</f>
        <v>LIC. SALVADOR CONTRERAS OLGUÍN</v>
      </c>
      <c r="AE609" s="955"/>
      <c r="AF609" s="203"/>
      <c r="AG609" s="1857" t="e">
        <f t="shared" si="44"/>
        <v>#DIV/0!</v>
      </c>
      <c r="AH609" s="203"/>
      <c r="AI609" s="567"/>
      <c r="AJ609" s="567"/>
      <c r="AK609" s="1811"/>
      <c r="AL609" s="1812"/>
      <c r="AM609" s="1791"/>
      <c r="AN609" s="1791"/>
      <c r="AO609" s="1791"/>
      <c r="AP609" s="567"/>
      <c r="AQ609" s="1747"/>
      <c r="AR609" s="567"/>
      <c r="AS609" s="567"/>
      <c r="AT609" s="567"/>
      <c r="AU609" s="567"/>
      <c r="AV609" s="340"/>
      <c r="AW609" s="1756"/>
    </row>
    <row r="610" spans="1:49" ht="182.25" hidden="1" customHeight="1">
      <c r="A610" s="17">
        <f>OBRA!I608</f>
        <v>2022</v>
      </c>
      <c r="B610" s="895" t="s">
        <v>3989</v>
      </c>
      <c r="C610" s="895"/>
      <c r="D610" s="895"/>
      <c r="E610" s="2" t="str">
        <f>OBRA!K608</f>
        <v>CUENTA CORRIENTE</v>
      </c>
      <c r="F610" s="768" t="s">
        <v>1431</v>
      </c>
      <c r="G610" s="1003" t="s">
        <v>2900</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4464</v>
      </c>
      <c r="L610" s="780" t="s">
        <v>1979</v>
      </c>
      <c r="M610" s="780" t="str">
        <f>OBRA!O608</f>
        <v>CABECERA MUNICIPAL</v>
      </c>
      <c r="N610" s="1893" t="s">
        <v>4561</v>
      </c>
      <c r="O610" s="4">
        <v>12000</v>
      </c>
      <c r="P610" s="1208">
        <f t="shared" si="45"/>
        <v>10344.827586206897</v>
      </c>
      <c r="Q610" s="85" t="s">
        <v>68</v>
      </c>
      <c r="R610" s="6">
        <f>OBRA!Q608</f>
        <v>44592</v>
      </c>
      <c r="S610" s="1327" t="str">
        <f>OBRA!T608</f>
        <v>-</v>
      </c>
      <c r="T610" s="5">
        <f>OBRA!R608</f>
        <v>44593</v>
      </c>
      <c r="U610" s="12">
        <f>OBRA!S608</f>
        <v>44607</v>
      </c>
      <c r="V610" s="1820">
        <v>57000</v>
      </c>
      <c r="W610" s="1289">
        <f>OBRA!AQ608+OBRA!AR608</f>
        <v>0</v>
      </c>
      <c r="X610" s="1235" t="s">
        <v>1431</v>
      </c>
      <c r="Y610" s="650" t="str">
        <f>OBRA!U608</f>
        <v>OSCAR CASTILLO LEDEZMA</v>
      </c>
      <c r="Z610" s="650" t="s">
        <v>5822</v>
      </c>
      <c r="AA610" s="640" t="str">
        <f t="shared" si="46"/>
        <v>OSCAR CASTILLO LEDEZMA</v>
      </c>
      <c r="AB610" s="1372" t="s">
        <v>4476</v>
      </c>
      <c r="AC610" s="1373" t="s">
        <v>4477</v>
      </c>
      <c r="AD610" s="608">
        <f>OBRA!V608</f>
        <v>0</v>
      </c>
      <c r="AE610" s="231">
        <v>9</v>
      </c>
      <c r="AF610" s="426" t="s">
        <v>1845</v>
      </c>
      <c r="AG610" s="720">
        <f t="shared" si="44"/>
        <v>0</v>
      </c>
      <c r="AH610" s="560"/>
      <c r="AI610" s="556"/>
      <c r="AJ610" s="556"/>
      <c r="AK610" s="721"/>
      <c r="AL610" s="1806"/>
      <c r="AM610" s="631"/>
      <c r="AN610" s="631"/>
      <c r="AO610" s="631"/>
      <c r="AP610" s="556"/>
      <c r="AQ610" s="561"/>
      <c r="AR610" s="556"/>
      <c r="AS610" s="556"/>
      <c r="AT610" s="556"/>
      <c r="AU610" s="556"/>
      <c r="AV610" s="35"/>
      <c r="AW610" s="13"/>
    </row>
    <row r="611" spans="1:49" ht="96.75" hidden="1" customHeight="1">
      <c r="A611" s="17">
        <f>OBRA!I609</f>
        <v>2022</v>
      </c>
      <c r="B611" s="895" t="s">
        <v>3989</v>
      </c>
      <c r="C611" s="895"/>
      <c r="D611" s="895"/>
      <c r="E611" s="2" t="str">
        <f>OBRA!K609</f>
        <v>CUENTA CORRIENTE</v>
      </c>
      <c r="F611" s="768" t="s">
        <v>1431</v>
      </c>
      <c r="G611" s="1003" t="s">
        <v>2900</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4467</v>
      </c>
      <c r="L611" s="780" t="s">
        <v>1979</v>
      </c>
      <c r="M611" s="780" t="str">
        <f>OBRA!O609</f>
        <v>CABECERA MUNICIPAL</v>
      </c>
      <c r="N611" s="1893" t="s">
        <v>4561</v>
      </c>
      <c r="O611" s="4">
        <f>OBRA!P609</f>
        <v>10000.000400000001</v>
      </c>
      <c r="P611" s="1208">
        <f t="shared" si="45"/>
        <v>8620.69</v>
      </c>
      <c r="Q611" s="85" t="s">
        <v>68</v>
      </c>
      <c r="R611" s="6">
        <f>OBRA!Q609</f>
        <v>44634</v>
      </c>
      <c r="S611" s="1327" t="str">
        <f>OBRA!T609</f>
        <v>-</v>
      </c>
      <c r="T611" s="5" t="str">
        <f>OBRA!R609</f>
        <v>-</v>
      </c>
      <c r="U611" s="12" t="str">
        <f>OBRA!S609</f>
        <v>-</v>
      </c>
      <c r="V611" s="1820">
        <v>0</v>
      </c>
      <c r="W611" s="1289">
        <f>OBRA!AQ609+OBRA!AR609</f>
        <v>0</v>
      </c>
      <c r="X611" s="1235" t="s">
        <v>1431</v>
      </c>
      <c r="Y611" s="650" t="str">
        <f>OBRA!U609</f>
        <v>ING. SERGIO CABRERA</v>
      </c>
      <c r="Z611" s="650" t="s">
        <v>5822</v>
      </c>
      <c r="AA611" s="640" t="str">
        <f t="shared" si="46"/>
        <v>ING. SERGIO CABRERA</v>
      </c>
      <c r="AB611" s="650" t="s">
        <v>1926</v>
      </c>
      <c r="AC611" s="652" t="s">
        <v>4479</v>
      </c>
      <c r="AD611" s="608">
        <f>OBRA!V609</f>
        <v>0</v>
      </c>
      <c r="AE611" s="169"/>
      <c r="AF611" s="426" t="s">
        <v>1552</v>
      </c>
      <c r="AG611" s="720" t="e">
        <f t="shared" si="44"/>
        <v>#DIV/0!</v>
      </c>
      <c r="AH611" s="560"/>
      <c r="AI611" s="556"/>
      <c r="AJ611" s="556"/>
      <c r="AK611" s="721"/>
      <c r="AL611" s="1806"/>
      <c r="AM611" s="631"/>
      <c r="AN611" s="631"/>
      <c r="AO611" s="631"/>
      <c r="AP611" s="556"/>
      <c r="AQ611" s="561"/>
      <c r="AR611" s="556"/>
      <c r="AS611" s="556"/>
      <c r="AT611" s="556"/>
      <c r="AU611" s="556"/>
      <c r="AV611" s="35"/>
      <c r="AW611" s="13"/>
    </row>
    <row r="612" spans="1:49" ht="15" hidden="1" customHeight="1">
      <c r="A612" s="17">
        <f>OBRA!I610</f>
        <v>2022</v>
      </c>
      <c r="B612" s="895" t="s">
        <v>3989</v>
      </c>
      <c r="C612" s="895"/>
      <c r="D612" s="895"/>
      <c r="E612" s="2" t="str">
        <f>OBRA!K610</f>
        <v>CUENTA CORRIENTE</v>
      </c>
      <c r="F612" s="768" t="s">
        <v>1431</v>
      </c>
      <c r="G612" s="1003" t="s">
        <v>2900</v>
      </c>
      <c r="H612" s="13" t="str">
        <f>OBRA!L610</f>
        <v>CPSP DOP 005/2022</v>
      </c>
      <c r="I612" s="2" t="str">
        <f>OBRA!M610</f>
        <v>SERVICIOS (CANCELADO)</v>
      </c>
      <c r="J612" s="3" t="str">
        <f>OBRA!N610</f>
        <v>-</v>
      </c>
      <c r="K612" s="597"/>
      <c r="L612" s="597"/>
      <c r="M612" s="597">
        <f>OBRA!O610</f>
        <v>0</v>
      </c>
      <c r="N612" s="597"/>
      <c r="O612" s="4">
        <f>OBRA!P610</f>
        <v>0</v>
      </c>
      <c r="P612" s="1208">
        <f t="shared" si="45"/>
        <v>0</v>
      </c>
      <c r="Q612" s="1208"/>
      <c r="R612" s="6">
        <f>OBRA!Q610</f>
        <v>0</v>
      </c>
      <c r="S612" s="1327" t="str">
        <f>OBRA!T610</f>
        <v>-</v>
      </c>
      <c r="T612" s="5">
        <f>OBRA!R610</f>
        <v>0</v>
      </c>
      <c r="U612" s="12">
        <f>OBRA!S610</f>
        <v>0</v>
      </c>
      <c r="V612" s="1820"/>
      <c r="W612" s="1289">
        <f>OBRA!AQ610+OBRA!AR610</f>
        <v>0</v>
      </c>
      <c r="X612" s="1201"/>
      <c r="Y612" s="639" t="str">
        <f>OBRA!U610</f>
        <v>-</v>
      </c>
      <c r="Z612" s="639" t="s">
        <v>68</v>
      </c>
      <c r="AA612" s="640" t="str">
        <f t="shared" si="46"/>
        <v>-</v>
      </c>
      <c r="AB612" s="1372"/>
      <c r="AC612" s="1373"/>
      <c r="AD612" s="608">
        <f>OBRA!V610</f>
        <v>0</v>
      </c>
      <c r="AE612" s="169"/>
      <c r="AF612" s="560"/>
      <c r="AG612" s="720" t="e">
        <f t="shared" si="44"/>
        <v>#DIV/0!</v>
      </c>
      <c r="AH612" s="560"/>
      <c r="AI612" s="556"/>
      <c r="AJ612" s="556"/>
      <c r="AK612" s="721"/>
      <c r="AL612" s="1806"/>
      <c r="AM612" s="631"/>
      <c r="AN612" s="631"/>
      <c r="AO612" s="631"/>
      <c r="AP612" s="556"/>
      <c r="AQ612" s="561"/>
      <c r="AR612" s="556"/>
      <c r="AS612" s="556"/>
      <c r="AT612" s="556"/>
      <c r="AU612" s="556"/>
      <c r="AV612" s="35"/>
      <c r="AW612" s="13"/>
    </row>
    <row r="613" spans="1:49" ht="84.75" hidden="1" customHeight="1">
      <c r="A613" s="17">
        <f>OBRA!I611</f>
        <v>2022</v>
      </c>
      <c r="B613" s="895" t="s">
        <v>3989</v>
      </c>
      <c r="C613" s="895"/>
      <c r="D613" s="895"/>
      <c r="E613" s="2" t="str">
        <f>OBRA!K611</f>
        <v>CUENTA CORRIENTE</v>
      </c>
      <c r="F613" s="768" t="s">
        <v>1431</v>
      </c>
      <c r="G613" s="1003" t="s">
        <v>2900</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4466</v>
      </c>
      <c r="L613" s="780" t="s">
        <v>1979</v>
      </c>
      <c r="M613" s="780" t="str">
        <f>OBRA!O611</f>
        <v>CABECERA MUNICIPAL</v>
      </c>
      <c r="N613" s="1893" t="s">
        <v>4561</v>
      </c>
      <c r="O613" s="4">
        <f>OBRA!P611</f>
        <v>10000.000400000001</v>
      </c>
      <c r="P613" s="1208">
        <f t="shared" si="45"/>
        <v>8620.69</v>
      </c>
      <c r="Q613" s="85" t="s">
        <v>68</v>
      </c>
      <c r="R613" s="6">
        <f>OBRA!Q611</f>
        <v>44634</v>
      </c>
      <c r="S613" s="1327" t="str">
        <f>OBRA!T611</f>
        <v>-</v>
      </c>
      <c r="T613" s="5" t="str">
        <f>OBRA!R611</f>
        <v>-</v>
      </c>
      <c r="U613" s="12" t="str">
        <f>OBRA!S611</f>
        <v>-</v>
      </c>
      <c r="V613" s="1820">
        <v>0</v>
      </c>
      <c r="W613" s="1289">
        <f>OBRA!AQ611+OBRA!AR611</f>
        <v>0</v>
      </c>
      <c r="X613" s="1235" t="s">
        <v>1431</v>
      </c>
      <c r="Y613" s="650" t="str">
        <f>OBRA!U611</f>
        <v>ING. SERGIO CABRERA</v>
      </c>
      <c r="Z613" s="650" t="s">
        <v>5822</v>
      </c>
      <c r="AA613" s="640" t="str">
        <f t="shared" si="46"/>
        <v>ING. SERGIO CABRERA</v>
      </c>
      <c r="AB613" s="650" t="s">
        <v>1926</v>
      </c>
      <c r="AC613" s="652" t="s">
        <v>4479</v>
      </c>
      <c r="AD613" s="608">
        <f>OBRA!V611</f>
        <v>0</v>
      </c>
      <c r="AE613" s="169"/>
      <c r="AF613" s="426" t="s">
        <v>1552</v>
      </c>
      <c r="AG613" s="720" t="e">
        <f t="shared" si="44"/>
        <v>#DIV/0!</v>
      </c>
      <c r="AH613" s="560"/>
      <c r="AI613" s="556"/>
      <c r="AJ613" s="556"/>
      <c r="AK613" s="721"/>
      <c r="AL613" s="1806"/>
      <c r="AM613" s="631"/>
      <c r="AN613" s="631"/>
      <c r="AO613" s="631"/>
      <c r="AP613" s="556"/>
      <c r="AQ613" s="561"/>
      <c r="AR613" s="556"/>
      <c r="AS613" s="556"/>
      <c r="AT613" s="556"/>
      <c r="AU613" s="556"/>
      <c r="AV613" s="35"/>
      <c r="AW613" s="13"/>
    </row>
    <row r="614" spans="1:49" ht="15" hidden="1" customHeight="1">
      <c r="A614" s="17">
        <f>OBRA!I612</f>
        <v>2022</v>
      </c>
      <c r="B614" s="895" t="s">
        <v>3989</v>
      </c>
      <c r="C614" s="895"/>
      <c r="D614" s="895"/>
      <c r="E614" s="2" t="str">
        <f>OBRA!K612</f>
        <v>CUENTA CORRIENTE</v>
      </c>
      <c r="F614" s="768" t="s">
        <v>1431</v>
      </c>
      <c r="G614" s="1003" t="s">
        <v>2900</v>
      </c>
      <c r="H614" s="13" t="str">
        <f>OBRA!L612</f>
        <v>CPSP DOP 007/2022</v>
      </c>
      <c r="I614" s="2" t="str">
        <f>OBRA!M612</f>
        <v>SERVICIOS (CANCELADO)</v>
      </c>
      <c r="J614" s="3" t="str">
        <f>OBRA!N612</f>
        <v>-</v>
      </c>
      <c r="K614" s="597"/>
      <c r="L614" s="597"/>
      <c r="M614" s="597">
        <f>OBRA!O612</f>
        <v>0</v>
      </c>
      <c r="N614" s="597"/>
      <c r="O614" s="4">
        <f>OBRA!P612</f>
        <v>0</v>
      </c>
      <c r="P614" s="1208">
        <f t="shared" si="45"/>
        <v>0</v>
      </c>
      <c r="Q614" s="1208"/>
      <c r="R614" s="6">
        <f>OBRA!Q612</f>
        <v>0</v>
      </c>
      <c r="S614" s="1327" t="str">
        <f>OBRA!T612</f>
        <v>-</v>
      </c>
      <c r="T614" s="5">
        <f>OBRA!R612</f>
        <v>0</v>
      </c>
      <c r="U614" s="12">
        <f>OBRA!S612</f>
        <v>0</v>
      </c>
      <c r="V614" s="1820"/>
      <c r="W614" s="1289">
        <f>OBRA!AQ612+OBRA!AR612</f>
        <v>0</v>
      </c>
      <c r="X614" s="1201"/>
      <c r="Y614" s="1372" t="str">
        <f>OBRA!U612</f>
        <v>-</v>
      </c>
      <c r="Z614" s="1372" t="s">
        <v>68</v>
      </c>
      <c r="AA614" s="1373" t="str">
        <f t="shared" si="46"/>
        <v>-</v>
      </c>
      <c r="AB614" s="1372"/>
      <c r="AC614" s="1373"/>
      <c r="AD614" s="608">
        <f>OBRA!V612</f>
        <v>0</v>
      </c>
      <c r="AE614" s="169"/>
      <c r="AF614" s="560"/>
      <c r="AG614" s="720" t="e">
        <f t="shared" si="44"/>
        <v>#DIV/0!</v>
      </c>
      <c r="AH614" s="560"/>
      <c r="AI614" s="556"/>
      <c r="AJ614" s="556"/>
      <c r="AK614" s="721"/>
      <c r="AL614" s="1806"/>
      <c r="AM614" s="631"/>
      <c r="AN614" s="631"/>
      <c r="AO614" s="631"/>
      <c r="AP614" s="556"/>
      <c r="AQ614" s="561"/>
      <c r="AR614" s="556"/>
      <c r="AS614" s="556"/>
      <c r="AT614" s="556"/>
      <c r="AU614" s="556"/>
      <c r="AV614" s="35"/>
      <c r="AW614" s="13"/>
    </row>
    <row r="615" spans="1:49" ht="83.25" hidden="1" customHeight="1">
      <c r="A615" s="17">
        <f>OBRA!I613</f>
        <v>2022</v>
      </c>
      <c r="B615" s="895" t="s">
        <v>3989</v>
      </c>
      <c r="C615" s="895"/>
      <c r="D615" s="895"/>
      <c r="E615" s="2" t="str">
        <f>OBRA!K613</f>
        <v>CUENTA CORRIENTE</v>
      </c>
      <c r="F615" s="768" t="s">
        <v>1431</v>
      </c>
      <c r="G615" s="1003" t="s">
        <v>2900</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4465</v>
      </c>
      <c r="L615" s="780" t="s">
        <v>4458</v>
      </c>
      <c r="M615" s="780" t="str">
        <f>OBRA!O613</f>
        <v>SAN JUAN COSALÁ</v>
      </c>
      <c r="N615" s="1893" t="s">
        <v>4561</v>
      </c>
      <c r="O615" s="4">
        <f>OBRA!P613</f>
        <v>7000.0199999999995</v>
      </c>
      <c r="P615" s="1208">
        <f t="shared" si="45"/>
        <v>6034.5</v>
      </c>
      <c r="Q615" s="85" t="s">
        <v>68</v>
      </c>
      <c r="R615" s="6">
        <f>OBRA!Q613</f>
        <v>44634</v>
      </c>
      <c r="S615" s="1327" t="str">
        <f>OBRA!T613</f>
        <v>-</v>
      </c>
      <c r="T615" s="5" t="str">
        <f>OBRA!R613</f>
        <v>-</v>
      </c>
      <c r="U615" s="12" t="str">
        <f>OBRA!S613</f>
        <v>-</v>
      </c>
      <c r="V615" s="1820">
        <v>0</v>
      </c>
      <c r="W615" s="1289">
        <v>0</v>
      </c>
      <c r="X615" s="1235" t="s">
        <v>1431</v>
      </c>
      <c r="Y615" s="639" t="str">
        <f>OBRA!U613</f>
        <v>ING. SERGIO CABRERA</v>
      </c>
      <c r="Z615" s="639" t="s">
        <v>5822</v>
      </c>
      <c r="AA615" s="640" t="str">
        <f t="shared" si="46"/>
        <v>ING. SERGIO CABRERA</v>
      </c>
      <c r="AB615" s="650" t="s">
        <v>1926</v>
      </c>
      <c r="AC615" s="652" t="s">
        <v>4479</v>
      </c>
      <c r="AD615" s="608">
        <f>OBRA!V613</f>
        <v>0</v>
      </c>
      <c r="AE615" s="169"/>
      <c r="AF615" s="426" t="s">
        <v>1552</v>
      </c>
      <c r="AG615" s="720" t="e">
        <f t="shared" si="44"/>
        <v>#DIV/0!</v>
      </c>
      <c r="AH615" s="560"/>
      <c r="AI615" s="556"/>
      <c r="AJ615" s="556"/>
      <c r="AK615" s="721"/>
      <c r="AL615" s="1806"/>
      <c r="AM615" s="631"/>
      <c r="AN615" s="631"/>
      <c r="AO615" s="631"/>
      <c r="AP615" s="556"/>
      <c r="AQ615" s="561"/>
      <c r="AR615" s="556"/>
      <c r="AS615" s="556"/>
      <c r="AT615" s="556"/>
      <c r="AU615" s="556"/>
      <c r="AV615" s="35"/>
      <c r="AW615" s="13"/>
    </row>
    <row r="616" spans="1:49" ht="100.5" hidden="1" customHeight="1">
      <c r="A616" s="17">
        <f>OBRA!I614</f>
        <v>2022</v>
      </c>
      <c r="B616" s="895" t="s">
        <v>3989</v>
      </c>
      <c r="C616" s="895"/>
      <c r="D616" s="895"/>
      <c r="E616" s="2" t="str">
        <f>OBRA!K614</f>
        <v>CUENTA CORRIENTE</v>
      </c>
      <c r="F616" s="768" t="s">
        <v>1431</v>
      </c>
      <c r="G616" s="1003" t="s">
        <v>2900</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4468</v>
      </c>
      <c r="L616" s="780" t="s">
        <v>3664</v>
      </c>
      <c r="M616" s="780" t="str">
        <f>OBRA!O614</f>
        <v>ZAPOTITÁN DE HIDALGO</v>
      </c>
      <c r="N616" s="1893" t="s">
        <v>4561</v>
      </c>
      <c r="O616" s="4">
        <f>OBRA!P614</f>
        <v>15659.999999999998</v>
      </c>
      <c r="P616" s="1208">
        <f t="shared" si="45"/>
        <v>13500</v>
      </c>
      <c r="Q616" s="85" t="s">
        <v>68</v>
      </c>
      <c r="R616" s="6">
        <f>OBRA!Q614</f>
        <v>44635</v>
      </c>
      <c r="S616" s="1327" t="str">
        <f>OBRA!T614</f>
        <v>-</v>
      </c>
      <c r="T616" s="5" t="str">
        <f>OBRA!R614</f>
        <v>-</v>
      </c>
      <c r="U616" s="12" t="str">
        <f>OBRA!S614</f>
        <v>-</v>
      </c>
      <c r="V616" s="1820">
        <v>0</v>
      </c>
      <c r="W616" s="1289">
        <f>OBRA!AQ614+OBRA!AR614</f>
        <v>0</v>
      </c>
      <c r="X616" s="1235" t="s">
        <v>1431</v>
      </c>
      <c r="Y616" s="639" t="str">
        <f>OBRA!U614</f>
        <v>ECCOC DE GUADALAJARA, S.A. DE C.V.</v>
      </c>
      <c r="Z616" s="639" t="s">
        <v>5823</v>
      </c>
      <c r="AA616" s="640" t="s">
        <v>4885</v>
      </c>
      <c r="AB616" s="1372" t="s">
        <v>4480</v>
      </c>
      <c r="AC616" s="1373" t="s">
        <v>4481</v>
      </c>
      <c r="AD616" s="608">
        <f>OBRA!V614</f>
        <v>0</v>
      </c>
      <c r="AE616" s="231">
        <v>1</v>
      </c>
      <c r="AF616" s="426" t="s">
        <v>1577</v>
      </c>
      <c r="AG616" s="720">
        <f t="shared" si="44"/>
        <v>0</v>
      </c>
      <c r="AH616" s="560"/>
      <c r="AI616" s="556"/>
      <c r="AJ616" s="556"/>
      <c r="AK616" s="721"/>
      <c r="AL616" s="1806"/>
      <c r="AM616" s="631"/>
      <c r="AN616" s="631"/>
      <c r="AO616" s="631"/>
      <c r="AP616" s="556"/>
      <c r="AQ616" s="561"/>
      <c r="AR616" s="556"/>
      <c r="AS616" s="556"/>
      <c r="AT616" s="556"/>
      <c r="AU616" s="556"/>
      <c r="AV616" s="35"/>
      <c r="AW616" s="13"/>
    </row>
    <row r="617" spans="1:49" ht="79.5" hidden="1" customHeight="1">
      <c r="A617" s="17">
        <f>OBRA!I615</f>
        <v>2022</v>
      </c>
      <c r="B617" s="895" t="s">
        <v>3989</v>
      </c>
      <c r="C617" s="895"/>
      <c r="D617" s="895"/>
      <c r="E617" s="2" t="str">
        <f>OBRA!K615</f>
        <v>CUENTA CORRIENTE</v>
      </c>
      <c r="F617" s="768" t="s">
        <v>1431</v>
      </c>
      <c r="G617" s="1003" t="s">
        <v>2900</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4463</v>
      </c>
      <c r="L617" s="780" t="s">
        <v>2574</v>
      </c>
      <c r="M617" s="780" t="str">
        <f>OBRA!O615</f>
        <v>CHANTEPEC</v>
      </c>
      <c r="N617" s="597"/>
      <c r="O617" s="4">
        <f>OBRA!P615</f>
        <v>4000</v>
      </c>
      <c r="P617" s="1208">
        <f t="shared" si="45"/>
        <v>3448.2758620689656</v>
      </c>
      <c r="Q617" s="85" t="s">
        <v>68</v>
      </c>
      <c r="R617" s="6">
        <f>OBRA!Q615</f>
        <v>44658</v>
      </c>
      <c r="S617" s="1327" t="str">
        <f>OBRA!T615</f>
        <v>-</v>
      </c>
      <c r="T617" s="5">
        <f>OBRA!R615</f>
        <v>44660</v>
      </c>
      <c r="U617" s="12">
        <f>OBRA!S615</f>
        <v>44660</v>
      </c>
      <c r="V617" s="1820">
        <v>0</v>
      </c>
      <c r="W617" s="1289">
        <f>OBRA!AQ615+OBRA!AR615</f>
        <v>0</v>
      </c>
      <c r="X617" s="1235" t="s">
        <v>1431</v>
      </c>
      <c r="Y617" s="639" t="str">
        <f>OBRA!U615</f>
        <v>PEDRO MACHUCA SAAVEDRA</v>
      </c>
      <c r="Z617" s="639" t="s">
        <v>5822</v>
      </c>
      <c r="AA617" s="640" t="str">
        <f t="shared" si="46"/>
        <v>PEDRO MACHUCA SAAVEDRA</v>
      </c>
      <c r="AB617" s="935" t="s">
        <v>68</v>
      </c>
      <c r="AC617" s="1850" t="s">
        <v>4483</v>
      </c>
      <c r="AD617" s="608">
        <f>OBRA!V615</f>
        <v>0</v>
      </c>
      <c r="AE617" s="231">
        <v>1</v>
      </c>
      <c r="AF617" s="426" t="s">
        <v>1466</v>
      </c>
      <c r="AG617" s="720">
        <f t="shared" si="44"/>
        <v>0</v>
      </c>
      <c r="AH617" s="560"/>
      <c r="AI617" s="556"/>
      <c r="AJ617" s="556"/>
      <c r="AK617" s="721"/>
      <c r="AL617" s="1806"/>
      <c r="AM617" s="631"/>
      <c r="AN617" s="631"/>
      <c r="AO617" s="631"/>
      <c r="AP617" s="556"/>
      <c r="AQ617" s="561"/>
      <c r="AR617" s="556"/>
      <c r="AS617" s="556"/>
      <c r="AT617" s="556"/>
      <c r="AU617" s="556"/>
      <c r="AV617" s="35"/>
      <c r="AW617" s="13"/>
    </row>
    <row r="618" spans="1:49" ht="80.25" hidden="1" customHeight="1">
      <c r="A618" s="17">
        <f>OBRA!I616</f>
        <v>2022</v>
      </c>
      <c r="B618" s="895" t="s">
        <v>3989</v>
      </c>
      <c r="C618" s="895"/>
      <c r="D618" s="895"/>
      <c r="E618" s="2" t="str">
        <f>OBRA!K616</f>
        <v>CUENTA CORRIENTE</v>
      </c>
      <c r="F618" s="768" t="s">
        <v>1431</v>
      </c>
      <c r="G618" s="1003" t="s">
        <v>2900</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4469</v>
      </c>
      <c r="L618" s="780" t="s">
        <v>2574</v>
      </c>
      <c r="M618" s="780" t="str">
        <f>OBRA!O616</f>
        <v>CHANTEPEC</v>
      </c>
      <c r="N618" s="585" t="s">
        <v>4562</v>
      </c>
      <c r="O618" s="4">
        <f>OBRA!P616</f>
        <v>17400</v>
      </c>
      <c r="P618" s="1208">
        <f t="shared" si="45"/>
        <v>15000.000000000002</v>
      </c>
      <c r="Q618" s="85" t="s">
        <v>68</v>
      </c>
      <c r="R618" s="6">
        <f>OBRA!Q616</f>
        <v>44690</v>
      </c>
      <c r="S618" s="1327" t="str">
        <f>OBRA!T616</f>
        <v>-</v>
      </c>
      <c r="T618" s="5">
        <f>OBRA!R616</f>
        <v>44693</v>
      </c>
      <c r="U618" s="12">
        <f>OBRA!S616</f>
        <v>44695</v>
      </c>
      <c r="V618" s="1820">
        <v>0</v>
      </c>
      <c r="W618" s="1289">
        <f>OBRA!AQ616+OBRA!AR616</f>
        <v>0</v>
      </c>
      <c r="X618" s="1235" t="s">
        <v>1431</v>
      </c>
      <c r="Y618" s="639" t="str">
        <f>OBRA!U616</f>
        <v>J. TRINIDAD NÚÑEZ BRITO</v>
      </c>
      <c r="Z618" s="639" t="s">
        <v>5822</v>
      </c>
      <c r="AA618" s="640" t="str">
        <f t="shared" si="46"/>
        <v>J. TRINIDAD NÚÑEZ BRITO</v>
      </c>
      <c r="AB618" s="1372" t="s">
        <v>4475</v>
      </c>
      <c r="AC618" s="1373" t="s">
        <v>4478</v>
      </c>
      <c r="AD618" s="608">
        <f>OBRA!V616</f>
        <v>0</v>
      </c>
      <c r="AE618" s="231">
        <v>1</v>
      </c>
      <c r="AF618" s="426" t="s">
        <v>1466</v>
      </c>
      <c r="AG618" s="720">
        <f t="shared" si="44"/>
        <v>0</v>
      </c>
      <c r="AH618" s="560"/>
      <c r="AI618" s="556"/>
      <c r="AJ618" s="556"/>
      <c r="AK618" s="721"/>
      <c r="AL618" s="1806"/>
      <c r="AM618" s="631"/>
      <c r="AN618" s="631"/>
      <c r="AO618" s="631"/>
      <c r="AP618" s="556"/>
      <c r="AQ618" s="561"/>
      <c r="AR618" s="556"/>
      <c r="AS618" s="556"/>
      <c r="AT618" s="556"/>
      <c r="AU618" s="556"/>
      <c r="AV618" s="35"/>
      <c r="AW618" s="13"/>
    </row>
    <row r="619" spans="1:49" ht="107.25" hidden="1" customHeight="1">
      <c r="A619" s="17">
        <f>OBRA!I617</f>
        <v>2022</v>
      </c>
      <c r="B619" s="895" t="s">
        <v>3989</v>
      </c>
      <c r="C619" s="895"/>
      <c r="D619" s="895"/>
      <c r="E619" s="2" t="str">
        <f>OBRA!K617</f>
        <v>CUENTA CORRIENTE</v>
      </c>
      <c r="F619" s="768" t="s">
        <v>1431</v>
      </c>
      <c r="G619" s="1003" t="s">
        <v>2900</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4470</v>
      </c>
      <c r="L619" s="780" t="s">
        <v>1979</v>
      </c>
      <c r="M619" s="780" t="str">
        <f>OBRA!O617</f>
        <v>CABECERA MUNICIPAL</v>
      </c>
      <c r="N619" s="585" t="s">
        <v>4562</v>
      </c>
      <c r="O619" s="4">
        <f>OBRA!P617</f>
        <v>32886</v>
      </c>
      <c r="P619" s="1208">
        <f t="shared" si="45"/>
        <v>28350.000000000004</v>
      </c>
      <c r="Q619" s="85" t="s">
        <v>68</v>
      </c>
      <c r="R619" s="6">
        <f>OBRA!Q617</f>
        <v>44662</v>
      </c>
      <c r="S619" s="1327" t="str">
        <f>OBRA!T617</f>
        <v>-</v>
      </c>
      <c r="T619" s="5" t="str">
        <f>OBRA!R617</f>
        <v>-</v>
      </c>
      <c r="U619" s="12" t="str">
        <f>OBRA!S617</f>
        <v>-</v>
      </c>
      <c r="V619" s="1820">
        <v>0</v>
      </c>
      <c r="W619" s="1289">
        <f>OBRA!AQ617+OBRA!AR617</f>
        <v>0</v>
      </c>
      <c r="X619" s="1235" t="s">
        <v>1431</v>
      </c>
      <c r="Y619" s="639" t="str">
        <f>OBRA!U617</f>
        <v>ECCOC DE GUADALAJARA, S.A. DE C.V.</v>
      </c>
      <c r="Z619" s="639" t="s">
        <v>5822</v>
      </c>
      <c r="AA619" s="640" t="s">
        <v>4885</v>
      </c>
      <c r="AB619" s="1372" t="s">
        <v>4482</v>
      </c>
      <c r="AC619" s="1373" t="s">
        <v>4481</v>
      </c>
      <c r="AD619" s="608">
        <f>OBRA!V617</f>
        <v>0</v>
      </c>
      <c r="AE619" s="231">
        <v>3</v>
      </c>
      <c r="AF619" s="426" t="s">
        <v>1466</v>
      </c>
      <c r="AG619" s="720">
        <f t="shared" si="44"/>
        <v>0</v>
      </c>
      <c r="AH619" s="560"/>
      <c r="AI619" s="556"/>
      <c r="AJ619" s="556"/>
      <c r="AK619" s="721"/>
      <c r="AL619" s="1806"/>
      <c r="AM619" s="631"/>
      <c r="AN619" s="631"/>
      <c r="AO619" s="631"/>
      <c r="AP619" s="556"/>
      <c r="AQ619" s="561"/>
      <c r="AR619" s="556"/>
      <c r="AS619" s="556"/>
      <c r="AT619" s="556"/>
      <c r="AU619" s="556"/>
      <c r="AV619" s="35"/>
      <c r="AW619" s="13"/>
    </row>
    <row r="620" spans="1:49" ht="154.5" hidden="1" customHeight="1">
      <c r="A620" s="17">
        <f>OBRA!I618</f>
        <v>2022</v>
      </c>
      <c r="B620" s="895" t="s">
        <v>3989</v>
      </c>
      <c r="C620" s="895"/>
      <c r="D620" s="895"/>
      <c r="E620" s="2" t="str">
        <f>OBRA!K618</f>
        <v>CUENTA CORRIENTE</v>
      </c>
      <c r="F620" s="768" t="s">
        <v>1431</v>
      </c>
      <c r="G620" s="1003" t="s">
        <v>2900</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4488</v>
      </c>
      <c r="L620" s="780" t="s">
        <v>4459</v>
      </c>
      <c r="M620" s="780" t="str">
        <f>OBRA!O618</f>
        <v>HUEJOTITÁN</v>
      </c>
      <c r="N620" s="585" t="s">
        <v>4562</v>
      </c>
      <c r="O620" s="4">
        <f>OBRA!P618</f>
        <v>18270</v>
      </c>
      <c r="P620" s="1208">
        <f t="shared" si="45"/>
        <v>15750.000000000002</v>
      </c>
      <c r="Q620" s="85" t="s">
        <v>68</v>
      </c>
      <c r="R620" s="6">
        <f>OBRA!Q618</f>
        <v>44690</v>
      </c>
      <c r="S620" s="1327" t="str">
        <f>OBRA!T618</f>
        <v>-</v>
      </c>
      <c r="T620" s="5" t="str">
        <f>OBRA!R618</f>
        <v>-</v>
      </c>
      <c r="U620" s="12" t="str">
        <f>OBRA!S618</f>
        <v>-</v>
      </c>
      <c r="V620" s="1820">
        <v>0</v>
      </c>
      <c r="W620" s="1289">
        <f>OBRA!AQ618+OBRA!AR618</f>
        <v>0</v>
      </c>
      <c r="X620" s="1235" t="s">
        <v>1431</v>
      </c>
      <c r="Y620" s="639" t="str">
        <f>OBRA!U618</f>
        <v>ECCOC DE GUADALAJARA, S.A. DE C.V.</v>
      </c>
      <c r="Z620" s="639" t="s">
        <v>5822</v>
      </c>
      <c r="AA620" s="640" t="s">
        <v>4885</v>
      </c>
      <c r="AB620" s="1372" t="s">
        <v>4482</v>
      </c>
      <c r="AC620" s="1373" t="s">
        <v>4481</v>
      </c>
      <c r="AD620" s="608">
        <f>OBRA!V618</f>
        <v>0</v>
      </c>
      <c r="AE620" s="231">
        <v>1</v>
      </c>
      <c r="AF620" s="426" t="s">
        <v>1577</v>
      </c>
      <c r="AG620" s="720">
        <f t="shared" si="44"/>
        <v>0</v>
      </c>
      <c r="AH620" s="560"/>
      <c r="AI620" s="556"/>
      <c r="AJ620" s="556"/>
      <c r="AK620" s="721"/>
      <c r="AL620" s="1806"/>
      <c r="AM620" s="631"/>
      <c r="AN620" s="631"/>
      <c r="AO620" s="631"/>
      <c r="AP620" s="556"/>
      <c r="AQ620" s="561"/>
      <c r="AR620" s="556"/>
      <c r="AS620" s="556"/>
      <c r="AT620" s="556"/>
      <c r="AU620" s="556"/>
      <c r="AV620" s="35"/>
      <c r="AW620" s="13"/>
    </row>
    <row r="621" spans="1:49" ht="120" hidden="1" customHeight="1">
      <c r="A621" s="17">
        <f>OBRA!I619</f>
        <v>2022</v>
      </c>
      <c r="B621" s="895" t="s">
        <v>3989</v>
      </c>
      <c r="C621" s="895"/>
      <c r="D621" s="895"/>
      <c r="E621" s="2" t="str">
        <f>OBRA!K619</f>
        <v>CUENTA CORRIENTE</v>
      </c>
      <c r="F621" s="768" t="s">
        <v>1431</v>
      </c>
      <c r="G621" s="1003" t="s">
        <v>2900</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4471</v>
      </c>
      <c r="L621" s="328" t="s">
        <v>2574</v>
      </c>
      <c r="M621" s="328" t="str">
        <f>OBRA!O619</f>
        <v>CHANTEPEC</v>
      </c>
      <c r="N621" s="597"/>
      <c r="O621" s="4">
        <f>OBRA!P619</f>
        <v>3500</v>
      </c>
      <c r="P621" s="1208">
        <f t="shared" si="45"/>
        <v>3017.2413793103451</v>
      </c>
      <c r="Q621" s="85" t="s">
        <v>68</v>
      </c>
      <c r="R621" s="6">
        <f>OBRA!Q619</f>
        <v>44714</v>
      </c>
      <c r="S621" s="1327" t="str">
        <f>OBRA!T619</f>
        <v>-</v>
      </c>
      <c r="T621" s="5">
        <f>OBRA!R619</f>
        <v>44716</v>
      </c>
      <c r="U621" s="12">
        <f>OBRA!S619</f>
        <v>44716</v>
      </c>
      <c r="V621" s="1820">
        <v>0</v>
      </c>
      <c r="W621" s="1289">
        <f>OBRA!AQ619+OBRA!AR619</f>
        <v>0</v>
      </c>
      <c r="X621" s="1235" t="s">
        <v>1431</v>
      </c>
      <c r="Y621" s="639" t="str">
        <f>OBRA!U619</f>
        <v>PEDRO MACHUCA SAAVEDRA</v>
      </c>
      <c r="Z621" s="639" t="s">
        <v>5822</v>
      </c>
      <c r="AA621" s="640" t="str">
        <f t="shared" si="46"/>
        <v>PEDRO MACHUCA SAAVEDRA</v>
      </c>
      <c r="AB621" s="935" t="s">
        <v>68</v>
      </c>
      <c r="AC621" s="1373" t="s">
        <v>4483</v>
      </c>
      <c r="AD621" s="608">
        <f>OBRA!V619</f>
        <v>0</v>
      </c>
      <c r="AE621" s="231">
        <v>1</v>
      </c>
      <c r="AF621" s="426" t="s">
        <v>1466</v>
      </c>
      <c r="AG621" s="720">
        <f t="shared" si="44"/>
        <v>0</v>
      </c>
      <c r="AH621" s="560"/>
      <c r="AI621" s="556"/>
      <c r="AJ621" s="556"/>
      <c r="AK621" s="721"/>
      <c r="AL621" s="1806"/>
      <c r="AM621" s="631"/>
      <c r="AN621" s="631"/>
      <c r="AO621" s="631"/>
      <c r="AP621" s="556"/>
      <c r="AQ621" s="561"/>
      <c r="AR621" s="556"/>
      <c r="AS621" s="556"/>
      <c r="AT621" s="556"/>
      <c r="AU621" s="556"/>
      <c r="AV621" s="35"/>
      <c r="AW621" s="13"/>
    </row>
    <row r="622" spans="1:49" ht="15" hidden="1" customHeight="1">
      <c r="A622" s="17">
        <f>OBRA!I620</f>
        <v>2022</v>
      </c>
      <c r="B622" s="895" t="s">
        <v>3989</v>
      </c>
      <c r="C622" s="895"/>
      <c r="D622" s="895"/>
      <c r="E622" s="2" t="str">
        <f>OBRA!K620</f>
        <v>CUENTA CORRIENTE</v>
      </c>
      <c r="F622" s="768" t="s">
        <v>1431</v>
      </c>
      <c r="G622" s="1003" t="s">
        <v>2900</v>
      </c>
      <c r="H622" s="13" t="str">
        <f>OBRA!L620</f>
        <v>CPSP DOP 015/2022</v>
      </c>
      <c r="I622" s="2" t="str">
        <f>OBRA!M620</f>
        <v>SERVICIOS (CANCELADO)</v>
      </c>
      <c r="J622" s="3" t="str">
        <f>OBRA!N620</f>
        <v>-</v>
      </c>
      <c r="K622" s="597"/>
      <c r="L622" s="597"/>
      <c r="M622" s="597">
        <f>OBRA!O620</f>
        <v>0</v>
      </c>
      <c r="N622" s="597"/>
      <c r="O622" s="4">
        <f>OBRA!P620</f>
        <v>0</v>
      </c>
      <c r="P622" s="1208">
        <f t="shared" si="45"/>
        <v>0</v>
      </c>
      <c r="Q622" s="1208"/>
      <c r="R622" s="6">
        <f>OBRA!Q620</f>
        <v>0</v>
      </c>
      <c r="S622" s="1327" t="str">
        <f>OBRA!T620</f>
        <v>-</v>
      </c>
      <c r="T622" s="5">
        <f>OBRA!R620</f>
        <v>0</v>
      </c>
      <c r="U622" s="12">
        <f>OBRA!S620</f>
        <v>0</v>
      </c>
      <c r="V622" s="1820"/>
      <c r="W622" s="1289">
        <f>OBRA!AQ620+OBRA!AR620</f>
        <v>0</v>
      </c>
      <c r="X622" s="1201"/>
      <c r="Y622" s="1372" t="str">
        <f>OBRA!U620</f>
        <v>-</v>
      </c>
      <c r="Z622" s="1372"/>
      <c r="AA622" s="1373" t="str">
        <f t="shared" si="46"/>
        <v>-</v>
      </c>
      <c r="AB622" s="1372"/>
      <c r="AC622" s="1373"/>
      <c r="AD622" s="608">
        <f>OBRA!V620</f>
        <v>0</v>
      </c>
      <c r="AE622" s="169"/>
      <c r="AF622" s="560"/>
      <c r="AG622" s="720" t="e">
        <f t="shared" si="44"/>
        <v>#DIV/0!</v>
      </c>
      <c r="AH622" s="560"/>
      <c r="AI622" s="556"/>
      <c r="AJ622" s="556"/>
      <c r="AK622" s="721"/>
      <c r="AL622" s="1806"/>
      <c r="AM622" s="631"/>
      <c r="AN622" s="631"/>
      <c r="AO622" s="631"/>
      <c r="AP622" s="556"/>
      <c r="AQ622" s="561"/>
      <c r="AR622" s="556"/>
      <c r="AS622" s="556"/>
      <c r="AT622" s="556"/>
      <c r="AU622" s="556"/>
      <c r="AV622" s="35"/>
      <c r="AW622" s="13"/>
    </row>
    <row r="623" spans="1:49" ht="15" hidden="1" customHeight="1">
      <c r="A623" s="17">
        <f>OBRA!I621</f>
        <v>2022</v>
      </c>
      <c r="B623" s="895" t="s">
        <v>3989</v>
      </c>
      <c r="C623" s="895"/>
      <c r="D623" s="895"/>
      <c r="E623" s="2" t="str">
        <f>OBRA!K621</f>
        <v>CUENTA CORRIENTE</v>
      </c>
      <c r="F623" s="768" t="s">
        <v>1431</v>
      </c>
      <c r="G623" s="1003" t="s">
        <v>2900</v>
      </c>
      <c r="H623" s="13" t="str">
        <f>OBRA!L621</f>
        <v>CPSP DOP 016/2022</v>
      </c>
      <c r="I623" s="2" t="str">
        <f>OBRA!M621</f>
        <v>SERVICIOS (CANCELADO)</v>
      </c>
      <c r="J623" s="3" t="str">
        <f>OBRA!N621</f>
        <v>-</v>
      </c>
      <c r="K623" s="597"/>
      <c r="L623" s="597"/>
      <c r="M623" s="597">
        <f>OBRA!O621</f>
        <v>0</v>
      </c>
      <c r="N623" s="597"/>
      <c r="O623" s="4">
        <f>OBRA!P621</f>
        <v>0</v>
      </c>
      <c r="P623" s="1208">
        <f t="shared" si="45"/>
        <v>0</v>
      </c>
      <c r="Q623" s="1208"/>
      <c r="R623" s="6">
        <f>OBRA!Q621</f>
        <v>0</v>
      </c>
      <c r="S623" s="1327" t="str">
        <f>OBRA!T621</f>
        <v>-</v>
      </c>
      <c r="T623" s="5">
        <f>OBRA!R621</f>
        <v>0</v>
      </c>
      <c r="U623" s="12">
        <f>OBRA!S621</f>
        <v>0</v>
      </c>
      <c r="V623" s="1820"/>
      <c r="W623" s="1289">
        <f>OBRA!AQ621+OBRA!AR621</f>
        <v>0</v>
      </c>
      <c r="X623" s="1201"/>
      <c r="Y623" s="1372" t="str">
        <f>OBRA!U621</f>
        <v>-</v>
      </c>
      <c r="Z623" s="1372"/>
      <c r="AA623" s="1373" t="str">
        <f t="shared" si="46"/>
        <v>-</v>
      </c>
      <c r="AB623" s="1372"/>
      <c r="AC623" s="1373"/>
      <c r="AD623" s="608">
        <f>OBRA!V621</f>
        <v>0</v>
      </c>
      <c r="AE623" s="169"/>
      <c r="AF623" s="560"/>
      <c r="AG623" s="720" t="e">
        <f t="shared" si="44"/>
        <v>#DIV/0!</v>
      </c>
      <c r="AH623" s="560"/>
      <c r="AI623" s="556"/>
      <c r="AJ623" s="556"/>
      <c r="AK623" s="721"/>
      <c r="AL623" s="1806"/>
      <c r="AM623" s="631"/>
      <c r="AN623" s="631"/>
      <c r="AO623" s="631"/>
      <c r="AP623" s="556"/>
      <c r="AQ623" s="561"/>
      <c r="AR623" s="556"/>
      <c r="AS623" s="556"/>
      <c r="AT623" s="556"/>
      <c r="AU623" s="556"/>
      <c r="AV623" s="35"/>
      <c r="AW623" s="13"/>
    </row>
    <row r="624" spans="1:49" ht="15" hidden="1" customHeight="1">
      <c r="A624" s="17">
        <f>OBRA!I622</f>
        <v>2022</v>
      </c>
      <c r="B624" s="895" t="s">
        <v>3989</v>
      </c>
      <c r="C624" s="895"/>
      <c r="D624" s="895"/>
      <c r="E624" s="2" t="str">
        <f>OBRA!K622</f>
        <v>CUENTA CORRIENTE</v>
      </c>
      <c r="F624" s="768" t="s">
        <v>1431</v>
      </c>
      <c r="G624" s="1003" t="s">
        <v>2900</v>
      </c>
      <c r="H624" s="13" t="str">
        <f>OBRA!L622</f>
        <v>CPSP DOP 017/2022</v>
      </c>
      <c r="I624" s="2" t="str">
        <f>OBRA!M622</f>
        <v>SERVICIOS (CANCELADO)</v>
      </c>
      <c r="J624" s="3" t="str">
        <f>OBRA!N622</f>
        <v>-</v>
      </c>
      <c r="K624" s="597"/>
      <c r="L624" s="597"/>
      <c r="M624" s="597">
        <f>OBRA!O622</f>
        <v>0</v>
      </c>
      <c r="N624" s="597"/>
      <c r="O624" s="4">
        <f>OBRA!P622</f>
        <v>0</v>
      </c>
      <c r="P624" s="1208">
        <f t="shared" si="45"/>
        <v>0</v>
      </c>
      <c r="Q624" s="1208"/>
      <c r="R624" s="6">
        <f>OBRA!Q622</f>
        <v>0</v>
      </c>
      <c r="S624" s="1327" t="str">
        <f>OBRA!T622</f>
        <v>-</v>
      </c>
      <c r="T624" s="5">
        <f>OBRA!R622</f>
        <v>0</v>
      </c>
      <c r="U624" s="12">
        <f>OBRA!S622</f>
        <v>0</v>
      </c>
      <c r="V624" s="1820"/>
      <c r="W624" s="1289">
        <f>OBRA!AQ622+OBRA!AR622</f>
        <v>0</v>
      </c>
      <c r="X624" s="1201"/>
      <c r="Y624" s="1372" t="str">
        <f>OBRA!U622</f>
        <v>-</v>
      </c>
      <c r="Z624" s="1372"/>
      <c r="AA624" s="1373" t="str">
        <f t="shared" si="46"/>
        <v>-</v>
      </c>
      <c r="AB624" s="1372"/>
      <c r="AC624" s="1373"/>
      <c r="AD624" s="608">
        <f>OBRA!V622</f>
        <v>0</v>
      </c>
      <c r="AE624" s="169"/>
      <c r="AF624" s="560"/>
      <c r="AG624" s="720" t="e">
        <f t="shared" si="44"/>
        <v>#DIV/0!</v>
      </c>
      <c r="AH624" s="560"/>
      <c r="AI624" s="556"/>
      <c r="AJ624" s="556"/>
      <c r="AK624" s="721"/>
      <c r="AL624" s="1806"/>
      <c r="AM624" s="631"/>
      <c r="AN624" s="631"/>
      <c r="AO624" s="631"/>
      <c r="AP624" s="556"/>
      <c r="AQ624" s="561"/>
      <c r="AR624" s="556"/>
      <c r="AS624" s="556"/>
      <c r="AT624" s="556"/>
      <c r="AU624" s="556"/>
      <c r="AV624" s="35"/>
      <c r="AW624" s="13"/>
    </row>
    <row r="625" spans="1:49" ht="15" hidden="1" customHeight="1">
      <c r="A625" s="17">
        <f>OBRA!I623</f>
        <v>2022</v>
      </c>
      <c r="B625" s="895" t="s">
        <v>3989</v>
      </c>
      <c r="C625" s="895"/>
      <c r="D625" s="895"/>
      <c r="E625" s="2" t="str">
        <f>OBRA!K623</f>
        <v>CUENTA CORRIENTE</v>
      </c>
      <c r="F625" s="768" t="s">
        <v>1431</v>
      </c>
      <c r="G625" s="1003" t="s">
        <v>2900</v>
      </c>
      <c r="H625" s="13" t="str">
        <f>OBRA!L623</f>
        <v>CPSP DOP 018/2022</v>
      </c>
      <c r="I625" s="2" t="str">
        <f>OBRA!M623</f>
        <v>SERVICIOS (CANCELADO)</v>
      </c>
      <c r="J625" s="3" t="str">
        <f>OBRA!N623</f>
        <v>-</v>
      </c>
      <c r="K625" s="597"/>
      <c r="L625" s="597"/>
      <c r="M625" s="597">
        <f>OBRA!O623</f>
        <v>0</v>
      </c>
      <c r="N625" s="597"/>
      <c r="O625" s="4">
        <f>OBRA!P623</f>
        <v>0</v>
      </c>
      <c r="P625" s="1208">
        <f t="shared" si="45"/>
        <v>0</v>
      </c>
      <c r="Q625" s="1208"/>
      <c r="R625" s="6">
        <f>OBRA!Q623</f>
        <v>0</v>
      </c>
      <c r="S625" s="1327" t="str">
        <f>OBRA!T623</f>
        <v>-</v>
      </c>
      <c r="T625" s="5">
        <f>OBRA!R623</f>
        <v>0</v>
      </c>
      <c r="U625" s="12">
        <f>OBRA!S623</f>
        <v>0</v>
      </c>
      <c r="V625" s="1820"/>
      <c r="W625" s="1289">
        <f>OBRA!AQ623+OBRA!AR623</f>
        <v>0</v>
      </c>
      <c r="X625" s="1201"/>
      <c r="Y625" s="1372" t="str">
        <f>OBRA!U623</f>
        <v>-</v>
      </c>
      <c r="Z625" s="1372"/>
      <c r="AA625" s="1373" t="str">
        <f t="shared" si="46"/>
        <v>-</v>
      </c>
      <c r="AB625" s="1372"/>
      <c r="AC625" s="1373"/>
      <c r="AD625" s="608">
        <f>OBRA!V623</f>
        <v>0</v>
      </c>
      <c r="AE625" s="169"/>
      <c r="AF625" s="560"/>
      <c r="AG625" s="720" t="e">
        <f t="shared" si="44"/>
        <v>#DIV/0!</v>
      </c>
      <c r="AH625" s="560"/>
      <c r="AI625" s="556"/>
      <c r="AJ625" s="556"/>
      <c r="AK625" s="721"/>
      <c r="AL625" s="1806"/>
      <c r="AM625" s="631"/>
      <c r="AN625" s="631"/>
      <c r="AO625" s="631"/>
      <c r="AP625" s="556"/>
      <c r="AQ625" s="561"/>
      <c r="AR625" s="556"/>
      <c r="AS625" s="556"/>
      <c r="AT625" s="556"/>
      <c r="AU625" s="556"/>
      <c r="AV625" s="35"/>
      <c r="AW625" s="13"/>
    </row>
    <row r="626" spans="1:49" ht="15" hidden="1" customHeight="1">
      <c r="A626" s="17">
        <f>OBRA!I624</f>
        <v>2022</v>
      </c>
      <c r="B626" s="895" t="s">
        <v>3989</v>
      </c>
      <c r="C626" s="895"/>
      <c r="D626" s="895"/>
      <c r="E626" s="2" t="str">
        <f>OBRA!K624</f>
        <v>CUENTA CORRIENTE</v>
      </c>
      <c r="F626" s="768" t="s">
        <v>1431</v>
      </c>
      <c r="G626" s="1003" t="s">
        <v>2900</v>
      </c>
      <c r="H626" s="13" t="str">
        <f>OBRA!L624</f>
        <v>CPSP DOP 019/2022</v>
      </c>
      <c r="I626" s="2" t="str">
        <f>OBRA!M624</f>
        <v>SERVICIOS (CANCELADO)</v>
      </c>
      <c r="J626" s="3" t="str">
        <f>OBRA!N624</f>
        <v>-</v>
      </c>
      <c r="K626" s="597"/>
      <c r="L626" s="597"/>
      <c r="M626" s="597">
        <f>OBRA!O624</f>
        <v>0</v>
      </c>
      <c r="N626" s="597"/>
      <c r="O626" s="4">
        <f>OBRA!P624</f>
        <v>0</v>
      </c>
      <c r="P626" s="1208">
        <f t="shared" si="45"/>
        <v>0</v>
      </c>
      <c r="Q626" s="1208"/>
      <c r="R626" s="6">
        <f>OBRA!Q624</f>
        <v>0</v>
      </c>
      <c r="S626" s="1327" t="str">
        <f>OBRA!T624</f>
        <v>-</v>
      </c>
      <c r="T626" s="5">
        <f>OBRA!R624</f>
        <v>0</v>
      </c>
      <c r="U626" s="12">
        <f>OBRA!S624</f>
        <v>0</v>
      </c>
      <c r="V626" s="1820"/>
      <c r="W626" s="1289">
        <f>OBRA!AQ624+OBRA!AR624</f>
        <v>0</v>
      </c>
      <c r="X626" s="1201"/>
      <c r="Y626" s="1372" t="str">
        <f>OBRA!U624</f>
        <v>-</v>
      </c>
      <c r="Z626" s="1372"/>
      <c r="AA626" s="1373" t="str">
        <f t="shared" si="46"/>
        <v>-</v>
      </c>
      <c r="AB626" s="1372"/>
      <c r="AC626" s="1373"/>
      <c r="AD626" s="608">
        <f>OBRA!V624</f>
        <v>0</v>
      </c>
      <c r="AE626" s="169"/>
      <c r="AF626" s="560"/>
      <c r="AG626" s="720" t="e">
        <f t="shared" si="44"/>
        <v>#DIV/0!</v>
      </c>
      <c r="AH626" s="560"/>
      <c r="AI626" s="556"/>
      <c r="AJ626" s="556"/>
      <c r="AK626" s="721"/>
      <c r="AL626" s="1806"/>
      <c r="AM626" s="631"/>
      <c r="AN626" s="631"/>
      <c r="AO626" s="631"/>
      <c r="AP626" s="556"/>
      <c r="AQ626" s="561"/>
      <c r="AR626" s="556"/>
      <c r="AS626" s="556"/>
      <c r="AT626" s="556"/>
      <c r="AU626" s="556"/>
      <c r="AV626" s="35"/>
      <c r="AW626" s="13"/>
    </row>
    <row r="627" spans="1:49" ht="15" hidden="1" customHeight="1">
      <c r="A627" s="17">
        <f>OBRA!I625</f>
        <v>2022</v>
      </c>
      <c r="B627" s="895" t="s">
        <v>3989</v>
      </c>
      <c r="C627" s="895"/>
      <c r="D627" s="895"/>
      <c r="E627" s="2" t="str">
        <f>OBRA!K625</f>
        <v>CUENTA CORRIENTE</v>
      </c>
      <c r="F627" s="768" t="s">
        <v>1431</v>
      </c>
      <c r="G627" s="1003" t="s">
        <v>2900</v>
      </c>
      <c r="H627" s="13" t="str">
        <f>OBRA!L625</f>
        <v>CPSP DOP 020/2022</v>
      </c>
      <c r="I627" s="2" t="str">
        <f>OBRA!M625</f>
        <v>SERVICIOS (CANCELADO)</v>
      </c>
      <c r="J627" s="3" t="str">
        <f>OBRA!N625</f>
        <v>-</v>
      </c>
      <c r="K627" s="597"/>
      <c r="L627" s="597"/>
      <c r="M627" s="597">
        <f>OBRA!O625</f>
        <v>0</v>
      </c>
      <c r="N627" s="597"/>
      <c r="O627" s="4">
        <f>OBRA!P625</f>
        <v>0</v>
      </c>
      <c r="P627" s="1208">
        <f t="shared" si="45"/>
        <v>0</v>
      </c>
      <c r="Q627" s="1208"/>
      <c r="R627" s="6">
        <f>OBRA!Q625</f>
        <v>0</v>
      </c>
      <c r="S627" s="1327" t="str">
        <f>OBRA!T625</f>
        <v>-</v>
      </c>
      <c r="T627" s="5">
        <f>OBRA!R625</f>
        <v>0</v>
      </c>
      <c r="U627" s="12">
        <f>OBRA!S625</f>
        <v>0</v>
      </c>
      <c r="V627" s="1820"/>
      <c r="W627" s="1289">
        <f>OBRA!AQ625+OBRA!AR625</f>
        <v>0</v>
      </c>
      <c r="X627" s="1201"/>
      <c r="Y627" s="1372" t="str">
        <f>OBRA!U625</f>
        <v>-</v>
      </c>
      <c r="Z627" s="1372"/>
      <c r="AA627" s="1373" t="str">
        <f t="shared" si="46"/>
        <v>-</v>
      </c>
      <c r="AB627" s="1372"/>
      <c r="AC627" s="1373"/>
      <c r="AD627" s="608">
        <f>OBRA!V625</f>
        <v>0</v>
      </c>
      <c r="AE627" s="169"/>
      <c r="AF627" s="560"/>
      <c r="AG627" s="720" t="e">
        <f t="shared" si="44"/>
        <v>#DIV/0!</v>
      </c>
      <c r="AH627" s="560"/>
      <c r="AI627" s="556"/>
      <c r="AJ627" s="556"/>
      <c r="AK627" s="721"/>
      <c r="AL627" s="1806"/>
      <c r="AM627" s="631"/>
      <c r="AN627" s="631"/>
      <c r="AO627" s="631"/>
      <c r="AP627" s="556"/>
      <c r="AQ627" s="561"/>
      <c r="AR627" s="556"/>
      <c r="AS627" s="556"/>
      <c r="AT627" s="556"/>
      <c r="AU627" s="556"/>
      <c r="AV627" s="35"/>
      <c r="AW627" s="13"/>
    </row>
    <row r="628" spans="1:49" ht="108" hidden="1" customHeight="1">
      <c r="A628" s="17">
        <f>OBRA!I626</f>
        <v>2022</v>
      </c>
      <c r="B628" s="895" t="s">
        <v>3989</v>
      </c>
      <c r="C628" s="895"/>
      <c r="D628" s="895"/>
      <c r="E628" s="2" t="str">
        <f>OBRA!K626</f>
        <v>CUENTA CORRIENTE</v>
      </c>
      <c r="F628" s="768" t="s">
        <v>1431</v>
      </c>
      <c r="G628" s="1003" t="s">
        <v>2900</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4472</v>
      </c>
      <c r="L628" s="328" t="s">
        <v>2548</v>
      </c>
      <c r="M628" s="328" t="str">
        <f>OBRA!O626</f>
        <v>LA LOMA</v>
      </c>
      <c r="N628" s="597"/>
      <c r="O628" s="4">
        <f>OBRA!P626</f>
        <v>1739.9999999999998</v>
      </c>
      <c r="P628" s="1208">
        <f t="shared" si="45"/>
        <v>1500</v>
      </c>
      <c r="Q628" s="4" t="s">
        <v>5668</v>
      </c>
      <c r="R628" s="6">
        <f>OBRA!Q626</f>
        <v>44655</v>
      </c>
      <c r="S628" s="1327" t="str">
        <f>OBRA!T626</f>
        <v>-</v>
      </c>
      <c r="T628" s="5">
        <f>OBRA!R626</f>
        <v>44658</v>
      </c>
      <c r="U628" s="12">
        <f>OBRA!S626</f>
        <v>44662</v>
      </c>
      <c r="V628" s="1820">
        <v>0</v>
      </c>
      <c r="W628" s="1289">
        <f>OBRA!AQ626+OBRA!AR626</f>
        <v>0</v>
      </c>
      <c r="X628" s="1235" t="s">
        <v>1431</v>
      </c>
      <c r="Y628" s="639" t="str">
        <f>OBRA!U626</f>
        <v>ALSERCON SA DE CV</v>
      </c>
      <c r="Z628" s="639" t="s">
        <v>5823</v>
      </c>
      <c r="AA628" s="640" t="str">
        <f t="shared" si="46"/>
        <v>ALSERCON SA DE CV</v>
      </c>
      <c r="AB628" s="1372" t="s">
        <v>2184</v>
      </c>
      <c r="AC628" s="1373" t="s">
        <v>4484</v>
      </c>
      <c r="AD628" s="608" t="str">
        <f>OBRA!V626</f>
        <v>C. DANIEL RODRIGUEZ VALENZUELA</v>
      </c>
      <c r="AE628" s="169"/>
      <c r="AF628" s="560"/>
      <c r="AG628" s="720" t="e">
        <f t="shared" si="44"/>
        <v>#DIV/0!</v>
      </c>
      <c r="AH628" s="560"/>
      <c r="AI628" s="556"/>
      <c r="AJ628" s="556"/>
      <c r="AK628" s="721"/>
      <c r="AL628" s="1806"/>
      <c r="AM628" s="631"/>
      <c r="AN628" s="631"/>
      <c r="AO628" s="631"/>
      <c r="AP628" s="556"/>
      <c r="AQ628" s="561"/>
      <c r="AR628" s="556"/>
      <c r="AS628" s="556"/>
      <c r="AT628" s="556"/>
      <c r="AU628" s="556"/>
      <c r="AV628" s="35"/>
      <c r="AW628" s="13"/>
    </row>
    <row r="629" spans="1:49" ht="99.75" hidden="1" customHeight="1">
      <c r="A629" s="17">
        <f>OBRA!I627</f>
        <v>2022</v>
      </c>
      <c r="B629" s="895" t="s">
        <v>3989</v>
      </c>
      <c r="C629" s="895"/>
      <c r="D629" s="895"/>
      <c r="E629" s="2" t="str">
        <f>OBRA!K627</f>
        <v>CUENTA CORRIENTE</v>
      </c>
      <c r="F629" s="768" t="s">
        <v>1431</v>
      </c>
      <c r="G629" s="1003" t="s">
        <v>2900</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4473</v>
      </c>
      <c r="L629" s="328" t="s">
        <v>4489</v>
      </c>
      <c r="M629" s="328" t="str">
        <f>OBRA!O627</f>
        <v>JOCOTEPEC</v>
      </c>
      <c r="N629" s="597"/>
      <c r="O629" s="4">
        <f>OBRA!P627</f>
        <v>638</v>
      </c>
      <c r="P629" s="1208">
        <f t="shared" si="45"/>
        <v>550</v>
      </c>
      <c r="Q629" s="4" t="s">
        <v>2328</v>
      </c>
      <c r="R629" s="6">
        <f>OBRA!Q627</f>
        <v>44594</v>
      </c>
      <c r="S629" s="1327" t="str">
        <f>OBRA!T627</f>
        <v>-</v>
      </c>
      <c r="T629" s="5" t="str">
        <f>OBRA!R627</f>
        <v>-</v>
      </c>
      <c r="U629" s="12" t="str">
        <f>OBRA!S627</f>
        <v>-</v>
      </c>
      <c r="V629" s="1820">
        <v>0</v>
      </c>
      <c r="W629" s="1289">
        <f>OBRA!AQ627+OBRA!AR627</f>
        <v>0</v>
      </c>
      <c r="X629" s="1235" t="s">
        <v>1431</v>
      </c>
      <c r="Y629" s="639" t="str">
        <f>OBRA!U627</f>
        <v xml:space="preserve">DORIA &amp; SAMPIER CONSTRUCTORA, S.A. DE C.V. </v>
      </c>
      <c r="Z629" s="639" t="s">
        <v>5823</v>
      </c>
      <c r="AA629" s="640" t="str">
        <f t="shared" si="46"/>
        <v xml:space="preserve">DORIA &amp; SAMPIER CONSTRUCTORA, S.A. DE C.V. </v>
      </c>
      <c r="AB629" s="1372" t="s">
        <v>4450</v>
      </c>
      <c r="AC629" s="1373" t="s">
        <v>4485</v>
      </c>
      <c r="AD629" s="608" t="str">
        <f>OBRA!V627</f>
        <v>C. DANIEL RODRIGUEZ VALENZUELA</v>
      </c>
      <c r="AE629" s="169"/>
      <c r="AF629" s="560"/>
      <c r="AG629" s="720" t="e">
        <f t="shared" si="44"/>
        <v>#DIV/0!</v>
      </c>
      <c r="AH629" s="560"/>
      <c r="AI629" s="556"/>
      <c r="AJ629" s="556"/>
      <c r="AK629" s="721"/>
      <c r="AL629" s="1806"/>
      <c r="AM629" s="631"/>
      <c r="AN629" s="631"/>
      <c r="AO629" s="631"/>
      <c r="AP629" s="556"/>
      <c r="AQ629" s="561"/>
      <c r="AR629" s="556"/>
      <c r="AS629" s="556"/>
      <c r="AT629" s="556"/>
      <c r="AU629" s="556"/>
      <c r="AV629" s="35"/>
      <c r="AW629" s="13"/>
    </row>
    <row r="630" spans="1:49" ht="114" hidden="1" customHeight="1">
      <c r="A630" s="17">
        <f>OBRA!I628</f>
        <v>2022</v>
      </c>
      <c r="B630" s="895" t="s">
        <v>3989</v>
      </c>
      <c r="C630" s="895"/>
      <c r="D630" s="895"/>
      <c r="E630" s="2" t="str">
        <f>OBRA!K628</f>
        <v>CUENTA CORRIENTE</v>
      </c>
      <c r="F630" s="768" t="s">
        <v>1431</v>
      </c>
      <c r="G630" s="1003" t="s">
        <v>2900</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4474</v>
      </c>
      <c r="L630" s="328" t="s">
        <v>2548</v>
      </c>
      <c r="M630" s="328" t="str">
        <f>OBRA!O628</f>
        <v>LA LOMA</v>
      </c>
      <c r="N630" s="597"/>
      <c r="O630" s="4">
        <f>OBRA!P628</f>
        <v>1739.9999999999998</v>
      </c>
      <c r="P630" s="1208">
        <f t="shared" si="45"/>
        <v>1500</v>
      </c>
      <c r="Q630" s="4" t="s">
        <v>5668</v>
      </c>
      <c r="R630" s="6">
        <f>OBRA!Q628</f>
        <v>44673</v>
      </c>
      <c r="S630" s="1327" t="str">
        <f>OBRA!T628</f>
        <v>-</v>
      </c>
      <c r="T630" s="5">
        <f>OBRA!R628</f>
        <v>44677</v>
      </c>
      <c r="U630" s="12">
        <f>OBRA!S628</f>
        <v>44707</v>
      </c>
      <c r="V630" s="1820">
        <v>0</v>
      </c>
      <c r="W630" s="1289">
        <f>OBRA!AQ628+OBRA!AR628</f>
        <v>0</v>
      </c>
      <c r="X630" s="1235" t="s">
        <v>1431</v>
      </c>
      <c r="Y630" s="639" t="str">
        <f>OBRA!U628</f>
        <v>ALSERCON SA DE CV</v>
      </c>
      <c r="Z630" s="639" t="s">
        <v>5823</v>
      </c>
      <c r="AA630" s="640" t="str">
        <f t="shared" si="46"/>
        <v>ALSERCON SA DE CV</v>
      </c>
      <c r="AB630" s="1372" t="s">
        <v>4450</v>
      </c>
      <c r="AC630" s="1373" t="s">
        <v>4485</v>
      </c>
      <c r="AD630" s="608" t="str">
        <f>OBRA!V628</f>
        <v>C. DANIEL RODRIGUEZ VALENZUELA</v>
      </c>
      <c r="AE630" s="169"/>
      <c r="AF630" s="560"/>
      <c r="AG630" s="720" t="e">
        <f t="shared" si="44"/>
        <v>#DIV/0!</v>
      </c>
      <c r="AH630" s="560"/>
      <c r="AI630" s="556"/>
      <c r="AJ630" s="556"/>
      <c r="AK630" s="721"/>
      <c r="AL630" s="1806"/>
      <c r="AM630" s="631"/>
      <c r="AN630" s="631"/>
      <c r="AO630" s="631"/>
      <c r="AP630" s="556"/>
      <c r="AQ630" s="561"/>
      <c r="AR630" s="556"/>
      <c r="AS630" s="556"/>
      <c r="AT630" s="556"/>
      <c r="AU630" s="556"/>
      <c r="AV630" s="35"/>
      <c r="AW630" s="13"/>
    </row>
    <row r="631" spans="1:49" ht="15" hidden="1" customHeight="1">
      <c r="A631" s="17">
        <f>OBRA!I629</f>
        <v>2022</v>
      </c>
      <c r="B631" s="895" t="s">
        <v>3989</v>
      </c>
      <c r="C631" s="895"/>
      <c r="D631" s="895"/>
      <c r="E631" s="2" t="str">
        <f>OBRA!K629</f>
        <v>CUENTA CORRIENTE</v>
      </c>
      <c r="F631" s="768" t="s">
        <v>1431</v>
      </c>
      <c r="G631" s="1003" t="s">
        <v>2900</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45"/>
        <v>986.97</v>
      </c>
      <c r="Q631" s="4" t="s">
        <v>2328</v>
      </c>
      <c r="R631" s="6">
        <f>OBRA!Q629</f>
        <v>44594</v>
      </c>
      <c r="S631" s="1327" t="str">
        <f>OBRA!T629</f>
        <v>-</v>
      </c>
      <c r="T631" s="5" t="str">
        <f>OBRA!R629</f>
        <v>-</v>
      </c>
      <c r="U631" s="12" t="str">
        <f>OBRA!S629</f>
        <v>-</v>
      </c>
      <c r="V631" s="1820"/>
      <c r="W631" s="1289">
        <f>OBRA!AQ629+OBRA!AR629</f>
        <v>0</v>
      </c>
      <c r="X631" s="1201"/>
      <c r="Y631" s="639" t="str">
        <f>OBRA!U629</f>
        <v>ING. SERGIO CABRERA</v>
      </c>
      <c r="Z631" s="639" t="s">
        <v>5822</v>
      </c>
      <c r="AA631" s="640" t="str">
        <f t="shared" si="46"/>
        <v>ING. SERGIO CABRERA</v>
      </c>
      <c r="AB631" s="650" t="s">
        <v>1926</v>
      </c>
      <c r="AC631" s="652" t="s">
        <v>4479</v>
      </c>
      <c r="AD631" s="608" t="str">
        <f>OBRA!V629</f>
        <v>C. DANIEL RODRIGUEZ VALENZUELA</v>
      </c>
      <c r="AE631" s="169"/>
      <c r="AF631" s="560"/>
      <c r="AG631" s="720" t="e">
        <f t="shared" si="44"/>
        <v>#DIV/0!</v>
      </c>
      <c r="AH631" s="560"/>
      <c r="AI631" s="556"/>
      <c r="AJ631" s="556"/>
      <c r="AK631" s="721"/>
      <c r="AL631" s="1806"/>
      <c r="AM631" s="631"/>
      <c r="AN631" s="631"/>
      <c r="AO631" s="631"/>
      <c r="AP631" s="556"/>
      <c r="AQ631" s="561"/>
      <c r="AR631" s="556"/>
      <c r="AS631" s="556"/>
      <c r="AT631" s="556"/>
      <c r="AU631" s="556"/>
      <c r="AV631" s="35"/>
      <c r="AW631" s="13"/>
    </row>
    <row r="632" spans="1:49" ht="15" hidden="1" customHeight="1">
      <c r="A632" s="17">
        <f>OBRA!I630</f>
        <v>2022</v>
      </c>
      <c r="B632" s="895" t="s">
        <v>3989</v>
      </c>
      <c r="C632" s="895"/>
      <c r="D632" s="895"/>
      <c r="E632" s="2" t="str">
        <f>OBRA!K630</f>
        <v>CUENTA CORRIENTE</v>
      </c>
      <c r="F632" s="768" t="s">
        <v>1431</v>
      </c>
      <c r="G632" s="1003" t="s">
        <v>2900</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45"/>
        <v>1595.59</v>
      </c>
      <c r="Q632" s="4" t="s">
        <v>2328</v>
      </c>
      <c r="R632" s="6">
        <f>OBRA!Q630</f>
        <v>44641</v>
      </c>
      <c r="S632" s="1327" t="str">
        <f>OBRA!T630</f>
        <v>-</v>
      </c>
      <c r="T632" s="5" t="str">
        <f>OBRA!R630</f>
        <v>-</v>
      </c>
      <c r="U632" s="12" t="str">
        <f>OBRA!S630</f>
        <v>-</v>
      </c>
      <c r="V632" s="1820"/>
      <c r="W632" s="1289">
        <f>OBRA!AQ630+OBRA!AR630</f>
        <v>0</v>
      </c>
      <c r="X632" s="1201"/>
      <c r="Y632" s="639" t="str">
        <f>OBRA!U630</f>
        <v>ING. SERGIO CABRERA</v>
      </c>
      <c r="Z632" s="639" t="s">
        <v>5822</v>
      </c>
      <c r="AA632" s="640" t="str">
        <f t="shared" si="46"/>
        <v>ING. SERGIO CABRERA</v>
      </c>
      <c r="AB632" s="650" t="s">
        <v>1926</v>
      </c>
      <c r="AC632" s="652" t="s">
        <v>4479</v>
      </c>
      <c r="AD632" s="608" t="str">
        <f>OBRA!V630</f>
        <v>C. DANIEL RODRIGUEZ VALENZUELA</v>
      </c>
      <c r="AE632" s="169"/>
      <c r="AF632" s="560"/>
      <c r="AG632" s="720" t="e">
        <f t="shared" si="44"/>
        <v>#DIV/0!</v>
      </c>
      <c r="AH632" s="560"/>
      <c r="AI632" s="556"/>
      <c r="AJ632" s="556"/>
      <c r="AK632" s="721"/>
      <c r="AL632" s="1806"/>
      <c r="AM632" s="631"/>
      <c r="AN632" s="631"/>
      <c r="AO632" s="631"/>
      <c r="AP632" s="556"/>
      <c r="AQ632" s="561"/>
      <c r="AR632" s="556"/>
      <c r="AS632" s="556"/>
      <c r="AT632" s="556"/>
      <c r="AU632" s="556"/>
      <c r="AV632" s="35"/>
      <c r="AW632" s="13"/>
    </row>
    <row r="633" spans="1:49" ht="15" hidden="1" customHeight="1">
      <c r="A633" s="17">
        <f>OBRA!I631</f>
        <v>2022</v>
      </c>
      <c r="B633" s="895" t="s">
        <v>3989</v>
      </c>
      <c r="C633" s="895"/>
      <c r="D633" s="895"/>
      <c r="E633" s="2" t="str">
        <f>OBRA!K631</f>
        <v>CUENTA CORRIENTE</v>
      </c>
      <c r="F633" s="768" t="s">
        <v>1431</v>
      </c>
      <c r="G633" s="1003" t="s">
        <v>2900</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45"/>
        <v>736.85</v>
      </c>
      <c r="Q633" s="4" t="s">
        <v>2328</v>
      </c>
      <c r="R633" s="6">
        <f>OBRA!Q631</f>
        <v>44642</v>
      </c>
      <c r="S633" s="1327" t="str">
        <f>OBRA!T631</f>
        <v>-</v>
      </c>
      <c r="T633" s="5">
        <f>OBRA!R631</f>
        <v>0</v>
      </c>
      <c r="U633" s="12">
        <f>OBRA!S631</f>
        <v>0</v>
      </c>
      <c r="V633" s="1820"/>
      <c r="W633" s="1289">
        <f>OBRA!AQ631+OBRA!AR631</f>
        <v>0</v>
      </c>
      <c r="X633" s="1201"/>
      <c r="Y633" s="639" t="str">
        <f>OBRA!U631</f>
        <v>ING. SERGIO CABRERA</v>
      </c>
      <c r="Z633" s="639" t="s">
        <v>5822</v>
      </c>
      <c r="AA633" s="640" t="str">
        <f t="shared" si="46"/>
        <v>ING. SERGIO CABRERA</v>
      </c>
      <c r="AB633" s="650" t="s">
        <v>1926</v>
      </c>
      <c r="AC633" s="652" t="s">
        <v>4479</v>
      </c>
      <c r="AD633" s="608" t="str">
        <f>OBRA!V631</f>
        <v>C. DANIEL RODRIGUEZ VALENZUELA</v>
      </c>
      <c r="AE633" s="169"/>
      <c r="AF633" s="560"/>
      <c r="AG633" s="720" t="e">
        <f t="shared" si="44"/>
        <v>#DIV/0!</v>
      </c>
      <c r="AH633" s="560"/>
      <c r="AI633" s="556"/>
      <c r="AJ633" s="556"/>
      <c r="AK633" s="721"/>
      <c r="AL633" s="1806"/>
      <c r="AM633" s="631"/>
      <c r="AN633" s="631"/>
      <c r="AO633" s="631"/>
      <c r="AP633" s="556"/>
      <c r="AQ633" s="561"/>
      <c r="AR633" s="556"/>
      <c r="AS633" s="556"/>
      <c r="AT633" s="556"/>
      <c r="AU633" s="556"/>
      <c r="AV633" s="35"/>
      <c r="AW633" s="13"/>
    </row>
    <row r="634" spans="1:49" ht="15" hidden="1" customHeight="1">
      <c r="A634" s="17">
        <f>OBRA!I632</f>
        <v>2022</v>
      </c>
      <c r="B634" s="895" t="s">
        <v>3989</v>
      </c>
      <c r="C634" s="895"/>
      <c r="D634" s="895"/>
      <c r="E634" s="2" t="str">
        <f>OBRA!K632</f>
        <v>CUENTA CORRIENTE</v>
      </c>
      <c r="F634" s="768" t="s">
        <v>1431</v>
      </c>
      <c r="G634" s="1003" t="s">
        <v>2900</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45"/>
        <v>705.4</v>
      </c>
      <c r="Q634" s="4" t="s">
        <v>2328</v>
      </c>
      <c r="R634" s="6">
        <f>OBRA!Q632</f>
        <v>44648</v>
      </c>
      <c r="S634" s="1327" t="str">
        <f>OBRA!T632</f>
        <v>-</v>
      </c>
      <c r="T634" s="5">
        <f>OBRA!R632</f>
        <v>0</v>
      </c>
      <c r="U634" s="12">
        <f>OBRA!S632</f>
        <v>0</v>
      </c>
      <c r="V634" s="1820"/>
      <c r="W634" s="1289">
        <f>OBRA!AQ632+OBRA!AR632</f>
        <v>0</v>
      </c>
      <c r="X634" s="1201"/>
      <c r="Y634" s="639" t="str">
        <f>OBRA!U632</f>
        <v>ING. SERGIO CABRERA</v>
      </c>
      <c r="Z634" s="639" t="s">
        <v>5822</v>
      </c>
      <c r="AA634" s="640" t="str">
        <f t="shared" si="46"/>
        <v>ING. SERGIO CABRERA</v>
      </c>
      <c r="AB634" s="650" t="s">
        <v>1926</v>
      </c>
      <c r="AC634" s="652" t="s">
        <v>4479</v>
      </c>
      <c r="AD634" s="608" t="str">
        <f>OBRA!V632</f>
        <v>C. DANIEL RODRIGUEZ VALENZUELA</v>
      </c>
      <c r="AE634" s="169"/>
      <c r="AF634" s="560"/>
      <c r="AG634" s="720" t="e">
        <f t="shared" si="44"/>
        <v>#DIV/0!</v>
      </c>
      <c r="AH634" s="560"/>
      <c r="AI634" s="556"/>
      <c r="AJ634" s="556"/>
      <c r="AK634" s="721"/>
      <c r="AL634" s="1806"/>
      <c r="AM634" s="631"/>
      <c r="AN634" s="631"/>
      <c r="AO634" s="631"/>
      <c r="AP634" s="556"/>
      <c r="AQ634" s="561"/>
      <c r="AR634" s="556"/>
      <c r="AS634" s="556"/>
      <c r="AT634" s="556"/>
      <c r="AU634" s="556"/>
      <c r="AV634" s="35"/>
      <c r="AW634" s="13"/>
    </row>
    <row r="635" spans="1:49" ht="15" hidden="1" customHeight="1">
      <c r="A635" s="17">
        <f>OBRA!I633</f>
        <v>2022</v>
      </c>
      <c r="B635" s="895" t="s">
        <v>3989</v>
      </c>
      <c r="C635" s="895"/>
      <c r="D635" s="895"/>
      <c r="E635" s="2" t="str">
        <f>OBRA!K633</f>
        <v>CUENTA CORRIENTE</v>
      </c>
      <c r="F635" s="768" t="s">
        <v>1431</v>
      </c>
      <c r="G635" s="1003" t="s">
        <v>2900</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45"/>
        <v>324.58</v>
      </c>
      <c r="Q635" s="4" t="s">
        <v>2328</v>
      </c>
      <c r="R635" s="6">
        <f>OBRA!Q633</f>
        <v>44642</v>
      </c>
      <c r="S635" s="1327" t="str">
        <f>OBRA!T633</f>
        <v>-</v>
      </c>
      <c r="T635" s="5">
        <f>OBRA!R633</f>
        <v>0</v>
      </c>
      <c r="U635" s="12">
        <f>OBRA!S633</f>
        <v>0</v>
      </c>
      <c r="V635" s="1820"/>
      <c r="W635" s="1289">
        <f>OBRA!AQ633+OBRA!AR633</f>
        <v>0</v>
      </c>
      <c r="X635" s="1201"/>
      <c r="Y635" s="639" t="str">
        <f>OBRA!U633</f>
        <v>ING. SERGIO CABRERA</v>
      </c>
      <c r="Z635" s="639" t="s">
        <v>5822</v>
      </c>
      <c r="AA635" s="640" t="str">
        <f t="shared" si="46"/>
        <v>ING. SERGIO CABRERA</v>
      </c>
      <c r="AB635" s="650" t="s">
        <v>1926</v>
      </c>
      <c r="AC635" s="652" t="s">
        <v>4479</v>
      </c>
      <c r="AD635" s="608" t="str">
        <f>OBRA!V633</f>
        <v>C. DANIEL RODRIGUEZ VALENZUELA</v>
      </c>
      <c r="AE635" s="169"/>
      <c r="AF635" s="560"/>
      <c r="AG635" s="720" t="e">
        <f t="shared" si="44"/>
        <v>#DIV/0!</v>
      </c>
      <c r="AH635" s="560"/>
      <c r="AI635" s="556"/>
      <c r="AJ635" s="556"/>
      <c r="AK635" s="721"/>
      <c r="AL635" s="1806"/>
      <c r="AM635" s="631"/>
      <c r="AN635" s="631"/>
      <c r="AO635" s="631"/>
      <c r="AP635" s="556"/>
      <c r="AQ635" s="561"/>
      <c r="AR635" s="556"/>
      <c r="AS635" s="556"/>
      <c r="AT635" s="556"/>
      <c r="AU635" s="556"/>
      <c r="AV635" s="35"/>
      <c r="AW635" s="13"/>
    </row>
    <row r="636" spans="1:49" ht="15" hidden="1" customHeight="1">
      <c r="A636" s="17">
        <f>OBRA!I634</f>
        <v>2022</v>
      </c>
      <c r="B636" s="895" t="s">
        <v>3989</v>
      </c>
      <c r="C636" s="895"/>
      <c r="D636" s="895"/>
      <c r="E636" s="2">
        <f>OBRA!K634</f>
        <v>0</v>
      </c>
      <c r="F636" s="768" t="s">
        <v>1431</v>
      </c>
      <c r="G636" s="1003" t="s">
        <v>2900</v>
      </c>
      <c r="H636" s="13" t="str">
        <f>OBRA!L634</f>
        <v>C- OP 009/2022</v>
      </c>
      <c r="I636" s="2" t="str">
        <f>OBRA!M634</f>
        <v>ARRENDAMIENTO (CANCELADO)</v>
      </c>
      <c r="J636" s="3" t="str">
        <f>OBRA!N634</f>
        <v>-</v>
      </c>
      <c r="K636" s="597"/>
      <c r="L636" s="597"/>
      <c r="M636" s="597">
        <f>OBRA!O634</f>
        <v>0</v>
      </c>
      <c r="N636" s="597"/>
      <c r="O636" s="4">
        <f>OBRA!P634</f>
        <v>0</v>
      </c>
      <c r="P636" s="1208">
        <f t="shared" si="45"/>
        <v>0</v>
      </c>
      <c r="Q636" s="1208"/>
      <c r="R636" s="6">
        <f>OBRA!Q634</f>
        <v>0</v>
      </c>
      <c r="S636" s="1327" t="str">
        <f>OBRA!T634</f>
        <v>-</v>
      </c>
      <c r="T636" s="5">
        <f>OBRA!R634</f>
        <v>0</v>
      </c>
      <c r="U636" s="12">
        <f>OBRA!S634</f>
        <v>0</v>
      </c>
      <c r="V636" s="1820"/>
      <c r="W636" s="1289">
        <f>OBRA!AQ634+OBRA!AR634</f>
        <v>0</v>
      </c>
      <c r="X636" s="1201"/>
      <c r="Y636" s="1372" t="str">
        <f>OBRA!U634</f>
        <v>-</v>
      </c>
      <c r="Z636" s="1372"/>
      <c r="AA636" s="1373" t="str">
        <f t="shared" si="46"/>
        <v>-</v>
      </c>
      <c r="AB636" s="1372"/>
      <c r="AC636" s="1373"/>
      <c r="AD636" s="608">
        <f>OBRA!V634</f>
        <v>0</v>
      </c>
      <c r="AE636" s="169"/>
      <c r="AF636" s="560"/>
      <c r="AG636" s="720" t="e">
        <f t="shared" si="44"/>
        <v>#DIV/0!</v>
      </c>
      <c r="AH636" s="560"/>
      <c r="AI636" s="556"/>
      <c r="AJ636" s="556"/>
      <c r="AK636" s="721"/>
      <c r="AL636" s="1806"/>
      <c r="AM636" s="631"/>
      <c r="AN636" s="631"/>
      <c r="AO636" s="631"/>
      <c r="AP636" s="556"/>
      <c r="AQ636" s="561"/>
      <c r="AR636" s="556"/>
      <c r="AS636" s="556"/>
      <c r="AT636" s="556"/>
      <c r="AU636" s="556"/>
      <c r="AV636" s="35"/>
      <c r="AW636" s="13"/>
    </row>
    <row r="637" spans="1:49" ht="15" hidden="1" customHeight="1">
      <c r="A637" s="17">
        <f>OBRA!I635</f>
        <v>2022</v>
      </c>
      <c r="B637" s="895" t="s">
        <v>3989</v>
      </c>
      <c r="C637" s="895"/>
      <c r="D637" s="895"/>
      <c r="E637" s="2">
        <f>OBRA!K635</f>
        <v>0</v>
      </c>
      <c r="F637" s="768" t="s">
        <v>1431</v>
      </c>
      <c r="G637" s="1003" t="s">
        <v>2900</v>
      </c>
      <c r="H637" s="13" t="str">
        <f>OBRA!L635</f>
        <v>C- OP 010/2022</v>
      </c>
      <c r="I637" s="2" t="str">
        <f>OBRA!M635</f>
        <v>ARRENDAMIENTO (CANCELADO)</v>
      </c>
      <c r="J637" s="3" t="str">
        <f>OBRA!N635</f>
        <v>-</v>
      </c>
      <c r="K637" s="597"/>
      <c r="L637" s="597"/>
      <c r="M637" s="597">
        <f>OBRA!O635</f>
        <v>0</v>
      </c>
      <c r="N637" s="597"/>
      <c r="O637" s="4">
        <f>OBRA!P635</f>
        <v>0</v>
      </c>
      <c r="P637" s="1208">
        <f t="shared" si="45"/>
        <v>0</v>
      </c>
      <c r="Q637" s="1208"/>
      <c r="R637" s="6">
        <f>OBRA!Q635</f>
        <v>0</v>
      </c>
      <c r="S637" s="1327" t="str">
        <f>OBRA!T635</f>
        <v>-</v>
      </c>
      <c r="T637" s="5">
        <f>OBRA!R635</f>
        <v>0</v>
      </c>
      <c r="U637" s="12">
        <f>OBRA!S635</f>
        <v>0</v>
      </c>
      <c r="V637" s="1820"/>
      <c r="W637" s="1289">
        <f>OBRA!AQ635+OBRA!AR635</f>
        <v>0</v>
      </c>
      <c r="X637" s="1201"/>
      <c r="Y637" s="1372" t="str">
        <f>OBRA!U635</f>
        <v>-</v>
      </c>
      <c r="Z637" s="1372"/>
      <c r="AA637" s="1373" t="str">
        <f t="shared" si="46"/>
        <v>-</v>
      </c>
      <c r="AB637" s="1372"/>
      <c r="AC637" s="1373"/>
      <c r="AD637" s="608">
        <f>OBRA!V635</f>
        <v>0</v>
      </c>
      <c r="AE637" s="169"/>
      <c r="AF637" s="560"/>
      <c r="AG637" s="720" t="e">
        <f t="shared" si="44"/>
        <v>#DIV/0!</v>
      </c>
      <c r="AH637" s="560"/>
      <c r="AI637" s="556"/>
      <c r="AJ637" s="556"/>
      <c r="AK637" s="721"/>
      <c r="AL637" s="1806"/>
      <c r="AM637" s="631"/>
      <c r="AN637" s="631"/>
      <c r="AO637" s="631"/>
      <c r="AP637" s="556"/>
      <c r="AQ637" s="561"/>
      <c r="AR637" s="556"/>
      <c r="AS637" s="556"/>
      <c r="AT637" s="556"/>
      <c r="AU637" s="556"/>
      <c r="AV637" s="35"/>
      <c r="AW637" s="13"/>
    </row>
    <row r="638" spans="1:49" ht="83.25" hidden="1" customHeight="1">
      <c r="A638" s="17">
        <f>OBRA!I636</f>
        <v>2022</v>
      </c>
      <c r="B638" s="895" t="s">
        <v>3989</v>
      </c>
      <c r="C638" s="895"/>
      <c r="D638" s="895"/>
      <c r="E638" s="2" t="str">
        <f>OBRA!K636</f>
        <v>RAMO 33</v>
      </c>
      <c r="F638" s="768" t="s">
        <v>1431</v>
      </c>
      <c r="G638" s="1003" t="s">
        <v>2239</v>
      </c>
      <c r="H638" s="13"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911"/>
      <c r="L638" s="780" t="s">
        <v>4440</v>
      </c>
      <c r="M638" s="780" t="str">
        <f>OBRA!O636</f>
        <v>LA LOMA</v>
      </c>
      <c r="N638" s="554" t="s">
        <v>4525</v>
      </c>
      <c r="O638" s="4">
        <f>OBRA!P636</f>
        <v>98067.87</v>
      </c>
      <c r="P638" s="1208">
        <f t="shared" si="45"/>
        <v>84541.267241379319</v>
      </c>
      <c r="Q638" s="1208"/>
      <c r="R638" s="6">
        <f>OBRA!Q636</f>
        <v>44628</v>
      </c>
      <c r="S638" s="1327">
        <f>OBRA!T636</f>
        <v>44627</v>
      </c>
      <c r="T638" s="5">
        <f>OBRA!R636</f>
        <v>44634</v>
      </c>
      <c r="U638" s="12">
        <f>OBRA!S636</f>
        <v>44639</v>
      </c>
      <c r="V638" s="1849">
        <v>0</v>
      </c>
      <c r="W638" s="1203">
        <f>OBRA!AQ636+OBRA!AR636</f>
        <v>97999</v>
      </c>
      <c r="X638" s="1848" t="s">
        <v>4448</v>
      </c>
      <c r="Y638" s="639" t="str">
        <f>OBRA!U636</f>
        <v xml:space="preserve">SERVICIOS Y CONSTRUCCIONES NATENIO, S.A. DE C.V. </v>
      </c>
      <c r="Z638" s="639" t="s">
        <v>5823</v>
      </c>
      <c r="AA638" s="640" t="s">
        <v>2844</v>
      </c>
      <c r="AB638" s="1281" t="s">
        <v>2845</v>
      </c>
      <c r="AC638" s="446" t="s">
        <v>3009</v>
      </c>
      <c r="AD638" s="769" t="str">
        <f>OBRA!V636</f>
        <v>C. DANIEL RODRIGUEZ VALENZUELA</v>
      </c>
      <c r="AE638" s="174">
        <v>92</v>
      </c>
      <c r="AF638" s="202" t="s">
        <v>1454</v>
      </c>
      <c r="AG638" s="694">
        <f t="shared" si="44"/>
        <v>1065.2065217391305</v>
      </c>
      <c r="AH638" s="202">
        <v>110</v>
      </c>
      <c r="AI638" s="566">
        <v>110</v>
      </c>
      <c r="AJ638" s="566"/>
      <c r="AK638" s="1813">
        <v>20.278487999999999</v>
      </c>
      <c r="AL638" s="1814">
        <v>103.435028</v>
      </c>
      <c r="AM638" s="629" t="s">
        <v>4614</v>
      </c>
      <c r="AN638" s="629" t="s">
        <v>4614</v>
      </c>
      <c r="AO638" s="629" t="s">
        <v>4614</v>
      </c>
      <c r="AP638" s="551" t="s">
        <v>4614</v>
      </c>
      <c r="AQ638" s="806" t="s">
        <v>4614</v>
      </c>
      <c r="AR638" s="556"/>
      <c r="AS638" s="556"/>
      <c r="AT638" s="556"/>
      <c r="AU638" s="556"/>
      <c r="AV638" s="35" t="s">
        <v>5075</v>
      </c>
      <c r="AW638" s="13"/>
    </row>
    <row r="639" spans="1:49" ht="73.5" hidden="1" customHeight="1">
      <c r="A639" s="17">
        <f>OBRA!I637</f>
        <v>2022</v>
      </c>
      <c r="B639" s="895" t="s">
        <v>3989</v>
      </c>
      <c r="C639" s="895"/>
      <c r="D639" s="895"/>
      <c r="E639" s="2" t="str">
        <f>OBRA!K637</f>
        <v>RAMO 33</v>
      </c>
      <c r="F639" s="768" t="s">
        <v>1431</v>
      </c>
      <c r="G639" s="1003" t="s">
        <v>2239</v>
      </c>
      <c r="H639" s="13"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911"/>
      <c r="L639" s="780" t="s">
        <v>4441</v>
      </c>
      <c r="M639" s="780" t="str">
        <f>OBRA!O637</f>
        <v>LA LOMA</v>
      </c>
      <c r="N639" s="554" t="s">
        <v>4525</v>
      </c>
      <c r="O639" s="4">
        <f>OBRA!P637</f>
        <v>160513.82999999999</v>
      </c>
      <c r="P639" s="1208">
        <f t="shared" si="45"/>
        <v>138373.99137931035</v>
      </c>
      <c r="Q639" s="1208"/>
      <c r="R639" s="6">
        <f>OBRA!Q637</f>
        <v>44628</v>
      </c>
      <c r="S639" s="1327">
        <f>OBRA!T637</f>
        <v>44627</v>
      </c>
      <c r="T639" s="5">
        <f>OBRA!R637</f>
        <v>44634</v>
      </c>
      <c r="U639" s="12">
        <f>OBRA!S637</f>
        <v>44653</v>
      </c>
      <c r="V639" s="1849">
        <v>0</v>
      </c>
      <c r="W639" s="1203">
        <f>OBRA!AQ637+OBRA!AR637</f>
        <v>160825.43</v>
      </c>
      <c r="X639" s="1848" t="s">
        <v>4449</v>
      </c>
      <c r="Y639" s="639" t="str">
        <f>OBRA!U637</f>
        <v xml:space="preserve">DORIA &amp; SAMPIER CONSTRUCTORA, S.A. DE C.V. </v>
      </c>
      <c r="Z639" s="639" t="s">
        <v>5823</v>
      </c>
      <c r="AA639" s="640" t="s">
        <v>4495</v>
      </c>
      <c r="AB639" s="1281" t="s">
        <v>4450</v>
      </c>
      <c r="AC639" s="446" t="s">
        <v>4451</v>
      </c>
      <c r="AD639" s="769" t="str">
        <f>OBRA!V637</f>
        <v>C. DANIEL RODRIGUEZ VALENZUELA</v>
      </c>
      <c r="AE639" s="174">
        <v>97</v>
      </c>
      <c r="AF639" s="202" t="s">
        <v>1454</v>
      </c>
      <c r="AG639" s="694">
        <f t="shared" si="44"/>
        <v>1657.9941237113401</v>
      </c>
      <c r="AH639" s="202">
        <v>130</v>
      </c>
      <c r="AI639" s="566">
        <v>130</v>
      </c>
      <c r="AJ639" s="566"/>
      <c r="AK639" s="1813">
        <v>20.278373999999999</v>
      </c>
      <c r="AL639" s="1814">
        <v>103.43481300000001</v>
      </c>
      <c r="AM639" s="629" t="s">
        <v>4615</v>
      </c>
      <c r="AN639" s="1916" t="s">
        <v>4615</v>
      </c>
      <c r="AO639" s="629" t="s">
        <v>4615</v>
      </c>
      <c r="AP639" s="551" t="s">
        <v>4615</v>
      </c>
      <c r="AQ639" s="806" t="s">
        <v>4615</v>
      </c>
      <c r="AR639" s="556"/>
      <c r="AS639" s="556"/>
      <c r="AT639" s="556"/>
      <c r="AU639" s="556"/>
      <c r="AV639" s="35" t="s">
        <v>5075</v>
      </c>
      <c r="AW639" s="13"/>
    </row>
    <row r="640" spans="1:49" ht="84.75" hidden="1" customHeight="1">
      <c r="A640" s="17">
        <f>OBRA!I638</f>
        <v>2022</v>
      </c>
      <c r="B640" s="895" t="s">
        <v>3989</v>
      </c>
      <c r="C640" s="895"/>
      <c r="D640" s="895"/>
      <c r="E640" s="2" t="str">
        <f>OBRA!K638</f>
        <v>RAMO 33</v>
      </c>
      <c r="F640" s="768" t="s">
        <v>1431</v>
      </c>
      <c r="G640" s="1003" t="s">
        <v>2239</v>
      </c>
      <c r="H640" s="13"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911"/>
      <c r="L640" s="780" t="s">
        <v>4442</v>
      </c>
      <c r="M640" s="780" t="str">
        <f>OBRA!O638</f>
        <v>LA LOMA</v>
      </c>
      <c r="N640" s="554" t="s">
        <v>4525</v>
      </c>
      <c r="O640" s="4">
        <f>OBRA!P638</f>
        <v>236056.39</v>
      </c>
      <c r="P640" s="1208">
        <f t="shared" si="45"/>
        <v>203496.88793103452</v>
      </c>
      <c r="Q640" s="1208"/>
      <c r="R640" s="6">
        <f>OBRA!Q638</f>
        <v>44628</v>
      </c>
      <c r="S640" s="1327">
        <f>OBRA!T638</f>
        <v>44627</v>
      </c>
      <c r="T640" s="5">
        <f>OBRA!R638</f>
        <v>44634</v>
      </c>
      <c r="U640" s="12">
        <f>OBRA!S638</f>
        <v>44653</v>
      </c>
      <c r="V640" s="1849">
        <v>0</v>
      </c>
      <c r="W640" s="1203">
        <f>OBRA!AQ638+OBRA!AR638</f>
        <v>295070.46000000002</v>
      </c>
      <c r="X640" s="1848" t="s">
        <v>4452</v>
      </c>
      <c r="Y640" s="639" t="str">
        <f>OBRA!U638</f>
        <v xml:space="preserve">DORIA &amp; SAMPIER CONSTRUCTORA, S.A. DE C.V. </v>
      </c>
      <c r="Z640" s="639" t="s">
        <v>5823</v>
      </c>
      <c r="AA640" s="640" t="s">
        <v>4495</v>
      </c>
      <c r="AB640" s="1281" t="s">
        <v>4450</v>
      </c>
      <c r="AC640" s="446" t="s">
        <v>4451</v>
      </c>
      <c r="AD640" s="769" t="str">
        <f>OBRA!V638</f>
        <v>C. DANIEL RODRIGUEZ VALENZUELA</v>
      </c>
      <c r="AE640" s="174">
        <v>151.55000000000001</v>
      </c>
      <c r="AF640" s="202" t="s">
        <v>1454</v>
      </c>
      <c r="AG640" s="694">
        <f t="shared" si="44"/>
        <v>1947.0172220389311</v>
      </c>
      <c r="AH640" s="202">
        <v>120</v>
      </c>
      <c r="AI640" s="566">
        <v>120</v>
      </c>
      <c r="AJ640" s="566"/>
      <c r="AK640" s="1813">
        <v>20.278569000000001</v>
      </c>
      <c r="AL640" s="1814">
        <v>103.43415400000001</v>
      </c>
      <c r="AM640" s="629" t="s">
        <v>4616</v>
      </c>
      <c r="AN640" s="1916" t="s">
        <v>4616</v>
      </c>
      <c r="AO640" s="629" t="s">
        <v>4616</v>
      </c>
      <c r="AP640" s="551" t="s">
        <v>4616</v>
      </c>
      <c r="AQ640" s="806" t="s">
        <v>4616</v>
      </c>
      <c r="AR640" s="556"/>
      <c r="AS640" s="556"/>
      <c r="AT640" s="556"/>
      <c r="AU640" s="556"/>
      <c r="AV640" s="35" t="s">
        <v>5075</v>
      </c>
      <c r="AW640" s="13"/>
    </row>
    <row r="641" spans="1:49" ht="209.25" hidden="1" customHeight="1">
      <c r="A641" s="17">
        <f>OBRA!I639</f>
        <v>2022</v>
      </c>
      <c r="B641" s="895" t="s">
        <v>3989</v>
      </c>
      <c r="C641" s="895"/>
      <c r="D641" s="895"/>
      <c r="E641" s="2" t="str">
        <f>OBRA!K639</f>
        <v>RAMO 33</v>
      </c>
      <c r="F641" s="768" t="s">
        <v>1431</v>
      </c>
      <c r="G641" s="1003" t="s">
        <v>2239</v>
      </c>
      <c r="H641" s="13"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2" t="s">
        <v>4657</v>
      </c>
      <c r="L641" s="780" t="s">
        <v>4443</v>
      </c>
      <c r="M641" s="780" t="str">
        <f>OBRA!O639</f>
        <v>SAN CRISTÓBAL ZAPOTITLÁN</v>
      </c>
      <c r="N641" s="554" t="s">
        <v>4525</v>
      </c>
      <c r="O641" s="4">
        <f>OBRA!P639</f>
        <v>2031883.8</v>
      </c>
      <c r="P641" s="1208">
        <f t="shared" si="45"/>
        <v>1751623.9655172415</v>
      </c>
      <c r="Q641" s="1208"/>
      <c r="R641" s="6">
        <f>OBRA!Q639</f>
        <v>44690</v>
      </c>
      <c r="S641" s="1327">
        <f>OBRA!T639</f>
        <v>44687</v>
      </c>
      <c r="T641" s="5">
        <f>OBRA!R639</f>
        <v>44692</v>
      </c>
      <c r="U641" s="12">
        <f>OBRA!S639</f>
        <v>44765</v>
      </c>
      <c r="V641" s="1849">
        <v>507970.95</v>
      </c>
      <c r="W641" s="1203">
        <f>OBRA!AQ639+OBRA!AR639</f>
        <v>2069216.72</v>
      </c>
      <c r="X641" s="1848" t="s">
        <v>4453</v>
      </c>
      <c r="Y641" s="639" t="str">
        <f>OBRA!U639</f>
        <v>EDUARDO VENTURA PADILLA</v>
      </c>
      <c r="Z641" s="639" t="s">
        <v>5822</v>
      </c>
      <c r="AA641" s="640" t="str">
        <f t="shared" si="46"/>
        <v>EDUARDO VENTURA PADILLA</v>
      </c>
      <c r="AB641" s="1281" t="s">
        <v>4454</v>
      </c>
      <c r="AC641" s="446" t="s">
        <v>4455</v>
      </c>
      <c r="AD641" s="769" t="str">
        <f>OBRA!V639</f>
        <v>ING. J. GUADALUPE IBARRA RAMIREZ</v>
      </c>
      <c r="AE641" s="174">
        <v>1</v>
      </c>
      <c r="AF641" s="202" t="s">
        <v>1466</v>
      </c>
      <c r="AG641" s="694">
        <f t="shared" si="44"/>
        <v>2069216.72</v>
      </c>
      <c r="AH641" s="202">
        <v>2500</v>
      </c>
      <c r="AI641" s="566">
        <v>2500</v>
      </c>
      <c r="AJ641" s="566"/>
      <c r="AK641" s="1813">
        <v>20.223519</v>
      </c>
      <c r="AL641" s="1910">
        <v>103.371988</v>
      </c>
      <c r="AM641" s="1916" t="s">
        <v>4656</v>
      </c>
      <c r="AN641" s="1916" t="s">
        <v>4656</v>
      </c>
      <c r="AO641" s="454" t="s">
        <v>4656</v>
      </c>
      <c r="AP641" s="454" t="s">
        <v>4656</v>
      </c>
      <c r="AQ641" s="806" t="s">
        <v>4656</v>
      </c>
      <c r="AR641" s="556"/>
      <c r="AS641" s="556"/>
      <c r="AT641" s="556"/>
      <c r="AU641" s="556"/>
      <c r="AV641" s="35" t="s">
        <v>551</v>
      </c>
      <c r="AW641" s="13"/>
    </row>
    <row r="642" spans="1:49" ht="94.5" hidden="1" customHeight="1">
      <c r="A642" s="17">
        <f>OBRA!I640</f>
        <v>2022</v>
      </c>
      <c r="B642" s="895" t="s">
        <v>3989</v>
      </c>
      <c r="C642" s="895"/>
      <c r="D642" s="895"/>
      <c r="E642" s="2" t="str">
        <f>OBRA!K640</f>
        <v>CUENTA CORRIENTE</v>
      </c>
      <c r="F642" s="768" t="s">
        <v>1431</v>
      </c>
      <c r="G642" s="1003" t="s">
        <v>2239</v>
      </c>
      <c r="H642" s="13"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912" t="s">
        <v>4658</v>
      </c>
      <c r="L642" s="780" t="s">
        <v>4444</v>
      </c>
      <c r="M642" s="780" t="str">
        <f>OBRA!O640</f>
        <v>NEXTIPAC</v>
      </c>
      <c r="N642" s="554" t="s">
        <v>4525</v>
      </c>
      <c r="O642" s="4">
        <f>OBRA!P640</f>
        <v>793754.52</v>
      </c>
      <c r="P642" s="1208">
        <f t="shared" si="45"/>
        <v>684271.13793103455</v>
      </c>
      <c r="Q642" s="1208"/>
      <c r="R642" s="6">
        <f>OBRA!Q640</f>
        <v>44704</v>
      </c>
      <c r="S642" s="1327">
        <f>OBRA!T640</f>
        <v>44704</v>
      </c>
      <c r="T642" s="5">
        <f>OBRA!R640</f>
        <v>44705</v>
      </c>
      <c r="U642" s="12">
        <f>OBRA!S640</f>
        <v>44712</v>
      </c>
      <c r="V642" s="1849">
        <v>0</v>
      </c>
      <c r="W642" s="1203">
        <f>OBRA!AQ640+OBRA!AR640</f>
        <v>793754.52</v>
      </c>
      <c r="X642" s="1848" t="s">
        <v>4456</v>
      </c>
      <c r="Y642" s="639" t="str">
        <f>OBRA!U640</f>
        <v>TERRACERÍAS Y PAVIMENTOS DE LA RIBERA, S.A. DE C.V.</v>
      </c>
      <c r="Z642" s="639" t="s">
        <v>5823</v>
      </c>
      <c r="AA642" s="640" t="s">
        <v>4496</v>
      </c>
      <c r="AB642" s="1281" t="s">
        <v>3511</v>
      </c>
      <c r="AC642" s="446" t="s">
        <v>4248</v>
      </c>
      <c r="AD642" s="769" t="str">
        <f>OBRA!V640</f>
        <v>C. DANIEL RODRIGUEZ VALENZUELA</v>
      </c>
      <c r="AE642" s="174">
        <v>129</v>
      </c>
      <c r="AF642" s="202" t="s">
        <v>1454</v>
      </c>
      <c r="AG642" s="694">
        <f t="shared" si="44"/>
        <v>6153.1358139534887</v>
      </c>
      <c r="AH642" s="202">
        <v>500</v>
      </c>
      <c r="AI642" s="566">
        <v>2000</v>
      </c>
      <c r="AJ642" s="566"/>
      <c r="AK642" s="1813">
        <v>20.287559999999999</v>
      </c>
      <c r="AL642" s="1910">
        <v>103.414806</v>
      </c>
      <c r="AM642" s="1916" t="s">
        <v>4659</v>
      </c>
      <c r="AN642" s="1916" t="s">
        <v>4659</v>
      </c>
      <c r="AO642" s="1916" t="s">
        <v>4659</v>
      </c>
      <c r="AP642" s="575" t="s">
        <v>4659</v>
      </c>
      <c r="AQ642" s="455" t="s">
        <v>4659</v>
      </c>
      <c r="AR642" s="556"/>
      <c r="AS642" s="556"/>
      <c r="AT642" s="556"/>
      <c r="AU642" s="556"/>
      <c r="AV642" s="35" t="s">
        <v>551</v>
      </c>
      <c r="AW642" s="13"/>
    </row>
    <row r="643" spans="1:49" ht="87.75" hidden="1" customHeight="1">
      <c r="A643" s="17">
        <f>OBRA!I641</f>
        <v>2022</v>
      </c>
      <c r="B643" s="895" t="s">
        <v>3989</v>
      </c>
      <c r="C643" s="895"/>
      <c r="D643" s="895"/>
      <c r="E643" s="2" t="str">
        <f>OBRA!K641</f>
        <v>RAMO 33</v>
      </c>
      <c r="F643" s="768" t="s">
        <v>1431</v>
      </c>
      <c r="G643" s="1003" t="s">
        <v>2239</v>
      </c>
      <c r="H643" s="13"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912" t="s">
        <v>4660</v>
      </c>
      <c r="L643" s="780" t="s">
        <v>4445</v>
      </c>
      <c r="M643" s="780" t="str">
        <f>OBRA!O641</f>
        <v>NEXTIPAC</v>
      </c>
      <c r="N643" s="554" t="s">
        <v>4525</v>
      </c>
      <c r="O643" s="4">
        <f>OBRA!P641</f>
        <v>579637.71</v>
      </c>
      <c r="P643" s="1208">
        <f t="shared" si="45"/>
        <v>499687.68103448278</v>
      </c>
      <c r="Q643" s="1208"/>
      <c r="R643" s="6">
        <f>OBRA!Q641</f>
        <v>44704</v>
      </c>
      <c r="S643" s="1327">
        <f>OBRA!T641</f>
        <v>44704</v>
      </c>
      <c r="T643" s="5">
        <f>OBRA!R641</f>
        <v>44712</v>
      </c>
      <c r="U643" s="12">
        <f>OBRA!S641</f>
        <v>44722</v>
      </c>
      <c r="V643" s="1849">
        <v>0</v>
      </c>
      <c r="W643" s="1203">
        <f>OBRA!AQ641+OBRA!AR641</f>
        <v>579645.42000000004</v>
      </c>
      <c r="X643" s="1848" t="s">
        <v>4457</v>
      </c>
      <c r="Y643" s="639" t="str">
        <f>OBRA!U641</f>
        <v>TERRACERÍAS Y PAVIMENTOS DE LA RIBERA, S.A. DE C.V.</v>
      </c>
      <c r="Z643" s="639" t="s">
        <v>5823</v>
      </c>
      <c r="AA643" s="640" t="s">
        <v>4496</v>
      </c>
      <c r="AB643" s="1281" t="s">
        <v>3511</v>
      </c>
      <c r="AC643" s="446" t="s">
        <v>4248</v>
      </c>
      <c r="AD643" s="769" t="str">
        <f>OBRA!V641</f>
        <v>C. DANIEL RODRIGUEZ VALENZUELA</v>
      </c>
      <c r="AE643" s="174">
        <v>301.5</v>
      </c>
      <c r="AF643" s="202" t="s">
        <v>1552</v>
      </c>
      <c r="AG643" s="694">
        <f t="shared" si="44"/>
        <v>1922.5387064676618</v>
      </c>
      <c r="AH643" s="202">
        <v>21500</v>
      </c>
      <c r="AI643" s="566">
        <v>21500</v>
      </c>
      <c r="AJ643" s="566"/>
      <c r="AK643" s="1813">
        <v>20.287559999999999</v>
      </c>
      <c r="AL643" s="1814">
        <v>103.414806</v>
      </c>
      <c r="AM643" s="1916" t="s">
        <v>4661</v>
      </c>
      <c r="AN643" s="1916" t="s">
        <v>4661</v>
      </c>
      <c r="AO643" s="1916" t="s">
        <v>4661</v>
      </c>
      <c r="AP643" s="575" t="s">
        <v>4661</v>
      </c>
      <c r="AQ643" s="455" t="s">
        <v>4661</v>
      </c>
      <c r="AR643" s="556"/>
      <c r="AS643" s="556"/>
      <c r="AT643" s="556"/>
      <c r="AU643" s="556"/>
      <c r="AV643" s="35" t="s">
        <v>551</v>
      </c>
      <c r="AW643" s="13"/>
    </row>
    <row r="644" spans="1:49" ht="189.75" hidden="1" customHeight="1">
      <c r="A644" s="17">
        <f>OBRA!I642</f>
        <v>2022</v>
      </c>
      <c r="B644" s="895" t="s">
        <v>3989</v>
      </c>
      <c r="C644" s="895"/>
      <c r="D644" s="895"/>
      <c r="E644" s="2" t="str">
        <f>OBRA!K642</f>
        <v>RAMO 33</v>
      </c>
      <c r="F644" s="768" t="s">
        <v>1431</v>
      </c>
      <c r="G644" s="1003" t="s">
        <v>2239</v>
      </c>
      <c r="H644" s="13"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912" t="s">
        <v>4662</v>
      </c>
      <c r="L644" s="328" t="s">
        <v>4526</v>
      </c>
      <c r="M644" s="328" t="str">
        <f>OBRA!O642</f>
        <v>SAN JUAN COSALÁ</v>
      </c>
      <c r="N644" s="554" t="s">
        <v>4525</v>
      </c>
      <c r="O644" s="4">
        <f>OBRA!P642</f>
        <v>627108.43000000005</v>
      </c>
      <c r="P644" s="1208">
        <f t="shared" si="45"/>
        <v>540610.71551724151</v>
      </c>
      <c r="Q644" s="1208"/>
      <c r="R644" s="6">
        <f>OBRA!Q642</f>
        <v>44704</v>
      </c>
      <c r="S644" s="1327">
        <f>OBRA!T642</f>
        <v>44704</v>
      </c>
      <c r="T644" s="5">
        <f>OBRA!R642</f>
        <v>44705</v>
      </c>
      <c r="U644" s="12">
        <f>OBRA!S642</f>
        <v>44742</v>
      </c>
      <c r="V644" s="1849">
        <v>0</v>
      </c>
      <c r="W644" s="1203">
        <f>OBRA!AQ642+OBRA!AR642</f>
        <v>694906.61</v>
      </c>
      <c r="X644" s="1573" t="s">
        <v>4528</v>
      </c>
      <c r="Y644" s="650" t="str">
        <f>OBRA!U642</f>
        <v>ESTRUCTURAS PLANEADAS DE OCCIDENTE, S.A. DE C.V.</v>
      </c>
      <c r="Z644" s="650" t="s">
        <v>5823</v>
      </c>
      <c r="AA644" s="652" t="s">
        <v>4530</v>
      </c>
      <c r="AB644" s="650" t="s">
        <v>4531</v>
      </c>
      <c r="AC644" s="652" t="s">
        <v>4485</v>
      </c>
      <c r="AD644" s="200" t="str">
        <f>OBRA!V642</f>
        <v>C. DANIEL RODRIGUEZ VALENZUELA</v>
      </c>
      <c r="AE644" s="174">
        <v>300.95</v>
      </c>
      <c r="AF644" s="202" t="s">
        <v>1552</v>
      </c>
      <c r="AG644" s="694">
        <f t="shared" si="44"/>
        <v>2309.0433959129423</v>
      </c>
      <c r="AH644" s="202">
        <v>80</v>
      </c>
      <c r="AI644" s="566">
        <v>80</v>
      </c>
      <c r="AJ644" s="566"/>
      <c r="AK644" s="1813">
        <v>20.289904</v>
      </c>
      <c r="AL644" s="1814">
        <v>103.346773</v>
      </c>
      <c r="AM644" s="629" t="s">
        <v>4618</v>
      </c>
      <c r="AN644" s="629" t="s">
        <v>4618</v>
      </c>
      <c r="AO644" s="629" t="s">
        <v>4618</v>
      </c>
      <c r="AP644" s="551" t="s">
        <v>4618</v>
      </c>
      <c r="AQ644" s="806" t="s">
        <v>4618</v>
      </c>
      <c r="AR644" s="556"/>
      <c r="AS644" s="556"/>
      <c r="AT644" s="556"/>
      <c r="AU644" s="556"/>
      <c r="AV644" s="35" t="s">
        <v>551</v>
      </c>
      <c r="AW644" s="13"/>
    </row>
    <row r="645" spans="1:49" ht="125.25" hidden="1" customHeight="1">
      <c r="A645" s="17">
        <f>OBRA!I643</f>
        <v>2022</v>
      </c>
      <c r="B645" s="895" t="s">
        <v>3989</v>
      </c>
      <c r="C645" s="895"/>
      <c r="D645" s="895"/>
      <c r="E645" s="2" t="str">
        <f>OBRA!K643</f>
        <v>RAMO 33</v>
      </c>
      <c r="F645" s="768" t="s">
        <v>1431</v>
      </c>
      <c r="G645" s="1003" t="s">
        <v>2239</v>
      </c>
      <c r="H645" s="13"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912" t="s">
        <v>4663</v>
      </c>
      <c r="L645" s="328" t="s">
        <v>4527</v>
      </c>
      <c r="M645" s="328" t="str">
        <f>OBRA!O643</f>
        <v>SAN JUAN COSALÁ</v>
      </c>
      <c r="N645" s="554" t="s">
        <v>4525</v>
      </c>
      <c r="O645" s="4">
        <f>OBRA!P643</f>
        <v>168470.35</v>
      </c>
      <c r="P645" s="1208">
        <f t="shared" si="45"/>
        <v>145233.06034482759</v>
      </c>
      <c r="Q645" s="1208"/>
      <c r="R645" s="6">
        <f>OBRA!Q643</f>
        <v>44707</v>
      </c>
      <c r="S645" s="1327">
        <f>OBRA!T643</f>
        <v>44706</v>
      </c>
      <c r="T645" s="5">
        <f>OBRA!R643</f>
        <v>44711</v>
      </c>
      <c r="U645" s="12">
        <f>OBRA!S643</f>
        <v>44722</v>
      </c>
      <c r="V645" s="1849">
        <v>0</v>
      </c>
      <c r="W645" s="1203">
        <f>OBRA!AQ643+OBRA!AR643</f>
        <v>183498.77</v>
      </c>
      <c r="X645" s="1573" t="s">
        <v>4529</v>
      </c>
      <c r="Y645" s="650" t="str">
        <f>OBRA!U643</f>
        <v xml:space="preserve">SERVICIOS Y CONSTRUCCIONES NATENIO, S.A. DE C.V. </v>
      </c>
      <c r="Z645" s="650" t="s">
        <v>5823</v>
      </c>
      <c r="AA645" s="652" t="s">
        <v>2844</v>
      </c>
      <c r="AB645" s="650" t="s">
        <v>2845</v>
      </c>
      <c r="AC645" s="652" t="s">
        <v>3009</v>
      </c>
      <c r="AD645" s="200" t="str">
        <f>OBRA!V643</f>
        <v>C. DANIEL RODRIGUEZ VALENZUELA</v>
      </c>
      <c r="AE645" s="174">
        <v>120</v>
      </c>
      <c r="AF645" s="202" t="s">
        <v>1454</v>
      </c>
      <c r="AG645" s="694">
        <f t="shared" si="44"/>
        <v>1529.1564166666665</v>
      </c>
      <c r="AH645" s="202">
        <v>20</v>
      </c>
      <c r="AI645" s="566">
        <v>100</v>
      </c>
      <c r="AJ645" s="566"/>
      <c r="AK645" s="1813">
        <v>20.286469</v>
      </c>
      <c r="AL645" s="1814">
        <v>103.33503899999999</v>
      </c>
      <c r="AM645" s="1916" t="s">
        <v>4619</v>
      </c>
      <c r="AN645" s="1916" t="s">
        <v>4619</v>
      </c>
      <c r="AO645" s="1916" t="s">
        <v>4619</v>
      </c>
      <c r="AP645" s="575" t="s">
        <v>4619</v>
      </c>
      <c r="AQ645" s="455" t="s">
        <v>4619</v>
      </c>
      <c r="AR645" s="556"/>
      <c r="AS645" s="556"/>
      <c r="AT645" s="556"/>
      <c r="AU645" s="556"/>
      <c r="AV645" s="35" t="s">
        <v>551</v>
      </c>
      <c r="AW645" s="13"/>
    </row>
    <row r="646" spans="1:49" ht="102" hidden="1" customHeight="1">
      <c r="A646" s="17">
        <f>OBRA!I644</f>
        <v>2022</v>
      </c>
      <c r="B646" s="895" t="s">
        <v>3989</v>
      </c>
      <c r="C646" s="895"/>
      <c r="D646" s="895"/>
      <c r="E646" s="2" t="str">
        <f>OBRA!K644</f>
        <v>RAMO 33</v>
      </c>
      <c r="F646" s="768" t="s">
        <v>1431</v>
      </c>
      <c r="G646" s="1003" t="s">
        <v>2239</v>
      </c>
      <c r="H646" s="13"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912" t="s">
        <v>4664</v>
      </c>
      <c r="L646" s="328" t="s">
        <v>4544</v>
      </c>
      <c r="M646" s="328" t="str">
        <f>OBRA!O644</f>
        <v>CHANTEPEC</v>
      </c>
      <c r="N646" s="554" t="s">
        <v>4525</v>
      </c>
      <c r="O646" s="4">
        <f>OBRA!P644</f>
        <v>809084.8</v>
      </c>
      <c r="P646" s="1208">
        <f t="shared" si="45"/>
        <v>697486.89655172417</v>
      </c>
      <c r="Q646" s="1208"/>
      <c r="R646" s="6">
        <f>OBRA!Q644</f>
        <v>44736</v>
      </c>
      <c r="S646" s="1327">
        <f>OBRA!T644</f>
        <v>44789</v>
      </c>
      <c r="T646" s="5">
        <f>OBRA!R644</f>
        <v>44760</v>
      </c>
      <c r="U646" s="12">
        <f>OBRA!S644</f>
        <v>44804</v>
      </c>
      <c r="V646" s="1849">
        <v>0</v>
      </c>
      <c r="W646" s="1203">
        <f>OBRA!AQ644+OBRA!AR644</f>
        <v>817756.14</v>
      </c>
      <c r="X646" s="1848" t="s">
        <v>4597</v>
      </c>
      <c r="Y646" s="650" t="str">
        <f>OBRA!U644</f>
        <v>SOLEC ENERGY, S.A. DE C.V.</v>
      </c>
      <c r="Z646" s="650" t="s">
        <v>5823</v>
      </c>
      <c r="AA646" s="652" t="s">
        <v>4602</v>
      </c>
      <c r="AB646" s="1281" t="s">
        <v>4603</v>
      </c>
      <c r="AC646" s="446" t="s">
        <v>4604</v>
      </c>
      <c r="AD646" s="769" t="str">
        <f>OBRA!V644</f>
        <v>C. DANIEL RODRIGUEZ VALENZUELA</v>
      </c>
      <c r="AE646" s="174">
        <v>28</v>
      </c>
      <c r="AF646" s="202" t="s">
        <v>1761</v>
      </c>
      <c r="AG646" s="694">
        <f t="shared" si="44"/>
        <v>29205.576428571429</v>
      </c>
      <c r="AH646" s="202">
        <v>300</v>
      </c>
      <c r="AI646" s="566">
        <v>3600</v>
      </c>
      <c r="AJ646" s="566"/>
      <c r="AK646" s="1813">
        <v>20.288601</v>
      </c>
      <c r="AL646" s="1814">
        <v>103.396854</v>
      </c>
      <c r="AM646" s="1916" t="s">
        <v>4620</v>
      </c>
      <c r="AN646" s="1916" t="s">
        <v>4620</v>
      </c>
      <c r="AO646" s="1916" t="s">
        <v>4620</v>
      </c>
      <c r="AP646" s="575" t="s">
        <v>4620</v>
      </c>
      <c r="AQ646" s="1447"/>
      <c r="AR646" s="556"/>
      <c r="AS646" s="556"/>
      <c r="AT646" s="556"/>
      <c r="AU646" s="556"/>
      <c r="AV646" s="35" t="s">
        <v>5075</v>
      </c>
      <c r="AW646" s="13"/>
    </row>
    <row r="647" spans="1:49" ht="186.75" hidden="1" customHeight="1">
      <c r="A647" s="17">
        <f>OBRA!I645</f>
        <v>2022</v>
      </c>
      <c r="B647" s="895" t="s">
        <v>3989</v>
      </c>
      <c r="C647" s="895"/>
      <c r="D647" s="895"/>
      <c r="E647" s="2" t="str">
        <f>OBRA!K645</f>
        <v>RAMO 33</v>
      </c>
      <c r="F647" s="768" t="s">
        <v>1431</v>
      </c>
      <c r="G647" s="1003" t="s">
        <v>2239</v>
      </c>
      <c r="H647" s="13"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912" t="s">
        <v>4665</v>
      </c>
      <c r="L647" s="328" t="s">
        <v>4545</v>
      </c>
      <c r="M647" s="328" t="str">
        <f>OBRA!O645</f>
        <v>CABECERA MUNICIPAL</v>
      </c>
      <c r="N647" s="554" t="s">
        <v>4525</v>
      </c>
      <c r="O647" s="4">
        <f>OBRA!P645</f>
        <v>1697255.04</v>
      </c>
      <c r="P647" s="1208">
        <f t="shared" si="45"/>
        <v>1463150.8965517243</v>
      </c>
      <c r="Q647" s="1208"/>
      <c r="R647" s="6">
        <f>OBRA!Q645</f>
        <v>44763</v>
      </c>
      <c r="S647" s="1327">
        <f>OBRA!T645</f>
        <v>44762</v>
      </c>
      <c r="T647" s="5">
        <f>OBRA!R645</f>
        <v>44767</v>
      </c>
      <c r="U647" s="12">
        <f>OBRA!S645</f>
        <v>44814</v>
      </c>
      <c r="V647" s="1849">
        <v>509176.51</v>
      </c>
      <c r="W647" s="1203">
        <f>OBRA!AQ645+OBRA!AR645</f>
        <v>1697255.04</v>
      </c>
      <c r="X647" s="1848" t="s">
        <v>4598</v>
      </c>
      <c r="Y647" s="650" t="str">
        <f>OBRA!U645</f>
        <v>ING. SERGIO CABRERA</v>
      </c>
      <c r="Z647" s="650" t="s">
        <v>5822</v>
      </c>
      <c r="AA647" s="652" t="str">
        <f t="shared" si="46"/>
        <v>ING. SERGIO CABRERA</v>
      </c>
      <c r="AB647" s="1281" t="s">
        <v>1926</v>
      </c>
      <c r="AC647" s="446" t="s">
        <v>4605</v>
      </c>
      <c r="AD647" s="769" t="str">
        <f>OBRA!V645</f>
        <v>C. DANIEL RODRIGUEZ VALENZUELA</v>
      </c>
      <c r="AE647" s="174">
        <v>286.43</v>
      </c>
      <c r="AF647" s="202" t="s">
        <v>1552</v>
      </c>
      <c r="AG647" s="694">
        <f t="shared" si="44"/>
        <v>5925.5491394057881</v>
      </c>
      <c r="AH647" s="202">
        <v>80</v>
      </c>
      <c r="AI647" s="566">
        <v>400</v>
      </c>
      <c r="AJ647" s="566"/>
      <c r="AK647" s="1813">
        <v>20.285530999999999</v>
      </c>
      <c r="AL647" s="1814">
        <v>103.42238</v>
      </c>
      <c r="AM647" s="1916" t="s">
        <v>4666</v>
      </c>
      <c r="AN647" s="1916" t="s">
        <v>4666</v>
      </c>
      <c r="AO647" s="1916" t="s">
        <v>4666</v>
      </c>
      <c r="AP647" s="575" t="s">
        <v>4666</v>
      </c>
      <c r="AQ647" s="455" t="s">
        <v>4666</v>
      </c>
      <c r="AR647" s="556"/>
      <c r="AS647" s="556"/>
      <c r="AT647" s="556"/>
      <c r="AU647" s="556"/>
      <c r="AV647" s="35" t="s">
        <v>551</v>
      </c>
      <c r="AW647" s="13"/>
    </row>
    <row r="648" spans="1:49" ht="98.25" hidden="1" customHeight="1">
      <c r="A648" s="17">
        <f>OBRA!I646</f>
        <v>2022</v>
      </c>
      <c r="B648" s="895" t="s">
        <v>3989</v>
      </c>
      <c r="C648" s="895"/>
      <c r="D648" s="895"/>
      <c r="E648" s="2" t="str">
        <f>OBRA!K646</f>
        <v>CUENTA CORRIENTE</v>
      </c>
      <c r="F648" s="768" t="s">
        <v>1431</v>
      </c>
      <c r="G648" s="1003" t="s">
        <v>2239</v>
      </c>
      <c r="H648" s="13"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911"/>
      <c r="L648" s="328" t="s">
        <v>2006</v>
      </c>
      <c r="M648" s="328" t="str">
        <f>OBRA!O646</f>
        <v>CABECERA MUNICIPAL</v>
      </c>
      <c r="N648" s="554" t="s">
        <v>4617</v>
      </c>
      <c r="O648" s="4">
        <f>OBRA!P646</f>
        <v>1343062.53</v>
      </c>
      <c r="P648" s="1208">
        <f t="shared" si="45"/>
        <v>1157812.5258620691</v>
      </c>
      <c r="Q648" s="1208"/>
      <c r="R648" s="6">
        <f>OBRA!Q646</f>
        <v>44767</v>
      </c>
      <c r="S648" s="1327">
        <f>OBRA!T646</f>
        <v>44764</v>
      </c>
      <c r="T648" s="5">
        <f>OBRA!R646</f>
        <v>44770</v>
      </c>
      <c r="U648" s="12">
        <f>OBRA!S646</f>
        <v>44814</v>
      </c>
      <c r="V648" s="1849">
        <f>O648*0.3-0.01</f>
        <v>402918.74900000001</v>
      </c>
      <c r="W648" s="1203">
        <f>OBRA!AQ646+OBRA!AR646</f>
        <v>1343062.54</v>
      </c>
      <c r="X648" s="1848" t="s">
        <v>4599</v>
      </c>
      <c r="Y648" s="650" t="str">
        <f>OBRA!U646</f>
        <v>ING. SERGIO CABRERA</v>
      </c>
      <c r="Z648" s="650" t="s">
        <v>5822</v>
      </c>
      <c r="AA648" s="652" t="str">
        <f t="shared" si="46"/>
        <v>ING. SERGIO CABRERA</v>
      </c>
      <c r="AB648" s="1281" t="s">
        <v>1926</v>
      </c>
      <c r="AC648" s="446" t="s">
        <v>4605</v>
      </c>
      <c r="AD648" s="769" t="str">
        <f>OBRA!V646</f>
        <v>ING. J. GUADALUPE IBARRA RAMIREZ</v>
      </c>
      <c r="AE648" s="169"/>
      <c r="AF648" s="426" t="s">
        <v>1552</v>
      </c>
      <c r="AG648" s="720" t="e">
        <f t="shared" si="44"/>
        <v>#DIV/0!</v>
      </c>
      <c r="AH648" s="560"/>
      <c r="AI648" s="556"/>
      <c r="AJ648" s="556"/>
      <c r="AK648" s="1909">
        <v>20.279315</v>
      </c>
      <c r="AL648" s="1910">
        <v>103.44525299999999</v>
      </c>
      <c r="AM648" s="1916" t="s">
        <v>4667</v>
      </c>
      <c r="AN648" s="1916" t="s">
        <v>4667</v>
      </c>
      <c r="AO648" s="1916" t="s">
        <v>4667</v>
      </c>
      <c r="AP648" s="575" t="s">
        <v>4667</v>
      </c>
      <c r="AQ648" s="1447"/>
      <c r="AR648" s="556"/>
      <c r="AS648" s="556"/>
      <c r="AT648" s="556"/>
      <c r="AU648" s="556"/>
      <c r="AV648" s="35"/>
      <c r="AW648" s="13"/>
    </row>
    <row r="649" spans="1:49" ht="75" hidden="1" customHeight="1">
      <c r="A649" s="17">
        <f>OBRA!I647</f>
        <v>2022</v>
      </c>
      <c r="B649" s="895" t="s">
        <v>3989</v>
      </c>
      <c r="C649" s="895"/>
      <c r="D649" s="895"/>
      <c r="E649" s="2" t="str">
        <f>OBRA!K647</f>
        <v>CUENTA CORRIENTE</v>
      </c>
      <c r="F649" s="768" t="s">
        <v>1431</v>
      </c>
      <c r="G649" s="1003" t="s">
        <v>2239</v>
      </c>
      <c r="H649" s="13" t="str">
        <f>OBRA!L647</f>
        <v>GMJ 012 C-OP/2022</v>
      </c>
      <c r="I649" s="2" t="str">
        <f>OBRA!M647</f>
        <v>ADJUDICACIÓN DIRECTA</v>
      </c>
      <c r="J649" s="3" t="str">
        <f>OBRA!N647</f>
        <v>"REPARACIÓN DE BANQUETA PERIMETRAL EN LA PLAZA PRINCIPAL" DE LA CABECERA MUNICPAL DE JOCOTEPEC, JALISCO.</v>
      </c>
      <c r="K649" s="1911"/>
      <c r="L649" s="328" t="s">
        <v>4546</v>
      </c>
      <c r="M649" s="328" t="str">
        <f>OBRA!O647</f>
        <v>CABECERA MUNICIPAL</v>
      </c>
      <c r="N649" s="554" t="s">
        <v>4617</v>
      </c>
      <c r="O649" s="4">
        <f>OBRA!P647</f>
        <v>85733.34</v>
      </c>
      <c r="P649" s="1208">
        <f t="shared" si="45"/>
        <v>73908.051724137928</v>
      </c>
      <c r="Q649" s="1208"/>
      <c r="R649" s="6">
        <f>OBRA!Q647</f>
        <v>44816</v>
      </c>
      <c r="S649" s="1327">
        <f>OBRA!T647</f>
        <v>44813</v>
      </c>
      <c r="T649" s="5">
        <f>OBRA!R647</f>
        <v>44817</v>
      </c>
      <c r="U649" s="12">
        <f>OBRA!S647</f>
        <v>44834</v>
      </c>
      <c r="V649" s="1849">
        <v>0</v>
      </c>
      <c r="W649" s="1289">
        <f>OBRA!AQ647+OBRA!AR647</f>
        <v>0</v>
      </c>
      <c r="X649" s="1848" t="s">
        <v>4600</v>
      </c>
      <c r="Y649" s="650" t="str">
        <f>OBRA!U647</f>
        <v>ESTRUCTURAS PLANEADAS DE OCCIDENTE, S.A. DE C.V.</v>
      </c>
      <c r="Z649" s="650" t="s">
        <v>5823</v>
      </c>
      <c r="AA649" s="652" t="s">
        <v>4530</v>
      </c>
      <c r="AB649" s="1281" t="s">
        <v>4531</v>
      </c>
      <c r="AC649" s="446" t="s">
        <v>4551</v>
      </c>
      <c r="AD649" s="200" t="str">
        <f>OBRA!V647</f>
        <v>ING. J. GUADALUPE IBARRA RAMIREZ</v>
      </c>
      <c r="AE649" s="174">
        <v>100.4</v>
      </c>
      <c r="AF649" s="202" t="s">
        <v>1552</v>
      </c>
      <c r="AG649" s="720">
        <f t="shared" si="44"/>
        <v>0</v>
      </c>
      <c r="AH649" s="560"/>
      <c r="AI649" s="556"/>
      <c r="AJ649" s="556"/>
      <c r="AK649" s="1813">
        <v>20.286082</v>
      </c>
      <c r="AL649" s="1814">
        <v>103.429998</v>
      </c>
      <c r="AM649" s="1916" t="s">
        <v>4668</v>
      </c>
      <c r="AN649" s="1916" t="s">
        <v>4668</v>
      </c>
      <c r="AO649" s="1916" t="s">
        <v>4668</v>
      </c>
      <c r="AP649" s="1835"/>
      <c r="AQ649" s="1447"/>
      <c r="AR649" s="556"/>
      <c r="AS649" s="556"/>
      <c r="AT649" s="556"/>
      <c r="AU649" s="556"/>
      <c r="AV649" s="35"/>
      <c r="AW649" s="13"/>
    </row>
    <row r="650" spans="1:49" ht="160.5" hidden="1" customHeight="1">
      <c r="A650" s="17">
        <f>OBRA!I648</f>
        <v>2022</v>
      </c>
      <c r="B650" s="895" t="s">
        <v>3989</v>
      </c>
      <c r="C650" s="895"/>
      <c r="D650" s="895"/>
      <c r="E650" s="2" t="str">
        <f>OBRA!K648</f>
        <v>RAMO 33</v>
      </c>
      <c r="F650" s="205" t="s">
        <v>1431</v>
      </c>
      <c r="G650" s="1003" t="s">
        <v>2239</v>
      </c>
      <c r="H650" s="451" t="str">
        <f>OBRA!L648</f>
        <v>FAIS-RAMO/33-OP-CSS-013/2022</v>
      </c>
      <c r="I650" s="2" t="str">
        <f>OBRA!M648</f>
        <v>CONCURSO SIMPLIFICADO SUMARIO</v>
      </c>
      <c r="J650"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1"/>
      <c r="L650" s="328" t="s">
        <v>4547</v>
      </c>
      <c r="M650" s="328" t="str">
        <f>OBRA!O648</f>
        <v>CABECERA MUNICIPAL</v>
      </c>
      <c r="N650" s="554" t="s">
        <v>4617</v>
      </c>
      <c r="O650" s="4">
        <f>OBRA!P648</f>
        <v>4165845.27</v>
      </c>
      <c r="P650" s="1208">
        <f t="shared" si="45"/>
        <v>3591245.9224137934</v>
      </c>
      <c r="Q650" s="1208"/>
      <c r="R650" s="6">
        <f>OBRA!Q648</f>
        <v>44810</v>
      </c>
      <c r="S650" s="1327" t="str">
        <f>OBRA!T648</f>
        <v>NO APLICA</v>
      </c>
      <c r="T650" s="5">
        <f>OBRA!R648</f>
        <v>44812</v>
      </c>
      <c r="U650" s="12">
        <f>OBRA!S648</f>
        <v>44834</v>
      </c>
      <c r="V650" s="1821">
        <f t="shared" ref="V650:V655" si="47">O650*0.3</f>
        <v>1249753.581</v>
      </c>
      <c r="W650" s="1990">
        <f>OBRA!AQ648+OBRA!AR648</f>
        <v>4491510.7300000004</v>
      </c>
      <c r="X650" s="1235" t="s">
        <v>4624</v>
      </c>
      <c r="Y650" s="650" t="str">
        <f>OBRA!U648</f>
        <v>PIERO MASCORRO OLMOS</v>
      </c>
      <c r="Z650" s="650" t="s">
        <v>5822</v>
      </c>
      <c r="AA650" s="652" t="str">
        <f t="shared" si="46"/>
        <v>PIERO MASCORRO OLMOS</v>
      </c>
      <c r="AB650" s="650" t="s">
        <v>4629</v>
      </c>
      <c r="AC650" s="652" t="s">
        <v>4630</v>
      </c>
      <c r="AD650" s="200" t="str">
        <f>OBRA!V648</f>
        <v>C. DANIEL RODRIGUEZ VALENZUELA</v>
      </c>
      <c r="AE650" s="174">
        <v>2211.6</v>
      </c>
      <c r="AF650" s="202" t="s">
        <v>1552</v>
      </c>
      <c r="AG650" s="757">
        <f t="shared" si="44"/>
        <v>2030.8874706095137</v>
      </c>
      <c r="AH650" s="202">
        <v>350</v>
      </c>
      <c r="AI650" s="566">
        <v>5000</v>
      </c>
      <c r="AJ650" s="566"/>
      <c r="AK650" s="1909">
        <v>20.281386999999999</v>
      </c>
      <c r="AL650" s="1910">
        <v>103.42977</v>
      </c>
      <c r="AM650" s="1903" t="s">
        <v>4638</v>
      </c>
      <c r="AN650" s="1903" t="s">
        <v>4638</v>
      </c>
      <c r="AO650" s="1903" t="s">
        <v>4638</v>
      </c>
      <c r="AP650" s="575" t="s">
        <v>4638</v>
      </c>
      <c r="AQ650" s="455" t="s">
        <v>4638</v>
      </c>
      <c r="AR650" s="556"/>
      <c r="AS650" s="556"/>
      <c r="AT650" s="556"/>
      <c r="AU650" s="556"/>
      <c r="AV650" s="35" t="s">
        <v>551</v>
      </c>
      <c r="AW650" s="13"/>
    </row>
    <row r="651" spans="1:49" ht="118.5" hidden="1" customHeight="1">
      <c r="A651" s="17">
        <f>OBRA!I649</f>
        <v>2022</v>
      </c>
      <c r="B651" s="895" t="s">
        <v>3989</v>
      </c>
      <c r="C651" s="895"/>
      <c r="D651" s="895"/>
      <c r="E651" s="2" t="str">
        <f>OBRA!K649</f>
        <v>RAMO 33</v>
      </c>
      <c r="F651" s="205" t="s">
        <v>1431</v>
      </c>
      <c r="G651" s="1003" t="s">
        <v>2239</v>
      </c>
      <c r="H651" s="451"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912" t="s">
        <v>4649</v>
      </c>
      <c r="L651" s="328" t="s">
        <v>4621</v>
      </c>
      <c r="M651" s="328" t="str">
        <f>OBRA!O649</f>
        <v>SAN JUAN COSALÁ</v>
      </c>
      <c r="N651" s="554" t="s">
        <v>4617</v>
      </c>
      <c r="O651" s="4">
        <f>OBRA!P649</f>
        <v>4216204.78</v>
      </c>
      <c r="P651" s="1208">
        <f t="shared" si="45"/>
        <v>3634659.2931034486</v>
      </c>
      <c r="Q651" s="1208"/>
      <c r="R651" s="6">
        <f>OBRA!Q649</f>
        <v>44839</v>
      </c>
      <c r="S651" s="1327" t="str">
        <f>OBRA!T649</f>
        <v>NO APLICA</v>
      </c>
      <c r="T651" s="5">
        <f>OBRA!R649</f>
        <v>44847</v>
      </c>
      <c r="U651" s="12">
        <f>OBRA!S649</f>
        <v>44895</v>
      </c>
      <c r="V651" s="1821">
        <f t="shared" si="47"/>
        <v>1264861.4340000001</v>
      </c>
      <c r="W651" s="1203">
        <f>OBRA!AQ649+OBRA!AR649</f>
        <v>5426864.9299999997</v>
      </c>
      <c r="X651" s="1235" t="s">
        <v>4625</v>
      </c>
      <c r="Y651" s="650" t="str">
        <f>OBRA!U649</f>
        <v>RAMPER DRILLINGS S.A. DE C.V.</v>
      </c>
      <c r="Z651" s="650" t="s">
        <v>5823</v>
      </c>
      <c r="AA651" s="652" t="s">
        <v>4631</v>
      </c>
      <c r="AB651" s="650" t="s">
        <v>1753</v>
      </c>
      <c r="AC651" s="652" t="s">
        <v>4632</v>
      </c>
      <c r="AD651" s="200" t="str">
        <f>OBRA!V649</f>
        <v>ING. J. GUADALUPE IBARRA RAMIREZ</v>
      </c>
      <c r="AE651" s="231">
        <v>100</v>
      </c>
      <c r="AF651" s="426" t="s">
        <v>1454</v>
      </c>
      <c r="AG651" s="694">
        <f t="shared" si="44"/>
        <v>54268.649299999997</v>
      </c>
      <c r="AH651" s="426">
        <v>8000</v>
      </c>
      <c r="AI651" s="1796">
        <v>8000</v>
      </c>
      <c r="AJ651" s="1796"/>
      <c r="AK651" s="1909">
        <v>20.289847999999999</v>
      </c>
      <c r="AL651" s="1910">
        <v>103.340535</v>
      </c>
      <c r="AM651" s="1903" t="s">
        <v>4641</v>
      </c>
      <c r="AN651" s="1903" t="s">
        <v>4641</v>
      </c>
      <c r="AO651" s="1903" t="s">
        <v>4641</v>
      </c>
      <c r="AP651" s="575" t="s">
        <v>4641</v>
      </c>
      <c r="AQ651" s="806" t="s">
        <v>4641</v>
      </c>
      <c r="AR651" s="556"/>
      <c r="AS651" s="556"/>
      <c r="AT651" s="556"/>
      <c r="AU651" s="556"/>
      <c r="AV651" s="35"/>
      <c r="AW651" s="13"/>
    </row>
    <row r="652" spans="1:49" ht="105" hidden="1" customHeight="1">
      <c r="A652" s="17">
        <f>OBRA!I650</f>
        <v>2022</v>
      </c>
      <c r="B652" s="895" t="s">
        <v>3989</v>
      </c>
      <c r="C652" s="895"/>
      <c r="D652" s="895"/>
      <c r="E652" s="2" t="str">
        <f>OBRA!K650</f>
        <v>CUENTA CORRIENTE</v>
      </c>
      <c r="F652" s="205" t="s">
        <v>1431</v>
      </c>
      <c r="G652" s="1003" t="s">
        <v>2239</v>
      </c>
      <c r="H652" s="451"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912" t="s">
        <v>4649</v>
      </c>
      <c r="L652" s="328" t="s">
        <v>4622</v>
      </c>
      <c r="M652" s="328" t="str">
        <f>OBRA!O650</f>
        <v>CHANTEPEC</v>
      </c>
      <c r="N652" s="554" t="s">
        <v>4617</v>
      </c>
      <c r="O652" s="4">
        <f>OBRA!P650</f>
        <v>3845696.93</v>
      </c>
      <c r="P652" s="1208">
        <f t="shared" si="45"/>
        <v>3315255.9741379316</v>
      </c>
      <c r="Q652" s="1208"/>
      <c r="R652" s="6">
        <f>OBRA!Q650</f>
        <v>44839</v>
      </c>
      <c r="S652" s="1327" t="str">
        <f>OBRA!T650</f>
        <v>NO APLICA</v>
      </c>
      <c r="T652" s="5">
        <f>OBRA!R650</f>
        <v>44847</v>
      </c>
      <c r="U652" s="12">
        <f>OBRA!S650</f>
        <v>44895</v>
      </c>
      <c r="V652" s="1821">
        <f t="shared" si="47"/>
        <v>1153709.0789999999</v>
      </c>
      <c r="W652" s="1289">
        <f>OBRA!AQ650+OBRA!AR650</f>
        <v>0</v>
      </c>
      <c r="X652" s="1235" t="s">
        <v>4626</v>
      </c>
      <c r="Y652" s="650" t="str">
        <f>OBRA!U650</f>
        <v>GRUPO ARANGE, S.A. DE C.V.</v>
      </c>
      <c r="Z652" s="650" t="s">
        <v>5823</v>
      </c>
      <c r="AA652" s="652" t="s">
        <v>4633</v>
      </c>
      <c r="AB652" s="650" t="s">
        <v>2922</v>
      </c>
      <c r="AC652" s="652" t="s">
        <v>2924</v>
      </c>
      <c r="AD652" s="200" t="str">
        <f>OBRA!V650</f>
        <v>ING. J. GUADALUPE IBARRA RAMIREZ</v>
      </c>
      <c r="AE652" s="231">
        <v>350</v>
      </c>
      <c r="AF652" s="426" t="s">
        <v>1454</v>
      </c>
      <c r="AG652" s="720">
        <f t="shared" si="44"/>
        <v>0</v>
      </c>
      <c r="AH652" s="426">
        <v>3600</v>
      </c>
      <c r="AI652" s="1796">
        <v>3600</v>
      </c>
      <c r="AJ652" s="1796"/>
      <c r="AK652" s="1909">
        <v>20.290989</v>
      </c>
      <c r="AL652" s="1910">
        <v>103.39118499999999</v>
      </c>
      <c r="AM652" s="1903" t="s">
        <v>4642</v>
      </c>
      <c r="AN652" s="1903" t="s">
        <v>4642</v>
      </c>
      <c r="AO652" s="1903" t="s">
        <v>4642</v>
      </c>
      <c r="AP652" s="575" t="s">
        <v>4642</v>
      </c>
      <c r="AQ652" s="806" t="s">
        <v>4642</v>
      </c>
      <c r="AR652" s="556"/>
      <c r="AS652" s="556"/>
      <c r="AT652" s="556"/>
      <c r="AU652" s="556"/>
      <c r="AV652" s="35" t="s">
        <v>5075</v>
      </c>
      <c r="AW652" s="13"/>
    </row>
    <row r="653" spans="1:49" ht="81" hidden="1" customHeight="1">
      <c r="A653" s="17">
        <f>OBRA!I651</f>
        <v>2022</v>
      </c>
      <c r="B653" s="895" t="s">
        <v>3989</v>
      </c>
      <c r="C653" s="895"/>
      <c r="D653" s="895"/>
      <c r="E653" s="2" t="str">
        <f>OBRA!K651</f>
        <v>RAMO 33</v>
      </c>
      <c r="F653" s="768" t="s">
        <v>1431</v>
      </c>
      <c r="G653" s="1003" t="s">
        <v>2239</v>
      </c>
      <c r="H653" s="13"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911" t="s">
        <v>524</v>
      </c>
      <c r="L653" s="328" t="s">
        <v>4613</v>
      </c>
      <c r="M653" s="780" t="str">
        <f>OBRA!O651</f>
        <v>NEXTIPAC</v>
      </c>
      <c r="N653" s="554" t="s">
        <v>4617</v>
      </c>
      <c r="O653" s="4">
        <f>OBRA!P651</f>
        <v>645484.5</v>
      </c>
      <c r="P653" s="1208">
        <f t="shared" si="45"/>
        <v>556452.1551724138</v>
      </c>
      <c r="Q653" s="1208"/>
      <c r="R653" s="6">
        <f>OBRA!Q651</f>
        <v>44851</v>
      </c>
      <c r="S653" s="1327">
        <f>OBRA!T651</f>
        <v>44848</v>
      </c>
      <c r="T653" s="5">
        <f>OBRA!R651</f>
        <v>44865</v>
      </c>
      <c r="U653" s="12">
        <f>OBRA!S651</f>
        <v>44883</v>
      </c>
      <c r="V653" s="1849">
        <f t="shared" si="47"/>
        <v>193645.35</v>
      </c>
      <c r="W653" s="1203">
        <f>OBRA!AQ651+OBRA!AR651</f>
        <v>721865.14</v>
      </c>
      <c r="X653" s="1848" t="s">
        <v>4601</v>
      </c>
      <c r="Y653" s="1281" t="str">
        <f>OBRA!U651</f>
        <v xml:space="preserve">INFRAESTRUCTURA Y EDIFICACIONES OROZCO S.A. DE C.V. </v>
      </c>
      <c r="Z653" s="1281" t="s">
        <v>5823</v>
      </c>
      <c r="AA653" s="446" t="s">
        <v>3924</v>
      </c>
      <c r="AB653" s="1281" t="s">
        <v>2926</v>
      </c>
      <c r="AC653" s="446" t="s">
        <v>4606</v>
      </c>
      <c r="AD653" s="769" t="str">
        <f>OBRA!V651</f>
        <v>C. DANIEL RODRIGUEZ VALENZUELA</v>
      </c>
      <c r="AE653" s="231">
        <v>135.13</v>
      </c>
      <c r="AF653" s="426" t="s">
        <v>1454</v>
      </c>
      <c r="AG653" s="694">
        <f t="shared" si="44"/>
        <v>5342.0050321912231</v>
      </c>
      <c r="AH653" s="426">
        <v>90</v>
      </c>
      <c r="AI653" s="1796">
        <v>150</v>
      </c>
      <c r="AJ653" s="1796"/>
      <c r="AK653" s="1909">
        <v>20.289486</v>
      </c>
      <c r="AL653" s="1910">
        <v>103.412021</v>
      </c>
      <c r="AM653" s="1916" t="s">
        <v>4669</v>
      </c>
      <c r="AN653" s="631"/>
      <c r="AO653" s="1916" t="s">
        <v>4669</v>
      </c>
      <c r="AP653" s="575" t="s">
        <v>4669</v>
      </c>
      <c r="AQ653" s="806" t="s">
        <v>4669</v>
      </c>
      <c r="AR653" s="556"/>
      <c r="AS653" s="556"/>
      <c r="AT653" s="556"/>
      <c r="AU653" s="556"/>
      <c r="AV653" s="35"/>
      <c r="AW653" s="13"/>
    </row>
    <row r="654" spans="1:49" ht="177.75" hidden="1" customHeight="1">
      <c r="A654" s="17">
        <f>OBRA!I652</f>
        <v>2022</v>
      </c>
      <c r="B654" s="895" t="s">
        <v>3989</v>
      </c>
      <c r="C654" s="895"/>
      <c r="D654" s="895"/>
      <c r="E654" s="2" t="str">
        <f>OBRA!K652</f>
        <v>RAMO 33</v>
      </c>
      <c r="F654" s="205" t="s">
        <v>1431</v>
      </c>
      <c r="G654" s="1003" t="s">
        <v>2239</v>
      </c>
      <c r="H654" s="451"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912" t="s">
        <v>4650</v>
      </c>
      <c r="L654" s="328" t="s">
        <v>5582</v>
      </c>
      <c r="M654" s="328" t="str">
        <f>OBRA!O652</f>
        <v>CABECERA MUNICIPAL</v>
      </c>
      <c r="N654" s="554" t="s">
        <v>4617</v>
      </c>
      <c r="O654" s="4">
        <f>OBRA!P652</f>
        <v>2479806.63</v>
      </c>
      <c r="P654" s="1208">
        <f t="shared" si="45"/>
        <v>2137764.3362068967</v>
      </c>
      <c r="Q654" s="1208"/>
      <c r="R654" s="6">
        <f>OBRA!Q652</f>
        <v>44859</v>
      </c>
      <c r="S654" s="1327" t="str">
        <f>OBRA!T652</f>
        <v>NO APLICA</v>
      </c>
      <c r="T654" s="5">
        <f>OBRA!R652</f>
        <v>44862</v>
      </c>
      <c r="U654" s="12">
        <f>OBRA!S652</f>
        <v>44898</v>
      </c>
      <c r="V654" s="1821">
        <f t="shared" si="47"/>
        <v>743941.98899999994</v>
      </c>
      <c r="W654" s="1203">
        <f>OBRA!AQ652+OBRA!AR652</f>
        <v>2386238.9700000002</v>
      </c>
      <c r="X654" s="1573" t="s">
        <v>4627</v>
      </c>
      <c r="Y654" s="650" t="str">
        <f>OBRA!U652</f>
        <v>C. JOSÉ LUIS RANGEL GÁLVEZ</v>
      </c>
      <c r="Z654" s="650" t="s">
        <v>5822</v>
      </c>
      <c r="AA654" s="652" t="str">
        <f t="shared" si="46"/>
        <v>C. JOSÉ LUIS RANGEL GÁLVEZ</v>
      </c>
      <c r="AB654" s="650" t="s">
        <v>2039</v>
      </c>
      <c r="AC654" s="652" t="s">
        <v>3080</v>
      </c>
      <c r="AD654" s="200" t="str">
        <f>OBRA!V652</f>
        <v>C. DANIEL RODRIGUEZ VALENZUELA</v>
      </c>
      <c r="AE654" s="231">
        <v>1770.97</v>
      </c>
      <c r="AF654" s="426" t="s">
        <v>1552</v>
      </c>
      <c r="AG654" s="694">
        <f t="shared" si="44"/>
        <v>1347.4191940010278</v>
      </c>
      <c r="AH654" s="426">
        <v>200</v>
      </c>
      <c r="AI654" s="1796">
        <v>1000</v>
      </c>
      <c r="AJ654" s="1796"/>
      <c r="AK654" s="1909">
        <v>20.290248999999999</v>
      </c>
      <c r="AL654" s="1910">
        <v>103.431879</v>
      </c>
      <c r="AM654" s="1903" t="s">
        <v>4643</v>
      </c>
      <c r="AN654" s="1567" t="s">
        <v>4643</v>
      </c>
      <c r="AO654" s="1903" t="s">
        <v>4643</v>
      </c>
      <c r="AP654" s="575" t="s">
        <v>4643</v>
      </c>
      <c r="AQ654" s="806" t="s">
        <v>4643</v>
      </c>
      <c r="AR654" s="556"/>
      <c r="AS654" s="556"/>
      <c r="AT654" s="556"/>
      <c r="AU654" s="556"/>
      <c r="AV654" s="35" t="s">
        <v>551</v>
      </c>
      <c r="AW654" s="13"/>
    </row>
    <row r="655" spans="1:49" ht="211.5" hidden="1" customHeight="1">
      <c r="A655" s="17">
        <f>OBRA!I653</f>
        <v>2022</v>
      </c>
      <c r="B655" s="895" t="s">
        <v>3989</v>
      </c>
      <c r="C655" s="895"/>
      <c r="D655" s="895"/>
      <c r="E655" s="2" t="str">
        <f>OBRA!K653</f>
        <v>RAMO 33</v>
      </c>
      <c r="F655" s="205" t="s">
        <v>1431</v>
      </c>
      <c r="G655" s="1003" t="s">
        <v>2239</v>
      </c>
      <c r="H655" s="451"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2" t="s">
        <v>4651</v>
      </c>
      <c r="L655" s="328" t="s">
        <v>4623</v>
      </c>
      <c r="M655" s="328" t="str">
        <f>OBRA!O653</f>
        <v>CABECERA MUNICIPAL</v>
      </c>
      <c r="N655" s="554" t="s">
        <v>4617</v>
      </c>
      <c r="O655" s="4">
        <f>OBRA!P653</f>
        <v>2218847.77</v>
      </c>
      <c r="P655" s="1208">
        <f t="shared" si="45"/>
        <v>1912799.801724138</v>
      </c>
      <c r="Q655" s="1208"/>
      <c r="R655" s="6">
        <f>OBRA!Q653</f>
        <v>44859</v>
      </c>
      <c r="S655" s="1327" t="str">
        <f>OBRA!T653</f>
        <v>NO APLICA</v>
      </c>
      <c r="T655" s="5">
        <f>OBRA!R653</f>
        <v>44862</v>
      </c>
      <c r="U655" s="12">
        <f>OBRA!S653</f>
        <v>44898</v>
      </c>
      <c r="V655" s="1821">
        <f t="shared" si="47"/>
        <v>665654.33100000001</v>
      </c>
      <c r="W655" s="1203">
        <f>OBRA!AQ653+OBRA!AR653</f>
        <v>2402556.7200000002</v>
      </c>
      <c r="X655" s="1573" t="s">
        <v>4628</v>
      </c>
      <c r="Y655" s="650" t="str">
        <f>OBRA!U653</f>
        <v>C. REFUGIO GUTIÉRREZ NIEVES</v>
      </c>
      <c r="Z655" s="650" t="s">
        <v>5822</v>
      </c>
      <c r="AA655" s="652" t="str">
        <f t="shared" si="46"/>
        <v>C. REFUGIO GUTIÉRREZ NIEVES</v>
      </c>
      <c r="AB655" s="650" t="s">
        <v>4634</v>
      </c>
      <c r="AC655" s="652" t="s">
        <v>4635</v>
      </c>
      <c r="AD655" s="200" t="str">
        <f>OBRA!V653</f>
        <v>C. DANIEL RODRIGUEZ VALENZUELA</v>
      </c>
      <c r="AE655" s="174">
        <v>1566.71</v>
      </c>
      <c r="AF655" s="202" t="s">
        <v>1552</v>
      </c>
      <c r="AG655" s="694">
        <f t="shared" si="44"/>
        <v>1533.5044264733103</v>
      </c>
      <c r="AH655" s="202">
        <v>1000</v>
      </c>
      <c r="AI655" s="566">
        <v>1000</v>
      </c>
      <c r="AJ655" s="566"/>
      <c r="AK655" s="1909">
        <v>20.286294999999999</v>
      </c>
      <c r="AL655" s="1814">
        <v>103.438901</v>
      </c>
      <c r="AM655" s="1567" t="s">
        <v>4640</v>
      </c>
      <c r="AN655" s="1567" t="s">
        <v>4640</v>
      </c>
      <c r="AO655" s="1567" t="s">
        <v>4640</v>
      </c>
      <c r="AP655" s="551" t="s">
        <v>4640</v>
      </c>
      <c r="AQ655" s="806" t="s">
        <v>4640</v>
      </c>
      <c r="AR655" s="556"/>
      <c r="AS655" s="556"/>
      <c r="AT655" s="556"/>
      <c r="AU655" s="556"/>
      <c r="AV655" s="35" t="s">
        <v>551</v>
      </c>
      <c r="AW655" s="13"/>
    </row>
    <row r="656" spans="1:49" ht="78" hidden="1" customHeight="1">
      <c r="A656" s="17">
        <f>OBRA!I654</f>
        <v>2022</v>
      </c>
      <c r="B656" s="895" t="s">
        <v>3989</v>
      </c>
      <c r="C656" s="895"/>
      <c r="D656" s="895"/>
      <c r="E656" s="2" t="str">
        <f>OBRA!K654</f>
        <v>RAMO 33</v>
      </c>
      <c r="F656" s="768" t="s">
        <v>1431</v>
      </c>
      <c r="G656" s="1003" t="s">
        <v>2239</v>
      </c>
      <c r="H656" s="13" t="str">
        <f>OBRA!L654</f>
        <v>GMJ 019 C-OP/2022</v>
      </c>
      <c r="I656" s="2" t="str">
        <f>OBRA!M654</f>
        <v>ADJUDICACIÓN DIRECTA</v>
      </c>
      <c r="J656" s="3" t="str">
        <f>OBRA!N654</f>
        <v>“CONSTRUCCIÓN DE REDES HIDROSANITARÍAS EN CALLE PRIV. JUAN PABLO II”, EN LA LOCALIDAD DE SAN JUAN COSALÁ, DEL MUNICIPIO DE JOCOTEPEC, JALISCO</v>
      </c>
      <c r="K656" s="1911"/>
      <c r="L656" s="328" t="s">
        <v>4612</v>
      </c>
      <c r="M656" s="780" t="str">
        <f>OBRA!O654</f>
        <v>SAN JUAN COSALÁ</v>
      </c>
      <c r="N656" s="554" t="s">
        <v>4617</v>
      </c>
      <c r="O656" s="4">
        <f>OBRA!P654</f>
        <v>762057.5</v>
      </c>
      <c r="P656" s="1208">
        <f t="shared" si="45"/>
        <v>656946.12068965519</v>
      </c>
      <c r="Q656" s="1208"/>
      <c r="R656" s="6">
        <f>OBRA!Q654</f>
        <v>44872</v>
      </c>
      <c r="S656" s="1327">
        <f>OBRA!T654</f>
        <v>44869</v>
      </c>
      <c r="T656" s="5">
        <f>OBRA!R654</f>
        <v>44889</v>
      </c>
      <c r="U656" s="12">
        <f>OBRA!S654</f>
        <v>44900</v>
      </c>
      <c r="V656" s="1821">
        <v>228617.25</v>
      </c>
      <c r="W656" s="1203">
        <f>OBRA!AQ654+OBRA!AR654</f>
        <v>745412.8</v>
      </c>
      <c r="X656" s="1235" t="s">
        <v>5097</v>
      </c>
      <c r="Y656" s="1281" t="str">
        <f>OBRA!U654</f>
        <v>ESTRUCTURAS PLANEADAS DE OCCIDENTE, S.A. DE C.V.</v>
      </c>
      <c r="Z656" s="1281" t="s">
        <v>5823</v>
      </c>
      <c r="AA656" s="446" t="s">
        <v>4530</v>
      </c>
      <c r="AB656" s="650" t="s">
        <v>4531</v>
      </c>
      <c r="AC656" s="446" t="s">
        <v>4551</v>
      </c>
      <c r="AD656" s="200" t="str">
        <f>OBRA!V654</f>
        <v>C. DANIEL RODRIGUEZ VALENZUELA</v>
      </c>
      <c r="AE656" s="174">
        <v>290.17</v>
      </c>
      <c r="AF656" s="202" t="s">
        <v>1454</v>
      </c>
      <c r="AG656" s="694">
        <f t="shared" si="44"/>
        <v>2568.8830685460248</v>
      </c>
      <c r="AH656" s="560"/>
      <c r="AI656" s="556"/>
      <c r="AJ656" s="556"/>
      <c r="AK656" s="1813">
        <v>20.289956</v>
      </c>
      <c r="AL656" s="1814">
        <v>103.340638</v>
      </c>
      <c r="AM656" s="629" t="s">
        <v>5098</v>
      </c>
      <c r="AN656" s="629" t="s">
        <v>5098</v>
      </c>
      <c r="AO656" s="629" t="s">
        <v>5098</v>
      </c>
      <c r="AP656" s="551" t="s">
        <v>5098</v>
      </c>
      <c r="AQ656" s="806" t="s">
        <v>5098</v>
      </c>
      <c r="AR656" s="556"/>
      <c r="AS656" s="556"/>
      <c r="AT656" s="556"/>
      <c r="AU656" s="556"/>
      <c r="AV656" s="35" t="s">
        <v>5078</v>
      </c>
      <c r="AW656" s="13"/>
    </row>
    <row r="657" spans="1:49" s="110" customFormat="1" ht="15" hidden="1" customHeight="1">
      <c r="A657" s="88">
        <f>OBRA!I655</f>
        <v>2022</v>
      </c>
      <c r="B657" s="897" t="s">
        <v>3989</v>
      </c>
      <c r="C657" s="895"/>
      <c r="D657" s="895"/>
      <c r="E657" s="91">
        <f>OBRA!K655</f>
        <v>0</v>
      </c>
      <c r="F657" s="89"/>
      <c r="G657" s="1003" t="s">
        <v>2239</v>
      </c>
      <c r="H657" s="109" t="str">
        <f>OBRA!L655</f>
        <v>GMJ 020 C-OP/2022</v>
      </c>
      <c r="I657" s="91" t="str">
        <f>OBRA!M655</f>
        <v>CANCELADA</v>
      </c>
      <c r="J657" s="132">
        <f>OBRA!N655</f>
        <v>0</v>
      </c>
      <c r="K657" s="132"/>
      <c r="L657" s="132"/>
      <c r="M657" s="132">
        <f>OBRA!O655</f>
        <v>0</v>
      </c>
      <c r="N657" s="132"/>
      <c r="O657" s="92">
        <f>OBRA!P655</f>
        <v>0</v>
      </c>
      <c r="P657" s="92">
        <f t="shared" si="45"/>
        <v>0</v>
      </c>
      <c r="Q657" s="92"/>
      <c r="R657" s="93">
        <f>OBRA!Q655</f>
        <v>0</v>
      </c>
      <c r="S657" s="1668">
        <f>OBRA!T655</f>
        <v>0</v>
      </c>
      <c r="T657" s="94">
        <f>OBRA!R655</f>
        <v>0</v>
      </c>
      <c r="U657" s="95">
        <f>OBRA!S655</f>
        <v>0</v>
      </c>
      <c r="V657" s="2050"/>
      <c r="W657" s="1696">
        <f>OBRA!AQ655+OBRA!AR655</f>
        <v>0</v>
      </c>
      <c r="X657" s="1200"/>
      <c r="Y657" s="935">
        <f>OBRA!U655</f>
        <v>0</v>
      </c>
      <c r="Z657" s="935"/>
      <c r="AA657" s="460">
        <f t="shared" si="46"/>
        <v>0</v>
      </c>
      <c r="AB657" s="935"/>
      <c r="AC657" s="460"/>
      <c r="AD657" s="199">
        <f>OBRA!V655</f>
        <v>0</v>
      </c>
      <c r="AE657" s="90"/>
      <c r="AF657" s="91"/>
      <c r="AG657" s="2051" t="e">
        <f t="shared" si="44"/>
        <v>#DIV/0!</v>
      </c>
      <c r="AH657" s="91"/>
      <c r="AI657" s="564"/>
      <c r="AJ657" s="564"/>
      <c r="AK657" s="1804"/>
      <c r="AL657" s="1805"/>
      <c r="AM657" s="942"/>
      <c r="AN657" s="942"/>
      <c r="AO657" s="942"/>
      <c r="AP657" s="564"/>
      <c r="AQ657" s="89"/>
      <c r="AR657" s="564"/>
      <c r="AS657" s="564"/>
      <c r="AT657" s="564"/>
      <c r="AU657" s="564"/>
      <c r="AV657" s="96"/>
      <c r="AW657" s="109"/>
    </row>
    <row r="658" spans="1:49" ht="96.75" hidden="1" customHeight="1">
      <c r="A658" s="17">
        <f>OBRA!I656</f>
        <v>2022</v>
      </c>
      <c r="B658" s="895" t="s">
        <v>3989</v>
      </c>
      <c r="C658" s="895"/>
      <c r="D658" s="895"/>
      <c r="E658" s="2" t="str">
        <f>OBRA!K656</f>
        <v>CEA-FISE</v>
      </c>
      <c r="F658" s="806" t="s">
        <v>5807</v>
      </c>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c r="M658" s="3" t="str">
        <f>OBRA!O656</f>
        <v>CABECERA MUNICIPAL</v>
      </c>
      <c r="N658" s="749" t="s">
        <v>5807</v>
      </c>
      <c r="O658" s="4">
        <f>OBRA!P656</f>
        <v>4000000</v>
      </c>
      <c r="P658" s="1208">
        <f t="shared" si="45"/>
        <v>3448275.8620689656</v>
      </c>
      <c r="Q658" s="1208"/>
      <c r="R658" s="6">
        <f>OBRA!Q656</f>
        <v>44848</v>
      </c>
      <c r="S658" s="1327" t="str">
        <f>OBRA!T656</f>
        <v>NO APLICA</v>
      </c>
      <c r="T658" s="5">
        <f>OBRA!R656</f>
        <v>45213</v>
      </c>
      <c r="U658" s="12">
        <f>OBRA!S656</f>
        <v>45565</v>
      </c>
      <c r="V658" s="305"/>
      <c r="W658" s="1207">
        <f>OBRA!AQ656+OBRA!AR656</f>
        <v>0</v>
      </c>
      <c r="X658" s="1202"/>
      <c r="Y658" s="639" t="str">
        <f>OBRA!U656</f>
        <v>-</v>
      </c>
      <c r="Z658" s="639" t="s">
        <v>68</v>
      </c>
      <c r="AA658" s="640" t="str">
        <f t="shared" si="46"/>
        <v>-</v>
      </c>
      <c r="AB658" s="1372"/>
      <c r="AC658" s="1373"/>
      <c r="AD658" s="608" t="str">
        <f>OBRA!V656</f>
        <v>-</v>
      </c>
      <c r="AE658" s="169"/>
      <c r="AF658" s="560"/>
      <c r="AG658" s="720" t="e">
        <f t="shared" si="44"/>
        <v>#DIV/0!</v>
      </c>
      <c r="AH658" s="560"/>
      <c r="AI658" s="556"/>
      <c r="AJ658" s="556"/>
      <c r="AK658" s="721"/>
      <c r="AL658" s="1806"/>
      <c r="AM658" s="631"/>
      <c r="AN658" s="631"/>
      <c r="AO658" s="631"/>
      <c r="AP658" s="556"/>
      <c r="AQ658" s="561"/>
      <c r="AR658" s="556"/>
      <c r="AS658" s="556"/>
      <c r="AT658" s="556"/>
      <c r="AU658" s="556"/>
      <c r="AV658" s="35"/>
      <c r="AW658" s="13"/>
    </row>
    <row r="659" spans="1:49" ht="80.25" hidden="1" customHeight="1">
      <c r="A659" s="17">
        <f>OBRA!I657</f>
        <v>2022</v>
      </c>
      <c r="B659" s="895" t="s">
        <v>3989</v>
      </c>
      <c r="C659" s="895"/>
      <c r="D659" s="895"/>
      <c r="E659" s="2" t="str">
        <f>OBRA!K657</f>
        <v>CEA-FISE</v>
      </c>
      <c r="F659" s="806" t="s">
        <v>5807</v>
      </c>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c r="M659" s="3" t="str">
        <f>OBRA!O657</f>
        <v>SAN CRISTÓBAL ZAPOTITLÁN</v>
      </c>
      <c r="N659" s="749" t="s">
        <v>5807</v>
      </c>
      <c r="O659" s="4">
        <f>OBRA!P657</f>
        <v>4000000</v>
      </c>
      <c r="P659" s="1208">
        <f t="shared" si="45"/>
        <v>3448275.8620689656</v>
      </c>
      <c r="Q659" s="1208"/>
      <c r="R659" s="6">
        <f>OBRA!Q657</f>
        <v>44848</v>
      </c>
      <c r="S659" s="1327" t="str">
        <f>OBRA!T657</f>
        <v>NO APLICA</v>
      </c>
      <c r="T659" s="5">
        <f>OBRA!R657</f>
        <v>44848</v>
      </c>
      <c r="U659" s="12">
        <f>OBRA!S657</f>
        <v>45565</v>
      </c>
      <c r="V659" s="305"/>
      <c r="W659" s="1207">
        <f>OBRA!AQ657+OBRA!AR657</f>
        <v>0</v>
      </c>
      <c r="X659" s="1202"/>
      <c r="Y659" s="639" t="str">
        <f>OBRA!U657</f>
        <v>-</v>
      </c>
      <c r="Z659" s="639" t="s">
        <v>68</v>
      </c>
      <c r="AA659" s="640" t="str">
        <f t="shared" si="46"/>
        <v>-</v>
      </c>
      <c r="AB659" s="1372"/>
      <c r="AC659" s="1373"/>
      <c r="AD659" s="608" t="str">
        <f>OBRA!V657</f>
        <v>-</v>
      </c>
      <c r="AE659" s="169"/>
      <c r="AF659" s="560"/>
      <c r="AG659" s="720" t="e">
        <f t="shared" si="44"/>
        <v>#DIV/0!</v>
      </c>
      <c r="AH659" s="560"/>
      <c r="AI659" s="556"/>
      <c r="AJ659" s="556"/>
      <c r="AK659" s="721"/>
      <c r="AL659" s="1806"/>
      <c r="AM659" s="631"/>
      <c r="AN659" s="631"/>
      <c r="AO659" s="631"/>
      <c r="AP659" s="556"/>
      <c r="AQ659" s="561"/>
      <c r="AR659" s="556"/>
      <c r="AS659" s="556"/>
      <c r="AT659" s="556"/>
      <c r="AU659" s="556"/>
      <c r="AV659" s="35"/>
      <c r="AW659" s="13"/>
    </row>
    <row r="660" spans="1:49" ht="65.25" hidden="1" customHeight="1">
      <c r="A660" s="17">
        <f>OBRA!I658</f>
        <v>2023</v>
      </c>
      <c r="B660" s="895" t="s">
        <v>3989</v>
      </c>
      <c r="C660" s="895"/>
      <c r="D660" s="895"/>
      <c r="E660" s="2" t="str">
        <f>OBRA!K658</f>
        <v>FOCOCI</v>
      </c>
      <c r="F660" s="806" t="s">
        <v>5808</v>
      </c>
      <c r="G660" s="632"/>
      <c r="H660" s="451" t="str">
        <f>OBRA!L658</f>
        <v>CONV/FOCOCI/014/2023</v>
      </c>
      <c r="I660" s="2" t="str">
        <f>OBRA!M658</f>
        <v>CONVENIOS</v>
      </c>
      <c r="J660" s="3" t="str">
        <f>OBRA!N658</f>
        <v>PAVIMENTACIÓN CON EMPEDRADO ZAMPEADO, EN CALLE LA PAZ EN LA DELEGACIÓN DE SAN JUAN COSALÁ, MUNICIPIO DE JOCOTPEC, JALISCO</v>
      </c>
      <c r="K660" s="597"/>
      <c r="L660" s="597"/>
      <c r="M660" s="3" t="str">
        <f>OBRA!O658</f>
        <v>SAN JUAN COSALÁ</v>
      </c>
      <c r="N660" s="749" t="s">
        <v>5808</v>
      </c>
      <c r="O660" s="4">
        <f>OBRA!P658</f>
        <v>5000000</v>
      </c>
      <c r="P660" s="1208">
        <f t="shared" si="45"/>
        <v>4310344.8275862075</v>
      </c>
      <c r="Q660" s="85" t="s">
        <v>68</v>
      </c>
      <c r="R660" s="6">
        <f>OBRA!Q658</f>
        <v>45086</v>
      </c>
      <c r="S660" s="1327" t="str">
        <f>OBRA!T658</f>
        <v>NO APLICA</v>
      </c>
      <c r="T660" s="5">
        <f>OBRA!R658</f>
        <v>45086</v>
      </c>
      <c r="U660" s="12">
        <f>OBRA!S658</f>
        <v>45291</v>
      </c>
      <c r="V660" s="305"/>
      <c r="W660" s="1207">
        <f>OBRA!AQ658+OBRA!AR658</f>
        <v>0</v>
      </c>
      <c r="X660" s="1202"/>
      <c r="Y660" s="639">
        <f>OBRA!U658</f>
        <v>0</v>
      </c>
      <c r="Z660" s="639" t="s">
        <v>68</v>
      </c>
      <c r="AA660" s="640">
        <f t="shared" si="46"/>
        <v>0</v>
      </c>
      <c r="AB660" s="1372"/>
      <c r="AC660" s="1373"/>
      <c r="AD660" s="608">
        <f>OBRA!V658</f>
        <v>0</v>
      </c>
      <c r="AE660" s="169"/>
      <c r="AF660" s="560"/>
      <c r="AG660" s="720" t="e">
        <f t="shared" si="44"/>
        <v>#DIV/0!</v>
      </c>
      <c r="AH660" s="560"/>
      <c r="AI660" s="556"/>
      <c r="AJ660" s="2076"/>
      <c r="AK660" s="721"/>
      <c r="AL660" s="1806"/>
      <c r="AM660" s="631"/>
      <c r="AN660" s="631"/>
      <c r="AO660" s="631"/>
      <c r="AP660" s="556"/>
      <c r="AQ660" s="561"/>
      <c r="AR660" s="556"/>
      <c r="AS660" s="556"/>
      <c r="AT660" s="556"/>
      <c r="AU660" s="556"/>
      <c r="AV660" s="35"/>
      <c r="AW660" s="13"/>
    </row>
    <row r="661" spans="1:49" ht="60" hidden="1" customHeight="1">
      <c r="A661" s="17">
        <f>OBRA!I659</f>
        <v>2023</v>
      </c>
      <c r="B661" s="895" t="s">
        <v>3989</v>
      </c>
      <c r="C661" s="895"/>
      <c r="D661" s="895"/>
      <c r="E661" s="2" t="str">
        <f>OBRA!K659</f>
        <v>CEA-FISE</v>
      </c>
      <c r="F661" s="806" t="s">
        <v>5808</v>
      </c>
      <c r="G661" s="632"/>
      <c r="H661" s="451" t="str">
        <f>OBRA!L659</f>
        <v>CEA-IHAP-FISE-021/2023</v>
      </c>
      <c r="I661" s="2" t="str">
        <f>OBRA!M659</f>
        <v>CONVENIOS</v>
      </c>
      <c r="J661" s="3" t="str">
        <f>OBRA!N659</f>
        <v>PERFORACIÓN DE POZO PROFUNDO PARA LA EXTRACCIÓN DE AGUA POTABLE, UBICADO EN LA LOCALIDAD DE SAN JUAN COSALÁ MUNICIPIO DE JOCOTEPEC, JALISCO.</v>
      </c>
      <c r="K661" s="597"/>
      <c r="L661" s="597"/>
      <c r="M661" s="3" t="str">
        <f>OBRA!O659</f>
        <v>SAN JUAN COSALÁ</v>
      </c>
      <c r="N661" s="749" t="s">
        <v>5808</v>
      </c>
      <c r="O661" s="4">
        <f>OBRA!P659</f>
        <v>4000000</v>
      </c>
      <c r="P661" s="1208">
        <f t="shared" si="45"/>
        <v>3448275.8620689656</v>
      </c>
      <c r="Q661" s="85" t="s">
        <v>68</v>
      </c>
      <c r="R661" s="6">
        <f>OBRA!Q659</f>
        <v>45153</v>
      </c>
      <c r="S661" s="1327" t="str">
        <f>OBRA!T659</f>
        <v>NO APLICA</v>
      </c>
      <c r="T661" s="5">
        <f>OBRA!R659</f>
        <v>45153</v>
      </c>
      <c r="U661" s="12">
        <f>OBRA!S659</f>
        <v>45565</v>
      </c>
      <c r="V661" s="305"/>
      <c r="W661" s="1207">
        <f>OBRA!AQ659+OBRA!AR659</f>
        <v>0</v>
      </c>
      <c r="X661" s="1202"/>
      <c r="Y661" s="639">
        <f>OBRA!U659</f>
        <v>0</v>
      </c>
      <c r="Z661" s="639" t="s">
        <v>68</v>
      </c>
      <c r="AA661" s="640">
        <f t="shared" si="46"/>
        <v>0</v>
      </c>
      <c r="AB661" s="1372"/>
      <c r="AC661" s="1373"/>
      <c r="AD661" s="608">
        <f>OBRA!V659</f>
        <v>0</v>
      </c>
      <c r="AE661" s="169"/>
      <c r="AF661" s="560"/>
      <c r="AG661" s="720" t="e">
        <f t="shared" si="44"/>
        <v>#DIV/0!</v>
      </c>
      <c r="AH661" s="560"/>
      <c r="AI661" s="556"/>
      <c r="AJ661" s="2076"/>
      <c r="AK661" s="721"/>
      <c r="AL661" s="1806"/>
      <c r="AM661" s="631"/>
      <c r="AN661" s="631"/>
      <c r="AO661" s="631"/>
      <c r="AP661" s="556"/>
      <c r="AQ661" s="561"/>
      <c r="AR661" s="556"/>
      <c r="AS661" s="556"/>
      <c r="AT661" s="556"/>
      <c r="AU661" s="556"/>
      <c r="AV661" s="35"/>
      <c r="AW661" s="13"/>
    </row>
    <row r="662" spans="1:49" ht="63" hidden="1" customHeight="1">
      <c r="A662" s="17">
        <f>OBRA!I660</f>
        <v>2023</v>
      </c>
      <c r="B662" s="895" t="s">
        <v>3989</v>
      </c>
      <c r="C662" s="895"/>
      <c r="D662" s="895"/>
      <c r="E662" s="2" t="str">
        <f>OBRA!K660</f>
        <v>CEA-FISE</v>
      </c>
      <c r="F662" s="806" t="s">
        <v>5808</v>
      </c>
      <c r="G662" s="632"/>
      <c r="H662" s="451" t="str">
        <f>OBRA!L660</f>
        <v>CEA-IHAP-FISE-022/2023</v>
      </c>
      <c r="I662" s="2" t="str">
        <f>OBRA!M660</f>
        <v>CONVENIOS</v>
      </c>
      <c r="J662" s="3" t="str">
        <f>OBRA!N660</f>
        <v>PERFORACIÓN DE POZO PROFUNDO PARA LA EXTRACCIÓN DE AGUA POTABLE, UBICADO EN LA CABECERA MUNICIPAL DE JOCOTEPEC, JALISCO.</v>
      </c>
      <c r="K662" s="597"/>
      <c r="L662" s="597"/>
      <c r="M662" s="3" t="str">
        <f>OBRA!O660</f>
        <v>CABECERA MUNICIPAL</v>
      </c>
      <c r="N662" s="749" t="s">
        <v>5808</v>
      </c>
      <c r="O662" s="4">
        <f>OBRA!P660</f>
        <v>4000000</v>
      </c>
      <c r="P662" s="1208">
        <f t="shared" si="45"/>
        <v>3448275.8620689656</v>
      </c>
      <c r="Q662" s="85" t="s">
        <v>68</v>
      </c>
      <c r="R662" s="6">
        <f>OBRA!Q660</f>
        <v>45153</v>
      </c>
      <c r="S662" s="1327" t="str">
        <f>OBRA!T660</f>
        <v>NO APLICA</v>
      </c>
      <c r="T662" s="5">
        <f>OBRA!R660</f>
        <v>45153</v>
      </c>
      <c r="U662" s="12">
        <f>OBRA!S660</f>
        <v>45565</v>
      </c>
      <c r="V662" s="305"/>
      <c r="W662" s="1207">
        <f>OBRA!AQ660+OBRA!AR660</f>
        <v>0</v>
      </c>
      <c r="X662" s="1202"/>
      <c r="Y662" s="639">
        <f>OBRA!U660</f>
        <v>0</v>
      </c>
      <c r="Z662" s="639" t="s">
        <v>68</v>
      </c>
      <c r="AA662" s="640">
        <f t="shared" si="46"/>
        <v>0</v>
      </c>
      <c r="AB662" s="1372"/>
      <c r="AC662" s="1373"/>
      <c r="AD662" s="608">
        <f>OBRA!V660</f>
        <v>0</v>
      </c>
      <c r="AE662" s="169"/>
      <c r="AF662" s="560"/>
      <c r="AG662" s="720" t="e">
        <f t="shared" si="44"/>
        <v>#DIV/0!</v>
      </c>
      <c r="AH662" s="560"/>
      <c r="AI662" s="556"/>
      <c r="AJ662" s="2076"/>
      <c r="AK662" s="721"/>
      <c r="AL662" s="1806"/>
      <c r="AM662" s="631"/>
      <c r="AN662" s="631"/>
      <c r="AO662" s="631"/>
      <c r="AP662" s="556"/>
      <c r="AQ662" s="561"/>
      <c r="AR662" s="556"/>
      <c r="AS662" s="556"/>
      <c r="AT662" s="556"/>
      <c r="AU662" s="556"/>
      <c r="AV662" s="35"/>
      <c r="AW662" s="13"/>
    </row>
    <row r="663" spans="1:49" ht="120" hidden="1" customHeight="1">
      <c r="A663" s="17">
        <f>OBRA!I661</f>
        <v>2023</v>
      </c>
      <c r="B663" s="895" t="s">
        <v>3989</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4929</v>
      </c>
      <c r="L663" s="328" t="s">
        <v>5682</v>
      </c>
      <c r="M663" s="328" t="str">
        <f>OBRA!O661</f>
        <v>SAN JUAN COSALÁ</v>
      </c>
      <c r="N663" s="554" t="s">
        <v>4940</v>
      </c>
      <c r="O663" s="4">
        <f>OBRA!P661</f>
        <v>17400</v>
      </c>
      <c r="P663" s="1208">
        <f t="shared" si="45"/>
        <v>15000.000000000002</v>
      </c>
      <c r="Q663" s="85" t="s">
        <v>68</v>
      </c>
      <c r="R663" s="6">
        <f>OBRA!Q661</f>
        <v>44928</v>
      </c>
      <c r="S663" s="1327" t="str">
        <f>OBRA!T661</f>
        <v>-</v>
      </c>
      <c r="T663" s="5">
        <f>OBRA!R661</f>
        <v>44929</v>
      </c>
      <c r="U663" s="12">
        <f>OBRA!S661</f>
        <v>44931</v>
      </c>
      <c r="V663" s="305">
        <v>0</v>
      </c>
      <c r="W663" s="1207">
        <f>OBRA!AQ661+OBRA!AR661</f>
        <v>0</v>
      </c>
      <c r="X663" s="1202" t="s">
        <v>5754</v>
      </c>
      <c r="Y663" s="639" t="str">
        <f>OBRA!U661</f>
        <v>ING. J. TRINIDAD NUÑEZ BRITO</v>
      </c>
      <c r="Z663" s="639" t="s">
        <v>5822</v>
      </c>
      <c r="AA663" s="640" t="s">
        <v>4931</v>
      </c>
      <c r="AB663" s="650" t="s">
        <v>4475</v>
      </c>
      <c r="AC663" s="652" t="s">
        <v>5771</v>
      </c>
      <c r="AD663" s="200" t="str">
        <f>OBRA!V661</f>
        <v>ARQ. FRANCISCO SALAZAR</v>
      </c>
      <c r="AE663" s="174">
        <v>1</v>
      </c>
      <c r="AF663" s="202" t="s">
        <v>1466</v>
      </c>
      <c r="AG663" s="720">
        <f t="shared" ref="AG663:AG733" si="48">W663/AE663</f>
        <v>0</v>
      </c>
      <c r="AH663" s="560"/>
      <c r="AI663" s="556"/>
      <c r="AJ663" s="2075" t="s">
        <v>68</v>
      </c>
      <c r="AK663" s="721"/>
      <c r="AL663" s="1806"/>
      <c r="AM663" s="631" t="s">
        <v>5768</v>
      </c>
      <c r="AN663" s="631"/>
      <c r="AO663" s="631"/>
      <c r="AP663" s="556"/>
      <c r="AQ663" s="561"/>
      <c r="AR663" s="556"/>
      <c r="AS663" s="556"/>
      <c r="AT663" s="556"/>
      <c r="AU663" s="556"/>
      <c r="AV663" s="35"/>
      <c r="AW663" s="13"/>
    </row>
    <row r="664" spans="1:49" ht="108.75" hidden="1" customHeight="1">
      <c r="A664" s="17">
        <f>OBRA!I662</f>
        <v>2023</v>
      </c>
      <c r="B664" s="895" t="s">
        <v>3989</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4930</v>
      </c>
      <c r="L664" s="328" t="s">
        <v>5683</v>
      </c>
      <c r="M664" s="328" t="str">
        <f>OBRA!O662</f>
        <v>SAN PEDRO TESISTÁN</v>
      </c>
      <c r="N664" s="554" t="s">
        <v>4940</v>
      </c>
      <c r="O664" s="4">
        <f>OBRA!P662</f>
        <v>17400</v>
      </c>
      <c r="P664" s="1208">
        <f t="shared" si="45"/>
        <v>15000.000000000002</v>
      </c>
      <c r="Q664" s="85" t="s">
        <v>68</v>
      </c>
      <c r="R664" s="6">
        <f>OBRA!Q662</f>
        <v>44928</v>
      </c>
      <c r="S664" s="1327" t="str">
        <f>OBRA!T662</f>
        <v>-</v>
      </c>
      <c r="T664" s="5">
        <f>OBRA!R662</f>
        <v>44931</v>
      </c>
      <c r="U664" s="12">
        <f>OBRA!S662</f>
        <v>44932</v>
      </c>
      <c r="V664" s="305">
        <v>0</v>
      </c>
      <c r="W664" s="1207">
        <f>OBRA!AQ662+OBRA!AR662</f>
        <v>0</v>
      </c>
      <c r="X664" s="1202" t="s">
        <v>5754</v>
      </c>
      <c r="Y664" s="639" t="str">
        <f>OBRA!U662</f>
        <v>ING. J. TRINIDAD NUÑEZ BRITO</v>
      </c>
      <c r="Z664" s="639" t="s">
        <v>5822</v>
      </c>
      <c r="AA664" s="640" t="s">
        <v>3800</v>
      </c>
      <c r="AB664" s="650" t="s">
        <v>4475</v>
      </c>
      <c r="AC664" s="652" t="s">
        <v>5771</v>
      </c>
      <c r="AD664" s="200" t="str">
        <f>OBRA!V662</f>
        <v>ARQ. FRANCISCO SALAZAR</v>
      </c>
      <c r="AE664" s="174">
        <v>1</v>
      </c>
      <c r="AF664" s="202" t="s">
        <v>1466</v>
      </c>
      <c r="AG664" s="720">
        <f t="shared" si="48"/>
        <v>0</v>
      </c>
      <c r="AH664" s="560"/>
      <c r="AI664" s="556"/>
      <c r="AJ664" s="2075" t="s">
        <v>68</v>
      </c>
      <c r="AK664" s="721"/>
      <c r="AL664" s="1806"/>
      <c r="AM664" s="631" t="s">
        <v>5768</v>
      </c>
      <c r="AN664" s="631"/>
      <c r="AO664" s="631"/>
      <c r="AP664" s="556"/>
      <c r="AQ664" s="561"/>
      <c r="AR664" s="556"/>
      <c r="AS664" s="556"/>
      <c r="AT664" s="556"/>
      <c r="AU664" s="556"/>
      <c r="AV664" s="35"/>
      <c r="AW664" s="13"/>
    </row>
    <row r="665" spans="1:49" ht="114.75" hidden="1" customHeight="1">
      <c r="A665" s="17">
        <f>OBRA!I663</f>
        <v>2023</v>
      </c>
      <c r="B665" s="895" t="s">
        <v>3989</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4929</v>
      </c>
      <c r="L665" s="328" t="s">
        <v>5684</v>
      </c>
      <c r="M665" s="328" t="str">
        <f>OBRA!O663</f>
        <v>SAN PEDRO TESISTÁN</v>
      </c>
      <c r="N665" s="554" t="s">
        <v>4940</v>
      </c>
      <c r="O665" s="4">
        <f>OBRA!P663</f>
        <v>17400</v>
      </c>
      <c r="P665" s="1208">
        <f t="shared" si="45"/>
        <v>15000.000000000002</v>
      </c>
      <c r="Q665" s="85" t="s">
        <v>68</v>
      </c>
      <c r="R665" s="6">
        <f>OBRA!Q663</f>
        <v>44928</v>
      </c>
      <c r="S665" s="1327" t="str">
        <f>OBRA!T663</f>
        <v>-</v>
      </c>
      <c r="T665" s="5">
        <f>OBRA!R663</f>
        <v>0</v>
      </c>
      <c r="U665" s="12">
        <f>OBRA!S663</f>
        <v>0</v>
      </c>
      <c r="V665" s="305">
        <v>0</v>
      </c>
      <c r="W665" s="1207">
        <f>OBRA!AQ663+OBRA!AR663</f>
        <v>0</v>
      </c>
      <c r="X665" s="1202" t="s">
        <v>5754</v>
      </c>
      <c r="Y665" s="639" t="str">
        <f>OBRA!U663</f>
        <v>ING. J. TRINIDAD NUÑEZ BRITO</v>
      </c>
      <c r="Z665" s="639" t="s">
        <v>5822</v>
      </c>
      <c r="AA665" s="640" t="s">
        <v>3800</v>
      </c>
      <c r="AB665" s="650" t="s">
        <v>4475</v>
      </c>
      <c r="AC665" s="652" t="s">
        <v>5771</v>
      </c>
      <c r="AD665" s="200" t="str">
        <f>OBRA!V663</f>
        <v>ARQ. FRANCISCO SALAZAR</v>
      </c>
      <c r="AE665" s="174">
        <v>1</v>
      </c>
      <c r="AF665" s="202" t="s">
        <v>1466</v>
      </c>
      <c r="AG665" s="720">
        <f t="shared" si="48"/>
        <v>0</v>
      </c>
      <c r="AH665" s="560"/>
      <c r="AI665" s="556"/>
      <c r="AJ665" s="2075" t="s">
        <v>68</v>
      </c>
      <c r="AK665" s="721"/>
      <c r="AL665" s="1806"/>
      <c r="AM665" s="631" t="s">
        <v>5768</v>
      </c>
      <c r="AN665" s="631"/>
      <c r="AO665" s="631"/>
      <c r="AP665" s="556"/>
      <c r="AQ665" s="561"/>
      <c r="AR665" s="556"/>
      <c r="AS665" s="556"/>
      <c r="AT665" s="556"/>
      <c r="AU665" s="556"/>
      <c r="AV665" s="35"/>
      <c r="AW665" s="13"/>
    </row>
    <row r="666" spans="1:49" ht="93.75" hidden="1" customHeight="1">
      <c r="A666" s="17">
        <f>OBRA!I664</f>
        <v>2023</v>
      </c>
      <c r="B666" s="895" t="s">
        <v>3989</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3826</v>
      </c>
      <c r="L666" s="328" t="s">
        <v>5685</v>
      </c>
      <c r="M666" s="328" t="str">
        <f>OBRA!O664</f>
        <v>CABECERA MUNICIPAL</v>
      </c>
      <c r="N666" s="554" t="s">
        <v>4940</v>
      </c>
      <c r="O666" s="4">
        <f>OBRA!P664</f>
        <v>25520</v>
      </c>
      <c r="P666" s="1208">
        <f t="shared" ref="P666:P733" si="49">O666/1.16</f>
        <v>22000</v>
      </c>
      <c r="Q666" s="85" t="s">
        <v>68</v>
      </c>
      <c r="R666" s="6">
        <f>OBRA!Q664</f>
        <v>44953</v>
      </c>
      <c r="S666" s="1327" t="str">
        <f>OBRA!T664</f>
        <v>-</v>
      </c>
      <c r="T666" s="5">
        <f>OBRA!R664</f>
        <v>44958</v>
      </c>
      <c r="U666" s="12">
        <f>OBRA!S664</f>
        <v>44960</v>
      </c>
      <c r="V666" s="305">
        <v>0</v>
      </c>
      <c r="W666" s="1207">
        <f>OBRA!AQ664+OBRA!AR664</f>
        <v>0</v>
      </c>
      <c r="X666" s="1202" t="s">
        <v>5754</v>
      </c>
      <c r="Y666" s="639" t="str">
        <f>OBRA!U664</f>
        <v>ING. SERGIO CABRERA</v>
      </c>
      <c r="Z666" s="639" t="s">
        <v>5822</v>
      </c>
      <c r="AA666" s="640" t="s">
        <v>4496</v>
      </c>
      <c r="AB666" s="650" t="s">
        <v>5722</v>
      </c>
      <c r="AC666" s="652" t="s">
        <v>4935</v>
      </c>
      <c r="AD666" s="200" t="str">
        <f>OBRA!V664</f>
        <v>ARQ. FRANCISCO SALAZAR</v>
      </c>
      <c r="AE666" s="174">
        <v>1</v>
      </c>
      <c r="AF666" s="202" t="s">
        <v>5726</v>
      </c>
      <c r="AG666" s="720">
        <f t="shared" si="48"/>
        <v>0</v>
      </c>
      <c r="AH666" s="560"/>
      <c r="AI666" s="556"/>
      <c r="AJ666" s="2075" t="s">
        <v>68</v>
      </c>
      <c r="AK666" s="721"/>
      <c r="AL666" s="1806"/>
      <c r="AM666" s="631" t="s">
        <v>5769</v>
      </c>
      <c r="AN666" s="631"/>
      <c r="AO666" s="631"/>
      <c r="AP666" s="556"/>
      <c r="AQ666" s="561"/>
      <c r="AR666" s="556"/>
      <c r="AS666" s="556"/>
      <c r="AT666" s="556"/>
      <c r="AU666" s="556"/>
      <c r="AV666" s="35"/>
      <c r="AW666" s="13"/>
    </row>
    <row r="667" spans="1:49" ht="82.5" hidden="1" customHeight="1">
      <c r="A667" s="17">
        <f>OBRA!I665</f>
        <v>2023</v>
      </c>
      <c r="B667" s="895" t="s">
        <v>3989</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3826</v>
      </c>
      <c r="L667" s="328" t="s">
        <v>5686</v>
      </c>
      <c r="M667" s="328" t="str">
        <f>OBRA!O665</f>
        <v>CABECERA MUNICIPAL</v>
      </c>
      <c r="N667" s="554" t="s">
        <v>4940</v>
      </c>
      <c r="O667" s="4">
        <f>OBRA!P665</f>
        <v>17400</v>
      </c>
      <c r="P667" s="1208">
        <f t="shared" si="49"/>
        <v>15000.000000000002</v>
      </c>
      <c r="Q667" s="85" t="s">
        <v>68</v>
      </c>
      <c r="R667" s="6">
        <f>OBRA!Q665</f>
        <v>44953</v>
      </c>
      <c r="S667" s="1327" t="str">
        <f>OBRA!T665</f>
        <v>-</v>
      </c>
      <c r="T667" s="5">
        <f>OBRA!R665</f>
        <v>44960</v>
      </c>
      <c r="U667" s="12">
        <f>OBRA!S665</f>
        <v>44962</v>
      </c>
      <c r="V667" s="305">
        <v>0</v>
      </c>
      <c r="W667" s="1207">
        <f>OBRA!AQ665+OBRA!AR665</f>
        <v>0</v>
      </c>
      <c r="X667" s="1202" t="s">
        <v>5754</v>
      </c>
      <c r="Y667" s="639" t="str">
        <f>OBRA!U665</f>
        <v>ING. SERGIO CABRERA</v>
      </c>
      <c r="Z667" s="639" t="s">
        <v>5822</v>
      </c>
      <c r="AA667" s="640" t="s">
        <v>4496</v>
      </c>
      <c r="AB667" s="650" t="s">
        <v>5722</v>
      </c>
      <c r="AC667" s="652" t="s">
        <v>4935</v>
      </c>
      <c r="AD667" s="200" t="str">
        <f>OBRA!V665</f>
        <v>ARQ. FRANCISCO SALAZAR</v>
      </c>
      <c r="AE667" s="174">
        <v>1</v>
      </c>
      <c r="AF667" s="202" t="s">
        <v>5726</v>
      </c>
      <c r="AG667" s="720">
        <f t="shared" si="48"/>
        <v>0</v>
      </c>
      <c r="AH667" s="560"/>
      <c r="AI667" s="556"/>
      <c r="AJ667" s="2075" t="s">
        <v>68</v>
      </c>
      <c r="AK667" s="721"/>
      <c r="AL667" s="1806"/>
      <c r="AM667" s="631" t="s">
        <v>5769</v>
      </c>
      <c r="AN667" s="631"/>
      <c r="AO667" s="631"/>
      <c r="AP667" s="556"/>
      <c r="AQ667" s="561"/>
      <c r="AR667" s="556"/>
      <c r="AS667" s="556"/>
      <c r="AT667" s="556"/>
      <c r="AU667" s="556"/>
      <c r="AV667" s="35"/>
      <c r="AW667" s="13"/>
    </row>
    <row r="668" spans="1:49" ht="101.25" hidden="1" customHeight="1">
      <c r="A668" s="17">
        <f>OBRA!I666</f>
        <v>2023</v>
      </c>
      <c r="B668" s="895" t="s">
        <v>3989</v>
      </c>
      <c r="C668" s="895"/>
      <c r="D668" s="895"/>
      <c r="E668" s="2" t="str">
        <f>OBRA!K666</f>
        <v>CUENTA CORRIENTE</v>
      </c>
      <c r="F668" s="205" t="s">
        <v>1431</v>
      </c>
      <c r="G668" s="632"/>
      <c r="H668" s="451"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28" t="s">
        <v>5728</v>
      </c>
      <c r="L668" s="328" t="s">
        <v>5687</v>
      </c>
      <c r="M668" s="328" t="str">
        <f>OBRA!O666</f>
        <v>NEXTIPAC</v>
      </c>
      <c r="N668" s="554" t="s">
        <v>4940</v>
      </c>
      <c r="O668" s="4">
        <f>OBRA!P666</f>
        <v>3500</v>
      </c>
      <c r="P668" s="1208">
        <f t="shared" si="49"/>
        <v>3017.2413793103451</v>
      </c>
      <c r="Q668" s="85" t="s">
        <v>68</v>
      </c>
      <c r="R668" s="6">
        <f>OBRA!Q666</f>
        <v>44929</v>
      </c>
      <c r="S668" s="1327" t="str">
        <f>OBRA!T666</f>
        <v>-</v>
      </c>
      <c r="T668" s="5">
        <f>OBRA!R666</f>
        <v>44931</v>
      </c>
      <c r="U668" s="12">
        <f>OBRA!S666</f>
        <v>44931</v>
      </c>
      <c r="V668" s="305">
        <v>0</v>
      </c>
      <c r="W668" s="1207">
        <f>OBRA!AQ666+OBRA!AR666</f>
        <v>0</v>
      </c>
      <c r="X668" s="1202" t="s">
        <v>5754</v>
      </c>
      <c r="Y668" s="639" t="str">
        <f>OBRA!U666</f>
        <v>PEDRO MACHUCA SAAVEDRA</v>
      </c>
      <c r="Z668" s="639" t="s">
        <v>5822</v>
      </c>
      <c r="AA668" s="640" t="str">
        <f>Y668</f>
        <v>PEDRO MACHUCA SAAVEDRA</v>
      </c>
      <c r="AB668" s="1281" t="s">
        <v>1177</v>
      </c>
      <c r="AC668" s="446" t="s">
        <v>1177</v>
      </c>
      <c r="AD668" s="769" t="str">
        <f>OBRA!V666</f>
        <v>ARQ. FRANCISCO SALAZAR</v>
      </c>
      <c r="AE668" s="174">
        <v>1</v>
      </c>
      <c r="AF668" s="202" t="s">
        <v>1577</v>
      </c>
      <c r="AG668" s="720">
        <f t="shared" si="48"/>
        <v>0</v>
      </c>
      <c r="AH668" s="560"/>
      <c r="AI668" s="556"/>
      <c r="AJ668" s="2075" t="s">
        <v>68</v>
      </c>
      <c r="AK668" s="721"/>
      <c r="AL668" s="1806"/>
      <c r="AM668" s="631" t="s">
        <v>5768</v>
      </c>
      <c r="AN668" s="631"/>
      <c r="AO668" s="631"/>
      <c r="AP668" s="556"/>
      <c r="AQ668" s="561"/>
      <c r="AR668" s="556"/>
      <c r="AS668" s="556"/>
      <c r="AT668" s="556"/>
      <c r="AU668" s="556"/>
      <c r="AV668" s="35"/>
      <c r="AW668" s="13"/>
    </row>
    <row r="669" spans="1:49" ht="90" hidden="1" customHeight="1">
      <c r="A669" s="17">
        <f>OBRA!I667</f>
        <v>2023</v>
      </c>
      <c r="B669" s="895" t="s">
        <v>3989</v>
      </c>
      <c r="C669" s="895"/>
      <c r="D669" s="895"/>
      <c r="E669" s="2" t="str">
        <f>OBRA!K667</f>
        <v>CUENTA CORRIENTE</v>
      </c>
      <c r="F669" s="205" t="s">
        <v>1431</v>
      </c>
      <c r="G669" s="632"/>
      <c r="H669" s="451"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28" t="s">
        <v>5728</v>
      </c>
      <c r="L669" s="328" t="s">
        <v>5688</v>
      </c>
      <c r="M669" s="328" t="str">
        <f>OBRA!O667</f>
        <v>SAN JUAN COSALÁ</v>
      </c>
      <c r="N669" s="554" t="s">
        <v>4940</v>
      </c>
      <c r="O669" s="4">
        <f>OBRA!P667</f>
        <v>3500</v>
      </c>
      <c r="P669" s="1208">
        <f t="shared" si="49"/>
        <v>3017.2413793103451</v>
      </c>
      <c r="Q669" s="85" t="s">
        <v>68</v>
      </c>
      <c r="R669" s="6">
        <f>OBRA!Q667</f>
        <v>44970</v>
      </c>
      <c r="S669" s="1327" t="str">
        <f>OBRA!T667</f>
        <v>-</v>
      </c>
      <c r="T669" s="5">
        <f>OBRA!R667</f>
        <v>44972</v>
      </c>
      <c r="U669" s="12">
        <f>OBRA!S667</f>
        <v>44972</v>
      </c>
      <c r="V669" s="305">
        <v>0</v>
      </c>
      <c r="W669" s="1207">
        <f>OBRA!AQ667+OBRA!AR667</f>
        <v>0</v>
      </c>
      <c r="X669" s="1202" t="s">
        <v>5754</v>
      </c>
      <c r="Y669" s="639" t="str">
        <f>OBRA!U667</f>
        <v>PEDRO MACHUCA SAAVEDRA</v>
      </c>
      <c r="Z669" s="639" t="s">
        <v>5822</v>
      </c>
      <c r="AA669" s="640" t="str">
        <f>Y669</f>
        <v>PEDRO MACHUCA SAAVEDRA</v>
      </c>
      <c r="AB669" s="1281" t="s">
        <v>1177</v>
      </c>
      <c r="AC669" s="446" t="s">
        <v>1177</v>
      </c>
      <c r="AD669" s="769" t="str">
        <f>OBRA!V667</f>
        <v>ARQ. FRANCISCO SALAZAR</v>
      </c>
      <c r="AE669" s="174">
        <v>1</v>
      </c>
      <c r="AF669" s="202" t="s">
        <v>1577</v>
      </c>
      <c r="AG669" s="720">
        <f t="shared" si="48"/>
        <v>0</v>
      </c>
      <c r="AH669" s="560"/>
      <c r="AI669" s="556"/>
      <c r="AJ669" s="2075" t="s">
        <v>68</v>
      </c>
      <c r="AK669" s="721"/>
      <c r="AL669" s="1806"/>
      <c r="AM669" s="631" t="s">
        <v>5768</v>
      </c>
      <c r="AN669" s="631"/>
      <c r="AO669" s="631"/>
      <c r="AP669" s="556"/>
      <c r="AQ669" s="561"/>
      <c r="AR669" s="556"/>
      <c r="AS669" s="556"/>
      <c r="AT669" s="556"/>
      <c r="AU669" s="556"/>
      <c r="AV669" s="35"/>
      <c r="AW669" s="13"/>
    </row>
    <row r="670" spans="1:49" ht="152.25" hidden="1" customHeight="1">
      <c r="A670" s="17">
        <f>OBRA!I668</f>
        <v>2023</v>
      </c>
      <c r="B670" s="895" t="s">
        <v>3989</v>
      </c>
      <c r="C670" s="895"/>
      <c r="D670" s="895"/>
      <c r="E670" s="2" t="str">
        <f>OBRA!K668</f>
        <v>CUENTA CORRIENTE</v>
      </c>
      <c r="F670" s="205" t="s">
        <v>1431</v>
      </c>
      <c r="G670" s="632"/>
      <c r="H670" s="451"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28" t="s">
        <v>5729</v>
      </c>
      <c r="L670" s="328" t="s">
        <v>5689</v>
      </c>
      <c r="M670" s="328" t="str">
        <f>OBRA!O668</f>
        <v>CABECERA MUNICIPAL</v>
      </c>
      <c r="N670" s="597"/>
      <c r="O670" s="4">
        <f>OBRA!P668</f>
        <v>22272</v>
      </c>
      <c r="P670" s="1208">
        <f t="shared" si="49"/>
        <v>19200</v>
      </c>
      <c r="Q670" s="85" t="s">
        <v>68</v>
      </c>
      <c r="R670" s="6">
        <f>OBRA!Q668</f>
        <v>44978</v>
      </c>
      <c r="S670" s="1327" t="str">
        <f>OBRA!T668</f>
        <v>-</v>
      </c>
      <c r="T670" s="5">
        <f>OBRA!R668</f>
        <v>44979</v>
      </c>
      <c r="U670" s="12">
        <f>OBRA!S668</f>
        <v>44979</v>
      </c>
      <c r="V670" s="305">
        <v>0</v>
      </c>
      <c r="W670" s="1207">
        <f>OBRA!AQ668+OBRA!AR668</f>
        <v>0</v>
      </c>
      <c r="X670" s="1202" t="s">
        <v>5754</v>
      </c>
      <c r="Y670" s="639" t="str">
        <f>OBRA!U668</f>
        <v>ECCOC DE GUADALAJARA, S.A. DE C.V.</v>
      </c>
      <c r="Z670" s="639" t="s">
        <v>5823</v>
      </c>
      <c r="AA670" s="640" t="s">
        <v>4554</v>
      </c>
      <c r="AB670" s="1281" t="s">
        <v>4480</v>
      </c>
      <c r="AC670" s="446" t="s">
        <v>4481</v>
      </c>
      <c r="AD670" s="200" t="str">
        <f>OBRA!V668</f>
        <v>ARQ. FRANCISCO SALAZAR</v>
      </c>
      <c r="AE670" s="174">
        <v>1</v>
      </c>
      <c r="AF670" s="202" t="s">
        <v>1577</v>
      </c>
      <c r="AG670" s="720">
        <f t="shared" si="48"/>
        <v>0</v>
      </c>
      <c r="AH670" s="560"/>
      <c r="AI670" s="556"/>
      <c r="AJ670" s="2075" t="s">
        <v>68</v>
      </c>
      <c r="AK670" s="721"/>
      <c r="AL670" s="1806"/>
      <c r="AM670" s="631" t="s">
        <v>5769</v>
      </c>
      <c r="AN670" s="631"/>
      <c r="AO670" s="631"/>
      <c r="AP670" s="556"/>
      <c r="AQ670" s="561"/>
      <c r="AR670" s="556"/>
      <c r="AS670" s="556"/>
      <c r="AT670" s="556"/>
      <c r="AU670" s="556"/>
      <c r="AV670" s="35"/>
      <c r="AW670" s="13"/>
    </row>
    <row r="671" spans="1:49" ht="165" hidden="1" customHeight="1">
      <c r="A671" s="17">
        <f>OBRA!I669</f>
        <v>2023</v>
      </c>
      <c r="B671" s="895" t="s">
        <v>3989</v>
      </c>
      <c r="C671" s="895"/>
      <c r="D671" s="895"/>
      <c r="E671" s="2" t="str">
        <f>OBRA!K669</f>
        <v>CUENTA CORRIENTE</v>
      </c>
      <c r="F671" s="205" t="s">
        <v>1431</v>
      </c>
      <c r="G671" s="632"/>
      <c r="H671" s="451"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28" t="s">
        <v>5730</v>
      </c>
      <c r="L671" s="328" t="s">
        <v>5690</v>
      </c>
      <c r="M671" s="328" t="str">
        <f>OBRA!O669</f>
        <v>SAN JUAN COSALÁ</v>
      </c>
      <c r="N671" s="597"/>
      <c r="O671" s="4">
        <f>OBRA!P669</f>
        <v>20880</v>
      </c>
      <c r="P671" s="1208">
        <f t="shared" si="49"/>
        <v>18000</v>
      </c>
      <c r="Q671" s="85" t="s">
        <v>68</v>
      </c>
      <c r="R671" s="6">
        <f>OBRA!Q669</f>
        <v>45007</v>
      </c>
      <c r="S671" s="1327" t="str">
        <f>OBRA!T669</f>
        <v>-</v>
      </c>
      <c r="T671" s="5">
        <f>OBRA!R669</f>
        <v>45009</v>
      </c>
      <c r="U671" s="12">
        <f>OBRA!S669</f>
        <v>45016</v>
      </c>
      <c r="V671" s="305">
        <v>0</v>
      </c>
      <c r="W671" s="1207">
        <f>OBRA!AQ669+OBRA!AR669</f>
        <v>0</v>
      </c>
      <c r="X671" s="1202" t="s">
        <v>5754</v>
      </c>
      <c r="Y671" s="639" t="str">
        <f>OBRA!U669</f>
        <v>ECCOC DE GUADALAJARA, S.A. DE C.V.</v>
      </c>
      <c r="Z671" s="639" t="s">
        <v>5823</v>
      </c>
      <c r="AA671" s="640" t="s">
        <v>4554</v>
      </c>
      <c r="AB671" s="1281" t="s">
        <v>4480</v>
      </c>
      <c r="AC671" s="446" t="s">
        <v>4481</v>
      </c>
      <c r="AD671" s="200" t="str">
        <f>OBRA!V669</f>
        <v>ARQ. FRANCISCO SALAZAR</v>
      </c>
      <c r="AE671" s="174">
        <v>1</v>
      </c>
      <c r="AF671" s="202" t="s">
        <v>1577</v>
      </c>
      <c r="AG671" s="720">
        <f t="shared" si="48"/>
        <v>0</v>
      </c>
      <c r="AH671" s="560"/>
      <c r="AI671" s="556"/>
      <c r="AJ671" s="2075" t="s">
        <v>68</v>
      </c>
      <c r="AK671" s="721"/>
      <c r="AL671" s="1806"/>
      <c r="AM671" s="631" t="s">
        <v>5770</v>
      </c>
      <c r="AN671" s="631"/>
      <c r="AO671" s="631"/>
      <c r="AP671" s="556"/>
      <c r="AQ671" s="561"/>
      <c r="AR671" s="556"/>
      <c r="AS671" s="556"/>
      <c r="AT671" s="556"/>
      <c r="AU671" s="556"/>
      <c r="AV671" s="35"/>
      <c r="AW671" s="13"/>
    </row>
    <row r="672" spans="1:49" ht="147" hidden="1" customHeight="1">
      <c r="A672" s="17">
        <f>OBRA!I670</f>
        <v>2023</v>
      </c>
      <c r="B672" s="895" t="s">
        <v>3989</v>
      </c>
      <c r="C672" s="895"/>
      <c r="D672" s="895"/>
      <c r="E672" s="2" t="str">
        <f>OBRA!K670</f>
        <v>CUENTA CORRIENTE</v>
      </c>
      <c r="F672" s="205" t="s">
        <v>1431</v>
      </c>
      <c r="G672" s="632"/>
      <c r="H672" s="451"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28" t="s">
        <v>5730</v>
      </c>
      <c r="L672" s="328" t="s">
        <v>5691</v>
      </c>
      <c r="M672" s="328" t="str">
        <f>OBRA!O670</f>
        <v>SAN JUAN COSALÁ</v>
      </c>
      <c r="N672" s="597"/>
      <c r="O672" s="4">
        <f>OBRA!P670</f>
        <v>27839.999999999996</v>
      </c>
      <c r="P672" s="1208">
        <f t="shared" si="49"/>
        <v>24000</v>
      </c>
      <c r="Q672" s="85" t="s">
        <v>68</v>
      </c>
      <c r="R672" s="6">
        <f>OBRA!Q670</f>
        <v>45009</v>
      </c>
      <c r="S672" s="1327" t="str">
        <f>OBRA!T670</f>
        <v>-</v>
      </c>
      <c r="T672" s="5">
        <f>OBRA!R670</f>
        <v>45013</v>
      </c>
      <c r="U672" s="12">
        <f>OBRA!S670</f>
        <v>45016</v>
      </c>
      <c r="V672" s="305">
        <v>0</v>
      </c>
      <c r="W672" s="1207">
        <f>OBRA!AQ670+OBRA!AR670</f>
        <v>0</v>
      </c>
      <c r="X672" s="1202" t="s">
        <v>5754</v>
      </c>
      <c r="Y672" s="639" t="str">
        <f>OBRA!U670</f>
        <v>ECCOC DE GUADALAJARA, S.A. DE C.V.</v>
      </c>
      <c r="Z672" s="639" t="s">
        <v>5823</v>
      </c>
      <c r="AA672" s="640" t="s">
        <v>4554</v>
      </c>
      <c r="AB672" s="1281" t="s">
        <v>4480</v>
      </c>
      <c r="AC672" s="446" t="s">
        <v>4481</v>
      </c>
      <c r="AD672" s="200" t="str">
        <f>OBRA!V670</f>
        <v>ARQ. FRANCISCO SALAZAR</v>
      </c>
      <c r="AE672" s="174">
        <v>1</v>
      </c>
      <c r="AF672" s="202" t="s">
        <v>1577</v>
      </c>
      <c r="AG672" s="720">
        <f t="shared" si="48"/>
        <v>0</v>
      </c>
      <c r="AH672" s="560"/>
      <c r="AI672" s="556"/>
      <c r="AJ672" s="2075" t="s">
        <v>68</v>
      </c>
      <c r="AK672" s="721"/>
      <c r="AL672" s="1806"/>
      <c r="AM672" s="631" t="s">
        <v>5770</v>
      </c>
      <c r="AN672" s="631"/>
      <c r="AO672" s="631"/>
      <c r="AP672" s="556"/>
      <c r="AQ672" s="561"/>
      <c r="AR672" s="556"/>
      <c r="AS672" s="556"/>
      <c r="AT672" s="556"/>
      <c r="AU672" s="556"/>
      <c r="AV672" s="35"/>
      <c r="AW672" s="13"/>
    </row>
    <row r="673" spans="1:49" ht="94.5" hidden="1" customHeight="1">
      <c r="A673" s="17">
        <f>OBRA!I671</f>
        <v>2023</v>
      </c>
      <c r="B673" s="895" t="s">
        <v>3989</v>
      </c>
      <c r="C673" s="895"/>
      <c r="D673" s="895"/>
      <c r="E673" s="2" t="str">
        <f>OBRA!K671</f>
        <v>CUENTA CORRIENTE</v>
      </c>
      <c r="F673" s="205" t="s">
        <v>1431</v>
      </c>
      <c r="G673" s="632"/>
      <c r="H673" s="451"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28" t="s">
        <v>5731</v>
      </c>
      <c r="L673" s="328" t="s">
        <v>5692</v>
      </c>
      <c r="M673" s="328" t="str">
        <f>OBRA!O671</f>
        <v>SAN PEDRO TESISTÁN</v>
      </c>
      <c r="N673" s="597"/>
      <c r="O673" s="4">
        <f>OBRA!P671</f>
        <v>18560</v>
      </c>
      <c r="P673" s="1208">
        <f t="shared" ref="P673:P692" si="50">O673/1.16</f>
        <v>16000.000000000002</v>
      </c>
      <c r="Q673" s="85" t="s">
        <v>68</v>
      </c>
      <c r="R673" s="6">
        <f>OBRA!Q671</f>
        <v>44988</v>
      </c>
      <c r="S673" s="1327" t="str">
        <f>OBRA!T671</f>
        <v>-</v>
      </c>
      <c r="T673" s="5">
        <f>OBRA!R671</f>
        <v>44991</v>
      </c>
      <c r="U673" s="12">
        <f>OBRA!S671</f>
        <v>44995</v>
      </c>
      <c r="V673" s="305">
        <v>0</v>
      </c>
      <c r="W673" s="1207">
        <f>OBRA!AQ671+OBRA!AR671</f>
        <v>0</v>
      </c>
      <c r="X673" s="1202" t="s">
        <v>5754</v>
      </c>
      <c r="Y673" s="639" t="str">
        <f>OBRA!U671</f>
        <v>LEXCLI, S. DE R.L. DE C.V.</v>
      </c>
      <c r="Z673" s="639" t="s">
        <v>5823</v>
      </c>
      <c r="AA673" s="640" t="s">
        <v>5723</v>
      </c>
      <c r="AB673" s="1281" t="s">
        <v>5724</v>
      </c>
      <c r="AC673" s="446" t="s">
        <v>5725</v>
      </c>
      <c r="AD673" s="200" t="str">
        <f>OBRA!V671</f>
        <v>ARQ. FRANCISCO SALAZAR</v>
      </c>
      <c r="AE673" s="174">
        <v>1</v>
      </c>
      <c r="AF673" s="202" t="s">
        <v>5727</v>
      </c>
      <c r="AG673" s="720">
        <f t="shared" ref="AG673:AG692" si="51">W673/AE673</f>
        <v>0</v>
      </c>
      <c r="AH673" s="560"/>
      <c r="AI673" s="556"/>
      <c r="AJ673" s="2075" t="s">
        <v>68</v>
      </c>
      <c r="AK673" s="721"/>
      <c r="AL673" s="1806"/>
      <c r="AM673" s="631" t="s">
        <v>5768</v>
      </c>
      <c r="AN673" s="631"/>
      <c r="AO673" s="631"/>
      <c r="AP673" s="556"/>
      <c r="AQ673" s="561"/>
      <c r="AR673" s="556"/>
      <c r="AS673" s="556"/>
      <c r="AT673" s="556"/>
      <c r="AU673" s="556"/>
      <c r="AV673" s="35"/>
      <c r="AW673" s="13"/>
    </row>
    <row r="674" spans="1:49" ht="90" hidden="1" customHeight="1">
      <c r="A674" s="17">
        <f>OBRA!I672</f>
        <v>2023</v>
      </c>
      <c r="B674" s="895" t="s">
        <v>3989</v>
      </c>
      <c r="C674" s="895"/>
      <c r="D674" s="895"/>
      <c r="E674" s="2" t="str">
        <f>OBRA!K672</f>
        <v>CUENTA CORRIENTE</v>
      </c>
      <c r="F674" s="205" t="s">
        <v>1431</v>
      </c>
      <c r="G674" s="632"/>
      <c r="H674" s="451"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28" t="s">
        <v>5731</v>
      </c>
      <c r="L674" s="328" t="s">
        <v>5693</v>
      </c>
      <c r="M674" s="328" t="str">
        <f>OBRA!O672</f>
        <v>SAN JUAN COSALÁ</v>
      </c>
      <c r="N674" s="597"/>
      <c r="O674" s="4">
        <f>OBRA!P672</f>
        <v>18560</v>
      </c>
      <c r="P674" s="1208">
        <f t="shared" si="50"/>
        <v>16000.000000000002</v>
      </c>
      <c r="Q674" s="85" t="s">
        <v>68</v>
      </c>
      <c r="R674" s="6">
        <f>OBRA!Q672</f>
        <v>44995</v>
      </c>
      <c r="S674" s="1327" t="str">
        <f>OBRA!T672</f>
        <v>-</v>
      </c>
      <c r="T674" s="5">
        <f>OBRA!R672</f>
        <v>44998</v>
      </c>
      <c r="U674" s="12">
        <f>OBRA!S672</f>
        <v>45002</v>
      </c>
      <c r="V674" s="305">
        <v>0</v>
      </c>
      <c r="W674" s="1207">
        <f>OBRA!AQ672+OBRA!AR672</f>
        <v>0</v>
      </c>
      <c r="X674" s="1202" t="s">
        <v>5754</v>
      </c>
      <c r="Y674" s="639" t="str">
        <f>OBRA!U672</f>
        <v>LEXCLI, S. DE R.L. DE C.V.</v>
      </c>
      <c r="Z674" s="639" t="s">
        <v>5823</v>
      </c>
      <c r="AA674" s="640" t="s">
        <v>5723</v>
      </c>
      <c r="AB674" s="1281" t="s">
        <v>5724</v>
      </c>
      <c r="AC674" s="446" t="s">
        <v>5725</v>
      </c>
      <c r="AD674" s="200" t="str">
        <f>OBRA!V672</f>
        <v>ARQ. FRANCISCO SALAZAR</v>
      </c>
      <c r="AE674" s="174">
        <v>1</v>
      </c>
      <c r="AF674" s="202" t="s">
        <v>5727</v>
      </c>
      <c r="AG674" s="720">
        <f t="shared" si="51"/>
        <v>0</v>
      </c>
      <c r="AH674" s="560"/>
      <c r="AI674" s="556"/>
      <c r="AJ674" s="2075" t="s">
        <v>68</v>
      </c>
      <c r="AK674" s="721"/>
      <c r="AL674" s="1806"/>
      <c r="AM674" s="631" t="s">
        <v>5768</v>
      </c>
      <c r="AN674" s="631"/>
      <c r="AO674" s="631"/>
      <c r="AP674" s="556"/>
      <c r="AQ674" s="561"/>
      <c r="AR674" s="556"/>
      <c r="AS674" s="556"/>
      <c r="AT674" s="556"/>
      <c r="AU674" s="556"/>
      <c r="AV674" s="35"/>
      <c r="AW674" s="13"/>
    </row>
    <row r="675" spans="1:49" ht="78" hidden="1" customHeight="1">
      <c r="A675" s="17">
        <f>OBRA!I673</f>
        <v>2023</v>
      </c>
      <c r="B675" s="895" t="s">
        <v>3989</v>
      </c>
      <c r="C675" s="895"/>
      <c r="D675" s="895"/>
      <c r="E675" s="2" t="str">
        <f>OBRA!K673</f>
        <v>CUENTA CORRIENTE</v>
      </c>
      <c r="F675" s="205" t="s">
        <v>1431</v>
      </c>
      <c r="G675" s="632"/>
      <c r="H675" s="451"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28" t="s">
        <v>5731</v>
      </c>
      <c r="L675" s="328" t="s">
        <v>5695</v>
      </c>
      <c r="M675" s="328" t="str">
        <f>OBRA!O673</f>
        <v>CABECERA MUNICIPAL</v>
      </c>
      <c r="N675" s="597"/>
      <c r="O675" s="4">
        <f>OBRA!P673</f>
        <v>18560</v>
      </c>
      <c r="P675" s="1208">
        <f t="shared" si="50"/>
        <v>16000.000000000002</v>
      </c>
      <c r="Q675" s="85" t="s">
        <v>68</v>
      </c>
      <c r="R675" s="6">
        <f>OBRA!Q673</f>
        <v>45002</v>
      </c>
      <c r="S675" s="1327" t="str">
        <f>OBRA!T673</f>
        <v>-</v>
      </c>
      <c r="T675" s="5">
        <f>OBRA!R673</f>
        <v>45005</v>
      </c>
      <c r="U675" s="12">
        <f>OBRA!S673</f>
        <v>45009</v>
      </c>
      <c r="V675" s="305">
        <v>0</v>
      </c>
      <c r="W675" s="1207">
        <f>OBRA!AQ673+OBRA!AR673</f>
        <v>0</v>
      </c>
      <c r="X675" s="1202" t="s">
        <v>5754</v>
      </c>
      <c r="Y675" s="639" t="str">
        <f>OBRA!U673</f>
        <v>LEXCLI, S. DE R.L. DE C.V.</v>
      </c>
      <c r="Z675" s="639" t="s">
        <v>5823</v>
      </c>
      <c r="AA675" s="640" t="s">
        <v>5723</v>
      </c>
      <c r="AB675" s="1281" t="s">
        <v>5724</v>
      </c>
      <c r="AC675" s="446" t="s">
        <v>5725</v>
      </c>
      <c r="AD675" s="200" t="str">
        <f>OBRA!V673</f>
        <v>ARQ. FRANCISCO SALAZAR</v>
      </c>
      <c r="AE675" s="174">
        <v>1</v>
      </c>
      <c r="AF675" s="202" t="s">
        <v>5727</v>
      </c>
      <c r="AG675" s="720">
        <f t="shared" si="51"/>
        <v>0</v>
      </c>
      <c r="AH675" s="560"/>
      <c r="AI675" s="556"/>
      <c r="AJ675" s="2075" t="s">
        <v>68</v>
      </c>
      <c r="AK675" s="721"/>
      <c r="AL675" s="1806"/>
      <c r="AM675" s="631" t="s">
        <v>5768</v>
      </c>
      <c r="AN675" s="631"/>
      <c r="AO675" s="631"/>
      <c r="AP675" s="556"/>
      <c r="AQ675" s="561"/>
      <c r="AR675" s="556"/>
      <c r="AS675" s="556"/>
      <c r="AT675" s="556"/>
      <c r="AU675" s="556"/>
      <c r="AV675" s="35"/>
      <c r="AW675" s="13"/>
    </row>
    <row r="676" spans="1:49" ht="95.25" hidden="1" customHeight="1">
      <c r="A676" s="17">
        <f>OBRA!I674</f>
        <v>2023</v>
      </c>
      <c r="B676" s="895" t="s">
        <v>3989</v>
      </c>
      <c r="C676" s="895"/>
      <c r="D676" s="895"/>
      <c r="E676" s="2" t="str">
        <f>OBRA!K674</f>
        <v>CUENTA CORRIENTE</v>
      </c>
      <c r="F676" s="205" t="s">
        <v>1431</v>
      </c>
      <c r="G676" s="632"/>
      <c r="H676" s="451"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28" t="s">
        <v>5731</v>
      </c>
      <c r="L676" s="328" t="s">
        <v>5694</v>
      </c>
      <c r="M676" s="328" t="str">
        <f>OBRA!O674</f>
        <v>SAN JUAN COSALÁ</v>
      </c>
      <c r="N676" s="597"/>
      <c r="O676" s="4">
        <f>OBRA!P674</f>
        <v>18560</v>
      </c>
      <c r="P676" s="1208">
        <f t="shared" si="50"/>
        <v>16000.000000000002</v>
      </c>
      <c r="Q676" s="85" t="s">
        <v>68</v>
      </c>
      <c r="R676" s="6">
        <f>OBRA!Q674</f>
        <v>45001</v>
      </c>
      <c r="S676" s="1327" t="str">
        <f>OBRA!T674</f>
        <v>-</v>
      </c>
      <c r="T676" s="5">
        <f>OBRA!R674</f>
        <v>45005</v>
      </c>
      <c r="U676" s="12">
        <f>OBRA!S674</f>
        <v>45009</v>
      </c>
      <c r="V676" s="305">
        <v>0</v>
      </c>
      <c r="W676" s="1207">
        <f>OBRA!AQ674+OBRA!AR674</f>
        <v>0</v>
      </c>
      <c r="X676" s="1202" t="s">
        <v>5754</v>
      </c>
      <c r="Y676" s="639" t="str">
        <f>OBRA!U674</f>
        <v>LEXCLI, S. DE R.L. DE C.V.</v>
      </c>
      <c r="Z676" s="639" t="s">
        <v>5823</v>
      </c>
      <c r="AA676" s="640" t="s">
        <v>5723</v>
      </c>
      <c r="AB676" s="1281" t="s">
        <v>5724</v>
      </c>
      <c r="AC676" s="446" t="s">
        <v>5725</v>
      </c>
      <c r="AD676" s="200" t="str">
        <f>OBRA!V674</f>
        <v>ARQ. FRANCISCO SALAZAR</v>
      </c>
      <c r="AE676" s="174">
        <v>1</v>
      </c>
      <c r="AF676" s="202" t="s">
        <v>5727</v>
      </c>
      <c r="AG676" s="720">
        <f t="shared" si="51"/>
        <v>0</v>
      </c>
      <c r="AH676" s="560"/>
      <c r="AI676" s="556"/>
      <c r="AJ676" s="2075" t="s">
        <v>68</v>
      </c>
      <c r="AK676" s="721"/>
      <c r="AL676" s="1806"/>
      <c r="AM676" s="631" t="s">
        <v>5768</v>
      </c>
      <c r="AN676" s="631"/>
      <c r="AO676" s="631"/>
      <c r="AP676" s="556"/>
      <c r="AQ676" s="561"/>
      <c r="AR676" s="556"/>
      <c r="AS676" s="556"/>
      <c r="AT676" s="556"/>
      <c r="AU676" s="556"/>
      <c r="AV676" s="35"/>
      <c r="AW676" s="13"/>
    </row>
    <row r="677" spans="1:49" ht="75" hidden="1" customHeight="1">
      <c r="A677" s="17">
        <f>OBRA!I675</f>
        <v>2023</v>
      </c>
      <c r="B677" s="895" t="s">
        <v>3989</v>
      </c>
      <c r="C677" s="895"/>
      <c r="D677" s="895"/>
      <c r="E677" s="2" t="str">
        <f>OBRA!K675</f>
        <v>CUENTA CORRIENTE</v>
      </c>
      <c r="F677" s="205" t="s">
        <v>1431</v>
      </c>
      <c r="G677" s="632"/>
      <c r="H677" s="13"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28" t="s">
        <v>5732</v>
      </c>
      <c r="L677" s="328" t="s">
        <v>5696</v>
      </c>
      <c r="M677" s="328" t="str">
        <f>OBRA!O675</f>
        <v>HUEJOTITÁN</v>
      </c>
      <c r="N677" s="597"/>
      <c r="O677" s="4">
        <f>OBRA!P675</f>
        <v>11600</v>
      </c>
      <c r="P677" s="1208">
        <f t="shared" si="50"/>
        <v>10000</v>
      </c>
      <c r="Q677" s="85" t="s">
        <v>68</v>
      </c>
      <c r="R677" s="6">
        <f>OBRA!Q675</f>
        <v>45005</v>
      </c>
      <c r="S677" s="1327" t="str">
        <f>OBRA!T675</f>
        <v>-</v>
      </c>
      <c r="T677" s="5">
        <f>OBRA!R675</f>
        <v>45012</v>
      </c>
      <c r="U677" s="12">
        <f>OBRA!S675</f>
        <v>45016</v>
      </c>
      <c r="V677" s="305">
        <v>0</v>
      </c>
      <c r="W677" s="1207">
        <f>OBRA!AQ675+OBRA!AR675</f>
        <v>0</v>
      </c>
      <c r="X677" s="1202" t="s">
        <v>5754</v>
      </c>
      <c r="Y677" s="639" t="str">
        <f>OBRA!U675</f>
        <v>ING. SERGIO CABRERA</v>
      </c>
      <c r="Z677" s="639" t="s">
        <v>5822</v>
      </c>
      <c r="AA677" s="640" t="str">
        <f t="shared" ref="AA677:AA692" si="52">Y677</f>
        <v>ING. SERGIO CABRERA</v>
      </c>
      <c r="AB677" s="650" t="s">
        <v>5722</v>
      </c>
      <c r="AC677" s="652" t="s">
        <v>4935</v>
      </c>
      <c r="AD677" s="200" t="str">
        <f>OBRA!V675</f>
        <v>ARQ. FRANCISCO SALAZAR</v>
      </c>
      <c r="AE677" s="174">
        <v>1</v>
      </c>
      <c r="AF677" s="202" t="s">
        <v>5726</v>
      </c>
      <c r="AG677" s="720">
        <f t="shared" si="51"/>
        <v>0</v>
      </c>
      <c r="AH677" s="560"/>
      <c r="AI677" s="556"/>
      <c r="AJ677" s="2075" t="s">
        <v>68</v>
      </c>
      <c r="AK677" s="721"/>
      <c r="AL677" s="1806"/>
      <c r="AM677" s="631" t="s">
        <v>5769</v>
      </c>
      <c r="AN677" s="631"/>
      <c r="AO677" s="631"/>
      <c r="AP677" s="556"/>
      <c r="AQ677" s="561"/>
      <c r="AR677" s="556"/>
      <c r="AS677" s="556"/>
      <c r="AT677" s="556"/>
      <c r="AU677" s="556"/>
      <c r="AV677" s="35"/>
      <c r="AW677" s="13"/>
    </row>
    <row r="678" spans="1:49" ht="126.75" hidden="1" customHeight="1">
      <c r="A678" s="17">
        <f>OBRA!I676</f>
        <v>2023</v>
      </c>
      <c r="B678" s="895" t="s">
        <v>3989</v>
      </c>
      <c r="C678" s="895"/>
      <c r="D678" s="895"/>
      <c r="E678" s="2" t="str">
        <f>OBRA!K676</f>
        <v>CUENTA CORRIENTE</v>
      </c>
      <c r="F678" s="205" t="s">
        <v>1431</v>
      </c>
      <c r="G678" s="632"/>
      <c r="H678" s="13"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28" t="s">
        <v>5733</v>
      </c>
      <c r="L678" s="328" t="s">
        <v>5700</v>
      </c>
      <c r="M678" s="328" t="str">
        <f>OBRA!O676</f>
        <v>LAS TROJES</v>
      </c>
      <c r="N678" s="597"/>
      <c r="O678" s="4">
        <f>OBRA!P676</f>
        <v>31319.999999999996</v>
      </c>
      <c r="P678" s="1208">
        <f t="shared" ref="P678" si="53">O678/1.16</f>
        <v>27000</v>
      </c>
      <c r="Q678" s="85" t="s">
        <v>68</v>
      </c>
      <c r="R678" s="6">
        <f>OBRA!Q676</f>
        <v>45029</v>
      </c>
      <c r="S678" s="1327" t="str">
        <f>OBRA!T676</f>
        <v>-</v>
      </c>
      <c r="T678" s="5">
        <f>OBRA!R676</f>
        <v>45033</v>
      </c>
      <c r="U678" s="12">
        <f>OBRA!S676</f>
        <v>45037</v>
      </c>
      <c r="V678" s="305">
        <v>0</v>
      </c>
      <c r="W678" s="1207">
        <f>OBRA!AQ676+OBRA!AR676</f>
        <v>0</v>
      </c>
      <c r="X678" s="1202" t="s">
        <v>5754</v>
      </c>
      <c r="Y678" s="639" t="str">
        <f>OBRA!U676</f>
        <v>ING. SERGIO CABRERA</v>
      </c>
      <c r="Z678" s="639" t="s">
        <v>5822</v>
      </c>
      <c r="AA678" s="640" t="str">
        <f t="shared" si="52"/>
        <v>ING. SERGIO CABRERA</v>
      </c>
      <c r="AB678" s="650" t="s">
        <v>5722</v>
      </c>
      <c r="AC678" s="652" t="s">
        <v>4935</v>
      </c>
      <c r="AD678" s="200" t="str">
        <f>OBRA!V676</f>
        <v>ARQ. FRANCISCO SALAZAR</v>
      </c>
      <c r="AE678" s="174">
        <v>1</v>
      </c>
      <c r="AF678" s="202" t="s">
        <v>5726</v>
      </c>
      <c r="AG678" s="720">
        <f t="shared" si="51"/>
        <v>0</v>
      </c>
      <c r="AH678" s="560"/>
      <c r="AI678" s="556"/>
      <c r="AJ678" s="2075" t="s">
        <v>68</v>
      </c>
      <c r="AK678" s="721"/>
      <c r="AL678" s="1806"/>
      <c r="AM678" s="631"/>
      <c r="AN678" s="631"/>
      <c r="AO678" s="631"/>
      <c r="AP678" s="556"/>
      <c r="AQ678" s="561"/>
      <c r="AR678" s="556"/>
      <c r="AS678" s="556"/>
      <c r="AT678" s="556"/>
      <c r="AU678" s="556"/>
      <c r="AV678" s="35"/>
      <c r="AW678" s="13"/>
    </row>
    <row r="679" spans="1:49" ht="110.25" hidden="1" customHeight="1">
      <c r="A679" s="17">
        <f>OBRA!I677</f>
        <v>2023</v>
      </c>
      <c r="B679" s="895" t="s">
        <v>3989</v>
      </c>
      <c r="C679" s="895"/>
      <c r="D679" s="895"/>
      <c r="E679" s="2" t="str">
        <f>OBRA!K677</f>
        <v>CUENTA CORRIENTE</v>
      </c>
      <c r="F679" s="205" t="s">
        <v>1431</v>
      </c>
      <c r="G679" s="632"/>
      <c r="H679" s="13"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28" t="s">
        <v>5734</v>
      </c>
      <c r="L679" s="328" t="s">
        <v>5698</v>
      </c>
      <c r="M679" s="328" t="str">
        <f>OBRA!O677</f>
        <v>CABECERA MUNICIPAL</v>
      </c>
      <c r="N679" s="554" t="s">
        <v>5710</v>
      </c>
      <c r="O679" s="4">
        <f>OBRA!P677</f>
        <v>23200</v>
      </c>
      <c r="P679" s="1208">
        <f t="shared" si="50"/>
        <v>20000</v>
      </c>
      <c r="Q679" s="85" t="s">
        <v>68</v>
      </c>
      <c r="R679" s="6">
        <f>OBRA!Q677</f>
        <v>45065</v>
      </c>
      <c r="S679" s="1327" t="str">
        <f>OBRA!T677</f>
        <v>-</v>
      </c>
      <c r="T679" s="5">
        <f>OBRA!R677</f>
        <v>45068</v>
      </c>
      <c r="U679" s="12">
        <f>OBRA!S677</f>
        <v>45070</v>
      </c>
      <c r="V679" s="305">
        <v>0</v>
      </c>
      <c r="W679" s="1207">
        <f>OBRA!AQ677+OBRA!AR677</f>
        <v>0</v>
      </c>
      <c r="X679" s="1202" t="s">
        <v>5754</v>
      </c>
      <c r="Y679" s="639" t="str">
        <f>OBRA!U677</f>
        <v xml:space="preserve">CICLOS GIP SC </v>
      </c>
      <c r="Z679" s="639" t="s">
        <v>5823</v>
      </c>
      <c r="AA679" s="640" t="s">
        <v>3039</v>
      </c>
      <c r="AB679" s="650" t="s">
        <v>3027</v>
      </c>
      <c r="AC679" s="652" t="s">
        <v>5714</v>
      </c>
      <c r="AD679" s="200" t="str">
        <f>OBRA!V677</f>
        <v>ARQ. FRANCISCO SALAZAR</v>
      </c>
      <c r="AE679" s="174">
        <v>2</v>
      </c>
      <c r="AF679" s="202" t="s">
        <v>5727</v>
      </c>
      <c r="AG679" s="720">
        <f t="shared" si="51"/>
        <v>0</v>
      </c>
      <c r="AH679" s="560"/>
      <c r="AI679" s="556"/>
      <c r="AJ679" s="2075" t="s">
        <v>68</v>
      </c>
      <c r="AK679" s="721"/>
      <c r="AL679" s="1806"/>
      <c r="AM679" s="631"/>
      <c r="AN679" s="631"/>
      <c r="AO679" s="631"/>
      <c r="AP679" s="556"/>
      <c r="AQ679" s="561"/>
      <c r="AR679" s="556"/>
      <c r="AS679" s="556"/>
      <c r="AT679" s="556"/>
      <c r="AU679" s="556"/>
      <c r="AV679" s="35"/>
      <c r="AW679" s="13"/>
    </row>
    <row r="680" spans="1:49" ht="117" hidden="1" customHeight="1">
      <c r="A680" s="17">
        <f>OBRA!I678</f>
        <v>2023</v>
      </c>
      <c r="B680" s="895" t="s">
        <v>3989</v>
      </c>
      <c r="C680" s="895"/>
      <c r="D680" s="895"/>
      <c r="E680" s="2" t="str">
        <f>OBRA!K678</f>
        <v>CUENTA CORRIENTE</v>
      </c>
      <c r="F680" s="205" t="s">
        <v>1431</v>
      </c>
      <c r="G680" s="632"/>
      <c r="H680" s="13"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28" t="s">
        <v>5734</v>
      </c>
      <c r="L680" s="328" t="s">
        <v>5699</v>
      </c>
      <c r="M680" s="328" t="str">
        <f>OBRA!O678</f>
        <v>CABECERA MUNICIPAL</v>
      </c>
      <c r="N680" s="554" t="s">
        <v>5710</v>
      </c>
      <c r="O680" s="4">
        <f>OBRA!P678</f>
        <v>23200</v>
      </c>
      <c r="P680" s="1208">
        <f t="shared" si="50"/>
        <v>20000</v>
      </c>
      <c r="Q680" s="85" t="s">
        <v>68</v>
      </c>
      <c r="R680" s="6">
        <f>OBRA!Q678</f>
        <v>45069</v>
      </c>
      <c r="S680" s="1327" t="str">
        <f>OBRA!T678</f>
        <v>-</v>
      </c>
      <c r="T680" s="5">
        <f>OBRA!R678</f>
        <v>45071</v>
      </c>
      <c r="U680" s="12">
        <f>OBRA!S678</f>
        <v>45072</v>
      </c>
      <c r="V680" s="305">
        <v>0</v>
      </c>
      <c r="W680" s="1207">
        <f>OBRA!AQ678+OBRA!AR678</f>
        <v>0</v>
      </c>
      <c r="X680" s="1202" t="s">
        <v>5754</v>
      </c>
      <c r="Y680" s="639" t="str">
        <f>OBRA!U678</f>
        <v xml:space="preserve">CICLOS GIP SC </v>
      </c>
      <c r="Z680" s="639" t="s">
        <v>5823</v>
      </c>
      <c r="AA680" s="640" t="s">
        <v>3039</v>
      </c>
      <c r="AB680" s="650" t="s">
        <v>3027</v>
      </c>
      <c r="AC680" s="652" t="s">
        <v>5714</v>
      </c>
      <c r="AD680" s="200" t="str">
        <f>OBRA!V678</f>
        <v>ARQ. FRANCISCO SALAZAR</v>
      </c>
      <c r="AE680" s="174">
        <v>2</v>
      </c>
      <c r="AF680" s="202" t="s">
        <v>5727</v>
      </c>
      <c r="AG680" s="720">
        <f t="shared" si="51"/>
        <v>0</v>
      </c>
      <c r="AH680" s="560"/>
      <c r="AI680" s="556"/>
      <c r="AJ680" s="2075" t="s">
        <v>68</v>
      </c>
      <c r="AK680" s="721"/>
      <c r="AL680" s="1806"/>
      <c r="AM680" s="631"/>
      <c r="AN680" s="631"/>
      <c r="AO680" s="631"/>
      <c r="AP680" s="556"/>
      <c r="AQ680" s="561"/>
      <c r="AR680" s="556"/>
      <c r="AS680" s="556"/>
      <c r="AT680" s="556"/>
      <c r="AU680" s="556"/>
      <c r="AV680" s="35"/>
      <c r="AW680" s="13"/>
    </row>
    <row r="681" spans="1:49" ht="78" hidden="1" customHeight="1">
      <c r="A681" s="17">
        <f>OBRA!I679</f>
        <v>2023</v>
      </c>
      <c r="B681" s="895" t="s">
        <v>3989</v>
      </c>
      <c r="C681" s="895"/>
      <c r="D681" s="895"/>
      <c r="E681" s="2" t="str">
        <f>OBRA!K679</f>
        <v>CUENTA CORRIENTE</v>
      </c>
      <c r="F681" s="205" t="s">
        <v>1431</v>
      </c>
      <c r="G681" s="632"/>
      <c r="H681" s="13"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28" t="s">
        <v>5735</v>
      </c>
      <c r="L681" s="597"/>
      <c r="M681" s="328" t="str">
        <f>OBRA!O679</f>
        <v>CABECERA MUNICIPAL</v>
      </c>
      <c r="N681" s="597"/>
      <c r="O681" s="4">
        <f>OBRA!P679</f>
        <v>5999.9955999999993</v>
      </c>
      <c r="P681" s="1208">
        <f t="shared" si="50"/>
        <v>5172.41</v>
      </c>
      <c r="Q681" s="85" t="s">
        <v>68</v>
      </c>
      <c r="R681" s="6">
        <f>OBRA!Q679</f>
        <v>45099</v>
      </c>
      <c r="S681" s="1327" t="str">
        <f>OBRA!T679</f>
        <v>-</v>
      </c>
      <c r="T681" s="5">
        <f>OBRA!R679</f>
        <v>45099</v>
      </c>
      <c r="U681" s="12">
        <f>OBRA!S679</f>
        <v>45103</v>
      </c>
      <c r="V681" s="305">
        <v>0</v>
      </c>
      <c r="W681" s="1207">
        <f>OBRA!AQ679+OBRA!AR679</f>
        <v>0</v>
      </c>
      <c r="X681" s="1202" t="s">
        <v>5754</v>
      </c>
      <c r="Y681" s="639" t="str">
        <f>OBRA!U679</f>
        <v>ING. LUIS JOEL HUERTA LOMA</v>
      </c>
      <c r="Z681" s="639" t="s">
        <v>5822</v>
      </c>
      <c r="AA681" s="640" t="str">
        <f t="shared" si="52"/>
        <v>ING. LUIS JOEL HUERTA LOMA</v>
      </c>
      <c r="AB681" s="1281" t="s">
        <v>5720</v>
      </c>
      <c r="AC681" s="446" t="s">
        <v>5721</v>
      </c>
      <c r="AD681" s="200" t="str">
        <f>OBRA!V679</f>
        <v>ARQ. FRANCISCO SALAZAR</v>
      </c>
      <c r="AE681" s="174">
        <v>1</v>
      </c>
      <c r="AF681" s="202" t="s">
        <v>5726</v>
      </c>
      <c r="AG681" s="720">
        <f t="shared" si="51"/>
        <v>0</v>
      </c>
      <c r="AH681" s="560"/>
      <c r="AI681" s="556"/>
      <c r="AJ681" s="2075" t="s">
        <v>68</v>
      </c>
      <c r="AK681" s="721"/>
      <c r="AL681" s="1806"/>
      <c r="AM681" s="631"/>
      <c r="AN681" s="631"/>
      <c r="AO681" s="631"/>
      <c r="AP681" s="556"/>
      <c r="AQ681" s="561"/>
      <c r="AR681" s="556"/>
      <c r="AS681" s="556"/>
      <c r="AT681" s="556"/>
      <c r="AU681" s="556"/>
      <c r="AV681" s="35"/>
      <c r="AW681" s="13"/>
    </row>
    <row r="682" spans="1:49" ht="78.75" hidden="1" customHeight="1">
      <c r="A682" s="17">
        <f>OBRA!I680</f>
        <v>2023</v>
      </c>
      <c r="B682" s="895" t="s">
        <v>3989</v>
      </c>
      <c r="C682" s="895"/>
      <c r="D682" s="895"/>
      <c r="E682" s="2" t="str">
        <f>OBRA!K680</f>
        <v>CUENTA CORRIENTE</v>
      </c>
      <c r="F682" s="205" t="s">
        <v>1431</v>
      </c>
      <c r="G682" s="632"/>
      <c r="H682" s="13"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28" t="s">
        <v>5736</v>
      </c>
      <c r="L682" s="328" t="s">
        <v>5697</v>
      </c>
      <c r="M682" s="328" t="str">
        <f>OBRA!O680</f>
        <v>MUNICIPIO</v>
      </c>
      <c r="N682" s="597"/>
      <c r="O682" s="4">
        <f>OBRA!P680</f>
        <v>96447.573600000003</v>
      </c>
      <c r="P682" s="1208">
        <f>O682/1.16</f>
        <v>83144.460000000006</v>
      </c>
      <c r="Q682" s="85" t="s">
        <v>68</v>
      </c>
      <c r="R682" s="6">
        <f>OBRA!Q680</f>
        <v>45118</v>
      </c>
      <c r="S682" s="1327" t="str">
        <f>OBRA!T680</f>
        <v>-</v>
      </c>
      <c r="T682" s="5">
        <f>OBRA!R680</f>
        <v>45120</v>
      </c>
      <c r="U682" s="12">
        <f>OBRA!S680</f>
        <v>45129</v>
      </c>
      <c r="V682" s="305">
        <v>0</v>
      </c>
      <c r="W682" s="1207">
        <f>OBRA!AQ680+OBRA!AR680</f>
        <v>0</v>
      </c>
      <c r="X682" s="1202" t="s">
        <v>5754</v>
      </c>
      <c r="Y682" s="639" t="str">
        <f>OBRA!U680</f>
        <v>ING. LUIS JOEL HUERTA LOMA</v>
      </c>
      <c r="Z682" s="639" t="s">
        <v>5822</v>
      </c>
      <c r="AA682" s="640" t="str">
        <f>Y682</f>
        <v>ING. LUIS JOEL HUERTA LOMA</v>
      </c>
      <c r="AB682" s="1281" t="s">
        <v>5720</v>
      </c>
      <c r="AC682" s="446" t="s">
        <v>5721</v>
      </c>
      <c r="AD682" s="200" t="str">
        <f>OBRA!V680</f>
        <v>ARQ. FRANCISCO SALAZAR</v>
      </c>
      <c r="AE682" s="174">
        <v>12</v>
      </c>
      <c r="AF682" s="202" t="s">
        <v>5726</v>
      </c>
      <c r="AG682" s="720">
        <f>W682/AE682</f>
        <v>0</v>
      </c>
      <c r="AH682" s="560"/>
      <c r="AI682" s="556"/>
      <c r="AJ682" s="2075" t="s">
        <v>68</v>
      </c>
      <c r="AK682" s="721"/>
      <c r="AL682" s="1806"/>
      <c r="AM682" s="631"/>
      <c r="AN682" s="631"/>
      <c r="AO682" s="631"/>
      <c r="AP682" s="556"/>
      <c r="AQ682" s="561"/>
      <c r="AR682" s="556"/>
      <c r="AS682" s="556"/>
      <c r="AT682" s="556"/>
      <c r="AU682" s="556"/>
      <c r="AV682" s="35"/>
      <c r="AW682" s="13"/>
    </row>
    <row r="683" spans="1:49" ht="194.25" hidden="1" customHeight="1">
      <c r="A683" s="17">
        <f>OBRA!I681</f>
        <v>2023</v>
      </c>
      <c r="B683" s="895" t="s">
        <v>3989</v>
      </c>
      <c r="C683" s="895"/>
      <c r="D683" s="895"/>
      <c r="E683" s="2" t="str">
        <f>OBRA!K681</f>
        <v>CUENTA CORRIENTE</v>
      </c>
      <c r="F683" s="205" t="s">
        <v>1431</v>
      </c>
      <c r="G683" s="632"/>
      <c r="H683" s="13"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28" t="s">
        <v>5737</v>
      </c>
      <c r="L683" s="328" t="s">
        <v>5701</v>
      </c>
      <c r="M683" s="328" t="str">
        <f>OBRA!O681</f>
        <v>MUNICIPIO</v>
      </c>
      <c r="N683" s="597"/>
      <c r="O683" s="4">
        <f>OBRA!P681</f>
        <v>17400</v>
      </c>
      <c r="P683" s="1208">
        <f t="shared" si="50"/>
        <v>15000.000000000002</v>
      </c>
      <c r="Q683" s="85" t="s">
        <v>68</v>
      </c>
      <c r="R683" s="6">
        <f>OBRA!Q681</f>
        <v>45131</v>
      </c>
      <c r="S683" s="1327" t="str">
        <f>OBRA!T681</f>
        <v>-</v>
      </c>
      <c r="T683" s="5">
        <f>OBRA!R681</f>
        <v>45138</v>
      </c>
      <c r="U683" s="12">
        <f>OBRA!S681</f>
        <v>45187</v>
      </c>
      <c r="V683" s="305">
        <v>0</v>
      </c>
      <c r="W683" s="1207">
        <f>OBRA!AQ681+OBRA!AR681</f>
        <v>0</v>
      </c>
      <c r="X683" s="1202" t="s">
        <v>5754</v>
      </c>
      <c r="Y683" s="639" t="str">
        <f>OBRA!U681</f>
        <v>SOLEC ENERGY, S.A. DE C.V.</v>
      </c>
      <c r="Z683" s="639" t="s">
        <v>5823</v>
      </c>
      <c r="AA683" s="446" t="s">
        <v>4602</v>
      </c>
      <c r="AB683" s="1281" t="s">
        <v>4603</v>
      </c>
      <c r="AC683" s="446" t="s">
        <v>4604</v>
      </c>
      <c r="AD683" s="200" t="str">
        <f>OBRA!V681</f>
        <v>ARQ. FRANCISCO SALAZAR</v>
      </c>
      <c r="AE683" s="174">
        <v>1</v>
      </c>
      <c r="AF683" s="202" t="s">
        <v>1577</v>
      </c>
      <c r="AG683" s="720">
        <f t="shared" si="51"/>
        <v>0</v>
      </c>
      <c r="AH683" s="560"/>
      <c r="AI683" s="556"/>
      <c r="AJ683" s="2075" t="s">
        <v>68</v>
      </c>
      <c r="AK683" s="721"/>
      <c r="AL683" s="1806"/>
      <c r="AM683" s="631"/>
      <c r="AN683" s="631"/>
      <c r="AO683" s="631"/>
      <c r="AP683" s="556"/>
      <c r="AQ683" s="561"/>
      <c r="AR683" s="556"/>
      <c r="AS683" s="556"/>
      <c r="AT683" s="556"/>
      <c r="AU683" s="556"/>
      <c r="AV683" s="35"/>
      <c r="AW683" s="13"/>
    </row>
    <row r="684" spans="1:49" ht="80.25" hidden="1" customHeight="1">
      <c r="A684" s="17">
        <f>OBRA!I682</f>
        <v>2023</v>
      </c>
      <c r="B684" s="895" t="s">
        <v>3989</v>
      </c>
      <c r="C684" s="895"/>
      <c r="D684" s="895"/>
      <c r="E684" s="2" t="str">
        <f>OBRA!K682</f>
        <v>CUENTA CORRIENTE</v>
      </c>
      <c r="F684" s="205" t="s">
        <v>1431</v>
      </c>
      <c r="G684" s="632"/>
      <c r="H684" s="13"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28" t="s">
        <v>5738</v>
      </c>
      <c r="L684" s="597"/>
      <c r="M684" s="328" t="str">
        <f>OBRA!O682</f>
        <v>CHANTEPEC</v>
      </c>
      <c r="N684" s="597"/>
      <c r="O684" s="4">
        <f>OBRA!P682</f>
        <v>73689.208799999993</v>
      </c>
      <c r="P684" s="1208">
        <f t="shared" si="50"/>
        <v>63525.18</v>
      </c>
      <c r="Q684" s="85" t="s">
        <v>68</v>
      </c>
      <c r="R684" s="6">
        <f>OBRA!Q682</f>
        <v>45133</v>
      </c>
      <c r="S684" s="1327" t="str">
        <f>OBRA!T682</f>
        <v>-</v>
      </c>
      <c r="T684" s="5">
        <f>OBRA!R682</f>
        <v>45141</v>
      </c>
      <c r="U684" s="12">
        <f>OBRA!S682</f>
        <v>45155</v>
      </c>
      <c r="V684" s="305">
        <v>0</v>
      </c>
      <c r="W684" s="1207">
        <f>OBRA!AQ682+OBRA!AR682</f>
        <v>0</v>
      </c>
      <c r="X684" s="1202" t="s">
        <v>5754</v>
      </c>
      <c r="Y684" s="639" t="str">
        <f>OBRA!U682</f>
        <v>SOLEC ENERGY, S.A. DE C.V.</v>
      </c>
      <c r="Z684" s="639" t="s">
        <v>5823</v>
      </c>
      <c r="AA684" s="446" t="s">
        <v>4602</v>
      </c>
      <c r="AB684" s="1281" t="s">
        <v>4603</v>
      </c>
      <c r="AC684" s="446" t="s">
        <v>4604</v>
      </c>
      <c r="AD684" s="200" t="str">
        <f>OBRA!V682</f>
        <v>ARQ. FRANCISCO SALAZAR</v>
      </c>
      <c r="AE684" s="174">
        <v>1</v>
      </c>
      <c r="AF684" s="202" t="s">
        <v>1577</v>
      </c>
      <c r="AG684" s="720">
        <f t="shared" si="51"/>
        <v>0</v>
      </c>
      <c r="AH684" s="560"/>
      <c r="AI684" s="556"/>
      <c r="AJ684" s="2075" t="s">
        <v>68</v>
      </c>
      <c r="AK684" s="721"/>
      <c r="AL684" s="1806"/>
      <c r="AM684" s="631"/>
      <c r="AN684" s="631"/>
      <c r="AO684" s="631"/>
      <c r="AP684" s="556"/>
      <c r="AQ684" s="561"/>
      <c r="AR684" s="556"/>
      <c r="AS684" s="556"/>
      <c r="AT684" s="556"/>
      <c r="AU684" s="556"/>
      <c r="AV684" s="35"/>
      <c r="AW684" s="13"/>
    </row>
    <row r="685" spans="1:49" ht="95.25" hidden="1" customHeight="1">
      <c r="A685" s="17">
        <f>OBRA!I683</f>
        <v>2023</v>
      </c>
      <c r="B685" s="895" t="s">
        <v>3989</v>
      </c>
      <c r="C685" s="895"/>
      <c r="D685" s="895"/>
      <c r="E685" s="2" t="str">
        <f>OBRA!K683</f>
        <v>CUENTA CORRIENTE</v>
      </c>
      <c r="F685" s="205" t="s">
        <v>1431</v>
      </c>
      <c r="G685" s="632"/>
      <c r="H685" s="13"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28" t="s">
        <v>5739</v>
      </c>
      <c r="L685" s="328" t="s">
        <v>5702</v>
      </c>
      <c r="M685" s="328" t="str">
        <f>OBRA!O683</f>
        <v>MUNICIPIO</v>
      </c>
      <c r="N685" s="597"/>
      <c r="O685" s="4">
        <f>OBRA!P683</f>
        <v>161863.23319999999</v>
      </c>
      <c r="P685" s="1208">
        <f t="shared" si="50"/>
        <v>139537.26999999999</v>
      </c>
      <c r="Q685" s="85" t="s">
        <v>68</v>
      </c>
      <c r="R685" s="6">
        <f>OBRA!Q683</f>
        <v>45148</v>
      </c>
      <c r="S685" s="1327" t="str">
        <f>OBRA!T683</f>
        <v>-</v>
      </c>
      <c r="T685" s="5">
        <f>OBRA!R683</f>
        <v>45152</v>
      </c>
      <c r="U685" s="12">
        <f>OBRA!S683</f>
        <v>45163</v>
      </c>
      <c r="V685" s="305">
        <v>0</v>
      </c>
      <c r="W685" s="1207">
        <f>OBRA!AQ683+OBRA!AR683</f>
        <v>0</v>
      </c>
      <c r="X685" s="1202" t="s">
        <v>5754</v>
      </c>
      <c r="Y685" s="639" t="str">
        <f>OBRA!U683</f>
        <v>SOLEC ENERGY, S.A. DE C.V.</v>
      </c>
      <c r="Z685" s="639" t="s">
        <v>5823</v>
      </c>
      <c r="AA685" s="446" t="s">
        <v>4602</v>
      </c>
      <c r="AB685" s="1281" t="s">
        <v>4603</v>
      </c>
      <c r="AC685" s="446" t="s">
        <v>4604</v>
      </c>
      <c r="AD685" s="200" t="str">
        <f>OBRA!V683</f>
        <v>ARQ. FRANCISCO SALAZAR</v>
      </c>
      <c r="AE685" s="174">
        <v>1</v>
      </c>
      <c r="AF685" s="202" t="s">
        <v>1577</v>
      </c>
      <c r="AG685" s="720">
        <f t="shared" si="51"/>
        <v>0</v>
      </c>
      <c r="AH685" s="560"/>
      <c r="AI685" s="556"/>
      <c r="AJ685" s="2075" t="s">
        <v>68</v>
      </c>
      <c r="AK685" s="721"/>
      <c r="AL685" s="1806"/>
      <c r="AM685" s="631"/>
      <c r="AN685" s="631"/>
      <c r="AO685" s="631"/>
      <c r="AP685" s="556"/>
      <c r="AQ685" s="561"/>
      <c r="AR685" s="556"/>
      <c r="AS685" s="556"/>
      <c r="AT685" s="556"/>
      <c r="AU685" s="556"/>
      <c r="AV685" s="35"/>
      <c r="AW685" s="13"/>
    </row>
    <row r="686" spans="1:49" ht="125.25" hidden="1" customHeight="1">
      <c r="A686" s="17">
        <f>OBRA!I684</f>
        <v>2023</v>
      </c>
      <c r="B686" s="895" t="s">
        <v>3989</v>
      </c>
      <c r="C686" s="895"/>
      <c r="D686" s="895"/>
      <c r="E686" s="2" t="str">
        <f>OBRA!K684</f>
        <v>CUENTA CORRIENTE</v>
      </c>
      <c r="F686" s="205" t="s">
        <v>1431</v>
      </c>
      <c r="G686" s="632"/>
      <c r="H686" s="13"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28" t="s">
        <v>5740</v>
      </c>
      <c r="L686" s="328" t="s">
        <v>5703</v>
      </c>
      <c r="M686" s="328" t="str">
        <f>OBRA!O684</f>
        <v>CABECERA MUNICIPAL</v>
      </c>
      <c r="N686" s="554" t="s">
        <v>5711</v>
      </c>
      <c r="O686" s="4">
        <f>OBRA!P684</f>
        <v>34800</v>
      </c>
      <c r="P686" s="1208">
        <f t="shared" si="50"/>
        <v>30000.000000000004</v>
      </c>
      <c r="Q686" s="85" t="s">
        <v>68</v>
      </c>
      <c r="R686" s="6">
        <f>OBRA!Q684</f>
        <v>45140</v>
      </c>
      <c r="S686" s="1327" t="str">
        <f>OBRA!T684</f>
        <v>-</v>
      </c>
      <c r="T686" s="5">
        <f>OBRA!R684</f>
        <v>45141</v>
      </c>
      <c r="U686" s="12">
        <f>OBRA!S684</f>
        <v>45143</v>
      </c>
      <c r="V686" s="305">
        <v>0</v>
      </c>
      <c r="W686" s="1207">
        <f>OBRA!AQ684+OBRA!AR684</f>
        <v>0</v>
      </c>
      <c r="X686" s="1202" t="s">
        <v>5754</v>
      </c>
      <c r="Y686" s="639" t="str">
        <f>OBRA!U684</f>
        <v>ING. LUIS JOEL HUERTA LOMA</v>
      </c>
      <c r="Z686" s="639" t="s">
        <v>5822</v>
      </c>
      <c r="AA686" s="640" t="str">
        <f t="shared" si="52"/>
        <v>ING. LUIS JOEL HUERTA LOMA</v>
      </c>
      <c r="AB686" s="1281" t="s">
        <v>5720</v>
      </c>
      <c r="AC686" s="446" t="s">
        <v>5721</v>
      </c>
      <c r="AD686" s="200" t="str">
        <f>OBRA!V684</f>
        <v>ARQ. FRANCISCO SALAZAR</v>
      </c>
      <c r="AE686" s="174">
        <v>1</v>
      </c>
      <c r="AF686" s="202" t="s">
        <v>5726</v>
      </c>
      <c r="AG686" s="720">
        <f t="shared" si="51"/>
        <v>0</v>
      </c>
      <c r="AH686" s="560"/>
      <c r="AI686" s="556"/>
      <c r="AJ686" s="2075" t="s">
        <v>68</v>
      </c>
      <c r="AK686" s="721"/>
      <c r="AL686" s="1806"/>
      <c r="AM686" s="631"/>
      <c r="AN686" s="631"/>
      <c r="AO686" s="631"/>
      <c r="AP686" s="556"/>
      <c r="AQ686" s="561"/>
      <c r="AR686" s="556"/>
      <c r="AS686" s="556"/>
      <c r="AT686" s="556"/>
      <c r="AU686" s="556"/>
      <c r="AV686" s="35"/>
      <c r="AW686" s="13"/>
    </row>
    <row r="687" spans="1:49" ht="136.5" hidden="1" customHeight="1">
      <c r="A687" s="17">
        <f>OBRA!I685</f>
        <v>2023</v>
      </c>
      <c r="B687" s="895" t="s">
        <v>3989</v>
      </c>
      <c r="C687" s="895"/>
      <c r="D687" s="895"/>
      <c r="E687" s="2" t="str">
        <f>OBRA!K685</f>
        <v>CUENTA CORRIENTE</v>
      </c>
      <c r="F687" s="205" t="s">
        <v>1431</v>
      </c>
      <c r="G687" s="632"/>
      <c r="H687" s="13"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28" t="s">
        <v>5740</v>
      </c>
      <c r="L687" s="328" t="s">
        <v>5704</v>
      </c>
      <c r="M687" s="328" t="str">
        <f>OBRA!O685</f>
        <v>CABECERA MUNICIPAL</v>
      </c>
      <c r="N687" s="554" t="s">
        <v>5711</v>
      </c>
      <c r="O687" s="4">
        <f>OBRA!P685</f>
        <v>54531.6</v>
      </c>
      <c r="P687" s="1208">
        <f t="shared" si="50"/>
        <v>47010</v>
      </c>
      <c r="Q687" s="85" t="s">
        <v>68</v>
      </c>
      <c r="R687" s="6">
        <f>OBRA!Q685</f>
        <v>45140</v>
      </c>
      <c r="S687" s="1327" t="str">
        <f>OBRA!T685</f>
        <v>-</v>
      </c>
      <c r="T687" s="5">
        <f>OBRA!R685</f>
        <v>45152</v>
      </c>
      <c r="U687" s="12">
        <f>OBRA!S685</f>
        <v>45155</v>
      </c>
      <c r="V687" s="305">
        <v>0</v>
      </c>
      <c r="W687" s="1207">
        <f>OBRA!AQ685+OBRA!AR685</f>
        <v>0</v>
      </c>
      <c r="X687" s="1202" t="s">
        <v>5754</v>
      </c>
      <c r="Y687" s="639" t="str">
        <f>OBRA!U685</f>
        <v>ING. LUIS JOEL HUERTA LOMA</v>
      </c>
      <c r="Z687" s="639" t="s">
        <v>5822</v>
      </c>
      <c r="AA687" s="640" t="str">
        <f t="shared" si="52"/>
        <v>ING. LUIS JOEL HUERTA LOMA</v>
      </c>
      <c r="AB687" s="1281" t="s">
        <v>5720</v>
      </c>
      <c r="AC687" s="446" t="s">
        <v>5721</v>
      </c>
      <c r="AD687" s="200" t="str">
        <f>OBRA!V685</f>
        <v>ARQ. FRANCISCO SALAZAR</v>
      </c>
      <c r="AE687" s="174">
        <v>1</v>
      </c>
      <c r="AF687" s="202" t="s">
        <v>5726</v>
      </c>
      <c r="AG687" s="720">
        <f t="shared" si="51"/>
        <v>0</v>
      </c>
      <c r="AH687" s="560"/>
      <c r="AI687" s="556"/>
      <c r="AJ687" s="2075" t="s">
        <v>68</v>
      </c>
      <c r="AK687" s="721"/>
      <c r="AL687" s="1806"/>
      <c r="AM687" s="631"/>
      <c r="AN687" s="631"/>
      <c r="AO687" s="631"/>
      <c r="AP687" s="556"/>
      <c r="AQ687" s="561"/>
      <c r="AR687" s="556"/>
      <c r="AS687" s="556"/>
      <c r="AT687" s="556"/>
      <c r="AU687" s="556"/>
      <c r="AV687" s="35"/>
      <c r="AW687" s="13"/>
    </row>
    <row r="688" spans="1:49" ht="125.25" hidden="1" customHeight="1">
      <c r="A688" s="17">
        <f>OBRA!I686</f>
        <v>2023</v>
      </c>
      <c r="B688" s="895" t="s">
        <v>3989</v>
      </c>
      <c r="C688" s="895"/>
      <c r="D688" s="895"/>
      <c r="E688" s="2" t="str">
        <f>OBRA!K686</f>
        <v>CUENTA CORRIENTE</v>
      </c>
      <c r="F688" s="205" t="s">
        <v>1431</v>
      </c>
      <c r="G688" s="632"/>
      <c r="H688" s="13"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28" t="s">
        <v>5740</v>
      </c>
      <c r="L688" s="328" t="s">
        <v>5703</v>
      </c>
      <c r="M688" s="328" t="str">
        <f>OBRA!O686</f>
        <v>CABECERA MUNICIPAL</v>
      </c>
      <c r="N688" s="554" t="s">
        <v>5711</v>
      </c>
      <c r="O688" s="4">
        <f>OBRA!P686</f>
        <v>34800</v>
      </c>
      <c r="P688" s="1208">
        <f t="shared" si="50"/>
        <v>30000.000000000004</v>
      </c>
      <c r="Q688" s="85" t="s">
        <v>68</v>
      </c>
      <c r="R688" s="6">
        <f>OBRA!Q686</f>
        <v>45140</v>
      </c>
      <c r="S688" s="1327" t="str">
        <f>OBRA!T686</f>
        <v>-</v>
      </c>
      <c r="T688" s="5">
        <f>OBRA!R686</f>
        <v>45144</v>
      </c>
      <c r="U688" s="12">
        <f>OBRA!S686</f>
        <v>45146</v>
      </c>
      <c r="V688" s="305">
        <v>0</v>
      </c>
      <c r="W688" s="1207">
        <f>OBRA!AQ686+OBRA!AR686</f>
        <v>0</v>
      </c>
      <c r="X688" s="1202" t="s">
        <v>5754</v>
      </c>
      <c r="Y688" s="639" t="str">
        <f>OBRA!U686</f>
        <v>ING. LUIS JOEL HUERTA LOMA</v>
      </c>
      <c r="Z688" s="639" t="s">
        <v>5822</v>
      </c>
      <c r="AA688" s="640" t="str">
        <f t="shared" si="52"/>
        <v>ING. LUIS JOEL HUERTA LOMA</v>
      </c>
      <c r="AB688" s="1281" t="s">
        <v>5720</v>
      </c>
      <c r="AC688" s="446" t="s">
        <v>5721</v>
      </c>
      <c r="AD688" s="200" t="str">
        <f>OBRA!V686</f>
        <v>ARQ. FRANCISCO SALAZAR</v>
      </c>
      <c r="AE688" s="174">
        <v>1</v>
      </c>
      <c r="AF688" s="202" t="s">
        <v>5726</v>
      </c>
      <c r="AG688" s="720">
        <f t="shared" si="51"/>
        <v>0</v>
      </c>
      <c r="AH688" s="560"/>
      <c r="AI688" s="556"/>
      <c r="AJ688" s="2075" t="s">
        <v>68</v>
      </c>
      <c r="AK688" s="721"/>
      <c r="AL688" s="1806"/>
      <c r="AM688" s="631"/>
      <c r="AN688" s="631"/>
      <c r="AO688" s="631"/>
      <c r="AP688" s="556"/>
      <c r="AQ688" s="561"/>
      <c r="AR688" s="556"/>
      <c r="AS688" s="556"/>
      <c r="AT688" s="556"/>
      <c r="AU688" s="556"/>
      <c r="AV688" s="35"/>
      <c r="AW688" s="13"/>
    </row>
    <row r="689" spans="1:49" ht="15" hidden="1" customHeight="1">
      <c r="A689" s="17">
        <f>OBRA!I687</f>
        <v>2023</v>
      </c>
      <c r="B689" s="895" t="s">
        <v>3989</v>
      </c>
      <c r="C689" s="895"/>
      <c r="D689" s="895"/>
      <c r="E689" s="2" t="str">
        <f>OBRA!K687</f>
        <v>CUENTA CORRIENTE</v>
      </c>
      <c r="F689" s="205" t="s">
        <v>1431</v>
      </c>
      <c r="G689" s="632"/>
      <c r="H689" s="13" t="str">
        <f>OBRA!L687</f>
        <v>C.P.S.P. DOP 027/2023</v>
      </c>
      <c r="I689" s="2" t="str">
        <f>OBRA!M687</f>
        <v>SERVICIOS</v>
      </c>
      <c r="J689" s="3" t="str">
        <f>OBRA!N687</f>
        <v>-</v>
      </c>
      <c r="K689" s="597"/>
      <c r="L689" s="597"/>
      <c r="M689" s="328" t="str">
        <f>OBRA!O687</f>
        <v>-</v>
      </c>
      <c r="N689" s="597"/>
      <c r="O689" s="4">
        <f>OBRA!P687</f>
        <v>0</v>
      </c>
      <c r="P689" s="1208">
        <f t="shared" si="50"/>
        <v>0</v>
      </c>
      <c r="Q689" s="85" t="s">
        <v>68</v>
      </c>
      <c r="R689" s="6">
        <f>OBRA!Q687</f>
        <v>0</v>
      </c>
      <c r="S689" s="1327" t="str">
        <f>OBRA!T687</f>
        <v>-</v>
      </c>
      <c r="T689" s="5">
        <f>OBRA!R687</f>
        <v>0</v>
      </c>
      <c r="U689" s="12">
        <f>OBRA!S687</f>
        <v>0</v>
      </c>
      <c r="V689" s="305">
        <v>0</v>
      </c>
      <c r="W689" s="1207">
        <f>OBRA!AQ687+OBRA!AR687</f>
        <v>0</v>
      </c>
      <c r="X689" s="1202" t="s">
        <v>5754</v>
      </c>
      <c r="Y689" s="639">
        <f>OBRA!U687</f>
        <v>0</v>
      </c>
      <c r="Z689" s="639"/>
      <c r="AA689" s="640">
        <f t="shared" si="52"/>
        <v>0</v>
      </c>
      <c r="AB689" s="1372"/>
      <c r="AC689" s="1373"/>
      <c r="AD689" s="608">
        <f>OBRA!V687</f>
        <v>0</v>
      </c>
      <c r="AE689" s="169"/>
      <c r="AF689" s="560"/>
      <c r="AG689" s="720" t="e">
        <f t="shared" si="51"/>
        <v>#DIV/0!</v>
      </c>
      <c r="AH689" s="560"/>
      <c r="AI689" s="556"/>
      <c r="AJ689" s="2075" t="s">
        <v>68</v>
      </c>
      <c r="AK689" s="721"/>
      <c r="AL689" s="1806"/>
      <c r="AM689" s="631"/>
      <c r="AN689" s="631"/>
      <c r="AO689" s="631"/>
      <c r="AP689" s="556"/>
      <c r="AQ689" s="561"/>
      <c r="AR689" s="556"/>
      <c r="AS689" s="556"/>
      <c r="AT689" s="556"/>
      <c r="AU689" s="556"/>
      <c r="AV689" s="35"/>
      <c r="AW689" s="13"/>
    </row>
    <row r="690" spans="1:49" ht="15" hidden="1" customHeight="1">
      <c r="A690" s="17">
        <f>OBRA!I688</f>
        <v>2023</v>
      </c>
      <c r="B690" s="895" t="s">
        <v>3989</v>
      </c>
      <c r="C690" s="895"/>
      <c r="D690" s="895"/>
      <c r="E690" s="2" t="str">
        <f>OBRA!K688</f>
        <v>CUENTA CORRIENTE</v>
      </c>
      <c r="F690" s="205" t="s">
        <v>1431</v>
      </c>
      <c r="G690" s="632"/>
      <c r="H690" s="13" t="str">
        <f>OBRA!L688</f>
        <v>C.P.S.P. DOP 028/2023</v>
      </c>
      <c r="I690" s="2" t="str">
        <f>OBRA!M688</f>
        <v>SERVICIOS</v>
      </c>
      <c r="J690" s="3" t="str">
        <f>OBRA!N688</f>
        <v>-</v>
      </c>
      <c r="K690" s="597"/>
      <c r="L690" s="597"/>
      <c r="M690" s="328" t="str">
        <f>OBRA!O688</f>
        <v>-</v>
      </c>
      <c r="N690" s="597"/>
      <c r="O690" s="4">
        <f>OBRA!P688</f>
        <v>0</v>
      </c>
      <c r="P690" s="1208">
        <f t="shared" si="50"/>
        <v>0</v>
      </c>
      <c r="Q690" s="85" t="s">
        <v>68</v>
      </c>
      <c r="R690" s="6">
        <f>OBRA!Q688</f>
        <v>0</v>
      </c>
      <c r="S690" s="1327" t="str">
        <f>OBRA!T688</f>
        <v>-</v>
      </c>
      <c r="T690" s="5">
        <f>OBRA!R688</f>
        <v>0</v>
      </c>
      <c r="U690" s="12">
        <f>OBRA!S688</f>
        <v>0</v>
      </c>
      <c r="V690" s="305">
        <v>0</v>
      </c>
      <c r="W690" s="1207">
        <f>OBRA!AQ688+OBRA!AR688</f>
        <v>0</v>
      </c>
      <c r="X690" s="1202" t="s">
        <v>5754</v>
      </c>
      <c r="Y690" s="639">
        <f>OBRA!U688</f>
        <v>0</v>
      </c>
      <c r="Z690" s="639"/>
      <c r="AA690" s="640">
        <f t="shared" si="52"/>
        <v>0</v>
      </c>
      <c r="AB690" s="1372"/>
      <c r="AC690" s="1373"/>
      <c r="AD690" s="608">
        <f>OBRA!V688</f>
        <v>0</v>
      </c>
      <c r="AE690" s="169"/>
      <c r="AF690" s="560"/>
      <c r="AG690" s="720" t="e">
        <f t="shared" si="51"/>
        <v>#DIV/0!</v>
      </c>
      <c r="AH690" s="560"/>
      <c r="AI690" s="556"/>
      <c r="AJ690" s="2075" t="s">
        <v>68</v>
      </c>
      <c r="AK690" s="721"/>
      <c r="AL690" s="1806"/>
      <c r="AM690" s="631"/>
      <c r="AN690" s="631"/>
      <c r="AO690" s="631"/>
      <c r="AP690" s="556"/>
      <c r="AQ690" s="561"/>
      <c r="AR690" s="556"/>
      <c r="AS690" s="556"/>
      <c r="AT690" s="556"/>
      <c r="AU690" s="556"/>
      <c r="AV690" s="35"/>
      <c r="AW690" s="13"/>
    </row>
    <row r="691" spans="1:49" ht="15" hidden="1" customHeight="1">
      <c r="A691" s="17">
        <f>OBRA!I689</f>
        <v>2023</v>
      </c>
      <c r="B691" s="895" t="s">
        <v>3989</v>
      </c>
      <c r="C691" s="895"/>
      <c r="D691" s="895"/>
      <c r="E691" s="2" t="str">
        <f>OBRA!K689</f>
        <v>CUENTA CORRIENTE</v>
      </c>
      <c r="F691" s="205" t="s">
        <v>1431</v>
      </c>
      <c r="G691" s="632"/>
      <c r="H691" s="13" t="str">
        <f>OBRA!L689</f>
        <v>C.P.S.P. DOP 029/2023</v>
      </c>
      <c r="I691" s="2" t="str">
        <f>OBRA!M689</f>
        <v>SERVICIOS</v>
      </c>
      <c r="J691" s="3" t="str">
        <f>OBRA!N689</f>
        <v>-</v>
      </c>
      <c r="K691" s="597"/>
      <c r="L691" s="597"/>
      <c r="M691" s="328" t="str">
        <f>OBRA!O689</f>
        <v>-</v>
      </c>
      <c r="N691" s="597"/>
      <c r="O691" s="4">
        <f>OBRA!P689</f>
        <v>0</v>
      </c>
      <c r="P691" s="1208">
        <f t="shared" si="50"/>
        <v>0</v>
      </c>
      <c r="Q691" s="85" t="s">
        <v>68</v>
      </c>
      <c r="R691" s="6">
        <f>OBRA!Q689</f>
        <v>0</v>
      </c>
      <c r="S691" s="1327" t="str">
        <f>OBRA!T689</f>
        <v>-</v>
      </c>
      <c r="T691" s="5">
        <f>OBRA!R689</f>
        <v>0</v>
      </c>
      <c r="U691" s="12">
        <f>OBRA!S689</f>
        <v>0</v>
      </c>
      <c r="V691" s="305">
        <v>0</v>
      </c>
      <c r="W691" s="1207">
        <f>OBRA!AQ689+OBRA!AR689</f>
        <v>0</v>
      </c>
      <c r="X691" s="1202" t="s">
        <v>5754</v>
      </c>
      <c r="Y691" s="639">
        <f>OBRA!U689</f>
        <v>0</v>
      </c>
      <c r="Z691" s="639"/>
      <c r="AA691" s="640">
        <f t="shared" si="52"/>
        <v>0</v>
      </c>
      <c r="AB691" s="1372"/>
      <c r="AC691" s="1373"/>
      <c r="AD691" s="608">
        <f>OBRA!V689</f>
        <v>0</v>
      </c>
      <c r="AE691" s="169"/>
      <c r="AF691" s="560"/>
      <c r="AG691" s="720" t="e">
        <f t="shared" si="51"/>
        <v>#DIV/0!</v>
      </c>
      <c r="AH691" s="560"/>
      <c r="AI691" s="556"/>
      <c r="AJ691" s="2075" t="s">
        <v>68</v>
      </c>
      <c r="AK691" s="721"/>
      <c r="AL691" s="1806"/>
      <c r="AM691" s="631"/>
      <c r="AN691" s="631"/>
      <c r="AO691" s="631"/>
      <c r="AP691" s="556"/>
      <c r="AQ691" s="561"/>
      <c r="AR691" s="556"/>
      <c r="AS691" s="556"/>
      <c r="AT691" s="556"/>
      <c r="AU691" s="556"/>
      <c r="AV691" s="35"/>
      <c r="AW691" s="13"/>
    </row>
    <row r="692" spans="1:49" ht="15" hidden="1" customHeight="1">
      <c r="A692" s="17">
        <f>OBRA!I690</f>
        <v>2023</v>
      </c>
      <c r="B692" s="895" t="s">
        <v>3989</v>
      </c>
      <c r="C692" s="895"/>
      <c r="D692" s="895"/>
      <c r="E692" s="2" t="str">
        <f>OBRA!K690</f>
        <v>CUENTA CORRIENTE</v>
      </c>
      <c r="F692" s="205" t="s">
        <v>1431</v>
      </c>
      <c r="G692" s="632"/>
      <c r="H692" s="13" t="str">
        <f>OBRA!L690</f>
        <v>C.P.S.P. DOP 030/2023</v>
      </c>
      <c r="I692" s="2" t="str">
        <f>OBRA!M690</f>
        <v>SERVICIOS</v>
      </c>
      <c r="J692" s="3" t="str">
        <f>OBRA!N690</f>
        <v>-</v>
      </c>
      <c r="K692" s="597"/>
      <c r="L692" s="597"/>
      <c r="M692" s="328" t="str">
        <f>OBRA!O690</f>
        <v>-</v>
      </c>
      <c r="N692" s="597"/>
      <c r="O692" s="4">
        <f>OBRA!P690</f>
        <v>0</v>
      </c>
      <c r="P692" s="1208">
        <f t="shared" si="50"/>
        <v>0</v>
      </c>
      <c r="Q692" s="85" t="s">
        <v>68</v>
      </c>
      <c r="R692" s="6">
        <f>OBRA!Q690</f>
        <v>0</v>
      </c>
      <c r="S692" s="1327" t="str">
        <f>OBRA!T690</f>
        <v>-</v>
      </c>
      <c r="T692" s="5">
        <f>OBRA!R690</f>
        <v>0</v>
      </c>
      <c r="U692" s="12">
        <f>OBRA!S690</f>
        <v>0</v>
      </c>
      <c r="V692" s="305">
        <v>0</v>
      </c>
      <c r="W692" s="1207">
        <f>OBRA!AQ690+OBRA!AR690</f>
        <v>0</v>
      </c>
      <c r="X692" s="1202" t="s">
        <v>5754</v>
      </c>
      <c r="Y692" s="639">
        <f>OBRA!U690</f>
        <v>0</v>
      </c>
      <c r="Z692" s="639"/>
      <c r="AA692" s="640">
        <f t="shared" si="52"/>
        <v>0</v>
      </c>
      <c r="AB692" s="1372"/>
      <c r="AC692" s="1373"/>
      <c r="AD692" s="608">
        <f>OBRA!V690</f>
        <v>0</v>
      </c>
      <c r="AE692" s="169"/>
      <c r="AF692" s="560"/>
      <c r="AG692" s="720" t="e">
        <f t="shared" si="51"/>
        <v>#DIV/0!</v>
      </c>
      <c r="AH692" s="560"/>
      <c r="AI692" s="556"/>
      <c r="AJ692" s="2075" t="s">
        <v>68</v>
      </c>
      <c r="AK692" s="721"/>
      <c r="AL692" s="1806"/>
      <c r="AM692" s="631"/>
      <c r="AN692" s="631"/>
      <c r="AO692" s="631"/>
      <c r="AP692" s="556"/>
      <c r="AQ692" s="561"/>
      <c r="AR692" s="556"/>
      <c r="AS692" s="556"/>
      <c r="AT692" s="556"/>
      <c r="AU692" s="556"/>
      <c r="AV692" s="35"/>
      <c r="AW692" s="13"/>
    </row>
    <row r="693" spans="1:49" ht="93" hidden="1" customHeight="1">
      <c r="A693" s="17">
        <f>OBRA!I691</f>
        <v>2023</v>
      </c>
      <c r="B693" s="895" t="s">
        <v>3989</v>
      </c>
      <c r="C693" s="895"/>
      <c r="D693" s="895"/>
      <c r="E693" s="2" t="str">
        <f>OBRA!K691</f>
        <v>CUENTA CORRIENTE</v>
      </c>
      <c r="F693" s="205" t="s">
        <v>1431</v>
      </c>
      <c r="G693" s="632"/>
      <c r="H693" s="451" t="str">
        <f>OBRA!L691</f>
        <v>C- OP 001/2023</v>
      </c>
      <c r="I693" s="2" t="str">
        <f>OBRA!M691</f>
        <v>ARRENDAMIENTO</v>
      </c>
      <c r="J693" s="3" t="str">
        <f>OBRA!N691</f>
        <v>RENTA DE UNA RETROEXCAVADORA JHON DEERE 310SJ 4X4, PARA SER UTILIZADAEN DIVERSOS MANTENIMIENTOS REQUERIDOS POR LA DIRECCIÓN DE OBRAS PÚBLICAS DEL GOBIERNO MUNICIPAL DE JOCOTEPEC, JALISCO.</v>
      </c>
      <c r="K693" s="186" t="s">
        <v>5742</v>
      </c>
      <c r="L693" s="328" t="s">
        <v>5705</v>
      </c>
      <c r="M693" s="328" t="str">
        <f>OBRA!O691</f>
        <v>MUNICIPIO</v>
      </c>
      <c r="N693" s="554" t="s">
        <v>4942</v>
      </c>
      <c r="O693" s="4">
        <f>OBRA!P691</f>
        <v>56839.999999999993</v>
      </c>
      <c r="P693" s="1208">
        <f t="shared" si="49"/>
        <v>49000</v>
      </c>
      <c r="Q693" s="4" t="s">
        <v>3999</v>
      </c>
      <c r="R693" s="6">
        <f>OBRA!Q691</f>
        <v>44928</v>
      </c>
      <c r="S693" s="1327" t="str">
        <f>OBRA!T691</f>
        <v>-</v>
      </c>
      <c r="T693" s="5">
        <f>OBRA!R691</f>
        <v>44928</v>
      </c>
      <c r="U693" s="12">
        <f>OBRA!S691</f>
        <v>44957</v>
      </c>
      <c r="V693" s="305">
        <v>0</v>
      </c>
      <c r="W693" s="1207">
        <f>OBRA!AQ691+OBRA!AR691</f>
        <v>0</v>
      </c>
      <c r="X693" s="1202" t="s">
        <v>5741</v>
      </c>
      <c r="Y693" s="639" t="str">
        <f>OBRA!U691</f>
        <v>URBANIZADORA Y PAVIMENTADORA MONLE S.A. DE C.V.</v>
      </c>
      <c r="Z693" s="639" t="s">
        <v>5823</v>
      </c>
      <c r="AA693" s="640" t="s">
        <v>4936</v>
      </c>
      <c r="AB693" s="1281" t="s">
        <v>4937</v>
      </c>
      <c r="AC693" s="652" t="s">
        <v>4938</v>
      </c>
      <c r="AD693" s="200" t="str">
        <f>OBRA!V691</f>
        <v>C. DANIEL RODRIGUEZ VALENZUELA</v>
      </c>
      <c r="AE693" s="231">
        <v>1</v>
      </c>
      <c r="AF693" s="2045" t="str">
        <f>Q693</f>
        <v>MES</v>
      </c>
      <c r="AG693" s="720">
        <f t="shared" si="48"/>
        <v>0</v>
      </c>
      <c r="AH693" s="560"/>
      <c r="AI693" s="556"/>
      <c r="AJ693" s="2075" t="s">
        <v>68</v>
      </c>
      <c r="AK693" s="721"/>
      <c r="AL693" s="1806"/>
      <c r="AM693" s="631"/>
      <c r="AN693" s="631"/>
      <c r="AO693" s="631"/>
      <c r="AP693" s="556"/>
      <c r="AQ693" s="561"/>
      <c r="AR693" s="556"/>
      <c r="AS693" s="556"/>
      <c r="AT693" s="556"/>
      <c r="AU693" s="556"/>
      <c r="AV693" s="35"/>
      <c r="AW693" s="13"/>
    </row>
    <row r="694" spans="1:49" ht="99" hidden="1" customHeight="1">
      <c r="A694" s="17">
        <f>OBRA!I692</f>
        <v>2023</v>
      </c>
      <c r="B694" s="895" t="s">
        <v>3989</v>
      </c>
      <c r="C694" s="895"/>
      <c r="D694" s="895"/>
      <c r="E694" s="2" t="str">
        <f>OBRA!K692</f>
        <v>CUENTA CORRIENTE</v>
      </c>
      <c r="F694" s="205" t="s">
        <v>1431</v>
      </c>
      <c r="G694" s="632"/>
      <c r="H694" s="451" t="str">
        <f>OBRA!L692</f>
        <v>C- OP 001A/2023</v>
      </c>
      <c r="I694" s="2" t="str">
        <f>OBRA!M692</f>
        <v>ARRENDAMIENTO</v>
      </c>
      <c r="J694" s="3" t="str">
        <f>OBRA!N692</f>
        <v>RENTA DE UN CAMIÓN (VOLTEO 7 M3) DODGE, MODELO 1989 CON PLACAS JL-0889, PARA SER UTILIZADO EN LAS OBRAS: MANTENIMIENTOS VARIOS EN LAS AGENCIAS, DELEGACIONES Y CABECERA MUNICIPAL DEL MUNICIPIO DE JOCOTEPEC, JALISCO.</v>
      </c>
      <c r="K694" s="186" t="s">
        <v>5743</v>
      </c>
      <c r="L694" s="328" t="s">
        <v>5705</v>
      </c>
      <c r="M694" s="328" t="str">
        <f>OBRA!O692</f>
        <v>MUNICIPIO</v>
      </c>
      <c r="N694" s="554" t="s">
        <v>4942</v>
      </c>
      <c r="O694" s="4">
        <f>OBRA!P692</f>
        <v>3248</v>
      </c>
      <c r="P694" s="1208">
        <f t="shared" si="49"/>
        <v>2800</v>
      </c>
      <c r="Q694" s="4" t="s">
        <v>5668</v>
      </c>
      <c r="R694" s="6">
        <f>OBRA!Q692</f>
        <v>44929</v>
      </c>
      <c r="S694" s="1327" t="str">
        <f>OBRA!T692</f>
        <v>-</v>
      </c>
      <c r="T694" s="5">
        <f>OBRA!R692</f>
        <v>44929</v>
      </c>
      <c r="U694" s="12">
        <f>OBRA!S692</f>
        <v>44985</v>
      </c>
      <c r="V694" s="305">
        <v>0</v>
      </c>
      <c r="W694" s="1207">
        <f>OBRA!AQ692+OBRA!AR692</f>
        <v>0</v>
      </c>
      <c r="X694" s="1202" t="s">
        <v>5741</v>
      </c>
      <c r="Y694" s="639" t="str">
        <f>OBRA!U692</f>
        <v>BACHMEIER S.A. DE C.V.</v>
      </c>
      <c r="Z694" s="639" t="s">
        <v>5823</v>
      </c>
      <c r="AA694" s="640" t="s">
        <v>4932</v>
      </c>
      <c r="AB694" s="650" t="s">
        <v>4933</v>
      </c>
      <c r="AC694" s="652" t="s">
        <v>4934</v>
      </c>
      <c r="AD694" s="200" t="str">
        <f>OBRA!V692</f>
        <v>ING. LUIS RIGOBERTO OLMEDO NAVARRO</v>
      </c>
      <c r="AE694" s="231">
        <v>1</v>
      </c>
      <c r="AF694" s="2045" t="str">
        <f t="shared" ref="AF694:AF715" si="54">Q694</f>
        <v>DÍA</v>
      </c>
      <c r="AG694" s="720">
        <f t="shared" si="48"/>
        <v>0</v>
      </c>
      <c r="AH694" s="560"/>
      <c r="AI694" s="556"/>
      <c r="AJ694" s="2075" t="s">
        <v>68</v>
      </c>
      <c r="AK694" s="721"/>
      <c r="AL694" s="1806"/>
      <c r="AM694" s="631"/>
      <c r="AN694" s="631"/>
      <c r="AO694" s="631"/>
      <c r="AP694" s="556"/>
      <c r="AQ694" s="561"/>
      <c r="AR694" s="556"/>
      <c r="AS694" s="556"/>
      <c r="AT694" s="556"/>
      <c r="AU694" s="556"/>
      <c r="AV694" s="35"/>
      <c r="AW694" s="13"/>
    </row>
    <row r="695" spans="1:49" ht="91.5" hidden="1" customHeight="1">
      <c r="A695" s="17">
        <f>OBRA!I693</f>
        <v>2023</v>
      </c>
      <c r="B695" s="895" t="s">
        <v>3989</v>
      </c>
      <c r="C695" s="895"/>
      <c r="D695" s="895"/>
      <c r="E695" s="2" t="str">
        <f>OBRA!K693</f>
        <v>CUENTA CORRIENTE</v>
      </c>
      <c r="F695" s="205" t="s">
        <v>1431</v>
      </c>
      <c r="G695" s="632"/>
      <c r="H695" s="451" t="str">
        <f>OBRA!L693</f>
        <v>C- OP 002/2023</v>
      </c>
      <c r="I695" s="2" t="str">
        <f>OBRA!M693</f>
        <v>ARRENDAMIENTO</v>
      </c>
      <c r="J695" s="3" t="str">
        <f>OBRA!N693</f>
        <v>RENTA DE CAMIÓN TIPO PIPA MARCA DODGE RAM 6500 MOD. 1996 PLACAS JM57075, CON CAPACIDAD DE 10,000 LITROS PARA ACARREOS DE AGUA, PARA SER UTILIZADA EN CALLES DE ZONA NORTE DE LA CABECERA MUNICIPAL DE JOCOTEPEC, JALISCO, DELEGACIONES Y AGENCIAS DEL MUNICIPIO.</v>
      </c>
      <c r="K695" s="328" t="s">
        <v>5744</v>
      </c>
      <c r="L695" s="328" t="s">
        <v>3819</v>
      </c>
      <c r="M695" s="328" t="str">
        <f>OBRA!O693</f>
        <v>MUNICIPIO</v>
      </c>
      <c r="N695" s="554" t="s">
        <v>4942</v>
      </c>
      <c r="O695" s="4">
        <f>OBRA!P693</f>
        <v>28999.999999999996</v>
      </c>
      <c r="P695" s="1208">
        <f t="shared" si="49"/>
        <v>25000</v>
      </c>
      <c r="Q695" s="4" t="s">
        <v>3999</v>
      </c>
      <c r="R695" s="6">
        <f>OBRA!Q693</f>
        <v>45005</v>
      </c>
      <c r="S695" s="1327" t="str">
        <f>OBRA!T693</f>
        <v>-</v>
      </c>
      <c r="T695" s="5">
        <f>OBRA!R693</f>
        <v>45007</v>
      </c>
      <c r="U695" s="12">
        <f>OBRA!S693</f>
        <v>45038</v>
      </c>
      <c r="V695" s="305">
        <v>0</v>
      </c>
      <c r="W695" s="1207">
        <f>OBRA!AQ693+OBRA!AR693</f>
        <v>0</v>
      </c>
      <c r="X695" s="1202" t="s">
        <v>5741</v>
      </c>
      <c r="Y695" s="639" t="str">
        <f>OBRA!U693</f>
        <v>ALSERCON SA DE CV</v>
      </c>
      <c r="Z695" s="639" t="s">
        <v>5823</v>
      </c>
      <c r="AA695" s="640" t="s">
        <v>2183</v>
      </c>
      <c r="AB695" s="650" t="s">
        <v>2184</v>
      </c>
      <c r="AC695" s="652" t="s">
        <v>3404</v>
      </c>
      <c r="AD695" s="200" t="str">
        <f>OBRA!V693</f>
        <v>C. DANIEL RODRIGUEZ VALENZUELA</v>
      </c>
      <c r="AE695" s="231">
        <v>1</v>
      </c>
      <c r="AF695" s="2045" t="str">
        <f t="shared" si="54"/>
        <v>MES</v>
      </c>
      <c r="AG695" s="720">
        <f t="shared" si="48"/>
        <v>0</v>
      </c>
      <c r="AH695" s="560"/>
      <c r="AI695" s="556"/>
      <c r="AJ695" s="2075" t="s">
        <v>68</v>
      </c>
      <c r="AK695" s="721"/>
      <c r="AL695" s="1806"/>
      <c r="AM695" s="631"/>
      <c r="AN695" s="631"/>
      <c r="AO695" s="631"/>
      <c r="AP695" s="556"/>
      <c r="AQ695" s="561"/>
      <c r="AR695" s="556"/>
      <c r="AS695" s="556"/>
      <c r="AT695" s="556"/>
      <c r="AU695" s="556"/>
      <c r="AV695" s="35"/>
      <c r="AW695" s="13"/>
    </row>
    <row r="696" spans="1:49" ht="72" hidden="1" customHeight="1">
      <c r="A696" s="17">
        <f>OBRA!I694</f>
        <v>2023</v>
      </c>
      <c r="B696" s="895" t="s">
        <v>3989</v>
      </c>
      <c r="C696" s="895"/>
      <c r="D696" s="895"/>
      <c r="E696" s="2" t="str">
        <f>OBRA!K694</f>
        <v>CUENTA CORRIENTE</v>
      </c>
      <c r="F696" s="205" t="s">
        <v>1431</v>
      </c>
      <c r="G696" s="632"/>
      <c r="H696" s="451" t="str">
        <f>OBRA!L694</f>
        <v>C- OP 003/2023</v>
      </c>
      <c r="I696" s="2" t="str">
        <f>OBRA!M694</f>
        <v>ARRENDAMIENTO</v>
      </c>
      <c r="J696" s="3" t="str">
        <f>OBRA!N694</f>
        <v>RENTA DE UNA RETROEXCAVADORA JHON DEERE 310SJ 4X4, PARA SER UTILIZADA EN DIVERSOS MANTENIMIENTOS REQUERIDOS POR LA DIRECCIÓN DE OBRAS PÚBLICAS DEL GOBIERNO MUNICIPAL DE JOCOTEPEC, JALISCO.</v>
      </c>
      <c r="K696" s="328" t="s">
        <v>5742</v>
      </c>
      <c r="L696" s="328" t="s">
        <v>5705</v>
      </c>
      <c r="M696" s="328" t="str">
        <f>OBRA!O694</f>
        <v>MUNICIPIO</v>
      </c>
      <c r="N696" s="554" t="s">
        <v>4942</v>
      </c>
      <c r="O696" s="4">
        <f>OBRA!P694</f>
        <v>59681.999999999993</v>
      </c>
      <c r="P696" s="1208">
        <f t="shared" si="49"/>
        <v>51450</v>
      </c>
      <c r="Q696" s="4" t="s">
        <v>3999</v>
      </c>
      <c r="R696" s="6">
        <f>OBRA!Q694</f>
        <v>44956</v>
      </c>
      <c r="S696" s="1327" t="str">
        <f>OBRA!T694</f>
        <v>-</v>
      </c>
      <c r="T696" s="5">
        <f>OBRA!R694</f>
        <v>44958</v>
      </c>
      <c r="U696" s="12">
        <f>OBRA!S694</f>
        <v>44985</v>
      </c>
      <c r="V696" s="305">
        <v>0</v>
      </c>
      <c r="W696" s="1207">
        <f>OBRA!AQ694+OBRA!AR694</f>
        <v>0</v>
      </c>
      <c r="X696" s="1202" t="s">
        <v>5741</v>
      </c>
      <c r="Y696" s="639" t="str">
        <f>OBRA!U694</f>
        <v>URBANIZADORA Y PAVIMENTADORA MONLE S.A. DE C.V.</v>
      </c>
      <c r="Z696" s="639" t="s">
        <v>5823</v>
      </c>
      <c r="AA696" s="640" t="s">
        <v>4936</v>
      </c>
      <c r="AB696" s="650" t="s">
        <v>4937</v>
      </c>
      <c r="AC696" s="652" t="s">
        <v>4938</v>
      </c>
      <c r="AD696" s="200" t="str">
        <f>OBRA!V694</f>
        <v>C. DANIEL RODRIGUEZ VALENZUELA</v>
      </c>
      <c r="AE696" s="231">
        <v>1</v>
      </c>
      <c r="AF696" s="2045" t="str">
        <f t="shared" si="54"/>
        <v>MES</v>
      </c>
      <c r="AG696" s="720">
        <f t="shared" si="48"/>
        <v>0</v>
      </c>
      <c r="AH696" s="560"/>
      <c r="AI696" s="556"/>
      <c r="AJ696" s="2075" t="s">
        <v>68</v>
      </c>
      <c r="AK696" s="721"/>
      <c r="AL696" s="1806"/>
      <c r="AM696" s="631"/>
      <c r="AN696" s="631"/>
      <c r="AO696" s="631"/>
      <c r="AP696" s="556"/>
      <c r="AQ696" s="561"/>
      <c r="AR696" s="556"/>
      <c r="AS696" s="556"/>
      <c r="AT696" s="556"/>
      <c r="AU696" s="556"/>
      <c r="AV696" s="35"/>
      <c r="AW696" s="13"/>
    </row>
    <row r="697" spans="1:49" ht="93.75" hidden="1" customHeight="1">
      <c r="A697" s="17">
        <f>OBRA!I695</f>
        <v>2023</v>
      </c>
      <c r="B697" s="895" t="s">
        <v>3989</v>
      </c>
      <c r="C697" s="895"/>
      <c r="D697" s="895"/>
      <c r="E697" s="2" t="str">
        <f>OBRA!K695</f>
        <v>CUENTA CORRIENTE</v>
      </c>
      <c r="F697" s="205" t="s">
        <v>1431</v>
      </c>
      <c r="G697" s="632"/>
      <c r="H697" s="451" t="str">
        <f>OBRA!L695</f>
        <v>C- OP 004/2023</v>
      </c>
      <c r="I697" s="2" t="str">
        <f>OBRA!M695</f>
        <v>ARRENDAMIENTO</v>
      </c>
      <c r="J697" s="3" t="str">
        <f>OBRA!N695</f>
        <v>RENTA DE UNA RETROEXCAVADORA MARCA JCB MOD. 2000 SERIE 4214E, PARA SER UTILIZADA EN LA CONSTRUCCIÓN DE BASE PARA LA COLOCACIÓN DE LETRAS MONUMENTALES DE SAN JOSE POTRERILLOS, DEL MUNICIPIO DE JOCOTEPEC, JALISCO.</v>
      </c>
      <c r="K697" s="328" t="s">
        <v>5745</v>
      </c>
      <c r="L697" s="328" t="s">
        <v>5706</v>
      </c>
      <c r="M697" s="328" t="str">
        <f>OBRA!O695</f>
        <v>POTRERILLOS</v>
      </c>
      <c r="N697" s="597"/>
      <c r="O697" s="4">
        <f>OBRA!P695</f>
        <v>638</v>
      </c>
      <c r="P697" s="1208">
        <f t="shared" si="49"/>
        <v>550</v>
      </c>
      <c r="Q697" s="4" t="s">
        <v>2328</v>
      </c>
      <c r="R697" s="6">
        <f>OBRA!Q695</f>
        <v>44981</v>
      </c>
      <c r="S697" s="1327" t="str">
        <f>OBRA!T695</f>
        <v>-</v>
      </c>
      <c r="T697" s="5">
        <f>OBRA!R695</f>
        <v>44985</v>
      </c>
      <c r="U697" s="12">
        <f>OBRA!S695</f>
        <v>44989</v>
      </c>
      <c r="V697" s="305">
        <v>0</v>
      </c>
      <c r="W697" s="1207">
        <f>OBRA!AQ695+OBRA!AR695</f>
        <v>0</v>
      </c>
      <c r="X697" s="1202" t="s">
        <v>5741</v>
      </c>
      <c r="Y697" s="639" t="str">
        <f>OBRA!U695</f>
        <v xml:space="preserve">DORIA &amp; SAMPIER CONSTRUCTORA, S.A. DE C.V. </v>
      </c>
      <c r="Z697" s="639" t="s">
        <v>5823</v>
      </c>
      <c r="AA697" s="652" t="s">
        <v>5715</v>
      </c>
      <c r="AB697" s="650" t="s">
        <v>4450</v>
      </c>
      <c r="AC697" s="652" t="s">
        <v>5716</v>
      </c>
      <c r="AD697" s="200" t="str">
        <f>OBRA!V695</f>
        <v>C. DANIEL RODRIGUEZ VALENZUELA</v>
      </c>
      <c r="AE697" s="231">
        <v>1</v>
      </c>
      <c r="AF697" s="2045" t="str">
        <f t="shared" si="54"/>
        <v>HORA</v>
      </c>
      <c r="AG697" s="720">
        <f t="shared" si="48"/>
        <v>0</v>
      </c>
      <c r="AH697" s="560"/>
      <c r="AI697" s="556"/>
      <c r="AJ697" s="2075" t="s">
        <v>68</v>
      </c>
      <c r="AK697" s="721"/>
      <c r="AL697" s="1806"/>
      <c r="AM697" s="631"/>
      <c r="AN697" s="631"/>
      <c r="AO697" s="631"/>
      <c r="AP697" s="556"/>
      <c r="AQ697" s="561"/>
      <c r="AR697" s="556"/>
      <c r="AS697" s="556"/>
      <c r="AT697" s="556"/>
      <c r="AU697" s="556"/>
      <c r="AV697" s="35"/>
      <c r="AW697" s="13"/>
    </row>
    <row r="698" spans="1:49" ht="63.75" hidden="1" customHeight="1">
      <c r="A698" s="17">
        <f>OBRA!I696</f>
        <v>2023</v>
      </c>
      <c r="B698" s="895" t="s">
        <v>3989</v>
      </c>
      <c r="C698" s="895"/>
      <c r="D698" s="895"/>
      <c r="E698" s="2" t="str">
        <f>OBRA!K696</f>
        <v>CUENTA CORRIENTE</v>
      </c>
      <c r="F698" s="205" t="s">
        <v>1431</v>
      </c>
      <c r="G698" s="632"/>
      <c r="H698" s="13" t="str">
        <f>OBRA!L696</f>
        <v>C- OP 005/2023</v>
      </c>
      <c r="I698" s="2" t="str">
        <f>OBRA!M696</f>
        <v>ARRENDAMIENTO</v>
      </c>
      <c r="J698" s="3" t="str">
        <f>OBRA!N696</f>
        <v>RENTA DE CAMIÓN TIPO PIPA MARCA DODGE RAM 6500 MOD. 1996 PLACAS JM57075, CON CAPACIDAD DE 10,000 LITROS PARA EL SERVICIO DE ACARREO DE AGUA EN EL MUNICIPIO DE JOCOTEPEC, JALISCO.</v>
      </c>
      <c r="K698" s="328" t="s">
        <v>5746</v>
      </c>
      <c r="L698" s="597"/>
      <c r="M698" s="328" t="str">
        <f>OBRA!O696</f>
        <v>MUNICIPIO</v>
      </c>
      <c r="N698" s="597"/>
      <c r="O698" s="4">
        <f>OBRA!P696</f>
        <v>28999.999999999996</v>
      </c>
      <c r="P698" s="1208">
        <f t="shared" si="49"/>
        <v>25000</v>
      </c>
      <c r="Q698" s="4" t="s">
        <v>3999</v>
      </c>
      <c r="R698" s="6">
        <f>OBRA!Q696</f>
        <v>45037</v>
      </c>
      <c r="S698" s="1327" t="str">
        <f>OBRA!T696</f>
        <v>-</v>
      </c>
      <c r="T698" s="5">
        <f>OBRA!R696</f>
        <v>45039</v>
      </c>
      <c r="U698" s="12">
        <f>OBRA!S696</f>
        <v>45069</v>
      </c>
      <c r="V698" s="305">
        <v>0</v>
      </c>
      <c r="W698" s="1207">
        <f>OBRA!AQ696+OBRA!AR696</f>
        <v>0</v>
      </c>
      <c r="X698" s="1202" t="s">
        <v>5741</v>
      </c>
      <c r="Y698" s="639" t="str">
        <f>OBRA!U696</f>
        <v>ALSERCON SA DE CV</v>
      </c>
      <c r="Z698" s="639" t="s">
        <v>5823</v>
      </c>
      <c r="AA698" s="640" t="s">
        <v>2183</v>
      </c>
      <c r="AB698" s="650" t="s">
        <v>2184</v>
      </c>
      <c r="AC698" s="652" t="s">
        <v>3404</v>
      </c>
      <c r="AD698" s="200" t="str">
        <f>OBRA!V696</f>
        <v>C. DANIEL RODRIGUEZ VALENZUELA</v>
      </c>
      <c r="AE698" s="231">
        <v>1</v>
      </c>
      <c r="AF698" s="2045" t="str">
        <f t="shared" si="54"/>
        <v>MES</v>
      </c>
      <c r="AG698" s="720">
        <f t="shared" si="48"/>
        <v>0</v>
      </c>
      <c r="AH698" s="560"/>
      <c r="AI698" s="556"/>
      <c r="AJ698" s="2075" t="s">
        <v>68</v>
      </c>
      <c r="AK698" s="721"/>
      <c r="AL698" s="1806"/>
      <c r="AM698" s="631"/>
      <c r="AN698" s="631"/>
      <c r="AO698" s="631"/>
      <c r="AP698" s="556"/>
      <c r="AQ698" s="561"/>
      <c r="AR698" s="556"/>
      <c r="AS698" s="556"/>
      <c r="AT698" s="556"/>
      <c r="AU698" s="556"/>
      <c r="AV698" s="35"/>
      <c r="AW698" s="13"/>
    </row>
    <row r="699" spans="1:49" ht="75" hidden="1" customHeight="1">
      <c r="A699" s="17">
        <f>OBRA!I697</f>
        <v>2023</v>
      </c>
      <c r="B699" s="895" t="s">
        <v>3989</v>
      </c>
      <c r="C699" s="895"/>
      <c r="D699" s="895"/>
      <c r="E699" s="2" t="str">
        <f>OBRA!K697</f>
        <v>CUENTA CORRIENTE</v>
      </c>
      <c r="F699" s="205" t="s">
        <v>1431</v>
      </c>
      <c r="G699" s="632"/>
      <c r="H699" s="451" t="str">
        <f>OBRA!L697</f>
        <v>C- OP 006/2023</v>
      </c>
      <c r="I699" s="2" t="str">
        <f>OBRA!M697</f>
        <v>ARRENDAMIENTO</v>
      </c>
      <c r="J699" s="3" t="str">
        <f>OBRA!N697</f>
        <v>RENTA DE UNA RETROEXCAVADORA DEE 310SJ 4X4, PARA SER UTILIZADA EN DIVERSOS MANTENIMIENTOS REQUERIDOS POR LA DIRECCIÓN DE OBRAS PÚBLICAS DEL GOBIERNO MUNICIPAL DE JOCOTEPEC, JALISCO.</v>
      </c>
      <c r="K699" s="328" t="s">
        <v>5742</v>
      </c>
      <c r="L699" s="328" t="s">
        <v>5705</v>
      </c>
      <c r="M699" s="328" t="str">
        <f>OBRA!O697</f>
        <v>MUNICIPIO</v>
      </c>
      <c r="N699" s="597"/>
      <c r="O699" s="4">
        <f>OBRA!P697</f>
        <v>59681.999999999993</v>
      </c>
      <c r="P699" s="1208">
        <f t="shared" si="49"/>
        <v>51450</v>
      </c>
      <c r="Q699" s="4" t="s">
        <v>3999</v>
      </c>
      <c r="R699" s="6">
        <f>OBRA!Q697</f>
        <v>45015</v>
      </c>
      <c r="S699" s="1327" t="str">
        <f>OBRA!T697</f>
        <v>-</v>
      </c>
      <c r="T699" s="5">
        <f>OBRA!R697</f>
        <v>45017</v>
      </c>
      <c r="U699" s="12">
        <f>OBRA!S697</f>
        <v>45046</v>
      </c>
      <c r="V699" s="305">
        <v>0</v>
      </c>
      <c r="W699" s="1207">
        <f>OBRA!AQ697+OBRA!AR697</f>
        <v>0</v>
      </c>
      <c r="X699" s="1202" t="s">
        <v>5741</v>
      </c>
      <c r="Y699" s="639" t="str">
        <f>OBRA!U697</f>
        <v>URBANIZADORA Y PAVIMENTADORA MONLE S.A. DE C.V.</v>
      </c>
      <c r="Z699" s="639" t="s">
        <v>5823</v>
      </c>
      <c r="AA699" s="640" t="s">
        <v>4936</v>
      </c>
      <c r="AB699" s="650" t="s">
        <v>4937</v>
      </c>
      <c r="AC699" s="652" t="s">
        <v>4938</v>
      </c>
      <c r="AD699" s="200" t="str">
        <f>OBRA!V697</f>
        <v>C. DANIEL RODRIGUEZ VALENZUELA</v>
      </c>
      <c r="AE699" s="231">
        <v>1</v>
      </c>
      <c r="AF699" s="2045" t="str">
        <f t="shared" si="54"/>
        <v>MES</v>
      </c>
      <c r="AG699" s="720">
        <f t="shared" si="48"/>
        <v>0</v>
      </c>
      <c r="AH699" s="560"/>
      <c r="AI699" s="556"/>
      <c r="AJ699" s="2075" t="s">
        <v>68</v>
      </c>
      <c r="AK699" s="721"/>
      <c r="AL699" s="1806"/>
      <c r="AM699" s="631"/>
      <c r="AN699" s="631"/>
      <c r="AO699" s="631"/>
      <c r="AP699" s="556"/>
      <c r="AQ699" s="561"/>
      <c r="AR699" s="556"/>
      <c r="AS699" s="556"/>
      <c r="AT699" s="556"/>
      <c r="AU699" s="556"/>
      <c r="AV699" s="35"/>
      <c r="AW699" s="13"/>
    </row>
    <row r="700" spans="1:49" ht="78.75" hidden="1" customHeight="1">
      <c r="A700" s="17">
        <f>OBRA!I698</f>
        <v>2023</v>
      </c>
      <c r="B700" s="895" t="s">
        <v>3989</v>
      </c>
      <c r="C700" s="895"/>
      <c r="D700" s="895"/>
      <c r="E700" s="2" t="str">
        <f>OBRA!K698</f>
        <v>CUENTA CORRIENTE</v>
      </c>
      <c r="F700" s="205" t="s">
        <v>1431</v>
      </c>
      <c r="G700" s="632"/>
      <c r="H700" s="13" t="str">
        <f>OBRA!L698</f>
        <v>C- OP 006A/2023</v>
      </c>
      <c r="I700" s="2" t="str">
        <f>OBRA!M698</f>
        <v>ARRENDAMIENTO</v>
      </c>
      <c r="J700" s="3" t="str">
        <f>OBRA!N698</f>
        <v>RENTA DE EXCAVADORA CAT 320, PARA SER UTILIZADA EN LAS OBRAS: DESAZOLVES EN ARROYOS, DE LAS DELEGACIONES Y DE LA CABECERA DEL MUNICIPIO DE JOCOTEPEC, JALISCO.</v>
      </c>
      <c r="K700" s="328" t="s">
        <v>5747</v>
      </c>
      <c r="L700" s="328" t="s">
        <v>5707</v>
      </c>
      <c r="M700" s="328" t="str">
        <f>OBRA!O698</f>
        <v>MUNICIPIO</v>
      </c>
      <c r="N700" s="597"/>
      <c r="O700" s="4">
        <f>OBRA!P698</f>
        <v>4750.0027999999993</v>
      </c>
      <c r="P700" s="1208">
        <f>O700/1.16</f>
        <v>4094.8299999999995</v>
      </c>
      <c r="Q700" s="85" t="s">
        <v>5668</v>
      </c>
      <c r="R700" s="6">
        <f>OBRA!Q698</f>
        <v>45033</v>
      </c>
      <c r="S700" s="1327" t="str">
        <f>OBRA!T698</f>
        <v>-</v>
      </c>
      <c r="T700" s="5">
        <f>OBRA!R698</f>
        <v>45033</v>
      </c>
      <c r="U700" s="12">
        <f>OBRA!S698</f>
        <v>45094</v>
      </c>
      <c r="V700" s="305">
        <v>0</v>
      </c>
      <c r="W700" s="1207">
        <f>OBRA!AQ698+OBRA!AR698</f>
        <v>0</v>
      </c>
      <c r="X700" s="1202" t="s">
        <v>5741</v>
      </c>
      <c r="Y700" s="639" t="str">
        <f>OBRA!U698</f>
        <v>CONSTRUCTORES BACHMEIER S.A. DE C.V.</v>
      </c>
      <c r="Z700" s="639" t="s">
        <v>5823</v>
      </c>
      <c r="AA700" s="640" t="s">
        <v>4932</v>
      </c>
      <c r="AB700" s="650" t="s">
        <v>4933</v>
      </c>
      <c r="AC700" s="652" t="s">
        <v>4934</v>
      </c>
      <c r="AD700" s="200" t="str">
        <f>OBRA!V698</f>
        <v>ING. LUIS RIGOBERTO OLMEDO NAVARRO</v>
      </c>
      <c r="AE700" s="231">
        <v>1</v>
      </c>
      <c r="AF700" s="2045" t="str">
        <f t="shared" si="54"/>
        <v>DÍA</v>
      </c>
      <c r="AG700" s="720">
        <f>W700/AE700</f>
        <v>0</v>
      </c>
      <c r="AH700" s="560"/>
      <c r="AI700" s="556"/>
      <c r="AJ700" s="2075" t="s">
        <v>68</v>
      </c>
      <c r="AK700" s="721"/>
      <c r="AL700" s="1806"/>
      <c r="AM700" s="631"/>
      <c r="AN700" s="631"/>
      <c r="AO700" s="631"/>
      <c r="AP700" s="556"/>
      <c r="AQ700" s="561"/>
      <c r="AR700" s="556"/>
      <c r="AS700" s="556"/>
      <c r="AT700" s="556"/>
      <c r="AU700" s="556"/>
      <c r="AV700" s="35"/>
      <c r="AW700" s="13"/>
    </row>
    <row r="701" spans="1:49" ht="73.5" hidden="1" customHeight="1">
      <c r="A701" s="17">
        <f>OBRA!I699</f>
        <v>2023</v>
      </c>
      <c r="B701" s="895" t="s">
        <v>3989</v>
      </c>
      <c r="C701" s="895"/>
      <c r="D701" s="895"/>
      <c r="E701" s="2" t="str">
        <f>OBRA!K699</f>
        <v>CUENTA CORRIENTE</v>
      </c>
      <c r="F701" s="205" t="s">
        <v>1431</v>
      </c>
      <c r="G701" s="632"/>
      <c r="H701" s="13" t="str">
        <f>OBRA!L699</f>
        <v>C- OP 006B/2023</v>
      </c>
      <c r="I701" s="2" t="str">
        <f>OBRA!M699</f>
        <v>ARRENDAMIENTO</v>
      </c>
      <c r="J701" s="3" t="str">
        <f>OBRA!N699</f>
        <v>RENTA DE UNA EXCAVADORA, PARA SER UTILIZADA EN LAS OBRAS: MANTENIMIENTOS VARIOS EN LAS AGENCIAS, DELEGACIONES Y CABECERA DEL MUNICIPIO DE JOCOTEPEC, JALISCO.</v>
      </c>
      <c r="K701" s="328" t="s">
        <v>5748</v>
      </c>
      <c r="L701" s="328" t="s">
        <v>5705</v>
      </c>
      <c r="M701" s="328" t="str">
        <f>OBRA!O699</f>
        <v>MUNICIPIO</v>
      </c>
      <c r="N701" s="597"/>
      <c r="O701" s="4">
        <f>OBRA!P699</f>
        <v>1899.9987999999998</v>
      </c>
      <c r="P701" s="1208">
        <f>O701/1.16</f>
        <v>1637.93</v>
      </c>
      <c r="Q701" s="85" t="s">
        <v>5668</v>
      </c>
      <c r="R701" s="6">
        <f>OBRA!Q699</f>
        <v>45033</v>
      </c>
      <c r="S701" s="1327" t="str">
        <f>OBRA!T699</f>
        <v>-</v>
      </c>
      <c r="T701" s="5">
        <f>OBRA!R699</f>
        <v>45033</v>
      </c>
      <c r="U701" s="12">
        <f>OBRA!S699</f>
        <v>45094</v>
      </c>
      <c r="V701" s="305">
        <v>0</v>
      </c>
      <c r="W701" s="1207">
        <f>OBRA!AQ699+OBRA!AR699</f>
        <v>0</v>
      </c>
      <c r="X701" s="1202" t="s">
        <v>5741</v>
      </c>
      <c r="Y701" s="639" t="str">
        <f>OBRA!U699</f>
        <v>CONSTRUCTORES BACHMEIER S.A. DE C.V.</v>
      </c>
      <c r="Z701" s="639" t="s">
        <v>5823</v>
      </c>
      <c r="AA701" s="640" t="s">
        <v>4932</v>
      </c>
      <c r="AB701" s="650" t="s">
        <v>4933</v>
      </c>
      <c r="AC701" s="652" t="s">
        <v>4934</v>
      </c>
      <c r="AD701" s="200" t="str">
        <f>OBRA!V699</f>
        <v>ING. LUIS RIGOBERTO OLMEDO NAVARRO</v>
      </c>
      <c r="AE701" s="231">
        <v>1</v>
      </c>
      <c r="AF701" s="2045" t="str">
        <f t="shared" si="54"/>
        <v>DÍA</v>
      </c>
      <c r="AG701" s="720">
        <f>W701/AE701</f>
        <v>0</v>
      </c>
      <c r="AH701" s="560"/>
      <c r="AI701" s="556"/>
      <c r="AJ701" s="2075" t="s">
        <v>68</v>
      </c>
      <c r="AK701" s="721"/>
      <c r="AL701" s="1806"/>
      <c r="AM701" s="631"/>
      <c r="AN701" s="631"/>
      <c r="AO701" s="631"/>
      <c r="AP701" s="556"/>
      <c r="AQ701" s="561"/>
      <c r="AR701" s="556"/>
      <c r="AS701" s="556"/>
      <c r="AT701" s="556"/>
      <c r="AU701" s="556"/>
      <c r="AV701" s="35"/>
      <c r="AW701" s="13"/>
    </row>
    <row r="702" spans="1:49" ht="93.75" hidden="1" customHeight="1">
      <c r="A702" s="17">
        <f>OBRA!I700</f>
        <v>2023</v>
      </c>
      <c r="B702" s="895" t="s">
        <v>3989</v>
      </c>
      <c r="C702" s="895"/>
      <c r="D702" s="895"/>
      <c r="E702" s="2" t="str">
        <f>OBRA!K700</f>
        <v>CUENTA CORRIENTE</v>
      </c>
      <c r="F702" s="205" t="s">
        <v>1431</v>
      </c>
      <c r="G702" s="632"/>
      <c r="H702" s="13" t="str">
        <f>OBRA!L700</f>
        <v>C- OP 007/2023</v>
      </c>
      <c r="I702" s="2" t="str">
        <f>OBRA!M700</f>
        <v>ARRENDAMIENTO</v>
      </c>
      <c r="J702" s="3" t="str">
        <f>OBRA!N700</f>
        <v>RENTA DE UN CAMIÓN VOLTEO MARCA KENWORTH COLOR AZUL PLACA JU00932 Y UN CAMIÓN VOLTEO MARCA INTERNACIONAL COLOR AMARILLO PLACA 09AF9U, PARA SER UTILIZADO EN EL ACARREO DE MATERIAL POR DESAZOLVES DE ARROYOS EN EL MUNICIPIO DE JOCOTEPEC, JALISCO.</v>
      </c>
      <c r="K702" s="328" t="s">
        <v>5749</v>
      </c>
      <c r="L702" s="328" t="s">
        <v>5707</v>
      </c>
      <c r="M702" s="328" t="str">
        <f>OBRA!O700</f>
        <v>MUNICIPIO</v>
      </c>
      <c r="N702" s="597"/>
      <c r="O702" s="4">
        <f>OBRA!P700</f>
        <v>5220</v>
      </c>
      <c r="P702" s="1208">
        <f t="shared" si="49"/>
        <v>4500</v>
      </c>
      <c r="Q702" s="85" t="s">
        <v>5668</v>
      </c>
      <c r="R702" s="6">
        <f>OBRA!Q700</f>
        <v>45034</v>
      </c>
      <c r="S702" s="1327" t="str">
        <f>OBRA!T700</f>
        <v>-</v>
      </c>
      <c r="T702" s="5">
        <f>OBRA!R700</f>
        <v>45036</v>
      </c>
      <c r="U702" s="12">
        <f>OBRA!S700</f>
        <v>45066</v>
      </c>
      <c r="V702" s="305">
        <v>0</v>
      </c>
      <c r="W702" s="1207">
        <f>OBRA!AQ700+OBRA!AR700</f>
        <v>0</v>
      </c>
      <c r="X702" s="1202" t="s">
        <v>5741</v>
      </c>
      <c r="Y702" s="639" t="str">
        <f>OBRA!U700</f>
        <v xml:space="preserve">DORIA &amp; SAMPIER CONSTRUCTORA, S.A. DE C.V. </v>
      </c>
      <c r="Z702" s="639" t="s">
        <v>5823</v>
      </c>
      <c r="AA702" s="652" t="s">
        <v>5715</v>
      </c>
      <c r="AB702" s="650" t="s">
        <v>4450</v>
      </c>
      <c r="AC702" s="652" t="s">
        <v>5716</v>
      </c>
      <c r="AD702" s="200" t="str">
        <f>OBRA!V700</f>
        <v>C. DANIEL RODRIGUEZ VALENZUELA</v>
      </c>
      <c r="AE702" s="231">
        <v>1</v>
      </c>
      <c r="AF702" s="2045" t="str">
        <f t="shared" si="54"/>
        <v>DÍA</v>
      </c>
      <c r="AG702" s="720">
        <f t="shared" si="48"/>
        <v>0</v>
      </c>
      <c r="AH702" s="560"/>
      <c r="AI702" s="556"/>
      <c r="AJ702" s="2075" t="s">
        <v>68</v>
      </c>
      <c r="AK702" s="721"/>
      <c r="AL702" s="1806"/>
      <c r="AM702" s="631"/>
      <c r="AN702" s="631"/>
      <c r="AO702" s="631"/>
      <c r="AP702" s="556"/>
      <c r="AQ702" s="561"/>
      <c r="AR702" s="556"/>
      <c r="AS702" s="556"/>
      <c r="AT702" s="556"/>
      <c r="AU702" s="556"/>
      <c r="AV702" s="35"/>
      <c r="AW702" s="13"/>
    </row>
    <row r="703" spans="1:49" ht="108" hidden="1" customHeight="1">
      <c r="A703" s="17">
        <f>OBRA!I701</f>
        <v>2023</v>
      </c>
      <c r="B703" s="895" t="s">
        <v>3989</v>
      </c>
      <c r="C703" s="895"/>
      <c r="D703" s="895"/>
      <c r="E703" s="2" t="str">
        <f>OBRA!K701</f>
        <v>CUENTA CORRIENTE</v>
      </c>
      <c r="F703" s="205" t="s">
        <v>1431</v>
      </c>
      <c r="G703" s="632"/>
      <c r="H703" s="13" t="str">
        <f>OBRA!L701</f>
        <v>C- OP 008/2023</v>
      </c>
      <c r="I703" s="2" t="str">
        <f>OBRA!M701</f>
        <v>ARRENDAMIENTO</v>
      </c>
      <c r="J703"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K703" s="328" t="s">
        <v>5750</v>
      </c>
      <c r="L703" s="328" t="s">
        <v>3819</v>
      </c>
      <c r="M703" s="328" t="str">
        <f>OBRA!O701</f>
        <v>CABECERA MUNICIPAL</v>
      </c>
      <c r="N703" s="597"/>
      <c r="O703" s="4">
        <f>OBRA!P701</f>
        <v>5220</v>
      </c>
      <c r="P703" s="1208">
        <f t="shared" si="49"/>
        <v>4500</v>
      </c>
      <c r="Q703" s="85" t="s">
        <v>5668</v>
      </c>
      <c r="R703" s="6">
        <f>OBRA!Q701</f>
        <v>45034</v>
      </c>
      <c r="S703" s="1327" t="str">
        <f>OBRA!T701</f>
        <v>-</v>
      </c>
      <c r="T703" s="5">
        <f>OBRA!R701</f>
        <v>45036</v>
      </c>
      <c r="U703" s="12">
        <f>OBRA!S701</f>
        <v>45066</v>
      </c>
      <c r="V703" s="305">
        <v>0</v>
      </c>
      <c r="W703" s="1207">
        <f>OBRA!AQ701+OBRA!AR701</f>
        <v>0</v>
      </c>
      <c r="X703" s="1202" t="s">
        <v>5741</v>
      </c>
      <c r="Y703" s="639" t="str">
        <f>OBRA!U701</f>
        <v xml:space="preserve">DORIA &amp; SAMPIER CONSTRUCTORA, S.A. DE C.V. </v>
      </c>
      <c r="Z703" s="639" t="s">
        <v>5823</v>
      </c>
      <c r="AA703" s="652" t="s">
        <v>5715</v>
      </c>
      <c r="AB703" s="650" t="s">
        <v>4450</v>
      </c>
      <c r="AC703" s="652" t="s">
        <v>5716</v>
      </c>
      <c r="AD703" s="200" t="str">
        <f>OBRA!V701</f>
        <v>C. DANIEL RODRIGUEZ VALENZUELA</v>
      </c>
      <c r="AE703" s="231">
        <v>1</v>
      </c>
      <c r="AF703" s="2045" t="str">
        <f t="shared" si="54"/>
        <v>DÍA</v>
      </c>
      <c r="AG703" s="720">
        <f t="shared" si="48"/>
        <v>0</v>
      </c>
      <c r="AH703" s="560"/>
      <c r="AI703" s="556"/>
      <c r="AJ703" s="2075" t="s">
        <v>68</v>
      </c>
      <c r="AK703" s="721"/>
      <c r="AL703" s="1806"/>
      <c r="AM703" s="631"/>
      <c r="AN703" s="631"/>
      <c r="AO703" s="631"/>
      <c r="AP703" s="556"/>
      <c r="AQ703" s="561"/>
      <c r="AR703" s="556"/>
      <c r="AS703" s="556"/>
      <c r="AT703" s="556"/>
      <c r="AU703" s="556"/>
      <c r="AV703" s="35"/>
      <c r="AW703" s="13"/>
    </row>
    <row r="704" spans="1:49" ht="106.5" hidden="1" customHeight="1">
      <c r="A704" s="17">
        <f>OBRA!I702</f>
        <v>2023</v>
      </c>
      <c r="B704" s="895" t="s">
        <v>3989</v>
      </c>
      <c r="C704" s="895"/>
      <c r="D704" s="895"/>
      <c r="E704" s="2" t="str">
        <f>OBRA!K702</f>
        <v>CUENTA CORRIENTE</v>
      </c>
      <c r="F704" s="205" t="s">
        <v>1431</v>
      </c>
      <c r="G704" s="632"/>
      <c r="H704" s="451" t="str">
        <f>OBRA!L702</f>
        <v>C- OP 009/2023</v>
      </c>
      <c r="I704" s="2" t="str">
        <f>OBRA!M702</f>
        <v>ARRENDAMIENTO</v>
      </c>
      <c r="J704"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K704" s="328" t="s">
        <v>5751</v>
      </c>
      <c r="L704" s="328" t="s">
        <v>5708</v>
      </c>
      <c r="M704" s="328" t="str">
        <f>OBRA!O702</f>
        <v>CABECERA MUNICIPAL</v>
      </c>
      <c r="N704" s="597"/>
      <c r="O704" s="4">
        <f>OBRA!P702</f>
        <v>696</v>
      </c>
      <c r="P704" s="1208">
        <f t="shared" si="49"/>
        <v>600</v>
      </c>
      <c r="Q704" s="85" t="s">
        <v>2328</v>
      </c>
      <c r="R704" s="6">
        <f>OBRA!Q702</f>
        <v>44972</v>
      </c>
      <c r="S704" s="1327" t="str">
        <f>OBRA!T702</f>
        <v>-</v>
      </c>
      <c r="T704" s="5">
        <f>OBRA!R702</f>
        <v>44974</v>
      </c>
      <c r="U704" s="12">
        <f>OBRA!S702</f>
        <v>44976</v>
      </c>
      <c r="V704" s="305">
        <v>0</v>
      </c>
      <c r="W704" s="1207">
        <f>OBRA!AQ702+OBRA!AR702</f>
        <v>0</v>
      </c>
      <c r="X704" s="1202" t="s">
        <v>5741</v>
      </c>
      <c r="Y704" s="639" t="str">
        <f>OBRA!U702</f>
        <v xml:space="preserve">DORIA &amp; SAMPIER CONSTRUCTORA, S.A. DE C.V. </v>
      </c>
      <c r="Z704" s="639" t="s">
        <v>5823</v>
      </c>
      <c r="AA704" s="652" t="s">
        <v>5715</v>
      </c>
      <c r="AB704" s="650" t="s">
        <v>4450</v>
      </c>
      <c r="AC704" s="652" t="s">
        <v>5716</v>
      </c>
      <c r="AD704" s="200" t="str">
        <f>OBRA!V702</f>
        <v>C. DANIEL RODRIGUEZ VALENZUELA</v>
      </c>
      <c r="AE704" s="231">
        <v>1</v>
      </c>
      <c r="AF704" s="2045" t="str">
        <f t="shared" si="54"/>
        <v>HORA</v>
      </c>
      <c r="AG704" s="720">
        <f t="shared" si="48"/>
        <v>0</v>
      </c>
      <c r="AH704" s="560"/>
      <c r="AI704" s="556"/>
      <c r="AJ704" s="2075" t="s">
        <v>68</v>
      </c>
      <c r="AK704" s="721"/>
      <c r="AL704" s="1806"/>
      <c r="AM704" s="631"/>
      <c r="AN704" s="631"/>
      <c r="AO704" s="631"/>
      <c r="AP704" s="556"/>
      <c r="AQ704" s="561"/>
      <c r="AR704" s="556"/>
      <c r="AS704" s="556"/>
      <c r="AT704" s="556"/>
      <c r="AU704" s="556"/>
      <c r="AV704" s="35"/>
      <c r="AW704" s="13"/>
    </row>
    <row r="705" spans="1:49" ht="108.75" hidden="1" customHeight="1">
      <c r="A705" s="17">
        <f>OBRA!I703</f>
        <v>2023</v>
      </c>
      <c r="B705" s="895" t="s">
        <v>3989</v>
      </c>
      <c r="C705" s="895"/>
      <c r="D705" s="895"/>
      <c r="E705" s="2" t="str">
        <f>OBRA!K703</f>
        <v>CUENTA CORRIENTE</v>
      </c>
      <c r="F705" s="205" t="s">
        <v>1431</v>
      </c>
      <c r="G705" s="632"/>
      <c r="H705" s="451" t="str">
        <f>OBRA!L703</f>
        <v>C- OP 010/2023</v>
      </c>
      <c r="I705" s="2" t="str">
        <f>OBRA!M703</f>
        <v>ARRENDAMIENTO</v>
      </c>
      <c r="J705" s="3" t="str">
        <f>OBRA!N703</f>
        <v>RENTA DE UNA RETRO EXCAVADORA CATERPILLAR 416E 4X4 DE 77HP, PARA SER UTILAZADO EN LA OBRA REHABILITACIÓN DE REDES HIDROSANITARIAS EN CALLE FILÓSOFOS ENTRE CALLE JOSEFA ORTIZ DE DOMINGUEZ E HIDALGO EN LA CABECERA MUNICIPAL DE JOCOTEPEC. JALISCO (DRENAJE)</v>
      </c>
      <c r="K705" s="328" t="s">
        <v>5745</v>
      </c>
      <c r="L705" s="328" t="s">
        <v>5708</v>
      </c>
      <c r="M705" s="328" t="str">
        <f>OBRA!O703</f>
        <v>CABECERA MUNICIPAL</v>
      </c>
      <c r="N705" s="597"/>
      <c r="O705" s="4">
        <f>OBRA!P703</f>
        <v>754</v>
      </c>
      <c r="P705" s="1208">
        <f t="shared" si="49"/>
        <v>650</v>
      </c>
      <c r="Q705" s="85" t="s">
        <v>2328</v>
      </c>
      <c r="R705" s="6">
        <f>OBRA!Q703</f>
        <v>44966</v>
      </c>
      <c r="S705" s="1327" t="str">
        <f>OBRA!T703</f>
        <v>-</v>
      </c>
      <c r="T705" s="5">
        <f>OBRA!R703</f>
        <v>44970</v>
      </c>
      <c r="U705" s="12">
        <f>OBRA!S703</f>
        <v>44976</v>
      </c>
      <c r="V705" s="305">
        <v>0</v>
      </c>
      <c r="W705" s="1207">
        <f>OBRA!AQ703+OBRA!AR703</f>
        <v>0</v>
      </c>
      <c r="X705" s="1202" t="s">
        <v>5741</v>
      </c>
      <c r="Y705" s="639" t="str">
        <f>OBRA!U703</f>
        <v xml:space="preserve">DORIA &amp; SAMPIER CONSTRUCTORA, S.A. DE C.V. </v>
      </c>
      <c r="Z705" s="639" t="s">
        <v>5823</v>
      </c>
      <c r="AA705" s="652" t="s">
        <v>5715</v>
      </c>
      <c r="AB705" s="650" t="s">
        <v>4450</v>
      </c>
      <c r="AC705" s="652" t="s">
        <v>5716</v>
      </c>
      <c r="AD705" s="200" t="str">
        <f>OBRA!V703</f>
        <v>C. DANIEL RODRIGUEZ VALENZUELA</v>
      </c>
      <c r="AE705" s="231">
        <v>1</v>
      </c>
      <c r="AF705" s="2045" t="str">
        <f t="shared" si="54"/>
        <v>HORA</v>
      </c>
      <c r="AG705" s="720">
        <f t="shared" si="48"/>
        <v>0</v>
      </c>
      <c r="AH705" s="560"/>
      <c r="AI705" s="556"/>
      <c r="AJ705" s="2075" t="s">
        <v>68</v>
      </c>
      <c r="AK705" s="721"/>
      <c r="AL705" s="1806"/>
      <c r="AM705" s="631"/>
      <c r="AN705" s="631"/>
      <c r="AO705" s="631"/>
      <c r="AP705" s="556"/>
      <c r="AQ705" s="561"/>
      <c r="AR705" s="556"/>
      <c r="AS705" s="556"/>
      <c r="AT705" s="556"/>
      <c r="AU705" s="556"/>
      <c r="AV705" s="35"/>
      <c r="AW705" s="13"/>
    </row>
    <row r="706" spans="1:49" ht="118.5" hidden="1" customHeight="1">
      <c r="A706" s="17">
        <f>OBRA!I704</f>
        <v>2023</v>
      </c>
      <c r="B706" s="895" t="s">
        <v>3989</v>
      </c>
      <c r="C706" s="895"/>
      <c r="D706" s="895"/>
      <c r="E706" s="2" t="str">
        <f>OBRA!K704</f>
        <v>CUENTA CORRIENTE</v>
      </c>
      <c r="F706" s="205" t="s">
        <v>1431</v>
      </c>
      <c r="G706" s="632"/>
      <c r="H706" s="451" t="str">
        <f>OBRA!L704</f>
        <v>C- OP 011/2023</v>
      </c>
      <c r="I706" s="2" t="str">
        <f>OBRA!M704</f>
        <v>ARRENDAMIENTO</v>
      </c>
      <c r="J706"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06" s="328" t="s">
        <v>5752</v>
      </c>
      <c r="L706" s="328" t="s">
        <v>5708</v>
      </c>
      <c r="M706" s="328" t="str">
        <f>OBRA!O704</f>
        <v>CABECERA MUNICIPAL</v>
      </c>
      <c r="N706" s="597"/>
      <c r="O706" s="4">
        <f>OBRA!P704</f>
        <v>1020.8</v>
      </c>
      <c r="P706" s="1208">
        <f t="shared" ref="P706:P715" si="55">O706/1.16</f>
        <v>880</v>
      </c>
      <c r="Q706" s="85" t="s">
        <v>2328</v>
      </c>
      <c r="R706" s="6">
        <f>OBRA!Q704</f>
        <v>44966</v>
      </c>
      <c r="S706" s="1327" t="str">
        <f>OBRA!T704</f>
        <v>-</v>
      </c>
      <c r="T706" s="5">
        <f>OBRA!R704</f>
        <v>44970</v>
      </c>
      <c r="U706" s="12">
        <f>OBRA!S704</f>
        <v>44977</v>
      </c>
      <c r="V706" s="305">
        <v>0</v>
      </c>
      <c r="W706" s="1207">
        <f>OBRA!AQ704+OBRA!AR704</f>
        <v>0</v>
      </c>
      <c r="X706" s="1202" t="s">
        <v>5741</v>
      </c>
      <c r="Y706" s="639" t="str">
        <f>OBRA!U704</f>
        <v xml:space="preserve">DORIA &amp; SAMPIER CONSTRUCTORA, S.A. DE C.V. </v>
      </c>
      <c r="Z706" s="639" t="s">
        <v>5823</v>
      </c>
      <c r="AA706" s="652" t="s">
        <v>5715</v>
      </c>
      <c r="AB706" s="650" t="s">
        <v>4450</v>
      </c>
      <c r="AC706" s="652" t="s">
        <v>5716</v>
      </c>
      <c r="AD706" s="200" t="str">
        <f>OBRA!V704</f>
        <v>C. DANIEL RODRIGUEZ VALENZUELA</v>
      </c>
      <c r="AE706" s="231">
        <v>1</v>
      </c>
      <c r="AF706" s="2045" t="str">
        <f t="shared" si="54"/>
        <v>HORA</v>
      </c>
      <c r="AG706" s="720">
        <f t="shared" ref="AG706:AG715" si="56">W706/AE706</f>
        <v>0</v>
      </c>
      <c r="AH706" s="560"/>
      <c r="AI706" s="556"/>
      <c r="AJ706" s="2075" t="s">
        <v>68</v>
      </c>
      <c r="AK706" s="721"/>
      <c r="AL706" s="1806"/>
      <c r="AM706" s="631"/>
      <c r="AN706" s="631"/>
      <c r="AO706" s="631"/>
      <c r="AP706" s="556"/>
      <c r="AQ706" s="561"/>
      <c r="AR706" s="556"/>
      <c r="AS706" s="556"/>
      <c r="AT706" s="556"/>
      <c r="AU706" s="556"/>
      <c r="AV706" s="35"/>
      <c r="AW706" s="13"/>
    </row>
    <row r="707" spans="1:49" ht="111.75" hidden="1" customHeight="1">
      <c r="A707" s="17">
        <f>OBRA!I705</f>
        <v>2023</v>
      </c>
      <c r="B707" s="895" t="s">
        <v>3989</v>
      </c>
      <c r="C707" s="895"/>
      <c r="D707" s="895"/>
      <c r="E707" s="2" t="str">
        <f>OBRA!K705</f>
        <v>CUENTA CORRIENTE</v>
      </c>
      <c r="F707" s="205" t="s">
        <v>1431</v>
      </c>
      <c r="G707" s="632"/>
      <c r="H707" s="451" t="str">
        <f>OBRA!L705</f>
        <v>C- OP 012/2023</v>
      </c>
      <c r="I707" s="2" t="str">
        <f>OBRA!M705</f>
        <v>ARRENDAMIENTO</v>
      </c>
      <c r="J707"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K707" s="328" t="s">
        <v>5745</v>
      </c>
      <c r="L707" s="328" t="s">
        <v>5708</v>
      </c>
      <c r="M707" s="328" t="str">
        <f>OBRA!O705</f>
        <v>CABECERA MUNICIPAL</v>
      </c>
      <c r="N707" s="597"/>
      <c r="O707" s="4">
        <f>OBRA!P705</f>
        <v>754</v>
      </c>
      <c r="P707" s="1208">
        <f t="shared" si="55"/>
        <v>650</v>
      </c>
      <c r="Q707" s="85" t="s">
        <v>2328</v>
      </c>
      <c r="R707" s="6">
        <f>OBRA!Q705</f>
        <v>44974</v>
      </c>
      <c r="S707" s="1327" t="str">
        <f>OBRA!T705</f>
        <v>-</v>
      </c>
      <c r="T707" s="5">
        <f>OBRA!R705</f>
        <v>44977</v>
      </c>
      <c r="U707" s="12">
        <f>OBRA!S705</f>
        <v>44982</v>
      </c>
      <c r="V707" s="305">
        <v>0</v>
      </c>
      <c r="W707" s="1207">
        <f>OBRA!AQ705+OBRA!AR705</f>
        <v>0</v>
      </c>
      <c r="X707" s="1202" t="s">
        <v>5741</v>
      </c>
      <c r="Y707" s="639" t="str">
        <f>OBRA!U705</f>
        <v xml:space="preserve">DORIA &amp; SAMPIER CONSTRUCTORA, S.A. DE C.V. </v>
      </c>
      <c r="Z707" s="639" t="s">
        <v>5823</v>
      </c>
      <c r="AA707" s="652" t="s">
        <v>5715</v>
      </c>
      <c r="AB707" s="650" t="s">
        <v>4450</v>
      </c>
      <c r="AC707" s="652" t="s">
        <v>5716</v>
      </c>
      <c r="AD707" s="200" t="str">
        <f>OBRA!V705</f>
        <v>C. DANIEL RODRIGUEZ VALENZUELA</v>
      </c>
      <c r="AE707" s="231">
        <v>1</v>
      </c>
      <c r="AF707" s="2045" t="str">
        <f t="shared" si="54"/>
        <v>HORA</v>
      </c>
      <c r="AG707" s="720">
        <f t="shared" si="56"/>
        <v>0</v>
      </c>
      <c r="AH707" s="560"/>
      <c r="AI707" s="556"/>
      <c r="AJ707" s="2075" t="s">
        <v>68</v>
      </c>
      <c r="AK707" s="721"/>
      <c r="AL707" s="1806"/>
      <c r="AM707" s="631"/>
      <c r="AN707" s="631"/>
      <c r="AO707" s="631"/>
      <c r="AP707" s="556"/>
      <c r="AQ707" s="561"/>
      <c r="AR707" s="556"/>
      <c r="AS707" s="556"/>
      <c r="AT707" s="556"/>
      <c r="AU707" s="556"/>
      <c r="AV707" s="35"/>
      <c r="AW707" s="13"/>
    </row>
    <row r="708" spans="1:49" ht="121.5" hidden="1" customHeight="1">
      <c r="A708" s="17">
        <f>OBRA!I706</f>
        <v>2023</v>
      </c>
      <c r="B708" s="895" t="s">
        <v>3989</v>
      </c>
      <c r="C708" s="895"/>
      <c r="D708" s="895"/>
      <c r="E708" s="2" t="str">
        <f>OBRA!K706</f>
        <v>CUENTA CORRIENTE</v>
      </c>
      <c r="F708" s="205" t="s">
        <v>1431</v>
      </c>
      <c r="G708" s="632"/>
      <c r="H708" s="451" t="str">
        <f>OBRA!L706</f>
        <v>C- OP 013/2023</v>
      </c>
      <c r="I708" s="2" t="str">
        <f>OBRA!M706</f>
        <v>ARRENDAMIENTO</v>
      </c>
      <c r="J708"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08" s="328" t="s">
        <v>5752</v>
      </c>
      <c r="L708" s="328" t="s">
        <v>5708</v>
      </c>
      <c r="M708" s="328" t="str">
        <f>OBRA!O706</f>
        <v>CABECERA MUNICIPAL</v>
      </c>
      <c r="N708" s="597"/>
      <c r="O708" s="4">
        <f>OBRA!P706</f>
        <v>1020.8</v>
      </c>
      <c r="P708" s="1208">
        <f t="shared" si="55"/>
        <v>880</v>
      </c>
      <c r="Q708" s="85" t="s">
        <v>2328</v>
      </c>
      <c r="R708" s="6">
        <f>OBRA!Q706</f>
        <v>44974</v>
      </c>
      <c r="S708" s="1327" t="str">
        <f>OBRA!T706</f>
        <v>-</v>
      </c>
      <c r="T708" s="5">
        <f>OBRA!R706</f>
        <v>44977</v>
      </c>
      <c r="U708" s="12">
        <f>OBRA!S706</f>
        <v>44982</v>
      </c>
      <c r="V708" s="305">
        <v>0</v>
      </c>
      <c r="W708" s="1207">
        <f>OBRA!AQ706+OBRA!AR706</f>
        <v>0</v>
      </c>
      <c r="X708" s="1202" t="s">
        <v>5741</v>
      </c>
      <c r="Y708" s="639" t="str">
        <f>OBRA!U706</f>
        <v xml:space="preserve">DORIA &amp; SAMPIER CONSTRUCTORA, S.A. DE C.V. </v>
      </c>
      <c r="Z708" s="639" t="s">
        <v>5823</v>
      </c>
      <c r="AA708" s="652" t="s">
        <v>5715</v>
      </c>
      <c r="AB708" s="650" t="s">
        <v>4450</v>
      </c>
      <c r="AC708" s="652" t="s">
        <v>5716</v>
      </c>
      <c r="AD708" s="200" t="str">
        <f>OBRA!V706</f>
        <v>C. DANIEL RODRIGUEZ VALENZUELA</v>
      </c>
      <c r="AE708" s="231">
        <v>1</v>
      </c>
      <c r="AF708" s="2045" t="str">
        <f t="shared" si="54"/>
        <v>HORA</v>
      </c>
      <c r="AG708" s="720">
        <f t="shared" si="56"/>
        <v>0</v>
      </c>
      <c r="AH708" s="560"/>
      <c r="AI708" s="556"/>
      <c r="AJ708" s="2075" t="s">
        <v>68</v>
      </c>
      <c r="AK708" s="721"/>
      <c r="AL708" s="1806"/>
      <c r="AM708" s="631"/>
      <c r="AN708" s="631"/>
      <c r="AO708" s="631"/>
      <c r="AP708" s="556"/>
      <c r="AQ708" s="561"/>
      <c r="AR708" s="556"/>
      <c r="AS708" s="556"/>
      <c r="AT708" s="556"/>
      <c r="AU708" s="556"/>
      <c r="AV708" s="35"/>
      <c r="AW708" s="13"/>
    </row>
    <row r="709" spans="1:49" ht="123.75" hidden="1" customHeight="1">
      <c r="A709" s="17">
        <f>OBRA!I707</f>
        <v>2023</v>
      </c>
      <c r="B709" s="895" t="s">
        <v>3989</v>
      </c>
      <c r="C709" s="895"/>
      <c r="D709" s="895"/>
      <c r="E709" s="2" t="str">
        <f>OBRA!K707</f>
        <v>CUENTA CORRIENTE</v>
      </c>
      <c r="F709" s="205" t="s">
        <v>1431</v>
      </c>
      <c r="G709" s="632"/>
      <c r="H709" s="451" t="str">
        <f>OBRA!L707</f>
        <v>C- OP 014/2023</v>
      </c>
      <c r="I709" s="2" t="str">
        <f>OBRA!M707</f>
        <v>ARRENDAMIENTO</v>
      </c>
      <c r="J709"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K709" s="328" t="s">
        <v>5751</v>
      </c>
      <c r="L709" s="328" t="s">
        <v>5708</v>
      </c>
      <c r="M709" s="328" t="str">
        <f>OBRA!O707</f>
        <v>CABECERA MUNICIPAL</v>
      </c>
      <c r="N709" s="597"/>
      <c r="O709" s="4">
        <f>OBRA!P707</f>
        <v>696</v>
      </c>
      <c r="P709" s="1208">
        <f t="shared" si="55"/>
        <v>600</v>
      </c>
      <c r="Q709" s="85" t="s">
        <v>2328</v>
      </c>
      <c r="R709" s="6">
        <f>OBRA!Q707</f>
        <v>44977</v>
      </c>
      <c r="S709" s="1327" t="str">
        <f>OBRA!T707</f>
        <v>-</v>
      </c>
      <c r="T709" s="5">
        <f>OBRA!R707</f>
        <v>44978</v>
      </c>
      <c r="U709" s="12">
        <f>OBRA!S707</f>
        <v>44982</v>
      </c>
      <c r="V709" s="305">
        <v>0</v>
      </c>
      <c r="W709" s="1207">
        <f>OBRA!AQ707+OBRA!AR707</f>
        <v>0</v>
      </c>
      <c r="X709" s="1202" t="s">
        <v>5741</v>
      </c>
      <c r="Y709" s="639" t="str">
        <f>OBRA!U707</f>
        <v xml:space="preserve">DORIA &amp; SAMPIER CONSTRUCTORA, S.A. DE C.V. </v>
      </c>
      <c r="Z709" s="639" t="s">
        <v>5823</v>
      </c>
      <c r="AA709" s="652" t="s">
        <v>5715</v>
      </c>
      <c r="AB709" s="650" t="s">
        <v>4450</v>
      </c>
      <c r="AC709" s="652" t="s">
        <v>5716</v>
      </c>
      <c r="AD709" s="200" t="str">
        <f>OBRA!V707</f>
        <v>C. DANIEL RODRIGUEZ VALENZUELA</v>
      </c>
      <c r="AE709" s="231">
        <v>1</v>
      </c>
      <c r="AF709" s="2045" t="str">
        <f t="shared" si="54"/>
        <v>HORA</v>
      </c>
      <c r="AG709" s="720">
        <f t="shared" si="56"/>
        <v>0</v>
      </c>
      <c r="AH709" s="560"/>
      <c r="AI709" s="556"/>
      <c r="AJ709" s="2075" t="s">
        <v>68</v>
      </c>
      <c r="AK709" s="721"/>
      <c r="AL709" s="1806"/>
      <c r="AM709" s="631"/>
      <c r="AN709" s="631"/>
      <c r="AO709" s="631"/>
      <c r="AP709" s="556"/>
      <c r="AQ709" s="561"/>
      <c r="AR709" s="556"/>
      <c r="AS709" s="556"/>
      <c r="AT709" s="556"/>
      <c r="AU709" s="556"/>
      <c r="AV709" s="35"/>
      <c r="AW709" s="13"/>
    </row>
    <row r="710" spans="1:49" ht="82.5" hidden="1" customHeight="1">
      <c r="A710" s="17">
        <f>OBRA!I708</f>
        <v>2023</v>
      </c>
      <c r="B710" s="895" t="s">
        <v>3989</v>
      </c>
      <c r="C710" s="895"/>
      <c r="D710" s="895"/>
      <c r="E710" s="2" t="str">
        <f>OBRA!K708</f>
        <v>CUENTA CORRIENTE</v>
      </c>
      <c r="F710" s="205" t="s">
        <v>1431</v>
      </c>
      <c r="G710" s="632"/>
      <c r="H710" s="13" t="str">
        <f>OBRA!L708</f>
        <v>C- OP 015/2023</v>
      </c>
      <c r="I710" s="2" t="str">
        <f>OBRA!M708</f>
        <v>ARRENDAMIENTO</v>
      </c>
      <c r="J710" s="3" t="str">
        <f>OBRA!N708</f>
        <v>RENTA DE UNA RETROEXCAVADORA JHON DEERE 310SJ 4X4, PARA SER UTILIZADA EN DIVERSOS MANTENIMIENTOS REQUERIDOS POR LA DIRECCIÓN DE OBRAS PÚBLICAS DEL GOBIERNO MUNICIPAL DE JOCOTEPEC, JALISCO.</v>
      </c>
      <c r="K710" s="328" t="s">
        <v>5742</v>
      </c>
      <c r="L710" s="328" t="s">
        <v>5705</v>
      </c>
      <c r="M710" s="328" t="str">
        <f>OBRA!O708</f>
        <v>MUNICIPIO</v>
      </c>
      <c r="N710" s="554" t="s">
        <v>5713</v>
      </c>
      <c r="O710" s="4">
        <f>OBRA!P708</f>
        <v>59681.999999999993</v>
      </c>
      <c r="P710" s="1208">
        <f t="shared" si="55"/>
        <v>51450</v>
      </c>
      <c r="Q710" s="85" t="s">
        <v>3999</v>
      </c>
      <c r="R710" s="6">
        <f>OBRA!Q708</f>
        <v>45044</v>
      </c>
      <c r="S710" s="1327" t="str">
        <f>OBRA!T708</f>
        <v>-</v>
      </c>
      <c r="T710" s="5">
        <f>OBRA!R708</f>
        <v>45047</v>
      </c>
      <c r="U710" s="12">
        <f>OBRA!S708</f>
        <v>45077</v>
      </c>
      <c r="V710" s="305">
        <v>0</v>
      </c>
      <c r="W710" s="1207">
        <f>OBRA!AQ708+OBRA!AR708</f>
        <v>0</v>
      </c>
      <c r="X710" s="1202" t="s">
        <v>5741</v>
      </c>
      <c r="Y710" s="639" t="str">
        <f>OBRA!U708</f>
        <v>URBANIZADORA Y PAVIMENTADORA MONLE S.A. DE C.V.</v>
      </c>
      <c r="Z710" s="639" t="s">
        <v>5823</v>
      </c>
      <c r="AA710" s="640" t="s">
        <v>4936</v>
      </c>
      <c r="AB710" s="650" t="s">
        <v>4937</v>
      </c>
      <c r="AC710" s="652" t="s">
        <v>4938</v>
      </c>
      <c r="AD710" s="200" t="str">
        <f>OBRA!V708</f>
        <v>C. DANIEL RODRIGUEZ VALENZUELA</v>
      </c>
      <c r="AE710" s="231">
        <v>1</v>
      </c>
      <c r="AF710" s="2045" t="str">
        <f t="shared" si="54"/>
        <v>MES</v>
      </c>
      <c r="AG710" s="720">
        <f t="shared" si="56"/>
        <v>0</v>
      </c>
      <c r="AH710" s="560"/>
      <c r="AI710" s="556"/>
      <c r="AJ710" s="2075" t="s">
        <v>68</v>
      </c>
      <c r="AK710" s="721"/>
      <c r="AL710" s="1806"/>
      <c r="AM710" s="631"/>
      <c r="AN710" s="631"/>
      <c r="AO710" s="631"/>
      <c r="AP710" s="556"/>
      <c r="AQ710" s="561"/>
      <c r="AR710" s="556"/>
      <c r="AS710" s="556"/>
      <c r="AT710" s="556"/>
      <c r="AU710" s="556"/>
      <c r="AV710" s="35"/>
      <c r="AW710" s="13"/>
    </row>
    <row r="711" spans="1:49" ht="132" hidden="1" customHeight="1">
      <c r="A711" s="17">
        <f>OBRA!I709</f>
        <v>2023</v>
      </c>
      <c r="B711" s="895" t="s">
        <v>3989</v>
      </c>
      <c r="C711" s="895"/>
      <c r="D711" s="895"/>
      <c r="E711" s="2" t="str">
        <f>OBRA!K709</f>
        <v>CUENTA CORRIENTE</v>
      </c>
      <c r="F711" s="205" t="s">
        <v>1431</v>
      </c>
      <c r="G711" s="632"/>
      <c r="H711" s="13" t="str">
        <f>OBRA!L709</f>
        <v>C- OP 016/2023</v>
      </c>
      <c r="I711" s="2" t="str">
        <f>OBRA!M709</f>
        <v>ARRENDAMIENTO</v>
      </c>
      <c r="J711"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11" s="328" t="s">
        <v>5753</v>
      </c>
      <c r="L711" s="328" t="s">
        <v>5709</v>
      </c>
      <c r="M711" s="328" t="str">
        <f>OBRA!O709</f>
        <v>EL MOLINO</v>
      </c>
      <c r="N711" s="597"/>
      <c r="O711" s="4">
        <f>OBRA!P709</f>
        <v>2900</v>
      </c>
      <c r="P711" s="1208">
        <f t="shared" si="55"/>
        <v>2500</v>
      </c>
      <c r="Q711" s="85" t="s">
        <v>5668</v>
      </c>
      <c r="R711" s="6">
        <f>OBRA!Q709</f>
        <v>45113</v>
      </c>
      <c r="S711" s="1327" t="str">
        <f>OBRA!T709</f>
        <v>-</v>
      </c>
      <c r="T711" s="5">
        <f>OBRA!R709</f>
        <v>45117</v>
      </c>
      <c r="U711" s="12">
        <f>OBRA!S709</f>
        <v>45127</v>
      </c>
      <c r="V711" s="305">
        <v>0</v>
      </c>
      <c r="W711" s="1207">
        <f>OBRA!AQ709+OBRA!AR709</f>
        <v>0</v>
      </c>
      <c r="X711" s="1202" t="s">
        <v>5741</v>
      </c>
      <c r="Y711" s="639" t="str">
        <f>OBRA!U709</f>
        <v>GHR CONSTRUCTOR, S.A. DE C.V.</v>
      </c>
      <c r="Z711" s="639" t="s">
        <v>5823</v>
      </c>
      <c r="AA711" s="446" t="s">
        <v>5717</v>
      </c>
      <c r="AB711" s="1281" t="s">
        <v>5718</v>
      </c>
      <c r="AC711" s="446" t="s">
        <v>5719</v>
      </c>
      <c r="AD711" s="200" t="str">
        <f>OBRA!V709</f>
        <v>C. DANIEL RODRIGUEZ VALENZUELA</v>
      </c>
      <c r="AE711" s="231">
        <v>1</v>
      </c>
      <c r="AF711" s="2045" t="str">
        <f t="shared" si="54"/>
        <v>DÍA</v>
      </c>
      <c r="AG711" s="720">
        <f t="shared" si="56"/>
        <v>0</v>
      </c>
      <c r="AH711" s="560"/>
      <c r="AI711" s="556"/>
      <c r="AJ711" s="2075" t="s">
        <v>68</v>
      </c>
      <c r="AK711" s="721"/>
      <c r="AL711" s="1806"/>
      <c r="AM711" s="631"/>
      <c r="AN711" s="631"/>
      <c r="AO711" s="631"/>
      <c r="AP711" s="556"/>
      <c r="AQ711" s="561"/>
      <c r="AR711" s="556"/>
      <c r="AS711" s="556"/>
      <c r="AT711" s="556"/>
      <c r="AU711" s="556"/>
      <c r="AV711" s="35"/>
      <c r="AW711" s="13"/>
    </row>
    <row r="712" spans="1:49" ht="78.75" hidden="1" customHeight="1">
      <c r="A712" s="17">
        <f>OBRA!I710</f>
        <v>2023</v>
      </c>
      <c r="B712" s="895" t="s">
        <v>3989</v>
      </c>
      <c r="C712" s="895"/>
      <c r="D712" s="895"/>
      <c r="E712" s="2" t="str">
        <f>OBRA!K710</f>
        <v>CUENTA CORRIENTE</v>
      </c>
      <c r="F712" s="205" t="s">
        <v>1431</v>
      </c>
      <c r="G712" s="632"/>
      <c r="H712" s="13" t="str">
        <f>OBRA!L710</f>
        <v>C- OP 017/2023</v>
      </c>
      <c r="I712" s="2" t="str">
        <f>OBRA!M710</f>
        <v>ARRENDAMIENTO</v>
      </c>
      <c r="J712" s="3" t="str">
        <f>OBRA!N710</f>
        <v>RENTA DE UNA RETROEXCAVADORA CATERPILLAR 416E 4X4 DE 77HP, PARA SER UTITLIZADO PARA LA CONSTRUCCIÓN DE BASE PARA COLOCACIÓN DE LETRAS MONUMENTALES EN LAS TROJES, MUNICIPIO DE JOCOTEPEC, JALISCO</v>
      </c>
      <c r="K712" s="328" t="s">
        <v>5745</v>
      </c>
      <c r="L712" s="328" t="s">
        <v>5706</v>
      </c>
      <c r="M712" s="328" t="str">
        <f>OBRA!O710</f>
        <v>LAS TROJES</v>
      </c>
      <c r="N712" s="554" t="s">
        <v>5713</v>
      </c>
      <c r="O712" s="4">
        <f>OBRA!P710</f>
        <v>696</v>
      </c>
      <c r="P712" s="1208">
        <f t="shared" si="55"/>
        <v>600</v>
      </c>
      <c r="Q712" s="85" t="s">
        <v>2328</v>
      </c>
      <c r="R712" s="6">
        <f>OBRA!Q710</f>
        <v>45133</v>
      </c>
      <c r="S712" s="1327" t="str">
        <f>OBRA!T710</f>
        <v>-</v>
      </c>
      <c r="T712" s="5">
        <f>OBRA!R710</f>
        <v>45139</v>
      </c>
      <c r="U712" s="12">
        <f>OBRA!S710</f>
        <v>45148</v>
      </c>
      <c r="V712" s="305">
        <v>0</v>
      </c>
      <c r="W712" s="1207">
        <f>OBRA!AQ710+OBRA!AR710</f>
        <v>0</v>
      </c>
      <c r="X712" s="1202" t="s">
        <v>5741</v>
      </c>
      <c r="Y712" s="639" t="str">
        <f>OBRA!U710</f>
        <v>GHR CONSTRUCTOR, S.A. DE C.V.</v>
      </c>
      <c r="Z712" s="639" t="s">
        <v>5823</v>
      </c>
      <c r="AA712" s="446" t="s">
        <v>5717</v>
      </c>
      <c r="AB712" s="1281" t="s">
        <v>5718</v>
      </c>
      <c r="AC712" s="446" t="s">
        <v>5719</v>
      </c>
      <c r="AD712" s="769" t="str">
        <f>OBRA!V710</f>
        <v>C. DANIEL RODRIGUEZ VALENZUELA</v>
      </c>
      <c r="AE712" s="231">
        <v>1</v>
      </c>
      <c r="AF712" s="2045" t="str">
        <f t="shared" si="54"/>
        <v>HORA</v>
      </c>
      <c r="AG712" s="720">
        <f t="shared" si="56"/>
        <v>0</v>
      </c>
      <c r="AH712" s="560"/>
      <c r="AI712" s="556"/>
      <c r="AJ712" s="2075" t="s">
        <v>68</v>
      </c>
      <c r="AK712" s="721"/>
      <c r="AL712" s="1806"/>
      <c r="AM712" s="631"/>
      <c r="AN712" s="631"/>
      <c r="AO712" s="631"/>
      <c r="AP712" s="556"/>
      <c r="AQ712" s="561"/>
      <c r="AR712" s="556"/>
      <c r="AS712" s="556"/>
      <c r="AT712" s="556"/>
      <c r="AU712" s="556"/>
      <c r="AV712" s="35"/>
      <c r="AW712" s="13"/>
    </row>
    <row r="713" spans="1:49" ht="15" hidden="1" customHeight="1">
      <c r="A713" s="17">
        <f>OBRA!I711</f>
        <v>2023</v>
      </c>
      <c r="B713" s="895" t="s">
        <v>3989</v>
      </c>
      <c r="C713" s="895"/>
      <c r="D713" s="895"/>
      <c r="E713" s="2" t="str">
        <f>OBRA!K711</f>
        <v>CUENTA CORRIENTE</v>
      </c>
      <c r="F713" s="205" t="s">
        <v>1431</v>
      </c>
      <c r="G713" s="632"/>
      <c r="H713" s="13" t="str">
        <f>OBRA!L711</f>
        <v>C- OP 018/2023</v>
      </c>
      <c r="I713" s="2" t="str">
        <f>OBRA!M711</f>
        <v>ARRENDAMIENTO</v>
      </c>
      <c r="J713" s="3" t="str">
        <f>OBRA!N711</f>
        <v>-</v>
      </c>
      <c r="K713" s="597"/>
      <c r="L713" s="597"/>
      <c r="M713" s="328" t="str">
        <f>OBRA!O711</f>
        <v>-</v>
      </c>
      <c r="N713" s="597"/>
      <c r="O713" s="4">
        <f>OBRA!P711</f>
        <v>0</v>
      </c>
      <c r="P713" s="1208">
        <f t="shared" si="55"/>
        <v>0</v>
      </c>
      <c r="Q713" s="65"/>
      <c r="R713" s="6">
        <f>OBRA!Q711</f>
        <v>0</v>
      </c>
      <c r="S713" s="1327" t="str">
        <f>OBRA!T711</f>
        <v>-</v>
      </c>
      <c r="T713" s="5">
        <f>OBRA!R711</f>
        <v>0</v>
      </c>
      <c r="U713" s="12">
        <f>OBRA!S711</f>
        <v>0</v>
      </c>
      <c r="V713" s="305">
        <v>0</v>
      </c>
      <c r="W713" s="1207">
        <f>OBRA!AQ711+OBRA!AR711</f>
        <v>0</v>
      </c>
      <c r="X713" s="1202" t="s">
        <v>5741</v>
      </c>
      <c r="Y713" s="639">
        <f>OBRA!U711</f>
        <v>0</v>
      </c>
      <c r="Z713" s="639"/>
      <c r="AA713" s="640">
        <f t="shared" ref="AA713:AA715" si="57">Y713</f>
        <v>0</v>
      </c>
      <c r="AB713" s="1372"/>
      <c r="AC713" s="1373"/>
      <c r="AD713" s="608">
        <f>OBRA!V711</f>
        <v>0</v>
      </c>
      <c r="AE713" s="169"/>
      <c r="AF713" s="1553">
        <f t="shared" si="54"/>
        <v>0</v>
      </c>
      <c r="AG713" s="720" t="e">
        <f t="shared" si="56"/>
        <v>#DIV/0!</v>
      </c>
      <c r="AH713" s="560"/>
      <c r="AI713" s="556"/>
      <c r="AJ713" s="2075" t="s">
        <v>68</v>
      </c>
      <c r="AK713" s="721"/>
      <c r="AL713" s="1806"/>
      <c r="AM713" s="631"/>
      <c r="AN713" s="631"/>
      <c r="AO713" s="631"/>
      <c r="AP713" s="556"/>
      <c r="AQ713" s="561"/>
      <c r="AR713" s="556"/>
      <c r="AS713" s="556"/>
      <c r="AT713" s="556"/>
      <c r="AU713" s="556"/>
      <c r="AV713" s="35"/>
      <c r="AW713" s="13"/>
    </row>
    <row r="714" spans="1:49" ht="15" hidden="1" customHeight="1">
      <c r="A714" s="17">
        <f>OBRA!I712</f>
        <v>2023</v>
      </c>
      <c r="B714" s="895" t="s">
        <v>3989</v>
      </c>
      <c r="C714" s="895"/>
      <c r="D714" s="895"/>
      <c r="E714" s="2" t="str">
        <f>OBRA!K712</f>
        <v>CUENTA CORRIENTE</v>
      </c>
      <c r="F714" s="205" t="s">
        <v>1431</v>
      </c>
      <c r="G714" s="632"/>
      <c r="H714" s="13" t="str">
        <f>OBRA!L712</f>
        <v>C- OP 019/2023</v>
      </c>
      <c r="I714" s="2" t="str">
        <f>OBRA!M712</f>
        <v>ARRENDAMIENTO</v>
      </c>
      <c r="J714" s="3" t="str">
        <f>OBRA!N712</f>
        <v>-</v>
      </c>
      <c r="K714" s="597"/>
      <c r="L714" s="597"/>
      <c r="M714" s="328" t="str">
        <f>OBRA!O712</f>
        <v>-</v>
      </c>
      <c r="N714" s="597"/>
      <c r="O714" s="4">
        <f>OBRA!P712</f>
        <v>0</v>
      </c>
      <c r="P714" s="1208">
        <f t="shared" si="55"/>
        <v>0</v>
      </c>
      <c r="Q714" s="65"/>
      <c r="R714" s="6">
        <f>OBRA!Q712</f>
        <v>0</v>
      </c>
      <c r="S714" s="1327" t="str">
        <f>OBRA!T712</f>
        <v>-</v>
      </c>
      <c r="T714" s="5">
        <f>OBRA!R712</f>
        <v>0</v>
      </c>
      <c r="U714" s="12">
        <f>OBRA!S712</f>
        <v>0</v>
      </c>
      <c r="V714" s="305">
        <v>0</v>
      </c>
      <c r="W714" s="1207">
        <f>OBRA!AQ712+OBRA!AR712</f>
        <v>0</v>
      </c>
      <c r="X714" s="1202" t="s">
        <v>5741</v>
      </c>
      <c r="Y714" s="639">
        <f>OBRA!U712</f>
        <v>0</v>
      </c>
      <c r="Z714" s="639"/>
      <c r="AA714" s="640">
        <f t="shared" si="57"/>
        <v>0</v>
      </c>
      <c r="AB714" s="1372"/>
      <c r="AC714" s="1373"/>
      <c r="AD714" s="608">
        <f>OBRA!V712</f>
        <v>0</v>
      </c>
      <c r="AE714" s="169"/>
      <c r="AF714" s="1553">
        <f t="shared" si="54"/>
        <v>0</v>
      </c>
      <c r="AG714" s="720" t="e">
        <f t="shared" si="56"/>
        <v>#DIV/0!</v>
      </c>
      <c r="AH714" s="560"/>
      <c r="AI714" s="556"/>
      <c r="AJ714" s="2075" t="s">
        <v>68</v>
      </c>
      <c r="AK714" s="721"/>
      <c r="AL714" s="1806"/>
      <c r="AM714" s="631"/>
      <c r="AN714" s="631"/>
      <c r="AO714" s="631"/>
      <c r="AP714" s="556"/>
      <c r="AQ714" s="561"/>
      <c r="AR714" s="556"/>
      <c r="AS714" s="556"/>
      <c r="AT714" s="556"/>
      <c r="AU714" s="556"/>
      <c r="AV714" s="35"/>
      <c r="AW714" s="13"/>
    </row>
    <row r="715" spans="1:49" ht="15" hidden="1" customHeight="1">
      <c r="A715" s="17">
        <f>OBRA!I713</f>
        <v>2023</v>
      </c>
      <c r="B715" s="895" t="s">
        <v>3989</v>
      </c>
      <c r="C715" s="895"/>
      <c r="D715" s="895"/>
      <c r="E715" s="2" t="str">
        <f>OBRA!K713</f>
        <v>CUENTA CORRIENTE</v>
      </c>
      <c r="F715" s="205" t="s">
        <v>1431</v>
      </c>
      <c r="G715" s="632"/>
      <c r="H715" s="13" t="str">
        <f>OBRA!L713</f>
        <v>C- OP 020/2023</v>
      </c>
      <c r="I715" s="2" t="str">
        <f>OBRA!M713</f>
        <v>ARRENDAMIENTO</v>
      </c>
      <c r="J715" s="3" t="str">
        <f>OBRA!N713</f>
        <v>-</v>
      </c>
      <c r="K715" s="597"/>
      <c r="L715" s="597"/>
      <c r="M715" s="328" t="str">
        <f>OBRA!O713</f>
        <v>-</v>
      </c>
      <c r="N715" s="597"/>
      <c r="O715" s="4">
        <f>OBRA!P713</f>
        <v>0</v>
      </c>
      <c r="P715" s="1208">
        <f t="shared" si="55"/>
        <v>0</v>
      </c>
      <c r="Q715" s="65"/>
      <c r="R715" s="6">
        <f>OBRA!Q713</f>
        <v>0</v>
      </c>
      <c r="S715" s="1327" t="str">
        <f>OBRA!T713</f>
        <v>-</v>
      </c>
      <c r="T715" s="5">
        <f>OBRA!R713</f>
        <v>0</v>
      </c>
      <c r="U715" s="12">
        <f>OBRA!S713</f>
        <v>0</v>
      </c>
      <c r="V715" s="305">
        <v>0</v>
      </c>
      <c r="W715" s="1207">
        <f>OBRA!AQ713+OBRA!AR713</f>
        <v>0</v>
      </c>
      <c r="X715" s="1202" t="s">
        <v>5741</v>
      </c>
      <c r="Y715" s="639">
        <f>OBRA!U713</f>
        <v>0</v>
      </c>
      <c r="Z715" s="639"/>
      <c r="AA715" s="640">
        <f t="shared" si="57"/>
        <v>0</v>
      </c>
      <c r="AB715" s="1372"/>
      <c r="AC715" s="1373"/>
      <c r="AD715" s="608">
        <f>OBRA!V713</f>
        <v>0</v>
      </c>
      <c r="AE715" s="169"/>
      <c r="AF715" s="1553">
        <f t="shared" si="54"/>
        <v>0</v>
      </c>
      <c r="AG715" s="720" t="e">
        <f t="shared" si="56"/>
        <v>#DIV/0!</v>
      </c>
      <c r="AH715" s="560"/>
      <c r="AI715" s="556"/>
      <c r="AJ715" s="2075" t="s">
        <v>68</v>
      </c>
      <c r="AK715" s="721"/>
      <c r="AL715" s="1806"/>
      <c r="AM715" s="631"/>
      <c r="AN715" s="631"/>
      <c r="AO715" s="631"/>
      <c r="AP715" s="556"/>
      <c r="AQ715" s="561"/>
      <c r="AR715" s="556"/>
      <c r="AS715" s="556"/>
      <c r="AT715" s="556"/>
      <c r="AU715" s="556"/>
      <c r="AV715" s="35"/>
      <c r="AW715" s="13"/>
    </row>
    <row r="716" spans="1:49" ht="81" hidden="1" customHeight="1">
      <c r="A716" s="17">
        <f>OBRA!I714</f>
        <v>2023</v>
      </c>
      <c r="B716" s="895" t="s">
        <v>3989</v>
      </c>
      <c r="C716" s="895"/>
      <c r="D716" s="895"/>
      <c r="E716" s="2" t="str">
        <f>OBRA!K714</f>
        <v>CUENTA CORRIENTE</v>
      </c>
      <c r="F716" s="768" t="s">
        <v>1431</v>
      </c>
      <c r="G716" s="632"/>
      <c r="H716" s="448" t="str">
        <f>OBRA!L714</f>
        <v>DOP/AD/001/2023</v>
      </c>
      <c r="I716" s="426" t="str">
        <f>OBRA!M714</f>
        <v>ADMINISTRACIÓN DIRECTA</v>
      </c>
      <c r="J716" s="780" t="str">
        <f>OBRA!N714</f>
        <v>"CONSTRUCCIÓN DE REDES HIDROSANITARIAS EN CALLE FILÓSOFOS ENTRE CALLE JOSEFA ORTÍZ DE DOMINGUEZ E HIDALGO", EN LA CABECERA MUNICIPAL DE JOCOTEPEC, JALISCO</v>
      </c>
      <c r="K716" s="597"/>
      <c r="L716" s="780" t="s">
        <v>5465</v>
      </c>
      <c r="M716" s="3" t="str">
        <f>OBRA!O714</f>
        <v>CABECERA MUNICIPAL</v>
      </c>
      <c r="N716" s="554" t="s">
        <v>6031</v>
      </c>
      <c r="O716" s="4">
        <f>OBRA!P714</f>
        <v>307647.35999999999</v>
      </c>
      <c r="P716" s="1208">
        <f t="shared" si="49"/>
        <v>265213.24137931038</v>
      </c>
      <c r="Q716" s="85" t="s">
        <v>68</v>
      </c>
      <c r="R716" s="6">
        <f>OBRA!Q714</f>
        <v>44967</v>
      </c>
      <c r="S716" s="1327" t="str">
        <f>OBRA!T714</f>
        <v>-</v>
      </c>
      <c r="T716" s="5">
        <f>OBRA!R714</f>
        <v>44968</v>
      </c>
      <c r="U716" s="12">
        <f>OBRA!S714</f>
        <v>44985</v>
      </c>
      <c r="V716" s="305">
        <v>0</v>
      </c>
      <c r="W716" s="1207">
        <f>OBRA!AQ714+OBRA!AR714</f>
        <v>0</v>
      </c>
      <c r="X716" s="1235" t="s">
        <v>6027</v>
      </c>
      <c r="Y716" s="639" t="str">
        <f>OBRA!U714</f>
        <v>-</v>
      </c>
      <c r="Z716" s="1372" t="s">
        <v>68</v>
      </c>
      <c r="AA716" s="640" t="str">
        <f t="shared" ref="AA716:AA725" si="58">Y716</f>
        <v>-</v>
      </c>
      <c r="AB716" s="1281" t="s">
        <v>68</v>
      </c>
      <c r="AC716" s="446" t="s">
        <v>68</v>
      </c>
      <c r="AD716" s="769" t="str">
        <f>OBRA!V714</f>
        <v>C. DANIEL RODRIGUEZ VALENZUELA</v>
      </c>
      <c r="AE716" s="169"/>
      <c r="AF716" s="202" t="s">
        <v>1454</v>
      </c>
      <c r="AG716" s="720" t="e">
        <f t="shared" si="48"/>
        <v>#DIV/0!</v>
      </c>
      <c r="AH716" s="202">
        <v>25</v>
      </c>
      <c r="AI716" s="566">
        <v>200</v>
      </c>
      <c r="AJ716" s="2075">
        <v>1</v>
      </c>
      <c r="AK716" s="1813">
        <v>20.291314</v>
      </c>
      <c r="AL716" s="1814">
        <v>103.430639</v>
      </c>
      <c r="AM716" s="629" t="s">
        <v>6031</v>
      </c>
      <c r="AN716" s="631"/>
      <c r="AO716" s="631"/>
      <c r="AP716" s="551" t="s">
        <v>6031</v>
      </c>
      <c r="AQ716" s="561"/>
      <c r="AR716" s="556"/>
      <c r="AS716" s="556"/>
      <c r="AT716" s="556"/>
      <c r="AU716" s="556"/>
      <c r="AV716" s="35"/>
      <c r="AW716" s="13"/>
    </row>
    <row r="717" spans="1:49" ht="64.5" hidden="1" customHeight="1">
      <c r="A717" s="17">
        <f>OBRA!I715</f>
        <v>2023</v>
      </c>
      <c r="B717" s="895" t="s">
        <v>3989</v>
      </c>
      <c r="C717" s="895"/>
      <c r="D717" s="895"/>
      <c r="E717" s="2" t="str">
        <f>OBRA!K715</f>
        <v>REGULARIZACIÓN DE VEHÍCULOS DE PROCEDENCIA EXTRANJERA, 2022</v>
      </c>
      <c r="F717" s="561"/>
      <c r="G717" s="632"/>
      <c r="H717" s="13" t="str">
        <f>OBRA!L715</f>
        <v>DOP/AD/002/2023</v>
      </c>
      <c r="I717" s="2" t="str">
        <f>OBRA!M715</f>
        <v>ADMINISTRACIÓN DIRECTA</v>
      </c>
      <c r="J717" s="3" t="str">
        <f>OBRA!N715</f>
        <v>"BACHEO SUPERFICIAL AISLADO EN CALLE INDEPENDENCIA NORTE ENTRE C. MORELOS Y C. DEGOLLADO", EN LA CABECERA MUNICIPAL DE JOCOTEPEC, JALISCO.</v>
      </c>
      <c r="K717" s="597"/>
      <c r="L717" s="328" t="s">
        <v>6025</v>
      </c>
      <c r="M717" s="3" t="str">
        <f>OBRA!O715</f>
        <v>CABECERA MUNICIPAL</v>
      </c>
      <c r="N717" s="554" t="s">
        <v>6032</v>
      </c>
      <c r="O717" s="4">
        <f>OBRA!P715</f>
        <v>27472.5</v>
      </c>
      <c r="P717" s="1208">
        <f t="shared" si="49"/>
        <v>23683.189655172417</v>
      </c>
      <c r="Q717" s="85" t="s">
        <v>68</v>
      </c>
      <c r="R717" s="6">
        <f>OBRA!Q715</f>
        <v>45033</v>
      </c>
      <c r="S717" s="1327" t="str">
        <f>OBRA!T715</f>
        <v>-</v>
      </c>
      <c r="T717" s="5">
        <f>OBRA!R715</f>
        <v>45036</v>
      </c>
      <c r="U717" s="12">
        <f>OBRA!S715</f>
        <v>45038</v>
      </c>
      <c r="V717" s="305">
        <v>0</v>
      </c>
      <c r="W717" s="1207">
        <f>OBRA!AQ715+OBRA!AR715</f>
        <v>0</v>
      </c>
      <c r="X717" s="1235" t="s">
        <v>6028</v>
      </c>
      <c r="Y717" s="639" t="str">
        <f>OBRA!U715</f>
        <v>-</v>
      </c>
      <c r="Z717" s="1372" t="s">
        <v>68</v>
      </c>
      <c r="AA717" s="640" t="str">
        <f t="shared" si="58"/>
        <v>-</v>
      </c>
      <c r="AB717" s="1281"/>
      <c r="AC717" s="446"/>
      <c r="AD717" s="608" t="str">
        <f>OBRA!V715</f>
        <v>ING. LUIS RIGOBERTO OLMEDO NAVARRO</v>
      </c>
      <c r="AE717" s="169"/>
      <c r="AF717" s="560" t="s">
        <v>1552</v>
      </c>
      <c r="AG717" s="720" t="e">
        <f t="shared" si="48"/>
        <v>#DIV/0!</v>
      </c>
      <c r="AH717" s="560"/>
      <c r="AI717" s="556"/>
      <c r="AJ717" s="2076"/>
      <c r="AK717" s="721"/>
      <c r="AL717" s="1806"/>
      <c r="AM717" s="629" t="s">
        <v>6032</v>
      </c>
      <c r="AN717" s="629" t="s">
        <v>6032</v>
      </c>
      <c r="AO717" s="629" t="s">
        <v>6032</v>
      </c>
      <c r="AP717" s="556"/>
      <c r="AQ717" s="561"/>
      <c r="AR717" s="556"/>
      <c r="AS717" s="556"/>
      <c r="AT717" s="556"/>
      <c r="AU717" s="556"/>
      <c r="AV717" s="35"/>
      <c r="AW717" s="13"/>
    </row>
    <row r="718" spans="1:49" ht="15" hidden="1" customHeight="1">
      <c r="A718" s="17">
        <f>OBRA!I716</f>
        <v>2023</v>
      </c>
      <c r="B718" s="895" t="s">
        <v>3989</v>
      </c>
      <c r="C718" s="895"/>
      <c r="D718" s="895"/>
      <c r="E718" s="2">
        <f>OBRA!K716</f>
        <v>0</v>
      </c>
      <c r="F718" s="561"/>
      <c r="G718" s="632"/>
      <c r="H718" s="13" t="str">
        <f>OBRA!L716</f>
        <v>DOP/AD/003/2023</v>
      </c>
      <c r="I718" s="2" t="str">
        <f>OBRA!M716</f>
        <v>ADMINISTRACIÓN DIRECTA</v>
      </c>
      <c r="J718" s="3" t="str">
        <f>OBRA!N716</f>
        <v>-</v>
      </c>
      <c r="K718" s="597"/>
      <c r="L718" s="597"/>
      <c r="M718" s="3" t="str">
        <f>OBRA!O716</f>
        <v>-</v>
      </c>
      <c r="N718" s="597"/>
      <c r="O718" s="4">
        <f>OBRA!P716</f>
        <v>0</v>
      </c>
      <c r="P718" s="1208">
        <f t="shared" si="49"/>
        <v>0</v>
      </c>
      <c r="Q718" s="85" t="s">
        <v>68</v>
      </c>
      <c r="R718" s="6">
        <f>OBRA!Q716</f>
        <v>0</v>
      </c>
      <c r="S718" s="1327" t="str">
        <f>OBRA!T716</f>
        <v>-</v>
      </c>
      <c r="T718" s="5">
        <f>OBRA!R716</f>
        <v>0</v>
      </c>
      <c r="U718" s="12">
        <f>OBRA!S716</f>
        <v>0</v>
      </c>
      <c r="V718" s="305">
        <v>0</v>
      </c>
      <c r="W718" s="1207">
        <f>OBRA!AQ716+OBRA!AR716</f>
        <v>0</v>
      </c>
      <c r="X718" s="1201"/>
      <c r="Y718" s="639" t="str">
        <f>OBRA!U716</f>
        <v>-</v>
      </c>
      <c r="Z718" s="1372" t="s">
        <v>68</v>
      </c>
      <c r="AA718" s="640" t="str">
        <f t="shared" si="58"/>
        <v>-</v>
      </c>
      <c r="AB718" s="1281"/>
      <c r="AC718" s="446"/>
      <c r="AD718" s="608">
        <f>OBRA!V716</f>
        <v>0</v>
      </c>
      <c r="AE718" s="169"/>
      <c r="AF718" s="560"/>
      <c r="AG718" s="720" t="e">
        <f t="shared" si="48"/>
        <v>#DIV/0!</v>
      </c>
      <c r="AH718" s="560"/>
      <c r="AI718" s="556"/>
      <c r="AJ718" s="2076"/>
      <c r="AK718" s="721"/>
      <c r="AL718" s="1806"/>
      <c r="AM718" s="631"/>
      <c r="AN718" s="631"/>
      <c r="AO718" s="631"/>
      <c r="AP718" s="556"/>
      <c r="AQ718" s="561"/>
      <c r="AR718" s="556"/>
      <c r="AS718" s="556"/>
      <c r="AT718" s="556"/>
      <c r="AU718" s="556"/>
      <c r="AV718" s="35"/>
      <c r="AW718" s="13"/>
    </row>
    <row r="719" spans="1:49" ht="15" hidden="1" customHeight="1">
      <c r="A719" s="17">
        <f>OBRA!I717</f>
        <v>2023</v>
      </c>
      <c r="B719" s="895" t="s">
        <v>3989</v>
      </c>
      <c r="C719" s="895"/>
      <c r="D719" s="895"/>
      <c r="E719" s="2">
        <f>OBRA!K717</f>
        <v>0</v>
      </c>
      <c r="F719" s="561"/>
      <c r="G719" s="632"/>
      <c r="H719" s="13" t="str">
        <f>OBRA!L717</f>
        <v>DOP/AD/004/2023</v>
      </c>
      <c r="I719" s="2" t="str">
        <f>OBRA!M717</f>
        <v>ADMINISTRACIÓN DIRECTA</v>
      </c>
      <c r="J719" s="3" t="str">
        <f>OBRA!N717</f>
        <v>-</v>
      </c>
      <c r="K719" s="597"/>
      <c r="L719" s="597"/>
      <c r="M719" s="3" t="str">
        <f>OBRA!O717</f>
        <v>-</v>
      </c>
      <c r="N719" s="597"/>
      <c r="O719" s="4">
        <f>OBRA!P717</f>
        <v>0</v>
      </c>
      <c r="P719" s="1208">
        <f t="shared" si="49"/>
        <v>0</v>
      </c>
      <c r="Q719" s="85" t="s">
        <v>68</v>
      </c>
      <c r="R719" s="6">
        <f>OBRA!Q717</f>
        <v>0</v>
      </c>
      <c r="S719" s="1327" t="str">
        <f>OBRA!T717</f>
        <v>-</v>
      </c>
      <c r="T719" s="5">
        <f>OBRA!R717</f>
        <v>0</v>
      </c>
      <c r="U719" s="12">
        <f>OBRA!S717</f>
        <v>0</v>
      </c>
      <c r="V719" s="305">
        <v>0</v>
      </c>
      <c r="W719" s="1207">
        <f>OBRA!AQ717+OBRA!AR717</f>
        <v>0</v>
      </c>
      <c r="X719" s="1201"/>
      <c r="Y719" s="639" t="str">
        <f>OBRA!U717</f>
        <v>-</v>
      </c>
      <c r="Z719" s="1372" t="s">
        <v>68</v>
      </c>
      <c r="AA719" s="640" t="str">
        <f t="shared" si="58"/>
        <v>-</v>
      </c>
      <c r="AB719" s="1281"/>
      <c r="AC719" s="446"/>
      <c r="AD719" s="608">
        <f>OBRA!V717</f>
        <v>0</v>
      </c>
      <c r="AE719" s="169"/>
      <c r="AF719" s="560"/>
      <c r="AG719" s="720" t="e">
        <f t="shared" si="48"/>
        <v>#DIV/0!</v>
      </c>
      <c r="AH719" s="560"/>
      <c r="AI719" s="556"/>
      <c r="AJ719" s="2076"/>
      <c r="AK719" s="721"/>
      <c r="AL719" s="1806"/>
      <c r="AM719" s="631"/>
      <c r="AN719" s="631"/>
      <c r="AO719" s="631"/>
      <c r="AP719" s="556"/>
      <c r="AQ719" s="561"/>
      <c r="AR719" s="556"/>
      <c r="AS719" s="556"/>
      <c r="AT719" s="556"/>
      <c r="AU719" s="556"/>
      <c r="AV719" s="35"/>
      <c r="AW719" s="13"/>
    </row>
    <row r="720" spans="1:49" ht="76.5" hidden="1" customHeight="1">
      <c r="A720" s="17">
        <f>OBRA!I718</f>
        <v>2023</v>
      </c>
      <c r="B720" s="895" t="s">
        <v>3989</v>
      </c>
      <c r="C720" s="895"/>
      <c r="D720" s="895"/>
      <c r="E720" s="2" t="str">
        <f>OBRA!K718</f>
        <v>REGULARIZACIÓN DE VEHÍCULOS DE PROCEDENCIA EXTRANJERA, 2022</v>
      </c>
      <c r="F720" s="561"/>
      <c r="G720" s="632"/>
      <c r="H720" s="13" t="str">
        <f>OBRA!L718</f>
        <v>DOP/AD/005/2023</v>
      </c>
      <c r="I720" s="2" t="str">
        <f>OBRA!M718</f>
        <v>ADMINISTRACIÓN DIRECTA</v>
      </c>
      <c r="J720" s="3" t="str">
        <f>OBRA!N718</f>
        <v>"BACHEO SUPERFICIAL AISLADO DE MEZCLA ASFÁLTICA EN LA CALLE MORELOS ENTRE CALLE NIÑOS HÉROES YCALLE ZARAGOZA EN EL BARRIO LA CALABAZA" DE LA CABECERA MUNICIPAL DE JOCOTEPEC, MUNICIPIO DE JOCOTEPEC, JALISCO.</v>
      </c>
      <c r="K720" s="597"/>
      <c r="L720" s="328" t="s">
        <v>6026</v>
      </c>
      <c r="M720" s="3" t="str">
        <f>OBRA!O718</f>
        <v>CABECERA MUNICIPAL</v>
      </c>
      <c r="N720" s="554" t="s">
        <v>6033</v>
      </c>
      <c r="O720" s="4">
        <f>OBRA!P718</f>
        <v>92407.5</v>
      </c>
      <c r="P720" s="1208">
        <f t="shared" si="49"/>
        <v>79661.637931034493</v>
      </c>
      <c r="Q720" s="85" t="s">
        <v>68</v>
      </c>
      <c r="R720" s="6">
        <f>OBRA!Q718</f>
        <v>45244</v>
      </c>
      <c r="S720" s="1327" t="str">
        <f>OBRA!T718</f>
        <v>-</v>
      </c>
      <c r="T720" s="5">
        <f>OBRA!R718</f>
        <v>45264</v>
      </c>
      <c r="U720" s="12">
        <f>OBRA!S718</f>
        <v>45268</v>
      </c>
      <c r="V720" s="305">
        <v>0</v>
      </c>
      <c r="W720" s="1207">
        <f>OBRA!AQ718+OBRA!AR718</f>
        <v>0</v>
      </c>
      <c r="X720" s="1235" t="s">
        <v>6028</v>
      </c>
      <c r="Y720" s="639" t="str">
        <f>OBRA!U718</f>
        <v>-</v>
      </c>
      <c r="Z720" s="1372" t="s">
        <v>68</v>
      </c>
      <c r="AA720" s="640" t="str">
        <f t="shared" si="58"/>
        <v>-</v>
      </c>
      <c r="AB720" s="1281"/>
      <c r="AC720" s="446"/>
      <c r="AD720" s="608" t="str">
        <f>OBRA!V718</f>
        <v>ING. LUIS RIGOBERTO OLMEDO NAVARRO</v>
      </c>
      <c r="AE720" s="169"/>
      <c r="AF720" s="560" t="s">
        <v>1552</v>
      </c>
      <c r="AG720" s="720" t="e">
        <f t="shared" si="48"/>
        <v>#DIV/0!</v>
      </c>
      <c r="AH720" s="560"/>
      <c r="AI720" s="556"/>
      <c r="AJ720" s="2076"/>
      <c r="AK720" s="721"/>
      <c r="AL720" s="1806"/>
      <c r="AM720" s="629" t="s">
        <v>6033</v>
      </c>
      <c r="AN720" s="629" t="s">
        <v>6033</v>
      </c>
      <c r="AO720" s="629" t="s">
        <v>6033</v>
      </c>
      <c r="AP720" s="551" t="s">
        <v>6033</v>
      </c>
      <c r="AQ720" s="561"/>
      <c r="AR720" s="556"/>
      <c r="AS720" s="556"/>
      <c r="AT720" s="556"/>
      <c r="AU720" s="556"/>
      <c r="AV720" s="35"/>
      <c r="AW720" s="13"/>
    </row>
    <row r="721" spans="1:49" ht="15" hidden="1" customHeight="1">
      <c r="A721" s="17">
        <f>OBRA!I719</f>
        <v>2023</v>
      </c>
      <c r="B721" s="895" t="s">
        <v>3989</v>
      </c>
      <c r="C721" s="895"/>
      <c r="D721" s="895"/>
      <c r="E721" s="2">
        <f>OBRA!K719</f>
        <v>0</v>
      </c>
      <c r="F721" s="561"/>
      <c r="G721" s="632"/>
      <c r="H721" s="13" t="str">
        <f>OBRA!L719</f>
        <v>DOP/AD/006/2023</v>
      </c>
      <c r="I721" s="2" t="str">
        <f>OBRA!M719</f>
        <v>CANCELADA</v>
      </c>
      <c r="J721" s="3" t="str">
        <f>OBRA!N719</f>
        <v>-</v>
      </c>
      <c r="K721" s="597"/>
      <c r="L721" s="597"/>
      <c r="M721" s="3" t="str">
        <f>OBRA!O719</f>
        <v>-</v>
      </c>
      <c r="N721" s="597"/>
      <c r="O721" s="4">
        <f>OBRA!P719</f>
        <v>0</v>
      </c>
      <c r="P721" s="1208">
        <f t="shared" si="49"/>
        <v>0</v>
      </c>
      <c r="Q721" s="85" t="s">
        <v>68</v>
      </c>
      <c r="R721" s="6">
        <f>OBRA!Q719</f>
        <v>0</v>
      </c>
      <c r="S721" s="1327" t="str">
        <f>OBRA!T719</f>
        <v>-</v>
      </c>
      <c r="T721" s="5">
        <f>OBRA!R719</f>
        <v>0</v>
      </c>
      <c r="U721" s="12">
        <f>OBRA!S719</f>
        <v>0</v>
      </c>
      <c r="V721" s="305">
        <v>0</v>
      </c>
      <c r="W721" s="1207">
        <f>OBRA!AQ719+OBRA!AR719</f>
        <v>0</v>
      </c>
      <c r="X721" s="1201"/>
      <c r="Y721" s="639" t="str">
        <f>OBRA!U719</f>
        <v>-</v>
      </c>
      <c r="Z721" s="1372" t="s">
        <v>68</v>
      </c>
      <c r="AA721" s="640" t="str">
        <f t="shared" si="58"/>
        <v>-</v>
      </c>
      <c r="AB721" s="1281"/>
      <c r="AC721" s="446"/>
      <c r="AD721" s="608">
        <f>OBRA!V719</f>
        <v>0</v>
      </c>
      <c r="AE721" s="169"/>
      <c r="AF721" s="560"/>
      <c r="AG721" s="720" t="e">
        <f t="shared" si="48"/>
        <v>#DIV/0!</v>
      </c>
      <c r="AH721" s="560"/>
      <c r="AI721" s="556"/>
      <c r="AJ721" s="2076"/>
      <c r="AK721" s="721"/>
      <c r="AL721" s="1806"/>
      <c r="AM721" s="631"/>
      <c r="AN721" s="631"/>
      <c r="AO721" s="631"/>
      <c r="AP721" s="556"/>
      <c r="AQ721" s="561"/>
      <c r="AR721" s="556"/>
      <c r="AS721" s="556"/>
      <c r="AT721" s="556"/>
      <c r="AU721" s="556"/>
      <c r="AV721" s="35"/>
      <c r="AW721" s="13"/>
    </row>
    <row r="722" spans="1:49" ht="15" hidden="1" customHeight="1">
      <c r="A722" s="17">
        <f>OBRA!I720</f>
        <v>2023</v>
      </c>
      <c r="B722" s="895" t="s">
        <v>3989</v>
      </c>
      <c r="C722" s="895"/>
      <c r="D722" s="895"/>
      <c r="E722" s="2">
        <f>OBRA!K720</f>
        <v>0</v>
      </c>
      <c r="F722" s="561"/>
      <c r="G722" s="632"/>
      <c r="H722" s="13" t="str">
        <f>OBRA!L720</f>
        <v>DOP/AD/007/2023</v>
      </c>
      <c r="I722" s="2" t="str">
        <f>OBRA!M720</f>
        <v>CANCELADA</v>
      </c>
      <c r="J722" s="3" t="str">
        <f>OBRA!N720</f>
        <v>-</v>
      </c>
      <c r="K722" s="597"/>
      <c r="L722" s="597"/>
      <c r="M722" s="3" t="str">
        <f>OBRA!O720</f>
        <v>-</v>
      </c>
      <c r="N722" s="597"/>
      <c r="O722" s="4">
        <f>OBRA!P720</f>
        <v>0</v>
      </c>
      <c r="P722" s="1208">
        <f t="shared" si="49"/>
        <v>0</v>
      </c>
      <c r="Q722" s="85" t="s">
        <v>68</v>
      </c>
      <c r="R722" s="6">
        <f>OBRA!Q720</f>
        <v>0</v>
      </c>
      <c r="S722" s="1327" t="str">
        <f>OBRA!T720</f>
        <v>-</v>
      </c>
      <c r="T722" s="5">
        <f>OBRA!R720</f>
        <v>0</v>
      </c>
      <c r="U722" s="12">
        <f>OBRA!S720</f>
        <v>0</v>
      </c>
      <c r="V722" s="305">
        <v>0</v>
      </c>
      <c r="W722" s="1207">
        <f>OBRA!AQ720+OBRA!AR720</f>
        <v>0</v>
      </c>
      <c r="X722" s="1201"/>
      <c r="Y722" s="639" t="str">
        <f>OBRA!U720</f>
        <v>-</v>
      </c>
      <c r="Z722" s="1372" t="s">
        <v>68</v>
      </c>
      <c r="AA722" s="640" t="str">
        <f t="shared" si="58"/>
        <v>-</v>
      </c>
      <c r="AB722" s="1281"/>
      <c r="AC722" s="446"/>
      <c r="AD722" s="608">
        <f>OBRA!V720</f>
        <v>0</v>
      </c>
      <c r="AE722" s="169"/>
      <c r="AF722" s="560"/>
      <c r="AG722" s="720" t="e">
        <f t="shared" si="48"/>
        <v>#DIV/0!</v>
      </c>
      <c r="AH722" s="560"/>
      <c r="AI722" s="556"/>
      <c r="AJ722" s="2076"/>
      <c r="AK722" s="721"/>
      <c r="AL722" s="1806"/>
      <c r="AM722" s="631"/>
      <c r="AN722" s="631"/>
      <c r="AO722" s="631"/>
      <c r="AP722" s="556"/>
      <c r="AQ722" s="561"/>
      <c r="AR722" s="556"/>
      <c r="AS722" s="556"/>
      <c r="AT722" s="556"/>
      <c r="AU722" s="556"/>
      <c r="AV722" s="35"/>
      <c r="AW722" s="13"/>
    </row>
    <row r="723" spans="1:49" ht="15" hidden="1" customHeight="1">
      <c r="A723" s="17">
        <f>OBRA!I721</f>
        <v>2023</v>
      </c>
      <c r="B723" s="895" t="s">
        <v>3989</v>
      </c>
      <c r="C723" s="895"/>
      <c r="D723" s="895"/>
      <c r="E723" s="2">
        <f>OBRA!K721</f>
        <v>0</v>
      </c>
      <c r="F723" s="561"/>
      <c r="G723" s="632"/>
      <c r="H723" s="13" t="str">
        <f>OBRA!L721</f>
        <v>DOP/AD/008/2023</v>
      </c>
      <c r="I723" s="2" t="str">
        <f>OBRA!M721</f>
        <v>CANCELADA</v>
      </c>
      <c r="J723" s="3" t="str">
        <f>OBRA!N721</f>
        <v>-</v>
      </c>
      <c r="K723" s="597"/>
      <c r="L723" s="597"/>
      <c r="M723" s="3" t="str">
        <f>OBRA!O721</f>
        <v>-</v>
      </c>
      <c r="N723" s="597"/>
      <c r="O723" s="4">
        <f>OBRA!P721</f>
        <v>0</v>
      </c>
      <c r="P723" s="1208">
        <f t="shared" si="49"/>
        <v>0</v>
      </c>
      <c r="Q723" s="85" t="s">
        <v>68</v>
      </c>
      <c r="R723" s="6">
        <f>OBRA!Q721</f>
        <v>0</v>
      </c>
      <c r="S723" s="1327" t="str">
        <f>OBRA!T721</f>
        <v>-</v>
      </c>
      <c r="T723" s="5">
        <f>OBRA!R721</f>
        <v>0</v>
      </c>
      <c r="U723" s="12">
        <f>OBRA!S721</f>
        <v>0</v>
      </c>
      <c r="V723" s="305">
        <v>0</v>
      </c>
      <c r="W723" s="1207">
        <f>OBRA!AQ721+OBRA!AR721</f>
        <v>0</v>
      </c>
      <c r="X723" s="1201"/>
      <c r="Y723" s="639" t="str">
        <f>OBRA!U721</f>
        <v>-</v>
      </c>
      <c r="Z723" s="1372" t="s">
        <v>68</v>
      </c>
      <c r="AA723" s="640" t="str">
        <f t="shared" si="58"/>
        <v>-</v>
      </c>
      <c r="AB723" s="1281"/>
      <c r="AC723" s="446"/>
      <c r="AD723" s="608">
        <f>OBRA!V721</f>
        <v>0</v>
      </c>
      <c r="AE723" s="169"/>
      <c r="AF723" s="560"/>
      <c r="AG723" s="720" t="e">
        <f t="shared" si="48"/>
        <v>#DIV/0!</v>
      </c>
      <c r="AH723" s="560"/>
      <c r="AI723" s="556"/>
      <c r="AJ723" s="2076"/>
      <c r="AK723" s="721"/>
      <c r="AL723" s="1806"/>
      <c r="AM723" s="631"/>
      <c r="AN723" s="631"/>
      <c r="AO723" s="631"/>
      <c r="AP723" s="556"/>
      <c r="AQ723" s="561"/>
      <c r="AR723" s="556"/>
      <c r="AS723" s="556"/>
      <c r="AT723" s="556"/>
      <c r="AU723" s="556"/>
      <c r="AV723" s="35"/>
      <c r="AW723" s="13"/>
    </row>
    <row r="724" spans="1:49" ht="15" hidden="1" customHeight="1">
      <c r="A724" s="17">
        <f>OBRA!I722</f>
        <v>2023</v>
      </c>
      <c r="B724" s="895" t="s">
        <v>3989</v>
      </c>
      <c r="C724" s="895"/>
      <c r="D724" s="895"/>
      <c r="E724" s="2">
        <f>OBRA!K722</f>
        <v>0</v>
      </c>
      <c r="F724" s="561"/>
      <c r="G724" s="632"/>
      <c r="H724" s="13" t="str">
        <f>OBRA!L722</f>
        <v>DOP/AD/009/2023</v>
      </c>
      <c r="I724" s="2" t="str">
        <f>OBRA!M722</f>
        <v>CANCELADA</v>
      </c>
      <c r="J724" s="3" t="str">
        <f>OBRA!N722</f>
        <v>-</v>
      </c>
      <c r="K724" s="597"/>
      <c r="L724" s="597"/>
      <c r="M724" s="3" t="str">
        <f>OBRA!O722</f>
        <v>-</v>
      </c>
      <c r="N724" s="597"/>
      <c r="O724" s="4">
        <f>OBRA!P722</f>
        <v>0</v>
      </c>
      <c r="P724" s="1208">
        <f t="shared" si="49"/>
        <v>0</v>
      </c>
      <c r="Q724" s="85" t="s">
        <v>68</v>
      </c>
      <c r="R724" s="6">
        <f>OBRA!Q722</f>
        <v>0</v>
      </c>
      <c r="S724" s="1327" t="str">
        <f>OBRA!T722</f>
        <v>-</v>
      </c>
      <c r="T724" s="5">
        <f>OBRA!R722</f>
        <v>0</v>
      </c>
      <c r="U724" s="12">
        <f>OBRA!S722</f>
        <v>0</v>
      </c>
      <c r="V724" s="305">
        <v>0</v>
      </c>
      <c r="W724" s="1207">
        <f>OBRA!AQ722+OBRA!AR722</f>
        <v>0</v>
      </c>
      <c r="X724" s="1201"/>
      <c r="Y724" s="639" t="str">
        <f>OBRA!U722</f>
        <v>-</v>
      </c>
      <c r="Z724" s="1372" t="s">
        <v>68</v>
      </c>
      <c r="AA724" s="640" t="str">
        <f t="shared" si="58"/>
        <v>-</v>
      </c>
      <c r="AB724" s="1281"/>
      <c r="AC724" s="446"/>
      <c r="AD724" s="608">
        <f>OBRA!V722</f>
        <v>0</v>
      </c>
      <c r="AE724" s="169"/>
      <c r="AF724" s="560"/>
      <c r="AG724" s="720" t="e">
        <f t="shared" si="48"/>
        <v>#DIV/0!</v>
      </c>
      <c r="AH724" s="560"/>
      <c r="AI724" s="556"/>
      <c r="AJ724" s="2076"/>
      <c r="AK724" s="721"/>
      <c r="AL724" s="1806"/>
      <c r="AM724" s="631"/>
      <c r="AN724" s="631"/>
      <c r="AO724" s="631"/>
      <c r="AP724" s="556"/>
      <c r="AQ724" s="561"/>
      <c r="AR724" s="556"/>
      <c r="AS724" s="556"/>
      <c r="AT724" s="556"/>
      <c r="AU724" s="556"/>
      <c r="AV724" s="35"/>
      <c r="AW724" s="13"/>
    </row>
    <row r="725" spans="1:49" ht="15" hidden="1" customHeight="1">
      <c r="A725" s="17">
        <f>OBRA!I723</f>
        <v>2023</v>
      </c>
      <c r="B725" s="895" t="s">
        <v>3989</v>
      </c>
      <c r="C725" s="895"/>
      <c r="D725" s="895"/>
      <c r="E725" s="2">
        <f>OBRA!K723</f>
        <v>0</v>
      </c>
      <c r="F725" s="561"/>
      <c r="G725" s="632"/>
      <c r="H725" s="13" t="str">
        <f>OBRA!L723</f>
        <v>DOP/AD/010/2023</v>
      </c>
      <c r="I725" s="2" t="str">
        <f>OBRA!M723</f>
        <v>CANCELADA</v>
      </c>
      <c r="J725" s="3" t="str">
        <f>OBRA!N723</f>
        <v>-</v>
      </c>
      <c r="K725" s="597"/>
      <c r="L725" s="597"/>
      <c r="M725" s="3" t="str">
        <f>OBRA!O723</f>
        <v>-</v>
      </c>
      <c r="N725" s="597"/>
      <c r="O725" s="4">
        <f>OBRA!P723</f>
        <v>0</v>
      </c>
      <c r="P725" s="1208">
        <f t="shared" si="49"/>
        <v>0</v>
      </c>
      <c r="Q725" s="85" t="s">
        <v>68</v>
      </c>
      <c r="R725" s="6">
        <f>OBRA!Q723</f>
        <v>0</v>
      </c>
      <c r="S725" s="1327" t="str">
        <f>OBRA!T723</f>
        <v>-</v>
      </c>
      <c r="T725" s="5">
        <f>OBRA!R723</f>
        <v>0</v>
      </c>
      <c r="U725" s="12">
        <f>OBRA!S723</f>
        <v>0</v>
      </c>
      <c r="V725" s="305">
        <v>0</v>
      </c>
      <c r="W725" s="1207">
        <f>OBRA!AQ723+OBRA!AR723</f>
        <v>0</v>
      </c>
      <c r="X725" s="1201"/>
      <c r="Y725" s="639" t="str">
        <f>OBRA!U723</f>
        <v>-</v>
      </c>
      <c r="Z725" s="1372" t="s">
        <v>68</v>
      </c>
      <c r="AA725" s="640" t="str">
        <f t="shared" si="58"/>
        <v>-</v>
      </c>
      <c r="AB725" s="1281"/>
      <c r="AC725" s="446"/>
      <c r="AD725" s="608">
        <f>OBRA!V723</f>
        <v>0</v>
      </c>
      <c r="AE725" s="169"/>
      <c r="AF725" s="560"/>
      <c r="AG725" s="720" t="e">
        <f t="shared" si="48"/>
        <v>#DIV/0!</v>
      </c>
      <c r="AH725" s="560"/>
      <c r="AI725" s="556"/>
      <c r="AJ725" s="2076"/>
      <c r="AK725" s="721"/>
      <c r="AL725" s="1806"/>
      <c r="AM725" s="631"/>
      <c r="AN725" s="631"/>
      <c r="AO725" s="631"/>
      <c r="AP725" s="556"/>
      <c r="AQ725" s="561"/>
      <c r="AR725" s="556"/>
      <c r="AS725" s="556"/>
      <c r="AT725" s="556"/>
      <c r="AU725" s="556"/>
      <c r="AV725" s="35"/>
      <c r="AW725" s="13"/>
    </row>
    <row r="726" spans="1:49" ht="120" hidden="1" customHeight="1">
      <c r="A726" s="17">
        <f>OBRA!I724</f>
        <v>2023</v>
      </c>
      <c r="B726" s="895" t="s">
        <v>3989</v>
      </c>
      <c r="C726" s="895"/>
      <c r="D726" s="895"/>
      <c r="E726" s="2" t="str">
        <f>OBRA!K724</f>
        <v>RAMO 33</v>
      </c>
      <c r="F726" s="768" t="s">
        <v>1431</v>
      </c>
      <c r="G726" s="632"/>
      <c r="H726" s="451" t="str">
        <f>OBRA!L724</f>
        <v>GMJ 001C OP/2023</v>
      </c>
      <c r="I726" s="2" t="str">
        <f>OBRA!M724</f>
        <v>ADJUDICACIÓN DIRECTA</v>
      </c>
      <c r="J726" s="3" t="str">
        <f>OBRA!N724</f>
        <v>"CONSTRUCCIÓN DE LÍNEA DE DRENAJE SANITARIO, LÍNEA DE AGUA POTABLE, HUELLA DE CONCRETO Y EMPEDRADO AHOGADO EN CONCRETO EN LA CALLE JOSEFA ORTIZ DE DOMINGUEZ DE CALLE ALDAMA PONIENTE A CALLE FILÓSOFOS", EN LA CABECERA MUNICIPAL DE JOCOTEPEC, JALISCO.</v>
      </c>
      <c r="K726" s="597"/>
      <c r="L726" s="780" t="s">
        <v>5461</v>
      </c>
      <c r="M726" s="3" t="str">
        <f>OBRA!O724</f>
        <v>CABECERA MUNICIPAL</v>
      </c>
      <c r="N726" s="554" t="s">
        <v>5592</v>
      </c>
      <c r="O726" s="4">
        <f>OBRA!P724</f>
        <v>1211066.4099999999</v>
      </c>
      <c r="P726" s="1208">
        <f t="shared" si="49"/>
        <v>1044022.7672413794</v>
      </c>
      <c r="Q726" s="85" t="s">
        <v>68</v>
      </c>
      <c r="R726" s="6">
        <f>OBRA!Q724</f>
        <v>44974</v>
      </c>
      <c r="S726" s="1327">
        <f>OBRA!T724</f>
        <v>44971</v>
      </c>
      <c r="T726" s="5">
        <f>OBRA!R724</f>
        <v>44977</v>
      </c>
      <c r="U726" s="12">
        <f>OBRA!S724</f>
        <v>45021</v>
      </c>
      <c r="V726" s="305">
        <v>0</v>
      </c>
      <c r="W726" s="1207">
        <f>OBRA!AQ724+OBRA!AR724</f>
        <v>0</v>
      </c>
      <c r="X726" s="1280" t="s">
        <v>5458</v>
      </c>
      <c r="Y726" s="639" t="str">
        <f>OBRA!U724</f>
        <v>EDIFICACIONES Y TERRACERIAS CH, S.A. DE C.V.</v>
      </c>
      <c r="Z726" s="639" t="s">
        <v>5823</v>
      </c>
      <c r="AA726" s="640" t="s">
        <v>5459</v>
      </c>
      <c r="AB726" s="1281" t="s">
        <v>5460</v>
      </c>
      <c r="AC726" s="446" t="s">
        <v>3512</v>
      </c>
      <c r="AD726" s="769" t="str">
        <f>OBRA!V724</f>
        <v>C. DANIEL RODRIGUEZ VALENZUELA</v>
      </c>
      <c r="AE726" s="174">
        <f>161.65+167.67</f>
        <v>329.32</v>
      </c>
      <c r="AF726" s="202" t="s">
        <v>1454</v>
      </c>
      <c r="AG726" s="720">
        <f t="shared" si="48"/>
        <v>0</v>
      </c>
      <c r="AH726" s="202">
        <v>175</v>
      </c>
      <c r="AI726" s="566">
        <v>300</v>
      </c>
      <c r="AJ726" s="2075">
        <v>1</v>
      </c>
      <c r="AK726" s="1813">
        <v>20.289954999999999</v>
      </c>
      <c r="AL726" s="1814">
        <v>103.430812</v>
      </c>
      <c r="AM726" s="629" t="s">
        <v>5599</v>
      </c>
      <c r="AN726" s="629" t="s">
        <v>5599</v>
      </c>
      <c r="AO726" s="629" t="s">
        <v>5599</v>
      </c>
      <c r="AP726" s="551" t="s">
        <v>5599</v>
      </c>
      <c r="AQ726" s="806" t="s">
        <v>5599</v>
      </c>
      <c r="AR726" s="556"/>
      <c r="AS726" s="556"/>
      <c r="AT726" s="556"/>
      <c r="AU726" s="556"/>
      <c r="AV726" s="35"/>
      <c r="AW726" s="13"/>
    </row>
    <row r="727" spans="1:49" ht="93.75" hidden="1" customHeight="1">
      <c r="A727" s="17">
        <f>OBRA!I725</f>
        <v>2023</v>
      </c>
      <c r="B727" s="895" t="s">
        <v>3989</v>
      </c>
      <c r="C727" s="895"/>
      <c r="D727" s="895"/>
      <c r="E727" s="2" t="str">
        <f>OBRA!K725</f>
        <v>RAMO 33</v>
      </c>
      <c r="F727" s="768" t="s">
        <v>1431</v>
      </c>
      <c r="G727" s="632"/>
      <c r="H727" s="13" t="str">
        <f>OBRA!L725</f>
        <v>GMJ 002C OP/2023</v>
      </c>
      <c r="I727" s="2" t="str">
        <f>OBRA!M725</f>
        <v>ADJUDICACIÓN DIRECTA</v>
      </c>
      <c r="J727" s="3" t="str">
        <f>OBRA!N725</f>
        <v>"CONSTRUCCIÓN DE HUELLAS DE CONCRETO Y EMPEDRADO AHOGADO EN CEMENTO EN LA CALLE JOSEFA ORTIZ DE DOMINGUEZ DE CALLE ALDAMA PONIENTE A CALLE FILÓSOFOS", EN LA CABECERA MUNICIPAL DE JOCOTEPEC, JALISCO.</v>
      </c>
      <c r="K727" s="597"/>
      <c r="L727" s="780" t="s">
        <v>5461</v>
      </c>
      <c r="M727" s="3" t="str">
        <f>OBRA!O725</f>
        <v>CABECERA MUNICIPAL</v>
      </c>
      <c r="N727" s="554" t="s">
        <v>5592</v>
      </c>
      <c r="O727" s="4">
        <f>OBRA!P725</f>
        <v>1810170.95</v>
      </c>
      <c r="P727" s="1208">
        <f t="shared" si="49"/>
        <v>1560492.198275862</v>
      </c>
      <c r="Q727" s="85" t="s">
        <v>68</v>
      </c>
      <c r="R727" s="6">
        <f>OBRA!Q725</f>
        <v>45022</v>
      </c>
      <c r="S727" s="1327">
        <f>OBRA!T725</f>
        <v>45021</v>
      </c>
      <c r="T727" s="5">
        <f>OBRA!R725</f>
        <v>45024</v>
      </c>
      <c r="U727" s="12">
        <f>OBRA!S725</f>
        <v>45061</v>
      </c>
      <c r="V727" s="305">
        <v>0</v>
      </c>
      <c r="W727" s="1207">
        <f>OBRA!AQ725+OBRA!AR725</f>
        <v>0</v>
      </c>
      <c r="X727" s="1202" t="s">
        <v>5462</v>
      </c>
      <c r="Y727" s="639" t="str">
        <f>OBRA!U725</f>
        <v>ING. SERGIO CABRERA</v>
      </c>
      <c r="Z727" s="639" t="s">
        <v>5822</v>
      </c>
      <c r="AA727" s="640" t="str">
        <f>Y727</f>
        <v>ING. SERGIO CABRERA</v>
      </c>
      <c r="AB727" s="1281" t="s">
        <v>1926</v>
      </c>
      <c r="AC727" s="446" t="s">
        <v>4605</v>
      </c>
      <c r="AD727" s="769" t="str">
        <f>OBRA!V725</f>
        <v>C. DANIEL RODRIGUEZ VALENZUELA</v>
      </c>
      <c r="AE727" s="174">
        <v>1209.1400000000001</v>
      </c>
      <c r="AF727" s="202" t="s">
        <v>1552</v>
      </c>
      <c r="AG727" s="720">
        <f t="shared" si="48"/>
        <v>0</v>
      </c>
      <c r="AH727" s="202">
        <v>175</v>
      </c>
      <c r="AI727" s="566">
        <v>300</v>
      </c>
      <c r="AJ727" s="2075">
        <v>1</v>
      </c>
      <c r="AK727" s="1813">
        <v>20.289954999999999</v>
      </c>
      <c r="AL727" s="1814">
        <v>103.430812</v>
      </c>
      <c r="AM727" s="629" t="s">
        <v>5598</v>
      </c>
      <c r="AN727" s="629" t="s">
        <v>5598</v>
      </c>
      <c r="AO727" s="629" t="s">
        <v>5598</v>
      </c>
      <c r="AP727" s="551" t="s">
        <v>5598</v>
      </c>
      <c r="AQ727" s="806" t="s">
        <v>5598</v>
      </c>
      <c r="AR727" s="556"/>
      <c r="AS727" s="556"/>
      <c r="AT727" s="556"/>
      <c r="AU727" s="556"/>
      <c r="AV727" s="35"/>
      <c r="AW727" s="13"/>
    </row>
    <row r="728" spans="1:49" ht="102" customHeight="1">
      <c r="A728" s="17">
        <f>OBRA!I726</f>
        <v>2023</v>
      </c>
      <c r="B728" s="895" t="s">
        <v>3989</v>
      </c>
      <c r="C728" s="895"/>
      <c r="D728" s="895"/>
      <c r="E728" s="2" t="str">
        <f>OBRA!K726</f>
        <v>CUENTA CORRIENTE</v>
      </c>
      <c r="F728" s="768" t="s">
        <v>1431</v>
      </c>
      <c r="G728" s="632"/>
      <c r="H728" s="13" t="str">
        <f>OBRA!L726</f>
        <v>CSS-OP-CC-003/2023</v>
      </c>
      <c r="I728" s="2" t="str">
        <f>OBRA!M726</f>
        <v>CONCURSO SIMPLIFICADO SUMARIO</v>
      </c>
      <c r="J728" s="3" t="str">
        <f>OBRA!N726</f>
        <v>“CONSTRUCCIÓN DE LINEA DE DRENAJE, LINEA DE AGUA POTABLE, HUELLA DE CONCRETO Y EMPEDRADO AHOGADO EN CONCRETO EN LA CALLE JOSEFA ORTIZ DE DOMINGUEZ DE CALLE FILÓSOFOS HASTA EL LIBRAMIENTO”, EN LA CABECERA MUNICIPAL DE JOCOTEPEC, JALISCO.</v>
      </c>
      <c r="K728" s="597"/>
      <c r="L728" s="780" t="s">
        <v>5585</v>
      </c>
      <c r="M728" s="3" t="str">
        <f>OBRA!O726</f>
        <v>CABECERA MUNICIPAL</v>
      </c>
      <c r="N728" s="554" t="s">
        <v>5592</v>
      </c>
      <c r="O728" s="4">
        <f>OBRA!P726</f>
        <v>4378573.75</v>
      </c>
      <c r="P728" s="1208">
        <f t="shared" si="49"/>
        <v>3774632.5431034486</v>
      </c>
      <c r="Q728" s="85" t="s">
        <v>68</v>
      </c>
      <c r="R728" s="6">
        <f>OBRA!Q726</f>
        <v>44981</v>
      </c>
      <c r="S728" s="1327" t="str">
        <f>OBRA!T726</f>
        <v>-</v>
      </c>
      <c r="T728" s="5">
        <f>OBRA!R726</f>
        <v>44987</v>
      </c>
      <c r="U728" s="12">
        <f>OBRA!S726</f>
        <v>45048</v>
      </c>
      <c r="V728" s="305">
        <v>0</v>
      </c>
      <c r="W728" s="1207">
        <f>OBRA!AQ726+OBRA!AR726</f>
        <v>4710868.9800000004</v>
      </c>
      <c r="X728" s="1280" t="s">
        <v>5594</v>
      </c>
      <c r="Y728" s="639" t="str">
        <f>OBRA!U726</f>
        <v>TERRACERÍAS Y PAVIMENTOS DE LA RIBERA, S.A. DE C.V.</v>
      </c>
      <c r="Z728" s="639" t="s">
        <v>5823</v>
      </c>
      <c r="AA728" s="640" t="s">
        <v>739</v>
      </c>
      <c r="AB728" s="650" t="s">
        <v>3511</v>
      </c>
      <c r="AC728" s="652" t="s">
        <v>3512</v>
      </c>
      <c r="AD728" s="200" t="str">
        <f>OBRA!V726</f>
        <v>C. DANIEL RODRIGUEZ VALENZUELA</v>
      </c>
      <c r="AE728" s="174">
        <v>2016</v>
      </c>
      <c r="AF728" s="202" t="s">
        <v>1552</v>
      </c>
      <c r="AG728" s="694">
        <f t="shared" si="48"/>
        <v>2336.7405654761906</v>
      </c>
      <c r="AH728" s="202">
        <v>200</v>
      </c>
      <c r="AI728" s="566">
        <v>22000</v>
      </c>
      <c r="AJ728" s="2075">
        <v>1</v>
      </c>
      <c r="AK728" s="1813">
        <v>20.292666000000001</v>
      </c>
      <c r="AL728" s="1814">
        <v>103.430508</v>
      </c>
      <c r="AM728" s="629" t="s">
        <v>5595</v>
      </c>
      <c r="AN728" s="629" t="s">
        <v>5595</v>
      </c>
      <c r="AO728" s="629" t="s">
        <v>5595</v>
      </c>
      <c r="AP728" s="551" t="s">
        <v>5595</v>
      </c>
      <c r="AQ728" s="806" t="s">
        <v>5595</v>
      </c>
      <c r="AR728" s="556"/>
      <c r="AS728" s="556"/>
      <c r="AT728" s="556"/>
      <c r="AU728" s="556"/>
      <c r="AV728" s="35"/>
      <c r="AW728" s="13"/>
    </row>
    <row r="729" spans="1:49" ht="103.5" hidden="1" customHeight="1">
      <c r="A729" s="17">
        <f>OBRA!I727</f>
        <v>2023</v>
      </c>
      <c r="B729" s="895" t="s">
        <v>3989</v>
      </c>
      <c r="C729" s="895"/>
      <c r="D729" s="895"/>
      <c r="E729" s="2" t="str">
        <f>OBRA!K727</f>
        <v>RAMO 33</v>
      </c>
      <c r="F729" s="768" t="s">
        <v>1431</v>
      </c>
      <c r="G729" s="632"/>
      <c r="H729" s="13" t="str">
        <f>OBRA!L727</f>
        <v>GMJ 004C OP/2023</v>
      </c>
      <c r="I729" s="2" t="str">
        <f>OBRA!M727</f>
        <v>ADJUDICACIÓN DIRECTA</v>
      </c>
      <c r="J729" s="3" t="str">
        <f>OBRA!N727</f>
        <v>"COMPLEMENTO DE OBRA: EQUIPAMIENTO, ELECTRIFICACIÓN, TREN DE DESCARGA, CASETA DE CLORACIÓN, CERCADO PERIMETRAL Y PUESTA EN MARCHA DEL POZO DE AGUA", EN LA LOCALIDAD DE CHANTEPEC DEL MUNICIPIO DE JOCOTEPEC, JALISCO.</v>
      </c>
      <c r="K729" s="597"/>
      <c r="L729" s="780" t="s">
        <v>4622</v>
      </c>
      <c r="M729" s="3" t="str">
        <f>OBRA!O727</f>
        <v>CHANTEPEC</v>
      </c>
      <c r="N729" s="554" t="s">
        <v>5592</v>
      </c>
      <c r="O729" s="4">
        <f>OBRA!P727</f>
        <v>1196296.56</v>
      </c>
      <c r="P729" s="1208">
        <f t="shared" si="49"/>
        <v>1031290.1379310346</v>
      </c>
      <c r="Q729" s="85" t="s">
        <v>68</v>
      </c>
      <c r="R729" s="6">
        <f>OBRA!Q727</f>
        <v>45036</v>
      </c>
      <c r="S729" s="1327">
        <f>OBRA!T727</f>
        <v>45034</v>
      </c>
      <c r="T729" s="5">
        <f>OBRA!R727</f>
        <v>45048</v>
      </c>
      <c r="U729" s="12">
        <f>OBRA!S727</f>
        <v>45079</v>
      </c>
      <c r="V729" s="305">
        <v>358888.97</v>
      </c>
      <c r="W729" s="1207">
        <f>OBRA!AQ727+OBRA!AR727</f>
        <v>0</v>
      </c>
      <c r="X729" s="1235" t="s">
        <v>5784</v>
      </c>
      <c r="Y729" s="639" t="str">
        <f>OBRA!U727</f>
        <v>URBANIZADORA Y PAVIMENTADORA MONLE S.A. DE C.V.</v>
      </c>
      <c r="Z729" s="639" t="s">
        <v>5823</v>
      </c>
      <c r="AA729" s="640" t="s">
        <v>4936</v>
      </c>
      <c r="AB729" s="650" t="s">
        <v>4937</v>
      </c>
      <c r="AC729" s="652" t="s">
        <v>4938</v>
      </c>
      <c r="AD729" s="200" t="str">
        <f>OBRA!V727</f>
        <v>ING. J. GUADALUPE IBARRA RAMIREZ</v>
      </c>
      <c r="AE729" s="174">
        <v>1</v>
      </c>
      <c r="AF729" s="202" t="s">
        <v>1466</v>
      </c>
      <c r="AG729" s="720">
        <f t="shared" si="48"/>
        <v>0</v>
      </c>
      <c r="AH729" s="202">
        <v>1800</v>
      </c>
      <c r="AI729" s="566">
        <v>1800</v>
      </c>
      <c r="AJ729" s="2075">
        <v>1</v>
      </c>
      <c r="AK729" s="1813">
        <v>20.29101</v>
      </c>
      <c r="AL729" s="1814">
        <v>103.391324</v>
      </c>
      <c r="AM729" s="629" t="s">
        <v>5600</v>
      </c>
      <c r="AN729" s="629" t="s">
        <v>5600</v>
      </c>
      <c r="AO729" s="629" t="s">
        <v>5600</v>
      </c>
      <c r="AP729" s="551" t="s">
        <v>5600</v>
      </c>
      <c r="AQ729" s="806" t="s">
        <v>5600</v>
      </c>
      <c r="AR729" s="556"/>
      <c r="AS729" s="556"/>
      <c r="AT729" s="556"/>
      <c r="AU729" s="556"/>
      <c r="AV729" s="35"/>
      <c r="AW729" s="13"/>
    </row>
    <row r="730" spans="1:49" ht="98.25" hidden="1" customHeight="1">
      <c r="A730" s="17">
        <f>OBRA!I728</f>
        <v>2023</v>
      </c>
      <c r="B730" s="895" t="s">
        <v>3989</v>
      </c>
      <c r="C730" s="895"/>
      <c r="D730" s="895"/>
      <c r="E730" s="2" t="str">
        <f>OBRA!K728</f>
        <v>RAMO 33</v>
      </c>
      <c r="F730" s="768" t="s">
        <v>1431</v>
      </c>
      <c r="G730" s="632"/>
      <c r="H730" s="13" t="str">
        <f>OBRA!L728</f>
        <v>GMJ 005C OP/2023</v>
      </c>
      <c r="I730" s="2" t="str">
        <f>OBRA!M728</f>
        <v>ADJUDICACIÓN DIRECTA</v>
      </c>
      <c r="J730" s="3" t="str">
        <f>OBRA!N728</f>
        <v>"COMPLEMENTO DE OBRA: EQUIPAMIENTO, ELECTRIFICACIÓN, TREN DE DESCARGA, CASETA DE CLORACIÓN, CERCADO PERIMETRAL Y PUESTA EN MARCHA DEL POZO DE AGUA", EN LA LOCALIDAD DE CHANTEPEC DEL MUNICIPIO DE JOCOTEPEC, JALISCO.</v>
      </c>
      <c r="K730" s="597"/>
      <c r="L730" s="780" t="s">
        <v>4622</v>
      </c>
      <c r="M730" s="3" t="str">
        <f>OBRA!O728</f>
        <v>CHANTEPEC</v>
      </c>
      <c r="N730" s="554" t="s">
        <v>5592</v>
      </c>
      <c r="O730" s="4">
        <f>OBRA!P728</f>
        <v>544139.78</v>
      </c>
      <c r="P730" s="1208">
        <f t="shared" si="49"/>
        <v>469086.01724137936</v>
      </c>
      <c r="Q730" s="85" t="s">
        <v>68</v>
      </c>
      <c r="R730" s="6">
        <f>OBRA!Q728</f>
        <v>45044</v>
      </c>
      <c r="S730" s="1327">
        <f>OBRA!T728</f>
        <v>45035</v>
      </c>
      <c r="T730" s="5">
        <f>OBRA!R728</f>
        <v>45054</v>
      </c>
      <c r="U730" s="12">
        <f>OBRA!S728</f>
        <v>45086</v>
      </c>
      <c r="V730" s="305">
        <v>163241.93</v>
      </c>
      <c r="W730" s="1207">
        <f>OBRA!AQ728+OBRA!AR728</f>
        <v>0</v>
      </c>
      <c r="X730" s="1235" t="s">
        <v>5784</v>
      </c>
      <c r="Y730" s="639" t="str">
        <f>OBRA!U728</f>
        <v>CONSTRUCTORA ELÉCTRICA DEL LAGO S.A. DE C.V.</v>
      </c>
      <c r="Z730" s="639" t="s">
        <v>5823</v>
      </c>
      <c r="AA730" s="640" t="s">
        <v>5772</v>
      </c>
      <c r="AB730" s="650" t="s">
        <v>5773</v>
      </c>
      <c r="AC730" s="652" t="s">
        <v>5774</v>
      </c>
      <c r="AD730" s="200" t="str">
        <f>OBRA!V728</f>
        <v>ING. J. GUADALUPE IBARRA RAMIREZ</v>
      </c>
      <c r="AE730" s="174">
        <v>1</v>
      </c>
      <c r="AF730" s="202" t="s">
        <v>1466</v>
      </c>
      <c r="AG730" s="720">
        <f t="shared" si="48"/>
        <v>0</v>
      </c>
      <c r="AH730" s="202">
        <v>1800</v>
      </c>
      <c r="AI730" s="566">
        <v>1800</v>
      </c>
      <c r="AJ730" s="2075">
        <v>1</v>
      </c>
      <c r="AK730" s="1813">
        <v>20.29101</v>
      </c>
      <c r="AL730" s="1814">
        <v>103.391324</v>
      </c>
      <c r="AM730" s="629" t="s">
        <v>5601</v>
      </c>
      <c r="AN730" s="629" t="s">
        <v>5601</v>
      </c>
      <c r="AO730" s="629" t="s">
        <v>5601</v>
      </c>
      <c r="AP730" s="551" t="s">
        <v>5601</v>
      </c>
      <c r="AQ730" s="806" t="s">
        <v>5601</v>
      </c>
      <c r="AR730" s="556"/>
      <c r="AS730" s="556"/>
      <c r="AT730" s="556"/>
      <c r="AU730" s="556"/>
      <c r="AV730" s="35"/>
      <c r="AW730" s="13"/>
    </row>
    <row r="731" spans="1:49" ht="132.75" hidden="1" customHeight="1">
      <c r="A731" s="17">
        <f>OBRA!I729</f>
        <v>2023</v>
      </c>
      <c r="B731" s="895" t="s">
        <v>3989</v>
      </c>
      <c r="C731" s="895"/>
      <c r="D731" s="895"/>
      <c r="E731" s="2" t="str">
        <f>OBRA!K729</f>
        <v>CUENTA CORRIENTE</v>
      </c>
      <c r="F731" s="768" t="s">
        <v>1431</v>
      </c>
      <c r="G731" s="632"/>
      <c r="H731" s="13" t="str">
        <f>OBRA!L729</f>
        <v>GMJ 006C OP/2023</v>
      </c>
      <c r="I731" s="2" t="str">
        <f>OBRA!M729</f>
        <v>ADJUDICACIÓN DIRECTA</v>
      </c>
      <c r="J731"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K731" s="597"/>
      <c r="L731" s="780" t="s">
        <v>5377</v>
      </c>
      <c r="M731" s="3" t="str">
        <f>OBRA!O729</f>
        <v>CABECERA MUNICIPAL</v>
      </c>
      <c r="N731" s="554" t="s">
        <v>5592</v>
      </c>
      <c r="O731" s="4">
        <f>OBRA!P729</f>
        <v>584259.75</v>
      </c>
      <c r="P731" s="1208">
        <f t="shared" si="49"/>
        <v>503672.19827586209</v>
      </c>
      <c r="Q731" s="85" t="s">
        <v>68</v>
      </c>
      <c r="R731" s="6">
        <f>OBRA!Q729</f>
        <v>45042</v>
      </c>
      <c r="S731" s="1327">
        <f>OBRA!T729</f>
        <v>45040</v>
      </c>
      <c r="T731" s="5">
        <f>OBRA!R729</f>
        <v>45048</v>
      </c>
      <c r="U731" s="12">
        <f>OBRA!S729</f>
        <v>45168</v>
      </c>
      <c r="V731" s="305">
        <v>175277.92</v>
      </c>
      <c r="W731" s="1207">
        <f>OBRA!AQ729+OBRA!AR729</f>
        <v>0</v>
      </c>
      <c r="X731" s="1202" t="s">
        <v>5785</v>
      </c>
      <c r="Y731" s="639" t="str">
        <f>OBRA!U729</f>
        <v>ESTRUCTURAS PLANEADAS DE OCCIDENTE, S.A. DE C.V.</v>
      </c>
      <c r="Z731" s="639" t="s">
        <v>5823</v>
      </c>
      <c r="AA731" s="640" t="s">
        <v>4530</v>
      </c>
      <c r="AB731" s="650" t="s">
        <v>4531</v>
      </c>
      <c r="AC731" s="652" t="s">
        <v>5775</v>
      </c>
      <c r="AD731" s="200" t="str">
        <f>OBRA!V729</f>
        <v>ARQ. JAIME CONDE GOMEZ</v>
      </c>
      <c r="AE731" s="174">
        <v>367</v>
      </c>
      <c r="AF731" s="202" t="s">
        <v>1552</v>
      </c>
      <c r="AG731" s="720">
        <f t="shared" si="48"/>
        <v>0</v>
      </c>
      <c r="AH731" s="202">
        <v>5500</v>
      </c>
      <c r="AI731" s="566">
        <v>48500</v>
      </c>
      <c r="AJ731" s="2075">
        <v>1</v>
      </c>
      <c r="AK731" s="1813">
        <v>20.286355</v>
      </c>
      <c r="AL731" s="1814">
        <v>103.430345</v>
      </c>
      <c r="AM731" s="629" t="s">
        <v>5602</v>
      </c>
      <c r="AN731" s="629" t="s">
        <v>5602</v>
      </c>
      <c r="AO731" s="629" t="s">
        <v>5602</v>
      </c>
      <c r="AP731" s="629" t="s">
        <v>5602</v>
      </c>
      <c r="AQ731" s="806" t="s">
        <v>5602</v>
      </c>
      <c r="AR731" s="556"/>
      <c r="AS731" s="556"/>
      <c r="AT731" s="556"/>
      <c r="AU731" s="556"/>
      <c r="AV731" s="35"/>
      <c r="AW731" s="13"/>
    </row>
    <row r="732" spans="1:49" ht="87" hidden="1" customHeight="1">
      <c r="A732" s="17">
        <f>OBRA!I730</f>
        <v>2023</v>
      </c>
      <c r="B732" s="895" t="s">
        <v>3989</v>
      </c>
      <c r="C732" s="895"/>
      <c r="D732" s="895"/>
      <c r="E732" s="2" t="str">
        <f>OBRA!K730</f>
        <v>CUENTA CORRIENTE</v>
      </c>
      <c r="F732" s="768" t="s">
        <v>1431</v>
      </c>
      <c r="G732" s="632"/>
      <c r="H732" s="13" t="str">
        <f>OBRA!L730</f>
        <v>GMJ 007C OP/2023</v>
      </c>
      <c r="I732" s="2" t="str">
        <f>OBRA!M730</f>
        <v>ADJUDICACIÓN DIRECTA</v>
      </c>
      <c r="J732" s="3" t="str">
        <f>OBRA!N730</f>
        <v>“CONSTRUCCIÓN DE LÍNEA DE ABASTECIMIENTO DE AGUA POTABLE DE 6” EN CALLE JOSEFA ORTÍZ DE DOMINGUEZ DEL LIBRAMIENTO AL DEPÓSITO DE AGUA”, EN LA CABECERA MUNICIPAL DE JOCOTEPEC, JALISCO.</v>
      </c>
      <c r="K732" s="597"/>
      <c r="L732" s="328" t="s">
        <v>5586</v>
      </c>
      <c r="M732" s="3" t="str">
        <f>OBRA!O730</f>
        <v>CABECERA MUNICIPAL</v>
      </c>
      <c r="N732" s="554" t="s">
        <v>5592</v>
      </c>
      <c r="O732" s="4">
        <f>OBRA!P730</f>
        <v>387303.55</v>
      </c>
      <c r="P732" s="1208">
        <f t="shared" si="49"/>
        <v>333882.37068965519</v>
      </c>
      <c r="Q732" s="85" t="s">
        <v>68</v>
      </c>
      <c r="R732" s="6">
        <f>OBRA!Q730</f>
        <v>45056</v>
      </c>
      <c r="S732" s="1327">
        <f>OBRA!T730</f>
        <v>45055</v>
      </c>
      <c r="T732" s="5">
        <f>OBRA!R730</f>
        <v>45061</v>
      </c>
      <c r="U732" s="12">
        <f>OBRA!S730</f>
        <v>45090</v>
      </c>
      <c r="V732" s="305">
        <v>0</v>
      </c>
      <c r="W732" s="1207">
        <f>OBRA!AQ730+OBRA!AR730</f>
        <v>383670.21</v>
      </c>
      <c r="X732" s="1202" t="s">
        <v>5786</v>
      </c>
      <c r="Y732" s="639" t="str">
        <f>OBRA!U730</f>
        <v>EDIFICACIONES Y TERRACERIAS CH, S.A. DE C.V.</v>
      </c>
      <c r="Z732" s="639" t="s">
        <v>5823</v>
      </c>
      <c r="AA732" s="640" t="s">
        <v>5459</v>
      </c>
      <c r="AB732" s="1281" t="s">
        <v>5460</v>
      </c>
      <c r="AC732" s="446" t="s">
        <v>3512</v>
      </c>
      <c r="AD732" s="200" t="str">
        <f>OBRA!V730</f>
        <v>C. DANIEL RODRIGUEZ VALENZUELA</v>
      </c>
      <c r="AE732" s="174">
        <v>125</v>
      </c>
      <c r="AF732" s="202" t="s">
        <v>1454</v>
      </c>
      <c r="AG732" s="720">
        <f t="shared" si="48"/>
        <v>3069.36168</v>
      </c>
      <c r="AH732" s="202">
        <v>5500</v>
      </c>
      <c r="AI732" s="566">
        <v>22100</v>
      </c>
      <c r="AJ732" s="2075">
        <v>1</v>
      </c>
      <c r="AK732" s="1813">
        <v>20.293520000000001</v>
      </c>
      <c r="AL732" s="1814">
        <v>103.429948</v>
      </c>
      <c r="AM732" s="629" t="s">
        <v>6036</v>
      </c>
      <c r="AN732" s="629" t="s">
        <v>6036</v>
      </c>
      <c r="AO732" s="629" t="s">
        <v>6036</v>
      </c>
      <c r="AP732" s="551" t="s">
        <v>6036</v>
      </c>
      <c r="AQ732" s="806" t="s">
        <v>6036</v>
      </c>
      <c r="AR732" s="556"/>
      <c r="AS732" s="556"/>
      <c r="AT732" s="556"/>
      <c r="AU732" s="556"/>
      <c r="AV732" s="35"/>
      <c r="AW732" s="13"/>
    </row>
    <row r="733" spans="1:49" ht="72.75" hidden="1" customHeight="1">
      <c r="A733" s="17">
        <f>OBRA!I731</f>
        <v>2023</v>
      </c>
      <c r="B733" s="895" t="s">
        <v>3989</v>
      </c>
      <c r="C733" s="895"/>
      <c r="D733" s="895"/>
      <c r="E733" s="2" t="str">
        <f>OBRA!K731</f>
        <v>CUENTA CORRIENTE</v>
      </c>
      <c r="F733" s="768" t="s">
        <v>1431</v>
      </c>
      <c r="G733" s="632"/>
      <c r="H733" s="13" t="str">
        <f>OBRA!L731</f>
        <v>GMJ 008C OP/2023</v>
      </c>
      <c r="I733" s="2" t="str">
        <f>OBRA!M731</f>
        <v>ADJUDICACIÓN DIRECTA</v>
      </c>
      <c r="J733" s="3" t="str">
        <f>OBRA!N731</f>
        <v>“REPARACIÓN DE TANQUE ALMACENAMIENTO DE AGUA POTABLE ZONA NORTE”, EN LA CABECERA MUNICIPAL DE JOCOTEPEC, JALISCO</v>
      </c>
      <c r="K733" s="597"/>
      <c r="L733" s="328" t="s">
        <v>2690</v>
      </c>
      <c r="M733" s="3" t="str">
        <f>OBRA!O731</f>
        <v>CABECERA MUNICIPAL</v>
      </c>
      <c r="N733" s="554" t="s">
        <v>5592</v>
      </c>
      <c r="O733" s="4">
        <f>OBRA!P731</f>
        <v>374761.47</v>
      </c>
      <c r="P733" s="1208">
        <f t="shared" si="49"/>
        <v>323070.2327586207</v>
      </c>
      <c r="Q733" s="85" t="s">
        <v>68</v>
      </c>
      <c r="R733" s="6">
        <f>OBRA!Q731</f>
        <v>45056</v>
      </c>
      <c r="S733" s="1327">
        <f>OBRA!T731</f>
        <v>45055</v>
      </c>
      <c r="T733" s="5">
        <f>OBRA!R731</f>
        <v>45061</v>
      </c>
      <c r="U733" s="12">
        <f>OBRA!S731</f>
        <v>45086</v>
      </c>
      <c r="V733" s="305">
        <v>0</v>
      </c>
      <c r="W733" s="1207">
        <f>OBRA!AQ731+OBRA!AR731</f>
        <v>490751.18</v>
      </c>
      <c r="X733" s="1202" t="s">
        <v>5787</v>
      </c>
      <c r="Y733" s="639" t="str">
        <f>OBRA!U731</f>
        <v>ESTRUCTURAS PLANEADAS DE OCCIDENTE, S.A. DE C.V.</v>
      </c>
      <c r="Z733" s="639" t="s">
        <v>5823</v>
      </c>
      <c r="AA733" s="640" t="s">
        <v>4530</v>
      </c>
      <c r="AB733" s="650" t="s">
        <v>4531</v>
      </c>
      <c r="AC733" s="652" t="s">
        <v>5775</v>
      </c>
      <c r="AD733" s="200" t="str">
        <f>OBRA!V731</f>
        <v>ING. J. GUADALUPE IBARRA RAMIREZ</v>
      </c>
      <c r="AE733" s="174">
        <v>259</v>
      </c>
      <c r="AF733" s="202" t="s">
        <v>1552</v>
      </c>
      <c r="AG733" s="720">
        <f t="shared" si="48"/>
        <v>1894.7922007722007</v>
      </c>
      <c r="AH733" s="202">
        <v>22100</v>
      </c>
      <c r="AI733" s="566">
        <v>22100</v>
      </c>
      <c r="AJ733" s="2075">
        <v>1</v>
      </c>
      <c r="AK733" s="1813">
        <v>20.294391999999998</v>
      </c>
      <c r="AL733" s="1814">
        <v>103.43024</v>
      </c>
      <c r="AM733" s="629" t="s">
        <v>5603</v>
      </c>
      <c r="AN733" s="629" t="s">
        <v>5603</v>
      </c>
      <c r="AO733" s="629" t="s">
        <v>5603</v>
      </c>
      <c r="AP733" s="629" t="s">
        <v>5603</v>
      </c>
      <c r="AQ733" s="806" t="s">
        <v>5603</v>
      </c>
      <c r="AR733" s="556"/>
      <c r="AS733" s="556"/>
      <c r="AT733" s="556"/>
      <c r="AU733" s="556"/>
      <c r="AV733" s="35"/>
      <c r="AW733" s="13"/>
    </row>
    <row r="734" spans="1:49" ht="75" hidden="1" customHeight="1">
      <c r="A734" s="17">
        <f>OBRA!I732</f>
        <v>2023</v>
      </c>
      <c r="B734" s="895" t="s">
        <v>3989</v>
      </c>
      <c r="C734" s="25"/>
      <c r="D734" s="25"/>
      <c r="E734" s="2" t="str">
        <f>OBRA!K732</f>
        <v>CUENTA CORRIENTE</v>
      </c>
      <c r="F734" s="768" t="s">
        <v>1431</v>
      </c>
      <c r="G734" s="2020"/>
      <c r="H734" s="13" t="str">
        <f>OBRA!L732</f>
        <v>GMJ 009C OP/2023</v>
      </c>
      <c r="I734" s="2" t="str">
        <f>OBRA!M732</f>
        <v>ADJUDICACIÓN DIRECTA</v>
      </c>
      <c r="J734" s="3" t="str">
        <f>OBRA!N732</f>
        <v>“CONSTRUCCIÓN DE LÍNEA DE ABASTECIMIENTO DE AGUA POTABLE DE 6” EN CALLE JOSEFA ORTÍZ DE DOMINGUEZ DEL LIBRAMIENTO A CALLE FILÓSOFOS”, EN LA CABECERA MUNICIPAL DE JOCOTEPEC, JALISCO</v>
      </c>
      <c r="K734" s="597"/>
      <c r="L734" s="328" t="s">
        <v>5587</v>
      </c>
      <c r="M734" s="3" t="str">
        <f>OBRA!O732</f>
        <v>CABECERA MUNICIPAL</v>
      </c>
      <c r="N734" s="554" t="s">
        <v>5592</v>
      </c>
      <c r="O734" s="4">
        <f>OBRA!P732</f>
        <v>835320.31999999995</v>
      </c>
      <c r="P734" s="1208">
        <f t="shared" ref="P734:P786" si="59">O734/1.16</f>
        <v>720103.72413793101</v>
      </c>
      <c r="Q734" s="85" t="s">
        <v>68</v>
      </c>
      <c r="R734" s="6">
        <f>OBRA!Q732</f>
        <v>45056</v>
      </c>
      <c r="S734" s="1327">
        <f>OBRA!T732</f>
        <v>45055</v>
      </c>
      <c r="T734" s="5">
        <f>OBRA!R732</f>
        <v>45061</v>
      </c>
      <c r="U734" s="12">
        <f>OBRA!S732</f>
        <v>45090</v>
      </c>
      <c r="V734" s="305">
        <v>0</v>
      </c>
      <c r="W734" s="1207">
        <f>OBRA!AQ732+OBRA!AR732</f>
        <v>0</v>
      </c>
      <c r="X734" s="1202" t="s">
        <v>5788</v>
      </c>
      <c r="Y734" s="639" t="str">
        <f>OBRA!U732</f>
        <v>EDIFICACIONES Y TERRACERIAS CH, S.A. DE C.V.</v>
      </c>
      <c r="Z734" s="639" t="s">
        <v>5823</v>
      </c>
      <c r="AA734" s="640" t="s">
        <v>5459</v>
      </c>
      <c r="AB734" s="1281" t="s">
        <v>5460</v>
      </c>
      <c r="AC734" s="446" t="s">
        <v>3512</v>
      </c>
      <c r="AD734" s="200" t="str">
        <f>OBRA!V732</f>
        <v>C. DANIEL RODRIGUEZ VALENZUELA</v>
      </c>
      <c r="AE734" s="169"/>
      <c r="AF734" s="202" t="s">
        <v>1454</v>
      </c>
      <c r="AG734" s="720" t="e">
        <f t="shared" ref="AG734:AG786" si="60">W734/AE734</f>
        <v>#DIV/0!</v>
      </c>
      <c r="AH734" s="202">
        <v>5500</v>
      </c>
      <c r="AI734" s="566">
        <v>22100</v>
      </c>
      <c r="AJ734" s="2075">
        <v>1</v>
      </c>
      <c r="AK734" s="1813">
        <v>20.291345</v>
      </c>
      <c r="AL734" s="1814">
        <v>103.430685</v>
      </c>
      <c r="AM734" s="629" t="s">
        <v>6042</v>
      </c>
      <c r="AN734" s="629" t="s">
        <v>6042</v>
      </c>
      <c r="AO734" s="631"/>
      <c r="AP734" s="551" t="s">
        <v>6042</v>
      </c>
      <c r="AQ734" s="561"/>
      <c r="AR734" s="556"/>
      <c r="AS734" s="556"/>
      <c r="AT734" s="556"/>
      <c r="AU734" s="556"/>
      <c r="AV734" s="35"/>
      <c r="AW734" s="13"/>
    </row>
    <row r="735" spans="1:49" ht="65.25" hidden="1" customHeight="1">
      <c r="A735" s="17">
        <f>OBRA!I733</f>
        <v>2023</v>
      </c>
      <c r="B735" s="895" t="s">
        <v>3989</v>
      </c>
      <c r="C735" s="25"/>
      <c r="D735" s="25"/>
      <c r="E735" s="2" t="str">
        <f>OBRA!K733</f>
        <v>CUENTA CORRIENTE</v>
      </c>
      <c r="F735" s="768" t="s">
        <v>1431</v>
      </c>
      <c r="G735" s="2020"/>
      <c r="H735" s="13" t="str">
        <f>OBRA!L733</f>
        <v>GMJ 010C OP/2023</v>
      </c>
      <c r="I735" s="2" t="str">
        <f>OBRA!M733</f>
        <v>ADJUDICACIÓN DIRECTA</v>
      </c>
      <c r="J735" s="3" t="str">
        <f>OBRA!N733</f>
        <v>“REPARACIÓN DE TANQUE ALMACENAMIENTO DE AGUA POTABLE”, EN LA LOCALIDAD DE SAN CRISTÓBAL ZAPOTITLÁN DEL MUNICIPIO DE JOCOTEPEC, JALISCO</v>
      </c>
      <c r="K735" s="597"/>
      <c r="L735" s="328" t="str">
        <f>OBRA!O733</f>
        <v>SAN CRISTÓBAL ZAPOTITLÁN</v>
      </c>
      <c r="M735" s="3" t="str">
        <f>OBRA!O733</f>
        <v>SAN CRISTÓBAL ZAPOTITLÁN</v>
      </c>
      <c r="N735" s="554" t="s">
        <v>5592</v>
      </c>
      <c r="O735" s="4">
        <f>OBRA!P733</f>
        <v>168796.66</v>
      </c>
      <c r="P735" s="1208">
        <f t="shared" si="59"/>
        <v>145514.36206896554</v>
      </c>
      <c r="Q735" s="85" t="s">
        <v>68</v>
      </c>
      <c r="R735" s="6">
        <f>OBRA!Q733</f>
        <v>45059</v>
      </c>
      <c r="S735" s="1327">
        <f>OBRA!T733</f>
        <v>45061</v>
      </c>
      <c r="T735" s="5">
        <f>OBRA!R733</f>
        <v>45075</v>
      </c>
      <c r="U735" s="12">
        <f>OBRA!S733</f>
        <v>45094</v>
      </c>
      <c r="V735" s="1198">
        <v>0</v>
      </c>
      <c r="W735" s="1207">
        <f>OBRA!AQ733+OBRA!AR733</f>
        <v>254158.03</v>
      </c>
      <c r="X735" s="1848" t="s">
        <v>6046</v>
      </c>
      <c r="Y735" s="639" t="str">
        <f>OBRA!U733</f>
        <v>ESTRUCTURAS PLANEADAS DE OCCIDENTE, S.A. DE C.V.</v>
      </c>
      <c r="Z735" s="639" t="s">
        <v>5823</v>
      </c>
      <c r="AA735" s="640" t="s">
        <v>4530</v>
      </c>
      <c r="AB735" s="650" t="s">
        <v>4531</v>
      </c>
      <c r="AC735" s="652" t="s">
        <v>5775</v>
      </c>
      <c r="AD735" s="200" t="str">
        <f>OBRA!V733</f>
        <v>ING. J. GUADALUPE IBARRA RAMIREZ</v>
      </c>
      <c r="AE735" s="231">
        <v>108</v>
      </c>
      <c r="AF735" s="202" t="s">
        <v>1552</v>
      </c>
      <c r="AG735" s="757">
        <f t="shared" si="60"/>
        <v>2353.3150925925925</v>
      </c>
      <c r="AH735" s="202">
        <v>2500</v>
      </c>
      <c r="AI735" s="566">
        <v>2500</v>
      </c>
      <c r="AJ735" s="2075">
        <v>1</v>
      </c>
      <c r="AK735" s="1813">
        <v>20.219618000000001</v>
      </c>
      <c r="AL735" s="1814">
        <v>103.370126</v>
      </c>
      <c r="AM735" s="629" t="s">
        <v>5604</v>
      </c>
      <c r="AN735" s="629" t="s">
        <v>5604</v>
      </c>
      <c r="AO735" s="629" t="s">
        <v>5604</v>
      </c>
      <c r="AP735" s="551" t="s">
        <v>5604</v>
      </c>
      <c r="AQ735" s="455" t="s">
        <v>5604</v>
      </c>
      <c r="AR735" s="556"/>
      <c r="AS735" s="556"/>
      <c r="AT735" s="556"/>
      <c r="AU735" s="556"/>
      <c r="AV735" s="35"/>
      <c r="AW735" s="13"/>
    </row>
    <row r="736" spans="1:49" ht="61.5" hidden="1" customHeight="1">
      <c r="A736" s="17">
        <f>OBRA!I734</f>
        <v>2023</v>
      </c>
      <c r="B736" s="895" t="s">
        <v>3989</v>
      </c>
      <c r="C736" s="25"/>
      <c r="D736" s="25"/>
      <c r="E736" s="2" t="str">
        <f>OBRA!K734</f>
        <v>CUENTA CORRIENTE</v>
      </c>
      <c r="F736" s="768" t="s">
        <v>1431</v>
      </c>
      <c r="G736" s="2020"/>
      <c r="H736" s="13" t="str">
        <f>OBRA!L734</f>
        <v>GMJ 011C OP/2023</v>
      </c>
      <c r="I736" s="2" t="str">
        <f>OBRA!M734</f>
        <v>ADJUDICACIÓN DIRECTA</v>
      </c>
      <c r="J736" s="3" t="str">
        <f>OBRA!N734</f>
        <v>“CONSTRUCCIÓN DE REDES HIDROSANITARIAS EN CALLE FILÓSOFOS ENTRE CALLE HIDALGO NORTE Y CALLE ALLENDE”, EN LA CABECERA MUNICIPAL DE JOCOTEPEC, JALISCO</v>
      </c>
      <c r="K736" s="597"/>
      <c r="L736" s="328" t="s">
        <v>5588</v>
      </c>
      <c r="M736" s="3" t="str">
        <f>OBRA!O734</f>
        <v>CABECERA MUNICIPAL</v>
      </c>
      <c r="N736" s="554" t="s">
        <v>5606</v>
      </c>
      <c r="O736" s="4">
        <f>OBRA!P734</f>
        <v>254339.78</v>
      </c>
      <c r="P736" s="1208">
        <f t="shared" si="59"/>
        <v>219258.43103448278</v>
      </c>
      <c r="Q736" s="85" t="s">
        <v>68</v>
      </c>
      <c r="R736" s="6">
        <f>OBRA!Q734</f>
        <v>45141</v>
      </c>
      <c r="S736" s="1327">
        <f>OBRA!T734</f>
        <v>45071</v>
      </c>
      <c r="T736" s="5">
        <f>OBRA!R734</f>
        <v>45187</v>
      </c>
      <c r="U736" s="12">
        <f>OBRA!S734</f>
        <v>45219</v>
      </c>
      <c r="V736" s="305">
        <v>76301.929999999993</v>
      </c>
      <c r="W736" s="1207">
        <f>OBRA!AQ734+OBRA!AR734</f>
        <v>341318.49280000001</v>
      </c>
      <c r="X736" s="1280" t="s">
        <v>5789</v>
      </c>
      <c r="Y736" s="639" t="str">
        <f>OBRA!U734</f>
        <v>MANUEL PALOS VACA</v>
      </c>
      <c r="Z736" s="639" t="s">
        <v>5822</v>
      </c>
      <c r="AA736" s="640" t="str">
        <f t="shared" ref="AA736:AA786" si="61">Y736</f>
        <v>MANUEL PALOS VACA</v>
      </c>
      <c r="AB736" s="650" t="s">
        <v>5827</v>
      </c>
      <c r="AC736" s="652" t="s">
        <v>5828</v>
      </c>
      <c r="AD736" s="200" t="str">
        <f>OBRA!V734</f>
        <v>C. DANIEL RODRIGUEZ VALENZUELA</v>
      </c>
      <c r="AE736" s="231">
        <v>88.95</v>
      </c>
      <c r="AF736" s="426" t="s">
        <v>1454</v>
      </c>
      <c r="AG736" s="757">
        <f t="shared" si="60"/>
        <v>3837.1949724564361</v>
      </c>
      <c r="AH736" s="202">
        <v>20</v>
      </c>
      <c r="AI736" s="566">
        <v>200</v>
      </c>
      <c r="AJ736" s="2075">
        <v>1</v>
      </c>
      <c r="AK736" s="1813">
        <v>20.291224</v>
      </c>
      <c r="AL736" s="1814">
        <v>103.42968</v>
      </c>
      <c r="AM736" s="1916" t="s">
        <v>6049</v>
      </c>
      <c r="AN736" s="1916" t="s">
        <v>6049</v>
      </c>
      <c r="AO736" s="1916" t="s">
        <v>6049</v>
      </c>
      <c r="AP736" s="575" t="s">
        <v>6049</v>
      </c>
      <c r="AQ736" s="455" t="s">
        <v>6049</v>
      </c>
      <c r="AR736" s="556"/>
      <c r="AS736" s="556"/>
      <c r="AT736" s="556"/>
      <c r="AU736" s="556"/>
      <c r="AV736" s="35"/>
      <c r="AW736" s="13"/>
    </row>
    <row r="737" spans="1:49" ht="84" hidden="1" customHeight="1">
      <c r="A737" s="17">
        <f>OBRA!I735</f>
        <v>2023</v>
      </c>
      <c r="B737" s="895" t="s">
        <v>3989</v>
      </c>
      <c r="C737" s="25"/>
      <c r="D737" s="25"/>
      <c r="E737" s="2" t="str">
        <f>OBRA!K735</f>
        <v>RAMO 33</v>
      </c>
      <c r="F737" s="768" t="s">
        <v>1431</v>
      </c>
      <c r="G737" s="2020"/>
      <c r="H737" s="13" t="str">
        <f>OBRA!L735</f>
        <v>GMJ 012C OP/2023</v>
      </c>
      <c r="I737" s="2" t="str">
        <f>OBRA!M735</f>
        <v>ADJUDICACIÓN DIRECTA</v>
      </c>
      <c r="J737" s="3" t="str">
        <f>OBRA!N735</f>
        <v>“CONSTRUCCIÓN DE REDES HIDROSANITARIAS EN CALLE FILÓSOFOS ENTRE CALLE INDEPENDENCIA Y CALLE JOSEFA ORTÍZ DE DOMÍNGUEZ”, EN LA CABECERA MUNICIPAL DE JOCOTEPEC, JALISCO</v>
      </c>
      <c r="K737" s="597"/>
      <c r="L737" s="328" t="s">
        <v>5589</v>
      </c>
      <c r="M737" s="3" t="str">
        <f>OBRA!O735</f>
        <v>CABECERA MUNICIPAL</v>
      </c>
      <c r="N737" s="554" t="s">
        <v>5606</v>
      </c>
      <c r="O737" s="4">
        <f>OBRA!P735</f>
        <v>553159.56000000006</v>
      </c>
      <c r="P737" s="1208">
        <f t="shared" si="59"/>
        <v>476861.68965517252</v>
      </c>
      <c r="Q737" s="85" t="s">
        <v>68</v>
      </c>
      <c r="R737" s="6">
        <f>OBRA!Q735</f>
        <v>45141</v>
      </c>
      <c r="S737" s="1327">
        <f>OBRA!T735</f>
        <v>45140</v>
      </c>
      <c r="T737" s="5">
        <f>OBRA!R735</f>
        <v>45148</v>
      </c>
      <c r="U737" s="12">
        <f>OBRA!S735</f>
        <v>45170</v>
      </c>
      <c r="V737" s="305">
        <v>165947.85999999999</v>
      </c>
      <c r="W737" s="1207">
        <f>OBRA!AQ735+OBRA!AR735</f>
        <v>0</v>
      </c>
      <c r="X737" s="1280" t="s">
        <v>5790</v>
      </c>
      <c r="Y737" s="639" t="str">
        <f>OBRA!U735</f>
        <v>MANUEL PALOS VACA</v>
      </c>
      <c r="Z737" s="639" t="s">
        <v>5822</v>
      </c>
      <c r="AA737" s="640" t="str">
        <f t="shared" si="61"/>
        <v>MANUEL PALOS VACA</v>
      </c>
      <c r="AB737" s="650" t="s">
        <v>5827</v>
      </c>
      <c r="AC737" s="652" t="s">
        <v>5828</v>
      </c>
      <c r="AD737" s="200" t="str">
        <f>OBRA!V735</f>
        <v>C. DANIEL RODRIGUEZ VALENZUELA</v>
      </c>
      <c r="AE737" s="231">
        <f>146*2</f>
        <v>292</v>
      </c>
      <c r="AF737" s="202" t="s">
        <v>1454</v>
      </c>
      <c r="AG737" s="720">
        <f t="shared" si="60"/>
        <v>0</v>
      </c>
      <c r="AH737" s="202">
        <v>130</v>
      </c>
      <c r="AI737" s="566">
        <v>200</v>
      </c>
      <c r="AJ737" s="2075">
        <v>1</v>
      </c>
      <c r="AK737" s="1813">
        <v>20.291501</v>
      </c>
      <c r="AL737" s="1814">
        <v>103.431759</v>
      </c>
      <c r="AM737" s="1916" t="s">
        <v>6052</v>
      </c>
      <c r="AN737" s="1916" t="s">
        <v>6052</v>
      </c>
      <c r="AO737" s="1916" t="s">
        <v>6052</v>
      </c>
      <c r="AP737" s="1835"/>
      <c r="AQ737" s="455" t="s">
        <v>6052</v>
      </c>
      <c r="AR737" s="556"/>
      <c r="AS737" s="556"/>
      <c r="AT737" s="556"/>
      <c r="AU737" s="556"/>
      <c r="AV737" s="35"/>
      <c r="AW737" s="13"/>
    </row>
    <row r="738" spans="1:49" ht="72.75" hidden="1" customHeight="1">
      <c r="A738" s="17">
        <f>OBRA!I736</f>
        <v>2023</v>
      </c>
      <c r="B738" s="895" t="s">
        <v>3989</v>
      </c>
      <c r="C738" s="25"/>
      <c r="D738" s="25"/>
      <c r="E738" s="2" t="str">
        <f>OBRA!K736</f>
        <v>RAMO 33</v>
      </c>
      <c r="F738" s="768" t="s">
        <v>1431</v>
      </c>
      <c r="G738" s="2020"/>
      <c r="H738" s="13" t="str">
        <f>OBRA!L736</f>
        <v>GMJ 013C OP/2023</v>
      </c>
      <c r="I738" s="2" t="str">
        <f>OBRA!M736</f>
        <v>ADJUDICACIÓN DIRECTA</v>
      </c>
      <c r="J738" s="3" t="str">
        <f>OBRA!N736</f>
        <v>“CONSTRUCCIÓN DE RED DE DRENAJE SANITARIO Y RED DE AGUA POTABLE EN CALLE PLAYAS DE LA LAGUNA”, EN LA LOCALIDAD DE CHANTEPEC DEL MUNICIPIO DE JOCOTEPEC, JALISCO</v>
      </c>
      <c r="K738" s="597"/>
      <c r="L738" s="328" t="s">
        <v>5590</v>
      </c>
      <c r="M738" s="3" t="str">
        <f>OBRA!O736</f>
        <v>CHANTEPEC</v>
      </c>
      <c r="N738" s="554" t="s">
        <v>5606</v>
      </c>
      <c r="O738" s="4">
        <f>OBRA!P736</f>
        <v>724743.66</v>
      </c>
      <c r="P738" s="1208">
        <f t="shared" si="59"/>
        <v>624779.01724137936</v>
      </c>
      <c r="Q738" s="85" t="s">
        <v>68</v>
      </c>
      <c r="R738" s="6">
        <f>OBRA!Q736</f>
        <v>45105</v>
      </c>
      <c r="S738" s="1327">
        <f>OBRA!T736</f>
        <v>45104</v>
      </c>
      <c r="T738" s="5">
        <f>OBRA!R736</f>
        <v>45110</v>
      </c>
      <c r="U738" s="12">
        <f>OBRA!S736</f>
        <v>45141</v>
      </c>
      <c r="V738" s="305">
        <v>217423.09</v>
      </c>
      <c r="W738" s="1207">
        <f>OBRA!AQ736+OBRA!AR736</f>
        <v>683930.4</v>
      </c>
      <c r="X738" s="1280" t="s">
        <v>5791</v>
      </c>
      <c r="Y738" s="639" t="str">
        <f>OBRA!U736</f>
        <v>EDIFICACIONES Y TERRACERIAS CH, S.A. DE C.V.</v>
      </c>
      <c r="Z738" s="639" t="s">
        <v>5823</v>
      </c>
      <c r="AA738" s="640" t="s">
        <v>5459</v>
      </c>
      <c r="AB738" s="650" t="s">
        <v>5460</v>
      </c>
      <c r="AC738" s="652" t="s">
        <v>3512</v>
      </c>
      <c r="AD738" s="200" t="str">
        <f>OBRA!V736</f>
        <v>C. DANIEL RODRIGUEZ VALENZUELA</v>
      </c>
      <c r="AE738" s="174">
        <f>208.61+202.62</f>
        <v>411.23</v>
      </c>
      <c r="AF738" s="202" t="s">
        <v>1454</v>
      </c>
      <c r="AG738" s="694">
        <f t="shared" si="60"/>
        <v>1663.1335262505168</v>
      </c>
      <c r="AH738" s="202">
        <v>300</v>
      </c>
      <c r="AI738" s="566">
        <v>300</v>
      </c>
      <c r="AJ738" s="2075">
        <v>1</v>
      </c>
      <c r="AK738" s="1813">
        <v>20.290747</v>
      </c>
      <c r="AL738" s="1814">
        <v>103.39108</v>
      </c>
      <c r="AM738" s="1916" t="s">
        <v>5842</v>
      </c>
      <c r="AN738" s="1916" t="s">
        <v>5842</v>
      </c>
      <c r="AO738" s="631"/>
      <c r="AP738" s="575" t="s">
        <v>5842</v>
      </c>
      <c r="AQ738" s="455" t="s">
        <v>5842</v>
      </c>
      <c r="AR738" s="556"/>
      <c r="AS738" s="556"/>
      <c r="AT738" s="556"/>
      <c r="AU738" s="556"/>
      <c r="AV738" s="35"/>
      <c r="AW738" s="13"/>
    </row>
    <row r="739" spans="1:49" ht="56.25" hidden="1" customHeight="1">
      <c r="A739" s="17">
        <f>OBRA!I737</f>
        <v>2023</v>
      </c>
      <c r="B739" s="895" t="s">
        <v>3989</v>
      </c>
      <c r="C739" s="25"/>
      <c r="D739" s="25"/>
      <c r="E739" s="2" t="str">
        <f>OBRA!K737</f>
        <v>RAMO 33</v>
      </c>
      <c r="F739" s="768" t="s">
        <v>1431</v>
      </c>
      <c r="G739" s="2020"/>
      <c r="H739" s="329" t="str">
        <f>OBRA!L737</f>
        <v>GMJ 014C OP/2023</v>
      </c>
      <c r="I739" s="2" t="str">
        <f>OBRA!M737</f>
        <v>ADJUDICACIÓN DIRECTA</v>
      </c>
      <c r="J739" s="3" t="str">
        <f>OBRA!N737</f>
        <v>“CONSTRUCCIÓN DE RED DE DRENAJE SANITARIO Y RED DE AGUA POTABLE EN CALLE PLAYA AZUL”, EN LA LOCALIDAD DE CHANTEPEC DEL MUNICIPIO DE JOCOTEPEC, JALISCO</v>
      </c>
      <c r="K739" s="597"/>
      <c r="L739" s="328" t="s">
        <v>5591</v>
      </c>
      <c r="M739" s="3" t="str">
        <f>OBRA!O737</f>
        <v>CHANTEPEC</v>
      </c>
      <c r="N739" s="554" t="s">
        <v>5606</v>
      </c>
      <c r="O739" s="4">
        <f>OBRA!P737</f>
        <v>543995.47</v>
      </c>
      <c r="P739" s="1208">
        <f t="shared" si="59"/>
        <v>468961.61206896551</v>
      </c>
      <c r="Q739" s="85" t="s">
        <v>68</v>
      </c>
      <c r="R739" s="6">
        <f>OBRA!Q737</f>
        <v>45105</v>
      </c>
      <c r="S739" s="1327">
        <f>OBRA!T737</f>
        <v>45104</v>
      </c>
      <c r="T739" s="5">
        <f>OBRA!R737</f>
        <v>45110</v>
      </c>
      <c r="U739" s="12">
        <f>OBRA!S737</f>
        <v>45141</v>
      </c>
      <c r="V739" s="305">
        <v>163198.64000000001</v>
      </c>
      <c r="W739" s="1207">
        <f>OBRA!AQ737+OBRA!AR737</f>
        <v>576880.88</v>
      </c>
      <c r="X739" s="1280" t="s">
        <v>5792</v>
      </c>
      <c r="Y739" s="639" t="str">
        <f>OBRA!U737</f>
        <v>EDIFICACIONES Y TERRACERIAS CH, S.A. DE C.V.</v>
      </c>
      <c r="Z739" s="639" t="s">
        <v>5823</v>
      </c>
      <c r="AA739" s="640" t="s">
        <v>5459</v>
      </c>
      <c r="AB739" s="650" t="s">
        <v>5460</v>
      </c>
      <c r="AC739" s="652" t="s">
        <v>3512</v>
      </c>
      <c r="AD739" s="200" t="str">
        <f>OBRA!V737</f>
        <v>C. DANIEL RODRIGUEZ VALENZUELA</v>
      </c>
      <c r="AE739" s="174">
        <f>165.18+170.28</f>
        <v>335.46000000000004</v>
      </c>
      <c r="AF739" s="202" t="s">
        <v>1454</v>
      </c>
      <c r="AG739" s="757">
        <f t="shared" si="60"/>
        <v>1719.6711381386751</v>
      </c>
      <c r="AH739" s="426">
        <v>300</v>
      </c>
      <c r="AI739" s="566">
        <v>300</v>
      </c>
      <c r="AJ739" s="2075">
        <v>1</v>
      </c>
      <c r="AK739" s="1813">
        <v>20.291957</v>
      </c>
      <c r="AL739" s="1814">
        <v>103.392629</v>
      </c>
      <c r="AM739" s="1916" t="s">
        <v>5843</v>
      </c>
      <c r="AN739" s="1916" t="s">
        <v>5843</v>
      </c>
      <c r="AO739" s="1916" t="s">
        <v>5843</v>
      </c>
      <c r="AP739" s="575" t="s">
        <v>5843</v>
      </c>
      <c r="AQ739" s="455" t="s">
        <v>5843</v>
      </c>
      <c r="AR739" s="556"/>
      <c r="AS739" s="556"/>
      <c r="AT739" s="556"/>
      <c r="AU739" s="556"/>
      <c r="AV739" s="35"/>
      <c r="AW739" s="13"/>
    </row>
    <row r="740" spans="1:49" ht="84" hidden="1" customHeight="1">
      <c r="A740" s="17">
        <f>OBRA!I738</f>
        <v>2023</v>
      </c>
      <c r="B740" s="895" t="s">
        <v>3989</v>
      </c>
      <c r="C740" s="25"/>
      <c r="D740" s="25"/>
      <c r="E740" s="2" t="str">
        <f>OBRA!K738</f>
        <v>CUENTA CORRIENTE</v>
      </c>
      <c r="F740" s="768" t="s">
        <v>1431</v>
      </c>
      <c r="G740" s="2020"/>
      <c r="H740" s="13" t="str">
        <f>OBRA!L738</f>
        <v>GMJ 015C OP/2023</v>
      </c>
      <c r="I740" s="2" t="str">
        <f>OBRA!M738</f>
        <v>ADJUDICACIÓN DIRECTA</v>
      </c>
      <c r="J740" s="3" t="str">
        <f>OBRA!N738</f>
        <v>“TERMINACIÓN DE DEPÓSITO DE AGUA, LÍNEA DE LLENADO Y DISTRIBUCIÓN DE AGUA POTABLE EN CUARTEL DE LA GUARDIA NACIONAL (OBRA CIVIL)”, EN LA LOCALIDAD DE POTRERILLOS DEL MUNICIPIO DE JOCOTEPEC, JALISCO</v>
      </c>
      <c r="K740" s="597"/>
      <c r="L740" s="328" t="str">
        <f>OBRA!O738</f>
        <v>CRUCERO POTRERILLOS</v>
      </c>
      <c r="M740" s="3" t="str">
        <f>OBRA!O738</f>
        <v>CRUCERO POTRERILLOS</v>
      </c>
      <c r="N740" s="554" t="s">
        <v>5606</v>
      </c>
      <c r="O740" s="4">
        <f>OBRA!P738</f>
        <v>703136.32</v>
      </c>
      <c r="P740" s="1208">
        <f t="shared" si="59"/>
        <v>606152</v>
      </c>
      <c r="Q740" s="85" t="s">
        <v>68</v>
      </c>
      <c r="R740" s="6">
        <f>OBRA!Q738</f>
        <v>45105</v>
      </c>
      <c r="S740" s="1327">
        <f>OBRA!T738</f>
        <v>45104</v>
      </c>
      <c r="T740" s="5">
        <f>OBRA!R738</f>
        <v>45113</v>
      </c>
      <c r="U740" s="12">
        <f>OBRA!S738</f>
        <v>45168</v>
      </c>
      <c r="V740" s="305">
        <v>210940.9</v>
      </c>
      <c r="W740" s="1207">
        <f>OBRA!AQ738+OBRA!AR738</f>
        <v>871262.6716</v>
      </c>
      <c r="X740" s="1202" t="s">
        <v>5793</v>
      </c>
      <c r="Y740" s="639" t="str">
        <f>OBRA!U738</f>
        <v>ALSERCON SA DE CV</v>
      </c>
      <c r="Z740" s="639" t="s">
        <v>5823</v>
      </c>
      <c r="AA740" s="640" t="s">
        <v>2183</v>
      </c>
      <c r="AB740" s="650" t="s">
        <v>2184</v>
      </c>
      <c r="AC740" s="652" t="s">
        <v>3404</v>
      </c>
      <c r="AD740" s="200" t="str">
        <f>OBRA!V738</f>
        <v>C. DANIEL RODRIGUEZ VALENZUELA</v>
      </c>
      <c r="AE740" s="609">
        <v>96</v>
      </c>
      <c r="AF740" s="202" t="s">
        <v>1552</v>
      </c>
      <c r="AG740" s="694">
        <f t="shared" si="60"/>
        <v>9075.6528291666673</v>
      </c>
      <c r="AH740" s="202">
        <v>300</v>
      </c>
      <c r="AI740" s="566">
        <v>300</v>
      </c>
      <c r="AJ740" s="2075">
        <v>1</v>
      </c>
      <c r="AK740" s="1813">
        <v>20.297367000000001</v>
      </c>
      <c r="AL740" s="1814">
        <v>103.47071</v>
      </c>
      <c r="AM740" s="1916" t="s">
        <v>5844</v>
      </c>
      <c r="AN740" s="1916" t="s">
        <v>5844</v>
      </c>
      <c r="AO740" s="1916" t="s">
        <v>5844</v>
      </c>
      <c r="AP740" s="575" t="s">
        <v>5844</v>
      </c>
      <c r="AQ740" s="561"/>
      <c r="AR740" s="556"/>
      <c r="AS740" s="556"/>
      <c r="AT740" s="556"/>
      <c r="AU740" s="556"/>
      <c r="AV740" s="35"/>
      <c r="AW740" s="13"/>
    </row>
    <row r="741" spans="1:49" ht="69" hidden="1" customHeight="1">
      <c r="A741" s="17">
        <f>OBRA!I739</f>
        <v>2023</v>
      </c>
      <c r="B741" s="895" t="s">
        <v>3989</v>
      </c>
      <c r="C741" s="25"/>
      <c r="D741" s="25"/>
      <c r="E741" s="2" t="str">
        <f>OBRA!K739</f>
        <v>CUENTA CORRIENTE</v>
      </c>
      <c r="F741" s="768" t="s">
        <v>1431</v>
      </c>
      <c r="G741" s="2020"/>
      <c r="H741" s="13" t="str">
        <f>OBRA!L739</f>
        <v>GMJ 016C OP/2023</v>
      </c>
      <c r="I741" s="2" t="str">
        <f>OBRA!M739</f>
        <v>ADJUDICACIÓN DIRECTA</v>
      </c>
      <c r="J741" s="3" t="str">
        <f>OBRA!N739</f>
        <v>“INTALACIÓN DE RIELERIA PARA EL PROCESO DE MATANZA EN RASTRO MUNICIPAL”, EN LA CABECERA MUNICIPAL DE JOCOTEPEC, JALISCO</v>
      </c>
      <c r="K741" s="597"/>
      <c r="L741" s="328" t="s">
        <v>2006</v>
      </c>
      <c r="M741" s="3" t="str">
        <f>OBRA!O739</f>
        <v>CABECERA MUNICIPAL</v>
      </c>
      <c r="N741" s="554" t="s">
        <v>5606</v>
      </c>
      <c r="O741" s="4">
        <f>OBRA!P739</f>
        <v>821212.44</v>
      </c>
      <c r="P741" s="1208">
        <f t="shared" si="59"/>
        <v>707941.75862068962</v>
      </c>
      <c r="Q741" s="85" t="s">
        <v>68</v>
      </c>
      <c r="R741" s="6">
        <f>OBRA!Q739</f>
        <v>45134</v>
      </c>
      <c r="S741" s="1327">
        <f>OBRA!T739</f>
        <v>45131</v>
      </c>
      <c r="T741" s="5">
        <f>OBRA!R739</f>
        <v>45145</v>
      </c>
      <c r="U741" s="12">
        <f>OBRA!S739</f>
        <v>45169</v>
      </c>
      <c r="V741" s="1197">
        <v>246363.73</v>
      </c>
      <c r="W741" s="1207">
        <f>OBRA!AQ739+OBRA!AR739</f>
        <v>0</v>
      </c>
      <c r="X741" s="1235" t="s">
        <v>5852</v>
      </c>
      <c r="Y741" s="639" t="str">
        <f>OBRA!U739</f>
        <v>C. ANA LUZ HIDALGO VELA</v>
      </c>
      <c r="Z741" s="639" t="s">
        <v>5822</v>
      </c>
      <c r="AA741" s="640" t="str">
        <f t="shared" si="61"/>
        <v>C. ANA LUZ HIDALGO VELA</v>
      </c>
      <c r="AB741" s="1281" t="s">
        <v>5846</v>
      </c>
      <c r="AC741" s="446" t="s">
        <v>5847</v>
      </c>
      <c r="AD741" s="200" t="str">
        <f>OBRA!V739</f>
        <v>ARQ. JAIME CONDE GOMEZ</v>
      </c>
      <c r="AE741" s="169"/>
      <c r="AF741" s="560"/>
      <c r="AG741" s="720" t="e">
        <f t="shared" si="60"/>
        <v>#DIV/0!</v>
      </c>
      <c r="AH741" s="560"/>
      <c r="AI741" s="556"/>
      <c r="AJ741" s="2076">
        <v>0.95</v>
      </c>
      <c r="AK741" s="1813">
        <v>20.279257999999999</v>
      </c>
      <c r="AL741" s="1814">
        <v>103.445148</v>
      </c>
      <c r="AM741" s="1916" t="s">
        <v>5845</v>
      </c>
      <c r="AN741" s="1916" t="s">
        <v>5845</v>
      </c>
      <c r="AO741" s="1916" t="s">
        <v>5845</v>
      </c>
      <c r="AP741" s="575" t="s">
        <v>5845</v>
      </c>
      <c r="AQ741" s="561"/>
      <c r="AR741" s="556"/>
      <c r="AS741" s="556"/>
      <c r="AT741" s="556"/>
      <c r="AU741" s="556"/>
      <c r="AV741" s="35"/>
      <c r="AW741" s="13"/>
    </row>
    <row r="742" spans="1:49" ht="62.25" customHeight="1">
      <c r="A742" s="17">
        <f>OBRA!I740</f>
        <v>2023</v>
      </c>
      <c r="B742" s="895" t="s">
        <v>3989</v>
      </c>
      <c r="C742" s="25"/>
      <c r="D742" s="25"/>
      <c r="E742" s="2" t="str">
        <f>OBRA!K740</f>
        <v>FOCOCI</v>
      </c>
      <c r="F742" s="806" t="s">
        <v>5808</v>
      </c>
      <c r="G742" s="2020"/>
      <c r="H742" s="13" t="str">
        <f>OBRA!L740</f>
        <v>CSS-OP-CC-017/2023</v>
      </c>
      <c r="I742" s="2" t="str">
        <f>OBRA!M740</f>
        <v>CONCURSO SIMPLIFICADO SUMARIO</v>
      </c>
      <c r="J742" s="3" t="str">
        <f>OBRA!N740</f>
        <v>“PAVIMENTACIÓN CON EMPEDRADO ZAMPEADO, EN CALLE LA PAZ EN LA DELEGACIÓN DE SAN JUAN COSALÁ, MUNICIPIO DE JOCOTEPEC, JALISCO”</v>
      </c>
      <c r="K742" s="597"/>
      <c r="L742" s="328" t="s">
        <v>5826</v>
      </c>
      <c r="M742" s="3" t="str">
        <f>OBRA!O740</f>
        <v>SAN JUAN COSALÁ</v>
      </c>
      <c r="N742" s="554" t="s">
        <v>5606</v>
      </c>
      <c r="O742" s="4">
        <f>OBRA!P740</f>
        <v>4998360.84</v>
      </c>
      <c r="P742" s="1208">
        <f t="shared" si="59"/>
        <v>4308931.7586206896</v>
      </c>
      <c r="Q742" s="85" t="s">
        <v>68</v>
      </c>
      <c r="R742" s="6">
        <f>OBRA!Q740</f>
        <v>45152</v>
      </c>
      <c r="S742" s="1327" t="str">
        <f>OBRA!T740</f>
        <v>-</v>
      </c>
      <c r="T742" s="5">
        <f>OBRA!R740</f>
        <v>45155</v>
      </c>
      <c r="U742" s="12">
        <f>OBRA!S740</f>
        <v>45274</v>
      </c>
      <c r="V742" s="1197">
        <v>1499508.25</v>
      </c>
      <c r="W742" s="1207">
        <f>OBRA!AQ740+OBRA!AR740</f>
        <v>0</v>
      </c>
      <c r="X742" s="1235" t="s">
        <v>5851</v>
      </c>
      <c r="Y742" s="639" t="str">
        <f>OBRA!U740</f>
        <v>C. SERGIO CABRERA</v>
      </c>
      <c r="Z742" s="639" t="s">
        <v>5822</v>
      </c>
      <c r="AA742" s="640" t="str">
        <f t="shared" si="61"/>
        <v>C. SERGIO CABRERA</v>
      </c>
      <c r="AB742" s="650" t="s">
        <v>1926</v>
      </c>
      <c r="AC742" s="652" t="s">
        <v>4605</v>
      </c>
      <c r="AD742" s="769" t="str">
        <f>OBRA!V740</f>
        <v>C. DANIEL RODRIGUEZ VALENZUELA</v>
      </c>
      <c r="AE742" s="174">
        <v>4605.49</v>
      </c>
      <c r="AF742" s="426" t="s">
        <v>1552</v>
      </c>
      <c r="AG742" s="720">
        <f t="shared" si="60"/>
        <v>0</v>
      </c>
      <c r="AH742" s="202">
        <v>2000</v>
      </c>
      <c r="AI742" s="566">
        <v>4000</v>
      </c>
      <c r="AJ742" s="2075">
        <v>0.85</v>
      </c>
      <c r="AK742" s="1813">
        <v>20.288618</v>
      </c>
      <c r="AL742" s="1814">
        <v>103.346805</v>
      </c>
      <c r="AM742" s="1916" t="s">
        <v>5839</v>
      </c>
      <c r="AN742" s="629" t="s">
        <v>5839</v>
      </c>
      <c r="AO742" s="629" t="s">
        <v>5839</v>
      </c>
      <c r="AP742" s="551" t="s">
        <v>5839</v>
      </c>
      <c r="AQ742" s="561"/>
      <c r="AR742" s="556"/>
      <c r="AS742" s="556"/>
      <c r="AT742" s="556"/>
      <c r="AU742" s="556"/>
      <c r="AV742" s="35"/>
      <c r="AW742" s="13"/>
    </row>
    <row r="743" spans="1:49" ht="74.25" customHeight="1">
      <c r="A743" s="17">
        <f>OBRA!I741</f>
        <v>2023</v>
      </c>
      <c r="B743" s="895" t="s">
        <v>3989</v>
      </c>
      <c r="C743" s="25"/>
      <c r="D743" s="25"/>
      <c r="E743" s="2" t="str">
        <f>OBRA!K741</f>
        <v>RAMO 33</v>
      </c>
      <c r="F743" s="768" t="s">
        <v>1431</v>
      </c>
      <c r="G743" s="2020"/>
      <c r="H743" s="13" t="str">
        <f>OBRA!L741</f>
        <v>CSS-OP-CC-018/2023</v>
      </c>
      <c r="I743" s="2" t="str">
        <f>OBRA!M741</f>
        <v>CONCURSO SIMPLIFICADO SUMARIO</v>
      </c>
      <c r="J743" s="3" t="str">
        <f>OBRA!N741</f>
        <v>“CONSTRUCCIÓN DE SUPERFICIE DE RODAMIENTO EN CALLE PLAYAS DE LA LAGUNA”, EN LA LOCALIDAD DE CHANTEPEC, MUNICIPIO DE JOCOTEPEC, JALISCO</v>
      </c>
      <c r="K743" s="597"/>
      <c r="L743" s="328" t="s">
        <v>5590</v>
      </c>
      <c r="M743" s="3" t="str">
        <f>OBRA!O741</f>
        <v>CHANTEPEC</v>
      </c>
      <c r="N743" s="554" t="s">
        <v>5606</v>
      </c>
      <c r="O743" s="4">
        <f>OBRA!P741</f>
        <v>2808816.17</v>
      </c>
      <c r="P743" s="1208">
        <f t="shared" si="59"/>
        <v>2421393.25</v>
      </c>
      <c r="Q743" s="85" t="s">
        <v>68</v>
      </c>
      <c r="R743" s="6">
        <f>OBRA!Q741</f>
        <v>45168</v>
      </c>
      <c r="S743" s="1327" t="str">
        <f>OBRA!T741</f>
        <v>-</v>
      </c>
      <c r="T743" s="5">
        <f>OBRA!R741</f>
        <v>45173</v>
      </c>
      <c r="U743" s="12">
        <f>OBRA!S741</f>
        <v>45237</v>
      </c>
      <c r="V743" s="1197">
        <v>842644.85</v>
      </c>
      <c r="W743" s="1990">
        <f>OBRA!AQ741+OBRA!AR741</f>
        <v>0</v>
      </c>
      <c r="X743" s="1848" t="s">
        <v>5848</v>
      </c>
      <c r="Y743" s="639" t="str">
        <f>OBRA!U741</f>
        <v>ALSERCON SA DE CV</v>
      </c>
      <c r="Z743" s="639" t="s">
        <v>5823</v>
      </c>
      <c r="AA743" s="640" t="s">
        <v>2183</v>
      </c>
      <c r="AB743" s="650" t="s">
        <v>2184</v>
      </c>
      <c r="AC743" s="652" t="s">
        <v>3404</v>
      </c>
      <c r="AD743" s="769" t="str">
        <f>OBRA!V741</f>
        <v>C. DANIEL RODRIGUEZ VALENZUELA</v>
      </c>
      <c r="AE743" s="174">
        <v>1828.1</v>
      </c>
      <c r="AF743" s="426" t="s">
        <v>1552</v>
      </c>
      <c r="AG743" s="720">
        <f t="shared" si="60"/>
        <v>0</v>
      </c>
      <c r="AH743" s="202">
        <v>500</v>
      </c>
      <c r="AI743" s="566">
        <v>1000</v>
      </c>
      <c r="AJ743" s="2075">
        <v>0.7</v>
      </c>
      <c r="AK743" s="1813">
        <v>20.290747</v>
      </c>
      <c r="AL743" s="1814">
        <v>103.39108</v>
      </c>
      <c r="AM743" s="1916" t="s">
        <v>5978</v>
      </c>
      <c r="AN743" s="631"/>
      <c r="AO743" s="629" t="s">
        <v>5978</v>
      </c>
      <c r="AP743" s="551" t="s">
        <v>5978</v>
      </c>
      <c r="AQ743" s="561"/>
      <c r="AR743" s="556"/>
      <c r="AS743" s="556"/>
      <c r="AT743" s="556"/>
      <c r="AU743" s="556"/>
      <c r="AV743" s="35"/>
      <c r="AW743" s="13"/>
    </row>
    <row r="744" spans="1:49" ht="63.75" hidden="1" customHeight="1">
      <c r="A744" s="17">
        <f>OBRA!I742</f>
        <v>2023</v>
      </c>
      <c r="B744" s="895" t="s">
        <v>3989</v>
      </c>
      <c r="C744" s="25"/>
      <c r="D744" s="25"/>
      <c r="E744" s="2" t="str">
        <f>OBRA!K742</f>
        <v>RAMO 33</v>
      </c>
      <c r="F744" s="768" t="s">
        <v>1431</v>
      </c>
      <c r="G744" s="2020"/>
      <c r="H744" s="13" t="str">
        <f>OBRA!L742</f>
        <v>GMJ 019C OP/2023</v>
      </c>
      <c r="I744" s="2" t="str">
        <f>OBRA!M742</f>
        <v>ADJUDICACIÓN DIRECTA</v>
      </c>
      <c r="J744" s="3" t="str">
        <f>OBRA!N742</f>
        <v>“CONSTRUCCIÓN DE SUPERFICIE DE RODAMIENTO EN CALLE PLAYA AZUL”, EN LA LOCALIDAD DE CHANTEPEC, MUNICIPIO DE JOCOTEPEC, JALISCO</v>
      </c>
      <c r="K744" s="597"/>
      <c r="L744" s="328" t="s">
        <v>5591</v>
      </c>
      <c r="M744" s="3" t="str">
        <f>OBRA!O742</f>
        <v>CHANTEPEC</v>
      </c>
      <c r="N744" s="554" t="s">
        <v>5606</v>
      </c>
      <c r="O744" s="4">
        <f>OBRA!P742</f>
        <v>2049615.46</v>
      </c>
      <c r="P744" s="1208">
        <f t="shared" si="59"/>
        <v>1766909.8793103448</v>
      </c>
      <c r="Q744" s="85" t="s">
        <v>68</v>
      </c>
      <c r="R744" s="6">
        <f>OBRA!Q742</f>
        <v>45168</v>
      </c>
      <c r="S744" s="1327">
        <f>OBRA!T742</f>
        <v>45163</v>
      </c>
      <c r="T744" s="5">
        <f>OBRA!R742</f>
        <v>45180</v>
      </c>
      <c r="U744" s="12">
        <f>OBRA!S742</f>
        <v>45230</v>
      </c>
      <c r="V744" s="1197">
        <v>614884.64</v>
      </c>
      <c r="W744" s="1990">
        <f>OBRA!AQ742+OBRA!AR742</f>
        <v>0</v>
      </c>
      <c r="X744" s="1848" t="s">
        <v>5849</v>
      </c>
      <c r="Y744" s="639" t="str">
        <f>OBRA!U742</f>
        <v>C. REFUGIO GUTIÉRREZ NIEVES</v>
      </c>
      <c r="Z744" s="639" t="s">
        <v>5822</v>
      </c>
      <c r="AA744" s="640" t="str">
        <f t="shared" si="61"/>
        <v>C. REFUGIO GUTIÉRREZ NIEVES</v>
      </c>
      <c r="AB744" s="1281" t="s">
        <v>4634</v>
      </c>
      <c r="AC744" s="446" t="s">
        <v>4635</v>
      </c>
      <c r="AD744" s="200" t="str">
        <f>OBRA!V742</f>
        <v>C. DANIEL RODRIGUEZ VALENZUELA</v>
      </c>
      <c r="AE744" s="609">
        <v>576</v>
      </c>
      <c r="AF744" s="426" t="s">
        <v>1552</v>
      </c>
      <c r="AG744" s="720">
        <f t="shared" si="60"/>
        <v>0</v>
      </c>
      <c r="AH744" s="560"/>
      <c r="AI744" s="556"/>
      <c r="AJ744" s="2076">
        <v>0.75</v>
      </c>
      <c r="AK744" s="1813">
        <v>20.291982999999998</v>
      </c>
      <c r="AL744" s="1814">
        <v>103.39182700000001</v>
      </c>
      <c r="AM744" s="629" t="s">
        <v>6066</v>
      </c>
      <c r="AN744" s="629" t="s">
        <v>6066</v>
      </c>
      <c r="AO744" s="629" t="s">
        <v>6066</v>
      </c>
      <c r="AP744" s="551" t="s">
        <v>6066</v>
      </c>
      <c r="AQ744" s="561"/>
      <c r="AR744" s="556"/>
      <c r="AS744" s="556"/>
      <c r="AT744" s="556"/>
      <c r="AU744" s="556"/>
      <c r="AV744" s="35"/>
      <c r="AW744" s="13"/>
    </row>
    <row r="745" spans="1:49" ht="83.25" hidden="1" customHeight="1">
      <c r="A745" s="17">
        <f>OBRA!I743</f>
        <v>2023</v>
      </c>
      <c r="B745" s="895" t="s">
        <v>3989</v>
      </c>
      <c r="C745" s="25"/>
      <c r="D745" s="25"/>
      <c r="E745" s="2" t="str">
        <f>OBRA!K743</f>
        <v>CUENTA CORRIENTE</v>
      </c>
      <c r="F745" s="768" t="s">
        <v>1431</v>
      </c>
      <c r="G745" s="2020"/>
      <c r="H745" s="13" t="str">
        <f>OBRA!L743</f>
        <v>GMJ 020C OP/2023</v>
      </c>
      <c r="I745" s="2" t="str">
        <f>OBRA!M743</f>
        <v>ADJUDICACIÓN DIRECTA</v>
      </c>
      <c r="J745" s="3" t="str">
        <f>OBRA!N743</f>
        <v>“REHABILITACIÓN DE PLAZA PRINCIPAL”, EN LA LOCALIDAD DE HUEJOTITÁN, MUNICIPIO DE JOCOTEPEC, JALISCO</v>
      </c>
      <c r="K745" s="597"/>
      <c r="L745" s="328" t="s">
        <v>5825</v>
      </c>
      <c r="M745" s="3" t="str">
        <f>OBRA!O743</f>
        <v>HUEJOTITÁN</v>
      </c>
      <c r="N745" s="554" t="s">
        <v>5606</v>
      </c>
      <c r="O745" s="4">
        <f>OBRA!P743</f>
        <v>304838.93</v>
      </c>
      <c r="P745" s="1208">
        <f t="shared" si="59"/>
        <v>262792.18103448278</v>
      </c>
      <c r="Q745" s="85" t="s">
        <v>68</v>
      </c>
      <c r="R745" s="6">
        <f>OBRA!Q743</f>
        <v>45166</v>
      </c>
      <c r="S745" s="1327">
        <f>OBRA!T743</f>
        <v>45167</v>
      </c>
      <c r="T745" s="5">
        <f>OBRA!R743</f>
        <v>45168</v>
      </c>
      <c r="U745" s="12">
        <f>OBRA!S743</f>
        <v>45199</v>
      </c>
      <c r="V745" s="1198">
        <v>0</v>
      </c>
      <c r="W745" s="1207">
        <f>OBRA!AQ743+OBRA!AR743</f>
        <v>0</v>
      </c>
      <c r="X745" s="1235" t="s">
        <v>5982</v>
      </c>
      <c r="Y745" s="639" t="str">
        <f>OBRA!U743</f>
        <v xml:space="preserve">DORIA &amp; SAMPIER CONSTRUCTORA, S.A. DE C.V. </v>
      </c>
      <c r="Z745" s="639" t="s">
        <v>5823</v>
      </c>
      <c r="AA745" s="640" t="s">
        <v>4495</v>
      </c>
      <c r="AB745" s="650" t="s">
        <v>4450</v>
      </c>
      <c r="AC745" s="652" t="s">
        <v>5853</v>
      </c>
      <c r="AD745" s="200" t="str">
        <f>OBRA!V743</f>
        <v>ARQ. JAIME CONDE GOMEZ</v>
      </c>
      <c r="AE745" s="174">
        <v>596.96</v>
      </c>
      <c r="AF745" s="426" t="s">
        <v>1552</v>
      </c>
      <c r="AG745" s="720">
        <f t="shared" si="60"/>
        <v>0</v>
      </c>
      <c r="AH745" s="560"/>
      <c r="AI745" s="556"/>
      <c r="AJ745" s="2076">
        <v>0.6</v>
      </c>
      <c r="AK745" s="1813">
        <v>20.354337000000001</v>
      </c>
      <c r="AL745" s="1814">
        <v>103.487191</v>
      </c>
      <c r="AM745" s="629" t="s">
        <v>6068</v>
      </c>
      <c r="AN745" s="629" t="s">
        <v>6068</v>
      </c>
      <c r="AO745" s="629" t="s">
        <v>6068</v>
      </c>
      <c r="AP745" s="551" t="s">
        <v>6068</v>
      </c>
      <c r="AQ745" s="561"/>
      <c r="AR745" s="556"/>
      <c r="AS745" s="556"/>
      <c r="AT745" s="556"/>
      <c r="AU745" s="556"/>
      <c r="AV745" s="35"/>
      <c r="AW745" s="13"/>
    </row>
    <row r="746" spans="1:49" ht="95.25" hidden="1" customHeight="1">
      <c r="A746" s="17">
        <f>OBRA!I744</f>
        <v>2023</v>
      </c>
      <c r="B746" s="895" t="s">
        <v>3989</v>
      </c>
      <c r="C746" s="25"/>
      <c r="D746" s="25"/>
      <c r="E746" s="2" t="str">
        <f>OBRA!K744</f>
        <v>RAMO 33</v>
      </c>
      <c r="F746" s="768" t="s">
        <v>1431</v>
      </c>
      <c r="G746" s="2020"/>
      <c r="H746" s="13" t="str">
        <f>OBRA!L744</f>
        <v>GMJ 021- OP/2023</v>
      </c>
      <c r="I746" s="2" t="str">
        <f>OBRA!M744</f>
        <v>ADJUDICACIÓN DIRECTA</v>
      </c>
      <c r="J746" s="3" t="str">
        <f>OBRA!N744</f>
        <v>"CONSTRUCCIÓN DE BANQUETAS E IMAGEN URBANA EN CALLE LA PAZ DE CALLE HIDALGO A CALLE ROTARIO Y CALLE ROTARIO DE CALLE LA PAZ A CARRETERA JOCOTEPEC-CHAPALA", EN LA LOCALIDAD DE SAN JUAN COSALÁ, MUNICIPIO DE JOCOTEPEC, JALISCO.</v>
      </c>
      <c r="K746" s="597"/>
      <c r="L746" s="328" t="s">
        <v>5826</v>
      </c>
      <c r="M746" s="3" t="str">
        <f>OBRA!O744</f>
        <v>SAN JUAN COSALÁ</v>
      </c>
      <c r="N746" s="554" t="s">
        <v>5606</v>
      </c>
      <c r="O746" s="4">
        <f>OBRA!P744</f>
        <v>853249.52</v>
      </c>
      <c r="P746" s="1208">
        <f t="shared" si="59"/>
        <v>735559.93103448278</v>
      </c>
      <c r="Q746" s="85" t="s">
        <v>68</v>
      </c>
      <c r="R746" s="6">
        <f>OBRA!Q744</f>
        <v>45203</v>
      </c>
      <c r="S746" s="1327">
        <f>OBRA!T744</f>
        <v>45202</v>
      </c>
      <c r="T746" s="5">
        <f>OBRA!R744</f>
        <v>45209</v>
      </c>
      <c r="U746" s="12">
        <f>OBRA!S744</f>
        <v>45222</v>
      </c>
      <c r="V746" s="1198">
        <v>255974.85</v>
      </c>
      <c r="W746" s="1207">
        <f>OBRA!AQ744+OBRA!AR744</f>
        <v>1011271.1799999999</v>
      </c>
      <c r="X746" s="1235" t="s">
        <v>5968</v>
      </c>
      <c r="Y746" s="639" t="str">
        <f>OBRA!U744</f>
        <v>ING. SERGIO CABRERA</v>
      </c>
      <c r="Z746" s="650" t="s">
        <v>5822</v>
      </c>
      <c r="AA746" s="640" t="str">
        <f t="shared" si="61"/>
        <v>ING. SERGIO CABRERA</v>
      </c>
      <c r="AB746" s="650" t="s">
        <v>1926</v>
      </c>
      <c r="AC746" s="652" t="s">
        <v>5969</v>
      </c>
      <c r="AD746" s="200" t="str">
        <f>OBRA!V744</f>
        <v>C. DANIEL RODRIGUEZ VALENZUELA</v>
      </c>
      <c r="AE746" s="609">
        <v>1260</v>
      </c>
      <c r="AF746" s="202" t="s">
        <v>1552</v>
      </c>
      <c r="AG746" s="694">
        <f t="shared" si="60"/>
        <v>802.59617460317452</v>
      </c>
      <c r="AH746" s="560"/>
      <c r="AI746" s="556"/>
      <c r="AJ746" s="2076">
        <v>0.7</v>
      </c>
      <c r="AK746" s="1813">
        <v>20.288692000000001</v>
      </c>
      <c r="AL746" s="1814">
        <v>103.34723099999999</v>
      </c>
      <c r="AM746" s="629" t="s">
        <v>6073</v>
      </c>
      <c r="AN746" s="629" t="s">
        <v>6073</v>
      </c>
      <c r="AO746" s="631"/>
      <c r="AP746" s="551" t="s">
        <v>6073</v>
      </c>
      <c r="AQ746" s="561"/>
      <c r="AR746" s="556"/>
      <c r="AS746" s="556"/>
      <c r="AT746" s="556"/>
      <c r="AU746" s="556"/>
      <c r="AV746" s="35"/>
      <c r="AW746" s="13"/>
    </row>
    <row r="747" spans="1:49" ht="61.5" hidden="1" customHeight="1">
      <c r="A747" s="17">
        <f>OBRA!I745</f>
        <v>2023</v>
      </c>
      <c r="B747" s="895" t="s">
        <v>3989</v>
      </c>
      <c r="C747" s="25"/>
      <c r="D747" s="25"/>
      <c r="E747" s="2" t="str">
        <f>OBRA!K745</f>
        <v>CUENTA CORRIENTE</v>
      </c>
      <c r="F747" s="768" t="s">
        <v>1431</v>
      </c>
      <c r="G747" s="2020"/>
      <c r="H747" s="13" t="str">
        <f>OBRA!L745</f>
        <v>GMJ 022 OP/2023</v>
      </c>
      <c r="I747" s="2" t="str">
        <f>OBRA!M745</f>
        <v>ADJUDICACIÓN DIRECTA</v>
      </c>
      <c r="J747" s="3" t="str">
        <f>OBRA!N745</f>
        <v>"ELECTRIFICACIÓN DE POZO CAMICHINES UBICADO EN CALLE FRANCISCO VILLA", EN LA CABECERA MUNICIPAL DE JOCOTEPEC, JALISCO.</v>
      </c>
      <c r="K747" s="597"/>
      <c r="L747" s="328" t="s">
        <v>5975</v>
      </c>
      <c r="M747" s="3" t="str">
        <f>OBRA!O745</f>
        <v>CABECERA MUNICIPAL</v>
      </c>
      <c r="N747" s="554" t="s">
        <v>5606</v>
      </c>
      <c r="O747" s="4">
        <f>OBRA!P745</f>
        <v>247646.07999999999</v>
      </c>
      <c r="P747" s="1208">
        <f t="shared" si="59"/>
        <v>213488</v>
      </c>
      <c r="Q747" s="85" t="s">
        <v>68</v>
      </c>
      <c r="R747" s="6">
        <f>OBRA!Q745</f>
        <v>45212</v>
      </c>
      <c r="S747" s="1327">
        <f>OBRA!T745</f>
        <v>45212</v>
      </c>
      <c r="T747" s="5">
        <f>OBRA!R745</f>
        <v>45215</v>
      </c>
      <c r="U747" s="12">
        <f>OBRA!S745</f>
        <v>45258</v>
      </c>
      <c r="V747" s="1198">
        <v>74293.820000000007</v>
      </c>
      <c r="W747" s="1207">
        <f>OBRA!AQ745+OBRA!AR745</f>
        <v>0</v>
      </c>
      <c r="X747" s="1235" t="s">
        <v>5972</v>
      </c>
      <c r="Y747" s="639" t="str">
        <f>OBRA!U745</f>
        <v>SOLEC ENERGY, S.A. DE C.V.</v>
      </c>
      <c r="Z747" s="650" t="s">
        <v>5823</v>
      </c>
      <c r="AA747" s="640" t="s">
        <v>4602</v>
      </c>
      <c r="AB747" s="650" t="s">
        <v>4603</v>
      </c>
      <c r="AC747" s="652" t="s">
        <v>4604</v>
      </c>
      <c r="AD747" s="200" t="str">
        <f>OBRA!V745</f>
        <v>C. DANIEL RODRIGUEZ VALENZUELA</v>
      </c>
      <c r="AE747" s="609">
        <v>1</v>
      </c>
      <c r="AF747" s="202" t="s">
        <v>1845</v>
      </c>
      <c r="AG747" s="720">
        <f t="shared" si="60"/>
        <v>0</v>
      </c>
      <c r="AH747" s="560"/>
      <c r="AI747" s="556"/>
      <c r="AJ747" s="2076">
        <v>0</v>
      </c>
      <c r="AK747" s="1813">
        <v>20.293334999999999</v>
      </c>
      <c r="AL747" s="1814">
        <v>103.436908</v>
      </c>
      <c r="AM747" s="629" t="s">
        <v>6074</v>
      </c>
      <c r="AN747" s="629" t="s">
        <v>6074</v>
      </c>
      <c r="AO747" s="629" t="s">
        <v>6074</v>
      </c>
      <c r="AP747" s="556"/>
      <c r="AQ747" s="561"/>
      <c r="AR747" s="556"/>
      <c r="AS747" s="556"/>
      <c r="AT747" s="556"/>
      <c r="AU747" s="556"/>
      <c r="AV747" s="35"/>
      <c r="AW747" s="13"/>
    </row>
    <row r="748" spans="1:49" ht="63" hidden="1" customHeight="1">
      <c r="A748" s="17">
        <f>OBRA!I746</f>
        <v>2023</v>
      </c>
      <c r="B748" s="895" t="s">
        <v>3989</v>
      </c>
      <c r="C748" s="25"/>
      <c r="D748" s="25"/>
      <c r="E748" s="2" t="str">
        <f>OBRA!K746</f>
        <v>CUENTA CORRIENTE</v>
      </c>
      <c r="F748" s="768" t="s">
        <v>1431</v>
      </c>
      <c r="G748" s="2020"/>
      <c r="H748" s="13" t="str">
        <f>OBRA!L746</f>
        <v>GMJ 023 OP/2023</v>
      </c>
      <c r="I748" s="2" t="str">
        <f>OBRA!M746</f>
        <v>ADJUDICACIÓN DIRECTA</v>
      </c>
      <c r="J748" s="3" t="str">
        <f>OBRA!N746</f>
        <v>"ELECTRIFICACIÓN DE POZO EN PRIVADA GUADALUPE VICTORIA", EN LA LOCALIDAD DE SAN JUAN COSALÁ, MUNICIPIO DE JOCOTEPEC, JALISCO.</v>
      </c>
      <c r="K748" s="597"/>
      <c r="L748" s="328" t="s">
        <v>5976</v>
      </c>
      <c r="M748" s="3" t="str">
        <f>OBRA!O746</f>
        <v>SAN JUAN COSALÁ</v>
      </c>
      <c r="N748" s="554" t="s">
        <v>5606</v>
      </c>
      <c r="O748" s="4">
        <f>OBRA!P746</f>
        <v>330252</v>
      </c>
      <c r="P748" s="1208">
        <f t="shared" si="59"/>
        <v>284700</v>
      </c>
      <c r="Q748" s="85" t="s">
        <v>68</v>
      </c>
      <c r="R748" s="6">
        <f>OBRA!Q746</f>
        <v>45212</v>
      </c>
      <c r="S748" s="1327">
        <f>OBRA!T746</f>
        <v>45212</v>
      </c>
      <c r="T748" s="5">
        <f>OBRA!R746</f>
        <v>45222</v>
      </c>
      <c r="U748" s="12">
        <f>OBRA!S746</f>
        <v>45282</v>
      </c>
      <c r="V748" s="1198">
        <v>99075.6</v>
      </c>
      <c r="W748" s="1207">
        <f>OBRA!AQ746+OBRA!AR746</f>
        <v>0</v>
      </c>
      <c r="X748" s="1235" t="s">
        <v>5977</v>
      </c>
      <c r="Y748" s="639" t="s">
        <v>4502</v>
      </c>
      <c r="Z748" s="650" t="s">
        <v>5823</v>
      </c>
      <c r="AA748" s="640" t="s">
        <v>4602</v>
      </c>
      <c r="AB748" s="650" t="s">
        <v>4603</v>
      </c>
      <c r="AC748" s="652" t="s">
        <v>4604</v>
      </c>
      <c r="AD748" s="200" t="str">
        <f>OBRA!V746</f>
        <v>C. DANIEL RODRIGUEZ VALENZUELA</v>
      </c>
      <c r="AE748" s="609">
        <v>1</v>
      </c>
      <c r="AF748" s="202" t="s">
        <v>1845</v>
      </c>
      <c r="AG748" s="720">
        <f t="shared" si="60"/>
        <v>0</v>
      </c>
      <c r="AH748" s="560"/>
      <c r="AI748" s="556"/>
      <c r="AJ748" s="2076">
        <v>0</v>
      </c>
      <c r="AK748" s="1813">
        <v>20.292089000000001</v>
      </c>
      <c r="AL748" s="1814">
        <v>103.34832</v>
      </c>
      <c r="AM748" s="629" t="s">
        <v>6075</v>
      </c>
      <c r="AN748" s="629" t="s">
        <v>6075</v>
      </c>
      <c r="AO748" s="629" t="s">
        <v>6075</v>
      </c>
      <c r="AP748" s="556"/>
      <c r="AQ748" s="561"/>
      <c r="AR748" s="556"/>
      <c r="AS748" s="556"/>
      <c r="AT748" s="556"/>
      <c r="AU748" s="556"/>
      <c r="AV748" s="35"/>
      <c r="AW748" s="13"/>
    </row>
    <row r="749" spans="1:49" ht="63" customHeight="1">
      <c r="A749" s="17">
        <f>OBRA!I747</f>
        <v>2023</v>
      </c>
      <c r="B749" s="895" t="s">
        <v>3989</v>
      </c>
      <c r="C749" s="25"/>
      <c r="D749" s="25"/>
      <c r="E749" s="2" t="str">
        <f>OBRA!K747</f>
        <v>CUENTA CORRIENTE</v>
      </c>
      <c r="F749" s="768" t="s">
        <v>1431</v>
      </c>
      <c r="G749" s="2020"/>
      <c r="H749" s="13" t="str">
        <f>OBRA!L747</f>
        <v>CSS-OP-CC-024/2023</v>
      </c>
      <c r="I749" s="2" t="str">
        <f>OBRA!M747</f>
        <v>CONCURSO SIMPLIFICADO SUMARIO</v>
      </c>
      <c r="J749" s="3" t="str">
        <f>OBRA!N747</f>
        <v>"CONSTRUCCIÓN DE 29 LOCALES COMERCIALES EN PLAZOLETA", EN LA LOCALIDAD DE CHANTEPEC, MUNICIPIO DE JOCOTEPEC, JALISCO.</v>
      </c>
      <c r="K749" s="597"/>
      <c r="L749" s="328" t="s">
        <v>5980</v>
      </c>
      <c r="M749" s="3" t="str">
        <f>OBRA!O747</f>
        <v>CHANTEPEC</v>
      </c>
      <c r="N749" s="554" t="s">
        <v>5606</v>
      </c>
      <c r="O749" s="4">
        <f>OBRA!P747</f>
        <v>5281923.58</v>
      </c>
      <c r="P749" s="1208">
        <f t="shared" si="59"/>
        <v>4553382.3965517245</v>
      </c>
      <c r="Q749" s="85" t="s">
        <v>68</v>
      </c>
      <c r="R749" s="6">
        <f>OBRA!Q747</f>
        <v>45245</v>
      </c>
      <c r="S749" s="1327" t="str">
        <f>OBRA!T747</f>
        <v>-</v>
      </c>
      <c r="T749" s="5">
        <f>OBRA!R747</f>
        <v>45251</v>
      </c>
      <c r="U749" s="12">
        <f>OBRA!S747</f>
        <v>45004</v>
      </c>
      <c r="V749" s="1198">
        <v>1584577.07</v>
      </c>
      <c r="W749" s="1207">
        <f>OBRA!AQ747+OBRA!AR747</f>
        <v>0</v>
      </c>
      <c r="X749" s="1235" t="s">
        <v>5983</v>
      </c>
      <c r="Y749" s="639" t="str">
        <f>OBRA!U747</f>
        <v>OCTAVA CUATRO VISITAS, S.A. DE C.V.</v>
      </c>
      <c r="Z749" s="650" t="s">
        <v>5823</v>
      </c>
      <c r="AA749" s="640" t="s">
        <v>5986</v>
      </c>
      <c r="AB749" s="1281" t="s">
        <v>5985</v>
      </c>
      <c r="AC749" s="446" t="s">
        <v>5987</v>
      </c>
      <c r="AD749" s="200" t="str">
        <f>OBRA!V747</f>
        <v>ING. J. GUADALUPE IBARRA RAMIREZ</v>
      </c>
      <c r="AE749" s="169"/>
      <c r="AF749" s="560"/>
      <c r="AG749" s="720" t="e">
        <f t="shared" si="60"/>
        <v>#DIV/0!</v>
      </c>
      <c r="AH749" s="560"/>
      <c r="AI749" s="556"/>
      <c r="AJ749" s="2076">
        <v>0.1</v>
      </c>
      <c r="AK749" s="1813">
        <v>20.291142000000001</v>
      </c>
      <c r="AL749" s="1814">
        <v>103.39428100000001</v>
      </c>
      <c r="AM749" s="1916" t="s">
        <v>5989</v>
      </c>
      <c r="AN749" s="631"/>
      <c r="AO749" s="631"/>
      <c r="AP749" s="556"/>
      <c r="AQ749" s="561"/>
      <c r="AR749" s="556"/>
      <c r="AS749" s="556"/>
      <c r="AT749" s="556"/>
      <c r="AU749" s="556"/>
      <c r="AV749" s="35"/>
      <c r="AW749" s="13"/>
    </row>
    <row r="750" spans="1:49" ht="48" hidden="1" customHeight="1">
      <c r="A750" s="17">
        <f>OBRA!I748</f>
        <v>2023</v>
      </c>
      <c r="B750" s="895" t="s">
        <v>3989</v>
      </c>
      <c r="C750" s="25"/>
      <c r="D750" s="25"/>
      <c r="E750" s="2" t="str">
        <f>OBRA!K748</f>
        <v>CUENTA CORRIENTE</v>
      </c>
      <c r="F750" s="768" t="s">
        <v>1431</v>
      </c>
      <c r="G750" s="2020"/>
      <c r="H750" s="13" t="str">
        <f>OBRA!L748</f>
        <v>GMJ 025C OP/2023</v>
      </c>
      <c r="I750" s="2" t="str">
        <f>OBRA!M748</f>
        <v>ADJUDICACIÓN DIRECTA</v>
      </c>
      <c r="J750" s="3" t="str">
        <f>OBRA!N748</f>
        <v>"REHABILITACIÓN DE PLAZA PRINCIPAL (3RA ETAPA)", EN LA LOCALIDAD DE HUEJOTITÁN, MUNICIPIO DE JOCOTEPEC, JALISCO.</v>
      </c>
      <c r="K750" s="597"/>
      <c r="L750" s="328" t="s">
        <v>4800</v>
      </c>
      <c r="M750" s="3" t="str">
        <f>OBRA!O748</f>
        <v>HUEJOTITÁN</v>
      </c>
      <c r="N750" s="554" t="s">
        <v>5606</v>
      </c>
      <c r="O750" s="4">
        <f>OBRA!P748</f>
        <v>441962.08</v>
      </c>
      <c r="P750" s="1208">
        <f t="shared" si="59"/>
        <v>381001.79310344829</v>
      </c>
      <c r="Q750" s="85" t="s">
        <v>68</v>
      </c>
      <c r="R750" s="6">
        <f>OBRA!Q748</f>
        <v>45247</v>
      </c>
      <c r="S750" s="1327">
        <f>OBRA!T748</f>
        <v>45245</v>
      </c>
      <c r="T750" s="5">
        <f>OBRA!R748</f>
        <v>45245</v>
      </c>
      <c r="U750" s="12">
        <f>OBRA!S748</f>
        <v>45290</v>
      </c>
      <c r="V750" s="1198">
        <v>0</v>
      </c>
      <c r="W750" s="1203">
        <f>OBRA!AQ748+OBRA!AR748</f>
        <v>0</v>
      </c>
      <c r="X750" s="1235" t="s">
        <v>5982</v>
      </c>
      <c r="Y750" s="650" t="str">
        <f>OBRA!U748</f>
        <v xml:space="preserve">DORIA &amp; SAMPIER CONSTRUCTORA, S.A. DE C.V. </v>
      </c>
      <c r="Z750" s="650" t="s">
        <v>5823</v>
      </c>
      <c r="AA750" s="640" t="s">
        <v>6081</v>
      </c>
      <c r="AB750" s="650" t="s">
        <v>4450</v>
      </c>
      <c r="AC750" s="652" t="s">
        <v>6082</v>
      </c>
      <c r="AD750" s="200" t="str">
        <f>OBRA!V748</f>
        <v>ARQ. JAIME CONDE GOMEZ</v>
      </c>
      <c r="AE750" s="1706"/>
      <c r="AF750" s="560"/>
      <c r="AG750" s="720" t="e">
        <f t="shared" si="60"/>
        <v>#DIV/0!</v>
      </c>
      <c r="AH750" s="560"/>
      <c r="AI750" s="556"/>
      <c r="AJ750" s="2076"/>
      <c r="AK750" s="1813">
        <v>20.354337000000001</v>
      </c>
      <c r="AL750" s="1814">
        <v>103.487191</v>
      </c>
      <c r="AM750" s="631"/>
      <c r="AN750" s="631"/>
      <c r="AO750" s="631"/>
      <c r="AP750" s="556"/>
      <c r="AQ750" s="561"/>
      <c r="AR750" s="556"/>
      <c r="AS750" s="556"/>
      <c r="AT750" s="556"/>
      <c r="AU750" s="556"/>
      <c r="AV750" s="35"/>
      <c r="AW750" s="13"/>
    </row>
    <row r="751" spans="1:49" ht="95.25" customHeight="1">
      <c r="A751" s="17">
        <f>OBRA!I749</f>
        <v>2023</v>
      </c>
      <c r="B751" s="895" t="s">
        <v>3989</v>
      </c>
      <c r="C751" s="25"/>
      <c r="D751" s="25"/>
      <c r="E751" s="2" t="str">
        <f>OBRA!K749</f>
        <v>CTA-CTE / RAMO 33</v>
      </c>
      <c r="F751" s="768" t="s">
        <v>1431</v>
      </c>
      <c r="G751" s="2020"/>
      <c r="H751" s="451" t="str">
        <f>OBRA!L749</f>
        <v>FAIS-RAMO33/CC-OP-CSS-026/2023</v>
      </c>
      <c r="I751" s="2" t="str">
        <f>OBRA!M749</f>
        <v>CONCURSO SIMPLIFICADO SUMARIO CON RECURSOS CONCURRIDOS</v>
      </c>
      <c r="J751" s="3" t="str">
        <f>OBRA!N749</f>
        <v>"CONSTRUCCIÓN DE UN CARCAMO DE BOMBEO EN LA ZONA DEL MALECÓN, CERCA DE LA PLANTA DE TRATAMIENTO DE AGUAS RESIDUALES, POR CALLE RIVERA DEL LAGO, ESQUINA CON CALLE JOSÉ SANTANA", EN LA CABECERA MUNICIPAL DE JOCOTEPEC, JALISCO.</v>
      </c>
      <c r="K751" s="597"/>
      <c r="L751" s="328" t="s">
        <v>6094</v>
      </c>
      <c r="M751" s="3" t="str">
        <f>OBRA!O749</f>
        <v>CABECERA MUNICIPAL</v>
      </c>
      <c r="N751" s="554" t="s">
        <v>5606</v>
      </c>
      <c r="O751" s="4">
        <f>OBRA!P749</f>
        <v>2969939.23</v>
      </c>
      <c r="P751" s="1208">
        <f t="shared" si="59"/>
        <v>2560292.4396551726</v>
      </c>
      <c r="Q751" s="85" t="s">
        <v>68</v>
      </c>
      <c r="R751" s="6">
        <f>OBRA!Q749</f>
        <v>45268</v>
      </c>
      <c r="S751" s="1327" t="str">
        <f>OBRA!T749</f>
        <v>-</v>
      </c>
      <c r="T751" s="5">
        <f>OBRA!R749</f>
        <v>45271</v>
      </c>
      <c r="U751" s="12">
        <f>OBRA!S749</f>
        <v>45290</v>
      </c>
      <c r="V751" s="305">
        <v>890981.77</v>
      </c>
      <c r="W751" s="1207">
        <f>OBRA!AQ749+OBRA!AR749</f>
        <v>0</v>
      </c>
      <c r="X751" s="1280" t="s">
        <v>6095</v>
      </c>
      <c r="Y751" s="639" t="str">
        <f>OBRA!U749</f>
        <v>EDIFICACIONES Y TERRACERIAS CH, S.A. DE C.V.</v>
      </c>
      <c r="Z751" s="639" t="s">
        <v>5823</v>
      </c>
      <c r="AA751" s="640" t="s">
        <v>5459</v>
      </c>
      <c r="AB751" s="650" t="s">
        <v>5460</v>
      </c>
      <c r="AC751" s="652" t="s">
        <v>3512</v>
      </c>
      <c r="AD751" s="200" t="str">
        <f>OBRA!V749</f>
        <v>C. DANIEL RODRIGUEZ VALENZUELA</v>
      </c>
      <c r="AE751" s="609">
        <v>72</v>
      </c>
      <c r="AF751" s="202" t="s">
        <v>1552</v>
      </c>
      <c r="AG751" s="720">
        <f t="shared" si="60"/>
        <v>0</v>
      </c>
      <c r="AH751" s="560"/>
      <c r="AI751" s="556"/>
      <c r="AJ751" s="556"/>
      <c r="AK751" s="1813">
        <v>20.282672999999999</v>
      </c>
      <c r="AL751" s="1814">
        <v>103.417823</v>
      </c>
      <c r="AM751" s="629" t="s">
        <v>6096</v>
      </c>
      <c r="AN751" s="631"/>
      <c r="AO751" s="629" t="s">
        <v>6096</v>
      </c>
      <c r="AP751" s="551" t="s">
        <v>6096</v>
      </c>
      <c r="AQ751" s="561"/>
      <c r="AR751" s="556"/>
      <c r="AS751" s="556"/>
      <c r="AT751" s="556"/>
      <c r="AU751" s="556"/>
      <c r="AV751" s="35"/>
      <c r="AW751" s="13"/>
    </row>
    <row r="752" spans="1:49" ht="63" hidden="1" customHeight="1">
      <c r="A752" s="17">
        <f>OBRA!I750</f>
        <v>2023</v>
      </c>
      <c r="B752" s="895" t="s">
        <v>3989</v>
      </c>
      <c r="C752" s="25"/>
      <c r="D752" s="25"/>
      <c r="E752" s="2" t="str">
        <f>OBRA!K750</f>
        <v>CUENTA CORRIENTE</v>
      </c>
      <c r="F752" s="768" t="s">
        <v>1431</v>
      </c>
      <c r="G752" s="2020"/>
      <c r="H752" s="13" t="str">
        <f>OBRA!L750</f>
        <v>GMJ 027C OP/2023</v>
      </c>
      <c r="I752" s="2" t="str">
        <f>OBRA!M750</f>
        <v>ADJUDICACIÓN DIRECTA</v>
      </c>
      <c r="J752" s="3" t="str">
        <f>OBRA!N750</f>
        <v>"CONSTRUCCIÓN DE CALLE, ESTACIONAMIENTO, MACHUELOS Y CANCHA DE UNIDAD DEPORTIVA", EN LA LOCALIDAD DE CHANTEPEC, MUNICIPIO DE JOCOTEPEC.</v>
      </c>
      <c r="K752" s="597"/>
      <c r="L752" s="328" t="s">
        <v>6078</v>
      </c>
      <c r="M752" s="3" t="str">
        <f>OBRA!O750</f>
        <v>CHANTEPEC</v>
      </c>
      <c r="N752" s="554" t="s">
        <v>5606</v>
      </c>
      <c r="O752" s="4">
        <f>OBRA!P750</f>
        <v>1515153.08</v>
      </c>
      <c r="P752" s="1208">
        <f t="shared" si="59"/>
        <v>1306166.4482758623</v>
      </c>
      <c r="Q752" s="85" t="s">
        <v>68</v>
      </c>
      <c r="R752" s="6">
        <f>OBRA!Q750</f>
        <v>45258</v>
      </c>
      <c r="S752" s="1327">
        <f>OBRA!T750</f>
        <v>45257</v>
      </c>
      <c r="T752" s="5">
        <f>OBRA!R750</f>
        <v>45264</v>
      </c>
      <c r="U752" s="12">
        <f>OBRA!S750</f>
        <v>45374</v>
      </c>
      <c r="V752" s="305">
        <v>454545.91999999998</v>
      </c>
      <c r="W752" s="1207">
        <f>OBRA!AQ750+OBRA!AR750</f>
        <v>0</v>
      </c>
      <c r="X752" s="1201"/>
      <c r="Y752" s="639" t="str">
        <f>OBRA!U750</f>
        <v xml:space="preserve">DESARROLLADORA FARAR, S.A. DE C.V. </v>
      </c>
      <c r="Z752" s="639" t="s">
        <v>5823</v>
      </c>
      <c r="AA752" s="640" t="s">
        <v>6083</v>
      </c>
      <c r="AB752" s="650" t="s">
        <v>6084</v>
      </c>
      <c r="AC752" s="652" t="s">
        <v>6085</v>
      </c>
      <c r="AD752" s="200" t="str">
        <f>OBRA!V750</f>
        <v>C. DANIEL RODRIGUEZ VALENZUELA</v>
      </c>
      <c r="AE752" s="1706"/>
      <c r="AF752" s="560"/>
      <c r="AG752" s="720" t="e">
        <f t="shared" si="60"/>
        <v>#DIV/0!</v>
      </c>
      <c r="AH752" s="560"/>
      <c r="AI752" s="556"/>
      <c r="AJ752" s="556"/>
      <c r="AK752" s="1813">
        <v>20.293009000000001</v>
      </c>
      <c r="AL752" s="1814">
        <v>103.38990800000001</v>
      </c>
      <c r="AM752" s="631"/>
      <c r="AN752" s="631"/>
      <c r="AO752" s="631"/>
      <c r="AP752" s="556"/>
      <c r="AQ752" s="561"/>
      <c r="AR752" s="556"/>
      <c r="AS752" s="556"/>
      <c r="AT752" s="556"/>
      <c r="AU752" s="556"/>
      <c r="AV752" s="35"/>
      <c r="AW752" s="13"/>
    </row>
    <row r="753" spans="1:49" ht="63" hidden="1" customHeight="1">
      <c r="A753" s="17">
        <f>OBRA!I751</f>
        <v>2023</v>
      </c>
      <c r="B753" s="895" t="s">
        <v>3989</v>
      </c>
      <c r="C753" s="25"/>
      <c r="D753" s="25"/>
      <c r="E753" s="2" t="str">
        <f>OBRA!K751</f>
        <v>CUENTA CORRIENTE</v>
      </c>
      <c r="F753" s="768" t="s">
        <v>1431</v>
      </c>
      <c r="G753" s="2020"/>
      <c r="H753" s="13" t="str">
        <f>OBRA!L751</f>
        <v>GMJ 028C OP/2023</v>
      </c>
      <c r="I753" s="2" t="str">
        <f>OBRA!M751</f>
        <v>ADJUDICACIÓN DIRECTA</v>
      </c>
      <c r="J753" s="3" t="str">
        <f>OBRA!N751</f>
        <v>"CONSTRUCCIÓN DE BAÑOS, VESTIDORES, LOCALES COMERCIALES, DRENAJE SANITARIO Y PLUVIALES EN UNIDAD DEPORTIVA", EN LA LOCALIDAD DE CHANTEPEC, MUNICIPIO DE JOCOTEPEC, JALISCO.</v>
      </c>
      <c r="K753" s="597"/>
      <c r="L753" s="328" t="s">
        <v>6078</v>
      </c>
      <c r="M753" s="3" t="str">
        <f>OBRA!O751</f>
        <v>CHANTEPEC</v>
      </c>
      <c r="N753" s="554" t="s">
        <v>5606</v>
      </c>
      <c r="O753" s="4">
        <f>OBRA!P751</f>
        <v>1777367.51</v>
      </c>
      <c r="P753" s="1208">
        <f t="shared" si="59"/>
        <v>1532213.3706896552</v>
      </c>
      <c r="Q753" s="85" t="s">
        <v>68</v>
      </c>
      <c r="R753" s="6">
        <f>OBRA!Q751</f>
        <v>45258</v>
      </c>
      <c r="S753" s="1327">
        <f>OBRA!T751</f>
        <v>45257</v>
      </c>
      <c r="T753" s="5">
        <f>OBRA!R751</f>
        <v>45264</v>
      </c>
      <c r="U753" s="12">
        <f>OBRA!S751</f>
        <v>45374</v>
      </c>
      <c r="V753" s="305">
        <v>533210.25</v>
      </c>
      <c r="W753" s="1207">
        <f>OBRA!AQ751+OBRA!AR751</f>
        <v>0</v>
      </c>
      <c r="X753" s="1201"/>
      <c r="Y753" s="639" t="str">
        <f>OBRA!U751</f>
        <v>ACROX CONSTRUCCIONES, S.A. DE C.V.</v>
      </c>
      <c r="Z753" s="639" t="s">
        <v>5823</v>
      </c>
      <c r="AA753" s="652" t="s">
        <v>6086</v>
      </c>
      <c r="AB753" s="650" t="s">
        <v>6087</v>
      </c>
      <c r="AC753" s="652" t="s">
        <v>6088</v>
      </c>
      <c r="AD753" s="200" t="str">
        <f>OBRA!V751</f>
        <v>C. DANIEL RODRIGUEZ VALENZUELA</v>
      </c>
      <c r="AE753" s="1706"/>
      <c r="AF753" s="560"/>
      <c r="AG753" s="720" t="e">
        <f t="shared" si="60"/>
        <v>#DIV/0!</v>
      </c>
      <c r="AH753" s="560"/>
      <c r="AI753" s="556"/>
      <c r="AJ753" s="556"/>
      <c r="AK753" s="1813">
        <v>20.293009000000001</v>
      </c>
      <c r="AL753" s="1814">
        <v>103.38990800000001</v>
      </c>
      <c r="AM753" s="631"/>
      <c r="AN753" s="631"/>
      <c r="AO753" s="631"/>
      <c r="AP753" s="556"/>
      <c r="AQ753" s="561"/>
      <c r="AR753" s="556"/>
      <c r="AS753" s="556"/>
      <c r="AT753" s="556"/>
      <c r="AU753" s="556"/>
      <c r="AV753" s="35"/>
      <c r="AW753" s="13"/>
    </row>
    <row r="754" spans="1:49" ht="91.5" hidden="1" customHeight="1">
      <c r="A754" s="17">
        <f>OBRA!I752</f>
        <v>2023</v>
      </c>
      <c r="B754" s="895" t="s">
        <v>3989</v>
      </c>
      <c r="C754" s="25"/>
      <c r="D754" s="25"/>
      <c r="E754" s="2" t="str">
        <f>OBRA!K752</f>
        <v>RAMO 33</v>
      </c>
      <c r="F754" s="768" t="s">
        <v>1431</v>
      </c>
      <c r="G754" s="2020"/>
      <c r="H754" s="13" t="str">
        <f>OBRA!L752</f>
        <v>GMJ 029C OP/2023</v>
      </c>
      <c r="I754" s="2" t="str">
        <f>OBRA!M752</f>
        <v>ADJUDICACIÓN DIRECTA</v>
      </c>
      <c r="J754" s="3" t="str">
        <f>OBRA!N752</f>
        <v>"CONSTRUCCIÓN DE LÍNEA DE COLECTOR SANITARIO DE PVC DE 18 PULGADAS A NUEVO CARCAMOS DE BOMBEO Y LÍNEA DE BOMBEO DE ACERO DE 8 PULGADAS DE NUEVO CARCAMO A PLANTA DE TRATAMIENTO", EN LA CABECERA MUNICIPAL DE JOCOTEPEC, JALISCO.</v>
      </c>
      <c r="K754" s="597"/>
      <c r="L754" s="328" t="s">
        <v>6079</v>
      </c>
      <c r="M754" s="3" t="str">
        <f>OBRA!O752</f>
        <v>CABECERA MUNICIPAL</v>
      </c>
      <c r="N754" s="554" t="s">
        <v>5606</v>
      </c>
      <c r="O754" s="4">
        <f>OBRA!P752</f>
        <v>521271.1</v>
      </c>
      <c r="P754" s="1208">
        <f t="shared" si="59"/>
        <v>449371.63793103449</v>
      </c>
      <c r="Q754" s="85" t="s">
        <v>68</v>
      </c>
      <c r="R754" s="6">
        <f>OBRA!Q752</f>
        <v>45257</v>
      </c>
      <c r="S754" s="1327">
        <f>OBRA!T752</f>
        <v>45257</v>
      </c>
      <c r="T754" s="5">
        <f>OBRA!R752</f>
        <v>45258</v>
      </c>
      <c r="U754" s="12">
        <f>OBRA!S752</f>
        <v>45276</v>
      </c>
      <c r="V754" s="305"/>
      <c r="W754" s="1207">
        <f>OBRA!AQ752+OBRA!AR752</f>
        <v>0</v>
      </c>
      <c r="X754" s="1202"/>
      <c r="Y754" s="639" t="str">
        <f>OBRA!U752</f>
        <v>TERRACERÍAS Y PAVIMENTOS DE LA RIBERA, S.A. DE C.V.</v>
      </c>
      <c r="Z754" s="639"/>
      <c r="AA754" s="640" t="str">
        <f t="shared" si="61"/>
        <v>TERRACERÍAS Y PAVIMENTOS DE LA RIBERA, S.A. DE C.V.</v>
      </c>
      <c r="AB754" s="1372"/>
      <c r="AC754" s="1373"/>
      <c r="AD754" s="200" t="str">
        <f>OBRA!V752</f>
        <v>C. DANIEL RODRIGUEZ VALENZUELA</v>
      </c>
      <c r="AE754" s="1706"/>
      <c r="AF754" s="560"/>
      <c r="AG754" s="720" t="e">
        <f t="shared" si="60"/>
        <v>#DIV/0!</v>
      </c>
      <c r="AH754" s="560"/>
      <c r="AI754" s="556"/>
      <c r="AJ754" s="556"/>
      <c r="AK754" s="1815"/>
      <c r="AL754" s="1816"/>
      <c r="AM754" s="631"/>
      <c r="AN754" s="631"/>
      <c r="AO754" s="631"/>
      <c r="AP754" s="556"/>
      <c r="AQ754" s="561"/>
      <c r="AR754" s="556"/>
      <c r="AS754" s="556"/>
      <c r="AT754" s="556"/>
      <c r="AU754" s="556"/>
      <c r="AV754" s="35"/>
      <c r="AW754" s="13"/>
    </row>
    <row r="755" spans="1:49" ht="76.5" hidden="1" customHeight="1">
      <c r="A755" s="17">
        <f>OBRA!I753</f>
        <v>2023</v>
      </c>
      <c r="B755" s="895" t="s">
        <v>3989</v>
      </c>
      <c r="C755" s="25"/>
      <c r="D755" s="25"/>
      <c r="E755" s="2" t="str">
        <f>OBRA!K753</f>
        <v xml:space="preserve">FORTAMUN </v>
      </c>
      <c r="F755" s="768" t="s">
        <v>1431</v>
      </c>
      <c r="G755" s="2020"/>
      <c r="H755" s="13" t="str">
        <f>OBRA!L753</f>
        <v>GMJ 030C OP/2023</v>
      </c>
      <c r="I755" s="2" t="str">
        <f>OBRA!M753</f>
        <v>ADJUDICACIÓN DIRECTA</v>
      </c>
      <c r="J755" s="3" t="str">
        <f>OBRA!N753</f>
        <v>"CONSTRUCCIÓN DE LÍNEA DE ABASTECIMIENTO DEL POZO DE AGUA POTABLE EN PRIV. GUADALUPE VICTORIA A RED PRINCIPAL EN C. ZARAGOZA", EN LA LOCALIDAD DE SAN JUAN COSALÁ, MUNICIPIO DE JOCOTEPEC, JALISCO.</v>
      </c>
      <c r="K755" s="597"/>
      <c r="L755" s="328" t="s">
        <v>6080</v>
      </c>
      <c r="M755" s="3" t="str">
        <f>OBRA!O753</f>
        <v>SAN JUAN COSALÁ</v>
      </c>
      <c r="N755" s="554" t="s">
        <v>5606</v>
      </c>
      <c r="O755" s="4">
        <f>OBRA!P753</f>
        <v>810268.98</v>
      </c>
      <c r="P755" s="1208">
        <f t="shared" si="59"/>
        <v>698507.74137931038</v>
      </c>
      <c r="Q755" s="85" t="s">
        <v>68</v>
      </c>
      <c r="R755" s="6">
        <f>OBRA!Q753</f>
        <v>45269</v>
      </c>
      <c r="S755" s="1327">
        <f>OBRA!T753</f>
        <v>45268</v>
      </c>
      <c r="T755" s="5">
        <f>OBRA!R753</f>
        <v>45271</v>
      </c>
      <c r="U755" s="12">
        <f>OBRA!S753</f>
        <v>45290</v>
      </c>
      <c r="V755" s="305"/>
      <c r="W755" s="1207">
        <f>OBRA!AQ753+OBRA!AR753</f>
        <v>0</v>
      </c>
      <c r="X755" s="1202"/>
      <c r="Y755" s="639" t="str">
        <f>OBRA!U753</f>
        <v>ESTRUCTURAS PLANEADAS DE OCCIDENTE, S.A. DE C.V.</v>
      </c>
      <c r="Z755" s="639"/>
      <c r="AA755" s="640" t="str">
        <f t="shared" si="61"/>
        <v>ESTRUCTURAS PLANEADAS DE OCCIDENTE, S.A. DE C.V.</v>
      </c>
      <c r="AB755" s="1372"/>
      <c r="AC755" s="1373"/>
      <c r="AD755" s="200" t="str">
        <f>OBRA!V753</f>
        <v>C. DANIEL RODRIGUEZ VALENZUELA</v>
      </c>
      <c r="AE755" s="1706"/>
      <c r="AF755" s="560"/>
      <c r="AG755" s="720" t="e">
        <f t="shared" si="60"/>
        <v>#DIV/0!</v>
      </c>
      <c r="AH755" s="560"/>
      <c r="AI755" s="556"/>
      <c r="AJ755" s="556"/>
      <c r="AK755" s="1815"/>
      <c r="AL755" s="1816"/>
      <c r="AM755" s="631"/>
      <c r="AN755" s="631"/>
      <c r="AO755" s="631"/>
      <c r="AP755" s="556"/>
      <c r="AQ755" s="561"/>
      <c r="AR755" s="556"/>
      <c r="AS755" s="556"/>
      <c r="AT755" s="556"/>
      <c r="AU755" s="556"/>
      <c r="AV755" s="35"/>
      <c r="AW755" s="13"/>
    </row>
    <row r="756" spans="1:49" ht="15" hidden="1" customHeight="1">
      <c r="A756" s="17">
        <f>OBRA!I754</f>
        <v>0</v>
      </c>
      <c r="B756" s="895" t="s">
        <v>3989</v>
      </c>
      <c r="C756" s="25"/>
      <c r="D756" s="25"/>
      <c r="E756" s="2">
        <f>OBRA!K754</f>
        <v>0</v>
      </c>
      <c r="F756" s="561"/>
      <c r="G756" s="2020"/>
      <c r="H756" s="13">
        <f>OBRA!L754</f>
        <v>0</v>
      </c>
      <c r="I756" s="2">
        <f>OBRA!M754</f>
        <v>0</v>
      </c>
      <c r="J756" s="3">
        <f>OBRA!N754</f>
        <v>0</v>
      </c>
      <c r="K756" s="597"/>
      <c r="L756" s="597"/>
      <c r="M756" s="3">
        <f>OBRA!O754</f>
        <v>0</v>
      </c>
      <c r="N756" s="3"/>
      <c r="O756" s="4">
        <f>OBRA!P754</f>
        <v>0</v>
      </c>
      <c r="P756" s="1208">
        <f t="shared" si="59"/>
        <v>0</v>
      </c>
      <c r="Q756" s="1208"/>
      <c r="R756" s="6">
        <f>OBRA!Q754</f>
        <v>0</v>
      </c>
      <c r="S756" s="1327">
        <f>OBRA!T754</f>
        <v>0</v>
      </c>
      <c r="T756" s="5">
        <f>OBRA!R754</f>
        <v>0</v>
      </c>
      <c r="U756" s="12">
        <f>OBRA!S754</f>
        <v>0</v>
      </c>
      <c r="V756" s="305"/>
      <c r="W756" s="1207">
        <f>OBRA!AQ754+OBRA!AR754</f>
        <v>0</v>
      </c>
      <c r="X756" s="1202"/>
      <c r="Y756" s="639">
        <f>OBRA!U754</f>
        <v>0</v>
      </c>
      <c r="Z756" s="639"/>
      <c r="AA756" s="640">
        <f t="shared" si="61"/>
        <v>0</v>
      </c>
      <c r="AB756" s="1372"/>
      <c r="AC756" s="1373"/>
      <c r="AD756" s="608">
        <f>OBRA!V754</f>
        <v>0</v>
      </c>
      <c r="AE756" s="169"/>
      <c r="AF756" s="560"/>
      <c r="AG756" s="720" t="e">
        <f t="shared" si="60"/>
        <v>#DIV/0!</v>
      </c>
      <c r="AH756" s="560"/>
      <c r="AI756" s="556"/>
      <c r="AJ756" s="556"/>
      <c r="AK756" s="721"/>
      <c r="AL756" s="1806"/>
      <c r="AM756" s="631"/>
      <c r="AN756" s="631"/>
      <c r="AO756" s="631"/>
      <c r="AP756" s="556"/>
      <c r="AQ756" s="561"/>
      <c r="AR756" s="556"/>
      <c r="AS756" s="556"/>
      <c r="AT756" s="556"/>
      <c r="AU756" s="556"/>
      <c r="AV756" s="35"/>
      <c r="AW756" s="13"/>
    </row>
    <row r="757" spans="1:49" ht="15" hidden="1" customHeight="1">
      <c r="A757" s="17">
        <f>OBRA!I755</f>
        <v>0</v>
      </c>
      <c r="B757" s="895" t="s">
        <v>3989</v>
      </c>
      <c r="C757" s="25"/>
      <c r="D757" s="25"/>
      <c r="E757" s="2">
        <f>OBRA!K755</f>
        <v>0</v>
      </c>
      <c r="F757" s="561"/>
      <c r="G757" s="2020"/>
      <c r="H757" s="13">
        <f>OBRA!L755</f>
        <v>0</v>
      </c>
      <c r="I757" s="2">
        <f>OBRA!M755</f>
        <v>0</v>
      </c>
      <c r="J757" s="3">
        <f>OBRA!N755</f>
        <v>0</v>
      </c>
      <c r="K757" s="597"/>
      <c r="L757" s="597"/>
      <c r="M757" s="3">
        <f>OBRA!O755</f>
        <v>0</v>
      </c>
      <c r="N757" s="3"/>
      <c r="O757" s="4">
        <f>OBRA!P755</f>
        <v>0</v>
      </c>
      <c r="P757" s="1208">
        <f t="shared" si="59"/>
        <v>0</v>
      </c>
      <c r="Q757" s="1208"/>
      <c r="R757" s="6">
        <f>OBRA!Q755</f>
        <v>0</v>
      </c>
      <c r="S757" s="1327">
        <f>OBRA!T755</f>
        <v>0</v>
      </c>
      <c r="T757" s="5">
        <f>OBRA!R755</f>
        <v>0</v>
      </c>
      <c r="U757" s="12">
        <f>OBRA!S755</f>
        <v>0</v>
      </c>
      <c r="V757" s="305"/>
      <c r="W757" s="1207">
        <f>OBRA!AQ755+OBRA!AR755</f>
        <v>0</v>
      </c>
      <c r="X757" s="1202"/>
      <c r="Y757" s="639">
        <f>OBRA!U755</f>
        <v>0</v>
      </c>
      <c r="Z757" s="639"/>
      <c r="AA757" s="640">
        <f t="shared" si="61"/>
        <v>0</v>
      </c>
      <c r="AB757" s="1372"/>
      <c r="AC757" s="1373"/>
      <c r="AD757" s="608">
        <f>OBRA!V755</f>
        <v>0</v>
      </c>
      <c r="AE757" s="169"/>
      <c r="AF757" s="560"/>
      <c r="AG757" s="720" t="e">
        <f t="shared" si="60"/>
        <v>#DIV/0!</v>
      </c>
      <c r="AH757" s="560"/>
      <c r="AI757" s="556"/>
      <c r="AJ757" s="556"/>
      <c r="AK757" s="721"/>
      <c r="AL757" s="1806"/>
      <c r="AM757" s="631"/>
      <c r="AN757" s="631"/>
      <c r="AO757" s="631"/>
      <c r="AP757" s="556"/>
      <c r="AQ757" s="561"/>
      <c r="AR757" s="556"/>
      <c r="AS757" s="556"/>
      <c r="AT757" s="556"/>
      <c r="AU757" s="556"/>
      <c r="AV757" s="35"/>
      <c r="AW757" s="13"/>
    </row>
    <row r="758" spans="1:49" ht="15" hidden="1" customHeight="1">
      <c r="A758" s="17">
        <f>OBRA!I756</f>
        <v>0</v>
      </c>
      <c r="B758" s="895" t="s">
        <v>3989</v>
      </c>
      <c r="C758" s="25"/>
      <c r="D758" s="25"/>
      <c r="E758" s="2">
        <f>OBRA!K756</f>
        <v>0</v>
      </c>
      <c r="F758" s="561"/>
      <c r="G758" s="2020"/>
      <c r="H758" s="13">
        <f>OBRA!L756</f>
        <v>0</v>
      </c>
      <c r="I758" s="2">
        <f>OBRA!M756</f>
        <v>0</v>
      </c>
      <c r="J758" s="3">
        <f>OBRA!N756</f>
        <v>0</v>
      </c>
      <c r="K758" s="597"/>
      <c r="L758" s="597"/>
      <c r="M758" s="3">
        <f>OBRA!O756</f>
        <v>0</v>
      </c>
      <c r="N758" s="3"/>
      <c r="O758" s="4">
        <f>OBRA!P756</f>
        <v>0</v>
      </c>
      <c r="P758" s="1208">
        <f t="shared" si="59"/>
        <v>0</v>
      </c>
      <c r="Q758" s="1208"/>
      <c r="R758" s="6">
        <f>OBRA!Q756</f>
        <v>0</v>
      </c>
      <c r="S758" s="1327">
        <f>OBRA!T756</f>
        <v>0</v>
      </c>
      <c r="T758" s="5">
        <f>OBRA!R756</f>
        <v>0</v>
      </c>
      <c r="U758" s="12">
        <f>OBRA!S756</f>
        <v>0</v>
      </c>
      <c r="V758" s="305"/>
      <c r="W758" s="1207">
        <f>OBRA!AQ756+OBRA!AR756</f>
        <v>0</v>
      </c>
      <c r="X758" s="1202"/>
      <c r="Y758" s="639">
        <f>OBRA!U756</f>
        <v>0</v>
      </c>
      <c r="Z758" s="639"/>
      <c r="AA758" s="640">
        <f t="shared" si="61"/>
        <v>0</v>
      </c>
      <c r="AB758" s="1372"/>
      <c r="AC758" s="1373"/>
      <c r="AD758" s="608">
        <f>OBRA!V756</f>
        <v>0</v>
      </c>
      <c r="AE758" s="169"/>
      <c r="AF758" s="560"/>
      <c r="AG758" s="720" t="e">
        <f t="shared" si="60"/>
        <v>#DIV/0!</v>
      </c>
      <c r="AH758" s="560"/>
      <c r="AI758" s="556"/>
      <c r="AJ758" s="556"/>
      <c r="AK758" s="721"/>
      <c r="AL758" s="1806"/>
      <c r="AM758" s="631"/>
      <c r="AN758" s="631"/>
      <c r="AO758" s="631"/>
      <c r="AP758" s="556"/>
      <c r="AQ758" s="561"/>
      <c r="AR758" s="556"/>
      <c r="AS758" s="556"/>
      <c r="AT758" s="556"/>
      <c r="AU758" s="556"/>
      <c r="AV758" s="35"/>
      <c r="AW758" s="13"/>
    </row>
    <row r="759" spans="1:49" ht="15" hidden="1" customHeight="1">
      <c r="A759" s="17">
        <f>OBRA!I757</f>
        <v>0</v>
      </c>
      <c r="B759" s="895" t="s">
        <v>3989</v>
      </c>
      <c r="C759" s="25"/>
      <c r="D759" s="25"/>
      <c r="E759" s="2">
        <f>OBRA!K757</f>
        <v>0</v>
      </c>
      <c r="F759" s="561"/>
      <c r="G759" s="2020"/>
      <c r="H759" s="13">
        <f>OBRA!L757</f>
        <v>0</v>
      </c>
      <c r="I759" s="2">
        <f>OBRA!M757</f>
        <v>0</v>
      </c>
      <c r="J759" s="3">
        <f>OBRA!N757</f>
        <v>0</v>
      </c>
      <c r="K759" s="597"/>
      <c r="L759" s="597"/>
      <c r="M759" s="3">
        <f>OBRA!O757</f>
        <v>0</v>
      </c>
      <c r="N759" s="3"/>
      <c r="O759" s="4">
        <f>OBRA!P757</f>
        <v>0</v>
      </c>
      <c r="P759" s="1208">
        <f t="shared" si="59"/>
        <v>0</v>
      </c>
      <c r="Q759" s="1208"/>
      <c r="R759" s="6">
        <f>OBRA!Q757</f>
        <v>0</v>
      </c>
      <c r="S759" s="1327">
        <f>OBRA!T757</f>
        <v>0</v>
      </c>
      <c r="T759" s="5">
        <f>OBRA!R757</f>
        <v>0</v>
      </c>
      <c r="U759" s="12">
        <f>OBRA!S757</f>
        <v>0</v>
      </c>
      <c r="V759" s="305"/>
      <c r="W759" s="1207">
        <f>OBRA!AQ757+OBRA!AR757</f>
        <v>0</v>
      </c>
      <c r="X759" s="1202"/>
      <c r="Y759" s="639">
        <f>OBRA!U757</f>
        <v>0</v>
      </c>
      <c r="Z759" s="639"/>
      <c r="AA759" s="640">
        <f t="shared" si="61"/>
        <v>0</v>
      </c>
      <c r="AB759" s="1372"/>
      <c r="AC759" s="1373"/>
      <c r="AD759" s="608">
        <f>OBRA!V757</f>
        <v>0</v>
      </c>
      <c r="AE759" s="169"/>
      <c r="AF759" s="560"/>
      <c r="AG759" s="720" t="e">
        <f t="shared" si="60"/>
        <v>#DIV/0!</v>
      </c>
      <c r="AH759" s="560"/>
      <c r="AI759" s="556"/>
      <c r="AJ759" s="556"/>
      <c r="AK759" s="721"/>
      <c r="AL759" s="1806"/>
      <c r="AM759" s="631"/>
      <c r="AN759" s="631"/>
      <c r="AO759" s="631"/>
      <c r="AP759" s="556"/>
      <c r="AQ759" s="561"/>
      <c r="AR759" s="556"/>
      <c r="AS759" s="556"/>
      <c r="AT759" s="556"/>
      <c r="AU759" s="556"/>
      <c r="AV759" s="35"/>
      <c r="AW759" s="13"/>
    </row>
    <row r="760" spans="1:49" ht="15" hidden="1" customHeight="1">
      <c r="A760" s="17">
        <f>OBRA!I758</f>
        <v>0</v>
      </c>
      <c r="B760" s="895" t="s">
        <v>3989</v>
      </c>
      <c r="C760" s="25"/>
      <c r="D760" s="25"/>
      <c r="E760" s="2">
        <f>OBRA!K758</f>
        <v>0</v>
      </c>
      <c r="F760" s="561"/>
      <c r="G760" s="2020"/>
      <c r="H760" s="13">
        <f>OBRA!L758</f>
        <v>0</v>
      </c>
      <c r="I760" s="2">
        <f>OBRA!M758</f>
        <v>0</v>
      </c>
      <c r="J760" s="3">
        <f>OBRA!N758</f>
        <v>0</v>
      </c>
      <c r="K760" s="597"/>
      <c r="L760" s="597"/>
      <c r="M760" s="3">
        <f>OBRA!O758</f>
        <v>0</v>
      </c>
      <c r="N760" s="3"/>
      <c r="O760" s="4">
        <f>OBRA!P758</f>
        <v>0</v>
      </c>
      <c r="P760" s="1208">
        <f t="shared" si="59"/>
        <v>0</v>
      </c>
      <c r="Q760" s="1208"/>
      <c r="R760" s="6">
        <f>OBRA!Q758</f>
        <v>0</v>
      </c>
      <c r="S760" s="1327">
        <f>OBRA!T758</f>
        <v>0</v>
      </c>
      <c r="T760" s="5">
        <f>OBRA!R758</f>
        <v>0</v>
      </c>
      <c r="U760" s="12">
        <f>OBRA!S758</f>
        <v>0</v>
      </c>
      <c r="V760" s="305"/>
      <c r="W760" s="1207">
        <f>OBRA!AQ758+OBRA!AR758</f>
        <v>0</v>
      </c>
      <c r="X760" s="1202"/>
      <c r="Y760" s="639">
        <f>OBRA!U758</f>
        <v>0</v>
      </c>
      <c r="Z760" s="639"/>
      <c r="AA760" s="640">
        <f t="shared" si="61"/>
        <v>0</v>
      </c>
      <c r="AB760" s="1372"/>
      <c r="AC760" s="1373"/>
      <c r="AD760" s="608">
        <f>OBRA!V758</f>
        <v>0</v>
      </c>
      <c r="AE760" s="169"/>
      <c r="AF760" s="560"/>
      <c r="AG760" s="720" t="e">
        <f t="shared" si="60"/>
        <v>#DIV/0!</v>
      </c>
      <c r="AH760" s="560"/>
      <c r="AI760" s="556"/>
      <c r="AJ760" s="556"/>
      <c r="AK760" s="721"/>
      <c r="AL760" s="1806"/>
      <c r="AM760" s="631"/>
      <c r="AN760" s="631"/>
      <c r="AO760" s="631"/>
      <c r="AP760" s="556"/>
      <c r="AQ760" s="561"/>
      <c r="AR760" s="556"/>
      <c r="AS760" s="556"/>
      <c r="AT760" s="556"/>
      <c r="AU760" s="556"/>
      <c r="AV760" s="35"/>
      <c r="AW760" s="13"/>
    </row>
    <row r="761" spans="1:49" ht="15" hidden="1" customHeight="1">
      <c r="A761" s="17">
        <f>OBRA!I759</f>
        <v>0</v>
      </c>
      <c r="B761" s="895" t="s">
        <v>3989</v>
      </c>
      <c r="C761" s="25"/>
      <c r="D761" s="25"/>
      <c r="E761" s="2">
        <f>OBRA!K759</f>
        <v>0</v>
      </c>
      <c r="F761" s="561"/>
      <c r="G761" s="2020"/>
      <c r="H761" s="13">
        <f>OBRA!L759</f>
        <v>0</v>
      </c>
      <c r="I761" s="2">
        <f>OBRA!M759</f>
        <v>0</v>
      </c>
      <c r="J761" s="3">
        <f>OBRA!N759</f>
        <v>0</v>
      </c>
      <c r="K761" s="597"/>
      <c r="L761" s="597"/>
      <c r="M761" s="3">
        <f>OBRA!O759</f>
        <v>0</v>
      </c>
      <c r="N761" s="3"/>
      <c r="O761" s="4">
        <f>OBRA!P759</f>
        <v>0</v>
      </c>
      <c r="P761" s="1208">
        <f t="shared" si="59"/>
        <v>0</v>
      </c>
      <c r="Q761" s="1208"/>
      <c r="R761" s="6">
        <f>OBRA!Q759</f>
        <v>0</v>
      </c>
      <c r="S761" s="1327">
        <f>OBRA!T759</f>
        <v>0</v>
      </c>
      <c r="T761" s="5">
        <f>OBRA!R759</f>
        <v>0</v>
      </c>
      <c r="U761" s="12">
        <f>OBRA!S759</f>
        <v>0</v>
      </c>
      <c r="V761" s="305"/>
      <c r="W761" s="1207">
        <f>OBRA!AQ759+OBRA!AR759</f>
        <v>0</v>
      </c>
      <c r="X761" s="1202"/>
      <c r="Y761" s="639">
        <f>OBRA!U759</f>
        <v>0</v>
      </c>
      <c r="Z761" s="639"/>
      <c r="AA761" s="640">
        <f t="shared" si="61"/>
        <v>0</v>
      </c>
      <c r="AB761" s="1372"/>
      <c r="AC761" s="1373"/>
      <c r="AD761" s="608">
        <f>OBRA!V759</f>
        <v>0</v>
      </c>
      <c r="AE761" s="169"/>
      <c r="AF761" s="560"/>
      <c r="AG761" s="720" t="e">
        <f t="shared" si="60"/>
        <v>#DIV/0!</v>
      </c>
      <c r="AH761" s="560"/>
      <c r="AI761" s="556"/>
      <c r="AJ761" s="556"/>
      <c r="AK761" s="721"/>
      <c r="AL761" s="1806"/>
      <c r="AM761" s="631"/>
      <c r="AN761" s="631"/>
      <c r="AO761" s="631"/>
      <c r="AP761" s="556"/>
      <c r="AQ761" s="561"/>
      <c r="AR761" s="556"/>
      <c r="AS761" s="556"/>
      <c r="AT761" s="556"/>
      <c r="AU761" s="556"/>
      <c r="AV761" s="35"/>
      <c r="AW761" s="13"/>
    </row>
    <row r="762" spans="1:49" ht="15" hidden="1" customHeight="1">
      <c r="A762" s="17">
        <f>OBRA!I760</f>
        <v>0</v>
      </c>
      <c r="B762" s="895" t="s">
        <v>3989</v>
      </c>
      <c r="C762" s="25"/>
      <c r="D762" s="25"/>
      <c r="E762" s="2">
        <f>OBRA!K760</f>
        <v>0</v>
      </c>
      <c r="F762" s="561"/>
      <c r="G762" s="2020"/>
      <c r="H762" s="13">
        <f>OBRA!L760</f>
        <v>0</v>
      </c>
      <c r="I762" s="2">
        <f>OBRA!M760</f>
        <v>0</v>
      </c>
      <c r="J762" s="3">
        <f>OBRA!N760</f>
        <v>0</v>
      </c>
      <c r="K762" s="597"/>
      <c r="L762" s="597"/>
      <c r="M762" s="3">
        <f>OBRA!O760</f>
        <v>0</v>
      </c>
      <c r="N762" s="3"/>
      <c r="O762" s="4">
        <f>OBRA!P760</f>
        <v>0</v>
      </c>
      <c r="P762" s="1208">
        <f t="shared" si="59"/>
        <v>0</v>
      </c>
      <c r="Q762" s="1208"/>
      <c r="R762" s="6">
        <f>OBRA!Q760</f>
        <v>0</v>
      </c>
      <c r="S762" s="1327">
        <f>OBRA!T760</f>
        <v>0</v>
      </c>
      <c r="T762" s="5">
        <f>OBRA!R760</f>
        <v>0</v>
      </c>
      <c r="U762" s="12">
        <f>OBRA!S760</f>
        <v>0</v>
      </c>
      <c r="V762" s="305"/>
      <c r="W762" s="1207">
        <f>OBRA!AQ760+OBRA!AR760</f>
        <v>0</v>
      </c>
      <c r="X762" s="1202"/>
      <c r="Y762" s="639">
        <f>OBRA!U760</f>
        <v>0</v>
      </c>
      <c r="Z762" s="639"/>
      <c r="AA762" s="640">
        <f t="shared" si="61"/>
        <v>0</v>
      </c>
      <c r="AB762" s="1372"/>
      <c r="AC762" s="1373"/>
      <c r="AD762" s="608">
        <f>OBRA!V760</f>
        <v>0</v>
      </c>
      <c r="AE762" s="169"/>
      <c r="AF762" s="560"/>
      <c r="AG762" s="720" t="e">
        <f t="shared" si="60"/>
        <v>#DIV/0!</v>
      </c>
      <c r="AH762" s="560"/>
      <c r="AI762" s="556"/>
      <c r="AJ762" s="556"/>
      <c r="AK762" s="721"/>
      <c r="AL762" s="1806"/>
      <c r="AM762" s="631"/>
      <c r="AN762" s="631"/>
      <c r="AO762" s="631"/>
      <c r="AP762" s="556"/>
      <c r="AQ762" s="561"/>
      <c r="AR762" s="556"/>
      <c r="AS762" s="556"/>
      <c r="AT762" s="556"/>
      <c r="AU762" s="556"/>
      <c r="AV762" s="35"/>
      <c r="AW762" s="13"/>
    </row>
    <row r="763" spans="1:49" ht="15" hidden="1" customHeight="1">
      <c r="A763" s="17">
        <f>OBRA!I761</f>
        <v>0</v>
      </c>
      <c r="B763" s="895" t="s">
        <v>3989</v>
      </c>
      <c r="C763" s="25"/>
      <c r="D763" s="25"/>
      <c r="E763" s="2">
        <f>OBRA!K761</f>
        <v>0</v>
      </c>
      <c r="F763" s="561"/>
      <c r="G763" s="2020"/>
      <c r="H763" s="13">
        <f>OBRA!L761</f>
        <v>0</v>
      </c>
      <c r="I763" s="2">
        <f>OBRA!M761</f>
        <v>0</v>
      </c>
      <c r="J763" s="3">
        <f>OBRA!N761</f>
        <v>0</v>
      </c>
      <c r="K763" s="597"/>
      <c r="L763" s="597"/>
      <c r="M763" s="3">
        <f>OBRA!O761</f>
        <v>0</v>
      </c>
      <c r="N763" s="3"/>
      <c r="O763" s="4">
        <f>OBRA!P761</f>
        <v>0</v>
      </c>
      <c r="P763" s="1208">
        <f t="shared" si="59"/>
        <v>0</v>
      </c>
      <c r="Q763" s="1208"/>
      <c r="R763" s="6">
        <f>OBRA!Q761</f>
        <v>0</v>
      </c>
      <c r="S763" s="1327">
        <f>OBRA!T761</f>
        <v>0</v>
      </c>
      <c r="T763" s="5">
        <f>OBRA!R761</f>
        <v>0</v>
      </c>
      <c r="U763" s="12">
        <f>OBRA!S761</f>
        <v>0</v>
      </c>
      <c r="V763" s="305"/>
      <c r="W763" s="1207">
        <f>OBRA!AQ761+OBRA!AR761</f>
        <v>0</v>
      </c>
      <c r="X763" s="1202"/>
      <c r="Y763" s="639">
        <f>OBRA!U761</f>
        <v>0</v>
      </c>
      <c r="Z763" s="639"/>
      <c r="AA763" s="640">
        <f t="shared" si="61"/>
        <v>0</v>
      </c>
      <c r="AB763" s="1372"/>
      <c r="AC763" s="1373"/>
      <c r="AD763" s="608">
        <f>OBRA!V761</f>
        <v>0</v>
      </c>
      <c r="AE763" s="169"/>
      <c r="AF763" s="560"/>
      <c r="AG763" s="720" t="e">
        <f t="shared" si="60"/>
        <v>#DIV/0!</v>
      </c>
      <c r="AH763" s="560"/>
      <c r="AI763" s="556"/>
      <c r="AJ763" s="556"/>
      <c r="AK763" s="721"/>
      <c r="AL763" s="1806"/>
      <c r="AM763" s="631"/>
      <c r="AN763" s="631"/>
      <c r="AO763" s="631"/>
      <c r="AP763" s="556"/>
      <c r="AQ763" s="561"/>
      <c r="AR763" s="556"/>
      <c r="AS763" s="556"/>
      <c r="AT763" s="556"/>
      <c r="AU763" s="556"/>
      <c r="AV763" s="35"/>
      <c r="AW763" s="13"/>
    </row>
    <row r="764" spans="1:49" ht="15" hidden="1" customHeight="1">
      <c r="A764" s="17">
        <f>OBRA!I762</f>
        <v>0</v>
      </c>
      <c r="B764" s="895" t="s">
        <v>3989</v>
      </c>
      <c r="C764" s="25"/>
      <c r="D764" s="25"/>
      <c r="E764" s="2">
        <f>OBRA!K762</f>
        <v>0</v>
      </c>
      <c r="F764" s="561"/>
      <c r="G764" s="2020"/>
      <c r="H764" s="13">
        <f>OBRA!L762</f>
        <v>0</v>
      </c>
      <c r="I764" s="2">
        <f>OBRA!M762</f>
        <v>0</v>
      </c>
      <c r="J764" s="3">
        <f>OBRA!N762</f>
        <v>0</v>
      </c>
      <c r="K764" s="597"/>
      <c r="L764" s="597"/>
      <c r="M764" s="3">
        <f>OBRA!O762</f>
        <v>0</v>
      </c>
      <c r="N764" s="3"/>
      <c r="O764" s="4">
        <f>OBRA!P762</f>
        <v>0</v>
      </c>
      <c r="P764" s="1208">
        <f t="shared" si="59"/>
        <v>0</v>
      </c>
      <c r="Q764" s="1208"/>
      <c r="R764" s="6">
        <f>OBRA!Q762</f>
        <v>0</v>
      </c>
      <c r="S764" s="1327">
        <f>OBRA!T762</f>
        <v>0</v>
      </c>
      <c r="T764" s="5">
        <f>OBRA!R762</f>
        <v>0</v>
      </c>
      <c r="U764" s="12">
        <f>OBRA!S762</f>
        <v>0</v>
      </c>
      <c r="V764" s="305"/>
      <c r="W764" s="1207">
        <f>OBRA!AQ762+OBRA!AR762</f>
        <v>0</v>
      </c>
      <c r="X764" s="1202"/>
      <c r="Y764" s="639">
        <f>OBRA!U762</f>
        <v>0</v>
      </c>
      <c r="Z764" s="639"/>
      <c r="AA764" s="640">
        <f t="shared" si="61"/>
        <v>0</v>
      </c>
      <c r="AB764" s="1372"/>
      <c r="AC764" s="1373"/>
      <c r="AD764" s="608">
        <f>OBRA!V762</f>
        <v>0</v>
      </c>
      <c r="AE764" s="169"/>
      <c r="AF764" s="560"/>
      <c r="AG764" s="720" t="e">
        <f t="shared" si="60"/>
        <v>#DIV/0!</v>
      </c>
      <c r="AH764" s="560"/>
      <c r="AI764" s="556"/>
      <c r="AJ764" s="556"/>
      <c r="AK764" s="721"/>
      <c r="AL764" s="1806"/>
      <c r="AM764" s="631"/>
      <c r="AN764" s="631"/>
      <c r="AO764" s="631"/>
      <c r="AP764" s="556"/>
      <c r="AQ764" s="561"/>
      <c r="AR764" s="556"/>
      <c r="AS764" s="556"/>
      <c r="AT764" s="556"/>
      <c r="AU764" s="556"/>
      <c r="AV764" s="35"/>
      <c r="AW764" s="13"/>
    </row>
    <row r="765" spans="1:49" ht="15" hidden="1" customHeight="1">
      <c r="A765" s="17">
        <f>OBRA!I763</f>
        <v>0</v>
      </c>
      <c r="B765" s="895" t="s">
        <v>3989</v>
      </c>
      <c r="C765" s="25"/>
      <c r="D765" s="25"/>
      <c r="E765" s="2">
        <f>OBRA!K763</f>
        <v>0</v>
      </c>
      <c r="F765" s="561"/>
      <c r="G765" s="2020"/>
      <c r="H765" s="13">
        <f>OBRA!L763</f>
        <v>0</v>
      </c>
      <c r="I765" s="2">
        <f>OBRA!M763</f>
        <v>0</v>
      </c>
      <c r="J765" s="3">
        <f>OBRA!N763</f>
        <v>0</v>
      </c>
      <c r="K765" s="597"/>
      <c r="L765" s="597"/>
      <c r="M765" s="3">
        <f>OBRA!O763</f>
        <v>0</v>
      </c>
      <c r="N765" s="3"/>
      <c r="O765" s="4">
        <f>OBRA!P763</f>
        <v>0</v>
      </c>
      <c r="P765" s="1208">
        <f t="shared" si="59"/>
        <v>0</v>
      </c>
      <c r="Q765" s="1208"/>
      <c r="R765" s="6">
        <f>OBRA!Q763</f>
        <v>0</v>
      </c>
      <c r="S765" s="1327">
        <f>OBRA!T763</f>
        <v>0</v>
      </c>
      <c r="T765" s="5">
        <f>OBRA!R763</f>
        <v>0</v>
      </c>
      <c r="U765" s="12">
        <f>OBRA!S763</f>
        <v>0</v>
      </c>
      <c r="V765" s="305"/>
      <c r="W765" s="1207">
        <f>OBRA!AQ763+OBRA!AR763</f>
        <v>0</v>
      </c>
      <c r="X765" s="1202"/>
      <c r="Y765" s="639">
        <f>OBRA!U763</f>
        <v>0</v>
      </c>
      <c r="Z765" s="639"/>
      <c r="AA765" s="640">
        <f t="shared" si="61"/>
        <v>0</v>
      </c>
      <c r="AB765" s="1372"/>
      <c r="AC765" s="1373"/>
      <c r="AD765" s="608">
        <f>OBRA!V763</f>
        <v>0</v>
      </c>
      <c r="AE765" s="169"/>
      <c r="AF765" s="560"/>
      <c r="AG765" s="720" t="e">
        <f t="shared" si="60"/>
        <v>#DIV/0!</v>
      </c>
      <c r="AH765" s="560"/>
      <c r="AI765" s="556"/>
      <c r="AJ765" s="556"/>
      <c r="AK765" s="721"/>
      <c r="AL765" s="1806"/>
      <c r="AM765" s="631"/>
      <c r="AN765" s="631"/>
      <c r="AO765" s="631"/>
      <c r="AP765" s="556"/>
      <c r="AQ765" s="561"/>
      <c r="AR765" s="556"/>
      <c r="AS765" s="556"/>
      <c r="AT765" s="556"/>
      <c r="AU765" s="556"/>
      <c r="AV765" s="35"/>
      <c r="AW765" s="13"/>
    </row>
    <row r="766" spans="1:49" ht="15" hidden="1" customHeight="1">
      <c r="A766" s="17">
        <f>OBRA!I764</f>
        <v>0</v>
      </c>
      <c r="B766" s="895" t="s">
        <v>3989</v>
      </c>
      <c r="C766" s="25"/>
      <c r="D766" s="25"/>
      <c r="E766" s="2">
        <f>OBRA!K764</f>
        <v>0</v>
      </c>
      <c r="F766" s="561"/>
      <c r="G766" s="2020"/>
      <c r="H766" s="13">
        <f>OBRA!L764</f>
        <v>0</v>
      </c>
      <c r="I766" s="2">
        <f>OBRA!M764</f>
        <v>0</v>
      </c>
      <c r="J766" s="3">
        <f>OBRA!N764</f>
        <v>0</v>
      </c>
      <c r="K766" s="597"/>
      <c r="L766" s="597"/>
      <c r="M766" s="3">
        <f>OBRA!O764</f>
        <v>0</v>
      </c>
      <c r="N766" s="3"/>
      <c r="O766" s="4">
        <f>OBRA!P764</f>
        <v>0</v>
      </c>
      <c r="P766" s="1208">
        <f t="shared" si="59"/>
        <v>0</v>
      </c>
      <c r="Q766" s="1208"/>
      <c r="R766" s="6">
        <f>OBRA!Q764</f>
        <v>0</v>
      </c>
      <c r="S766" s="1327">
        <f>OBRA!T764</f>
        <v>0</v>
      </c>
      <c r="T766" s="5">
        <f>OBRA!R764</f>
        <v>0</v>
      </c>
      <c r="U766" s="12">
        <f>OBRA!S764</f>
        <v>0</v>
      </c>
      <c r="V766" s="305"/>
      <c r="W766" s="1207">
        <f>OBRA!AQ764+OBRA!AR764</f>
        <v>0</v>
      </c>
      <c r="X766" s="1202"/>
      <c r="Y766" s="639">
        <f>OBRA!U764</f>
        <v>0</v>
      </c>
      <c r="Z766" s="639"/>
      <c r="AA766" s="640">
        <f t="shared" si="61"/>
        <v>0</v>
      </c>
      <c r="AB766" s="1372"/>
      <c r="AC766" s="1373"/>
      <c r="AD766" s="608">
        <f>OBRA!V764</f>
        <v>0</v>
      </c>
      <c r="AE766" s="169"/>
      <c r="AF766" s="560"/>
      <c r="AG766" s="720" t="e">
        <f t="shared" si="60"/>
        <v>#DIV/0!</v>
      </c>
      <c r="AH766" s="560"/>
      <c r="AI766" s="556"/>
      <c r="AJ766" s="556"/>
      <c r="AK766" s="721"/>
      <c r="AL766" s="1806"/>
      <c r="AM766" s="631"/>
      <c r="AN766" s="631"/>
      <c r="AO766" s="631"/>
      <c r="AP766" s="556"/>
      <c r="AQ766" s="561"/>
      <c r="AR766" s="556"/>
      <c r="AS766" s="556"/>
      <c r="AT766" s="556"/>
      <c r="AU766" s="556"/>
      <c r="AV766" s="35"/>
      <c r="AW766" s="13"/>
    </row>
    <row r="767" spans="1:49" ht="15" hidden="1" customHeight="1">
      <c r="A767" s="17">
        <f>OBRA!I765</f>
        <v>0</v>
      </c>
      <c r="B767" s="895" t="s">
        <v>3989</v>
      </c>
      <c r="C767" s="25"/>
      <c r="D767" s="25"/>
      <c r="E767" s="2">
        <f>OBRA!K765</f>
        <v>0</v>
      </c>
      <c r="F767" s="561"/>
      <c r="G767" s="2020"/>
      <c r="H767" s="13">
        <f>OBRA!L765</f>
        <v>0</v>
      </c>
      <c r="I767" s="2">
        <f>OBRA!M765</f>
        <v>0</v>
      </c>
      <c r="J767" s="3">
        <f>OBRA!N765</f>
        <v>0</v>
      </c>
      <c r="K767" s="597"/>
      <c r="L767" s="597"/>
      <c r="M767" s="3">
        <f>OBRA!O765</f>
        <v>0</v>
      </c>
      <c r="N767" s="3"/>
      <c r="O767" s="4">
        <f>OBRA!P765</f>
        <v>0</v>
      </c>
      <c r="P767" s="1208">
        <f t="shared" si="59"/>
        <v>0</v>
      </c>
      <c r="Q767" s="1208"/>
      <c r="R767" s="6">
        <f>OBRA!Q765</f>
        <v>0</v>
      </c>
      <c r="S767" s="1327">
        <f>OBRA!T765</f>
        <v>0</v>
      </c>
      <c r="T767" s="5">
        <f>OBRA!R765</f>
        <v>0</v>
      </c>
      <c r="U767" s="12">
        <f>OBRA!S765</f>
        <v>0</v>
      </c>
      <c r="V767" s="305"/>
      <c r="W767" s="1207">
        <f>OBRA!AQ765+OBRA!AR765</f>
        <v>0</v>
      </c>
      <c r="X767" s="1202"/>
      <c r="Y767" s="639">
        <f>OBRA!U765</f>
        <v>0</v>
      </c>
      <c r="Z767" s="639"/>
      <c r="AA767" s="640">
        <f t="shared" si="61"/>
        <v>0</v>
      </c>
      <c r="AB767" s="1372"/>
      <c r="AC767" s="1373"/>
      <c r="AD767" s="608">
        <f>OBRA!V765</f>
        <v>0</v>
      </c>
      <c r="AE767" s="169"/>
      <c r="AF767" s="560"/>
      <c r="AG767" s="720" t="e">
        <f t="shared" si="60"/>
        <v>#DIV/0!</v>
      </c>
      <c r="AH767" s="560"/>
      <c r="AI767" s="556"/>
      <c r="AJ767" s="556"/>
      <c r="AK767" s="721"/>
      <c r="AL767" s="1806"/>
      <c r="AM767" s="631"/>
      <c r="AN767" s="631"/>
      <c r="AO767" s="631"/>
      <c r="AP767" s="556"/>
      <c r="AQ767" s="561"/>
      <c r="AR767" s="556"/>
      <c r="AS767" s="556"/>
      <c r="AT767" s="556"/>
      <c r="AU767" s="556"/>
      <c r="AV767" s="35"/>
      <c r="AW767" s="13"/>
    </row>
    <row r="768" spans="1:49" ht="15" hidden="1" customHeight="1">
      <c r="A768" s="17">
        <f>OBRA!I766</f>
        <v>0</v>
      </c>
      <c r="B768" s="895" t="s">
        <v>3989</v>
      </c>
      <c r="C768" s="25"/>
      <c r="D768" s="25"/>
      <c r="E768" s="2">
        <f>OBRA!K766</f>
        <v>0</v>
      </c>
      <c r="F768" s="561"/>
      <c r="G768" s="2020"/>
      <c r="H768" s="13">
        <f>OBRA!L766</f>
        <v>0</v>
      </c>
      <c r="I768" s="2">
        <f>OBRA!M766</f>
        <v>0</v>
      </c>
      <c r="J768" s="3">
        <f>OBRA!N766</f>
        <v>0</v>
      </c>
      <c r="K768" s="597"/>
      <c r="L768" s="597"/>
      <c r="M768" s="3">
        <f>OBRA!O766</f>
        <v>0</v>
      </c>
      <c r="N768" s="3"/>
      <c r="O768" s="4">
        <f>OBRA!P766</f>
        <v>0</v>
      </c>
      <c r="P768" s="1208">
        <f t="shared" si="59"/>
        <v>0</v>
      </c>
      <c r="Q768" s="1208"/>
      <c r="R768" s="6">
        <f>OBRA!Q766</f>
        <v>0</v>
      </c>
      <c r="S768" s="1327">
        <f>OBRA!T766</f>
        <v>0</v>
      </c>
      <c r="T768" s="5">
        <f>OBRA!R766</f>
        <v>0</v>
      </c>
      <c r="U768" s="12">
        <f>OBRA!S766</f>
        <v>0</v>
      </c>
      <c r="V768" s="305"/>
      <c r="W768" s="1207">
        <f>OBRA!AQ766+OBRA!AR766</f>
        <v>0</v>
      </c>
      <c r="X768" s="1202"/>
      <c r="Y768" s="639">
        <f>OBRA!U766</f>
        <v>0</v>
      </c>
      <c r="Z768" s="639"/>
      <c r="AA768" s="640">
        <f t="shared" si="61"/>
        <v>0</v>
      </c>
      <c r="AB768" s="1372"/>
      <c r="AC768" s="1373"/>
      <c r="AD768" s="608">
        <f>OBRA!V766</f>
        <v>0</v>
      </c>
      <c r="AE768" s="169"/>
      <c r="AF768" s="560"/>
      <c r="AG768" s="720" t="e">
        <f t="shared" si="60"/>
        <v>#DIV/0!</v>
      </c>
      <c r="AH768" s="560"/>
      <c r="AI768" s="556"/>
      <c r="AJ768" s="556"/>
      <c r="AK768" s="721"/>
      <c r="AL768" s="1806"/>
      <c r="AM768" s="631"/>
      <c r="AN768" s="631"/>
      <c r="AO768" s="631"/>
      <c r="AP768" s="556"/>
      <c r="AQ768" s="561"/>
      <c r="AR768" s="556"/>
      <c r="AS768" s="556"/>
      <c r="AT768" s="556"/>
      <c r="AU768" s="556"/>
      <c r="AV768" s="35"/>
      <c r="AW768" s="13"/>
    </row>
    <row r="769" spans="1:49" ht="15" hidden="1" customHeight="1">
      <c r="A769" s="17">
        <f>OBRA!I767</f>
        <v>0</v>
      </c>
      <c r="B769" s="895" t="s">
        <v>3989</v>
      </c>
      <c r="C769" s="25"/>
      <c r="D769" s="25"/>
      <c r="E769" s="2">
        <f>OBRA!K767</f>
        <v>0</v>
      </c>
      <c r="F769" s="561"/>
      <c r="G769" s="2020"/>
      <c r="H769" s="13">
        <f>OBRA!L767</f>
        <v>0</v>
      </c>
      <c r="I769" s="2">
        <f>OBRA!M767</f>
        <v>0</v>
      </c>
      <c r="J769" s="3">
        <f>OBRA!N767</f>
        <v>0</v>
      </c>
      <c r="K769" s="597"/>
      <c r="L769" s="597"/>
      <c r="M769" s="3">
        <f>OBRA!O767</f>
        <v>0</v>
      </c>
      <c r="N769" s="3"/>
      <c r="O769" s="4">
        <f>OBRA!P767</f>
        <v>0</v>
      </c>
      <c r="P769" s="1208">
        <f t="shared" si="59"/>
        <v>0</v>
      </c>
      <c r="Q769" s="1208"/>
      <c r="R769" s="6">
        <f>OBRA!Q767</f>
        <v>0</v>
      </c>
      <c r="S769" s="1327">
        <f>OBRA!T767</f>
        <v>0</v>
      </c>
      <c r="T769" s="5">
        <f>OBRA!R767</f>
        <v>0</v>
      </c>
      <c r="U769" s="12">
        <f>OBRA!S767</f>
        <v>0</v>
      </c>
      <c r="V769" s="305"/>
      <c r="W769" s="1207">
        <f>OBRA!AQ767+OBRA!AR767</f>
        <v>0</v>
      </c>
      <c r="X769" s="1202"/>
      <c r="Y769" s="639">
        <f>OBRA!U767</f>
        <v>0</v>
      </c>
      <c r="Z769" s="639"/>
      <c r="AA769" s="640">
        <f t="shared" si="61"/>
        <v>0</v>
      </c>
      <c r="AB769" s="1372"/>
      <c r="AC769" s="1373"/>
      <c r="AD769" s="608">
        <f>OBRA!V767</f>
        <v>0</v>
      </c>
      <c r="AE769" s="169"/>
      <c r="AF769" s="560"/>
      <c r="AG769" s="720" t="e">
        <f t="shared" si="60"/>
        <v>#DIV/0!</v>
      </c>
      <c r="AH769" s="560"/>
      <c r="AI769" s="556"/>
      <c r="AJ769" s="556"/>
      <c r="AK769" s="721"/>
      <c r="AL769" s="1806"/>
      <c r="AM769" s="631"/>
      <c r="AN769" s="631"/>
      <c r="AO769" s="631"/>
      <c r="AP769" s="556"/>
      <c r="AQ769" s="561"/>
      <c r="AR769" s="556"/>
      <c r="AS769" s="556"/>
      <c r="AT769" s="556"/>
      <c r="AU769" s="556"/>
      <c r="AV769" s="35"/>
      <c r="AW769" s="13"/>
    </row>
    <row r="770" spans="1:49" ht="15" hidden="1" customHeight="1">
      <c r="A770" s="17">
        <f>OBRA!I768</f>
        <v>0</v>
      </c>
      <c r="B770" s="895" t="s">
        <v>3989</v>
      </c>
      <c r="C770" s="25"/>
      <c r="D770" s="25"/>
      <c r="E770" s="2">
        <f>OBRA!K768</f>
        <v>0</v>
      </c>
      <c r="F770" s="561"/>
      <c r="G770" s="2020"/>
      <c r="H770" s="13">
        <f>OBRA!L768</f>
        <v>0</v>
      </c>
      <c r="I770" s="2">
        <f>OBRA!M768</f>
        <v>0</v>
      </c>
      <c r="J770" s="3">
        <f>OBRA!N768</f>
        <v>0</v>
      </c>
      <c r="K770" s="597"/>
      <c r="L770" s="597"/>
      <c r="M770" s="3">
        <f>OBRA!O768</f>
        <v>0</v>
      </c>
      <c r="N770" s="3"/>
      <c r="O770" s="4">
        <f>OBRA!P768</f>
        <v>0</v>
      </c>
      <c r="P770" s="1208">
        <f t="shared" si="59"/>
        <v>0</v>
      </c>
      <c r="Q770" s="1208"/>
      <c r="R770" s="6">
        <f>OBRA!Q768</f>
        <v>0</v>
      </c>
      <c r="S770" s="1327">
        <f>OBRA!T768</f>
        <v>0</v>
      </c>
      <c r="T770" s="5">
        <f>OBRA!R768</f>
        <v>0</v>
      </c>
      <c r="U770" s="12">
        <f>OBRA!S768</f>
        <v>0</v>
      </c>
      <c r="V770" s="305"/>
      <c r="W770" s="1207">
        <f>OBRA!AQ768+OBRA!AR768</f>
        <v>0</v>
      </c>
      <c r="X770" s="1202"/>
      <c r="Y770" s="639">
        <f>OBRA!U768</f>
        <v>0</v>
      </c>
      <c r="Z770" s="639"/>
      <c r="AA770" s="640">
        <f t="shared" si="61"/>
        <v>0</v>
      </c>
      <c r="AB770" s="1372"/>
      <c r="AC770" s="1373"/>
      <c r="AD770" s="608">
        <f>OBRA!V768</f>
        <v>0</v>
      </c>
      <c r="AE770" s="169"/>
      <c r="AF770" s="560"/>
      <c r="AG770" s="720" t="e">
        <f t="shared" si="60"/>
        <v>#DIV/0!</v>
      </c>
      <c r="AH770" s="560"/>
      <c r="AI770" s="556"/>
      <c r="AJ770" s="556"/>
      <c r="AK770" s="721"/>
      <c r="AL770" s="1806"/>
      <c r="AM770" s="631"/>
      <c r="AN770" s="631"/>
      <c r="AO770" s="631"/>
      <c r="AP770" s="556"/>
      <c r="AQ770" s="561"/>
      <c r="AR770" s="556"/>
      <c r="AS770" s="556"/>
      <c r="AT770" s="556"/>
      <c r="AU770" s="556"/>
      <c r="AV770" s="35"/>
      <c r="AW770" s="13"/>
    </row>
    <row r="771" spans="1:49" ht="15" hidden="1" customHeight="1">
      <c r="A771" s="17">
        <f>OBRA!I769</f>
        <v>0</v>
      </c>
      <c r="B771" s="895" t="s">
        <v>3989</v>
      </c>
      <c r="C771" s="25"/>
      <c r="D771" s="25"/>
      <c r="E771" s="2">
        <f>OBRA!K769</f>
        <v>0</v>
      </c>
      <c r="F771" s="561"/>
      <c r="G771" s="2020"/>
      <c r="H771" s="13">
        <f>OBRA!L769</f>
        <v>0</v>
      </c>
      <c r="I771" s="2">
        <f>OBRA!M769</f>
        <v>0</v>
      </c>
      <c r="J771" s="3">
        <f>OBRA!N769</f>
        <v>0</v>
      </c>
      <c r="K771" s="597"/>
      <c r="L771" s="597"/>
      <c r="M771" s="3">
        <f>OBRA!O769</f>
        <v>0</v>
      </c>
      <c r="N771" s="3"/>
      <c r="O771" s="4">
        <f>OBRA!P769</f>
        <v>0</v>
      </c>
      <c r="P771" s="1208">
        <f t="shared" si="59"/>
        <v>0</v>
      </c>
      <c r="Q771" s="1208"/>
      <c r="R771" s="6">
        <f>OBRA!Q769</f>
        <v>0</v>
      </c>
      <c r="S771" s="1327">
        <f>OBRA!T769</f>
        <v>0</v>
      </c>
      <c r="T771" s="5">
        <f>OBRA!R769</f>
        <v>0</v>
      </c>
      <c r="U771" s="12">
        <f>OBRA!S769</f>
        <v>0</v>
      </c>
      <c r="V771" s="305"/>
      <c r="W771" s="1207">
        <f>OBRA!AQ769+OBRA!AR769</f>
        <v>0</v>
      </c>
      <c r="X771" s="1202"/>
      <c r="Y771" s="639">
        <f>OBRA!U769</f>
        <v>0</v>
      </c>
      <c r="Z771" s="639"/>
      <c r="AA771" s="640">
        <f t="shared" si="61"/>
        <v>0</v>
      </c>
      <c r="AB771" s="1372"/>
      <c r="AC771" s="1373"/>
      <c r="AD771" s="608">
        <f>OBRA!V769</f>
        <v>0</v>
      </c>
      <c r="AE771" s="169"/>
      <c r="AF771" s="560"/>
      <c r="AG771" s="720" t="e">
        <f t="shared" si="60"/>
        <v>#DIV/0!</v>
      </c>
      <c r="AH771" s="560"/>
      <c r="AI771" s="556"/>
      <c r="AJ771" s="556"/>
      <c r="AK771" s="721"/>
      <c r="AL771" s="1806"/>
      <c r="AM771" s="631"/>
      <c r="AN771" s="631"/>
      <c r="AO771" s="631"/>
      <c r="AP771" s="556"/>
      <c r="AQ771" s="561"/>
      <c r="AR771" s="556"/>
      <c r="AS771" s="556"/>
      <c r="AT771" s="556"/>
      <c r="AU771" s="556"/>
      <c r="AV771" s="35"/>
      <c r="AW771" s="13"/>
    </row>
    <row r="772" spans="1:49" ht="15" hidden="1" customHeight="1">
      <c r="A772" s="17">
        <f>OBRA!I770</f>
        <v>0</v>
      </c>
      <c r="B772" s="895" t="s">
        <v>3989</v>
      </c>
      <c r="C772" s="25"/>
      <c r="D772" s="25"/>
      <c r="E772" s="2">
        <f>OBRA!K770</f>
        <v>0</v>
      </c>
      <c r="F772" s="561"/>
      <c r="G772" s="2020"/>
      <c r="H772" s="13">
        <f>OBRA!L770</f>
        <v>0</v>
      </c>
      <c r="I772" s="2">
        <f>OBRA!M770</f>
        <v>0</v>
      </c>
      <c r="J772" s="3">
        <f>OBRA!N770</f>
        <v>0</v>
      </c>
      <c r="K772" s="597"/>
      <c r="L772" s="597"/>
      <c r="M772" s="3">
        <f>OBRA!O770</f>
        <v>0</v>
      </c>
      <c r="N772" s="3"/>
      <c r="O772" s="4">
        <f>OBRA!P770</f>
        <v>0</v>
      </c>
      <c r="P772" s="1208">
        <f t="shared" si="59"/>
        <v>0</v>
      </c>
      <c r="Q772" s="1208"/>
      <c r="R772" s="6">
        <f>OBRA!Q770</f>
        <v>0</v>
      </c>
      <c r="S772" s="1327">
        <f>OBRA!T770</f>
        <v>0</v>
      </c>
      <c r="T772" s="5">
        <f>OBRA!R770</f>
        <v>0</v>
      </c>
      <c r="U772" s="12">
        <f>OBRA!S770</f>
        <v>0</v>
      </c>
      <c r="V772" s="305"/>
      <c r="W772" s="1207">
        <f>OBRA!AQ770+OBRA!AR770</f>
        <v>0</v>
      </c>
      <c r="X772" s="1202"/>
      <c r="Y772" s="639">
        <f>OBRA!U770</f>
        <v>0</v>
      </c>
      <c r="Z772" s="639"/>
      <c r="AA772" s="640">
        <f t="shared" si="61"/>
        <v>0</v>
      </c>
      <c r="AB772" s="1372"/>
      <c r="AC772" s="1373"/>
      <c r="AD772" s="608">
        <f>OBRA!V770</f>
        <v>0</v>
      </c>
      <c r="AE772" s="169"/>
      <c r="AF772" s="560"/>
      <c r="AG772" s="720" t="e">
        <f t="shared" si="60"/>
        <v>#DIV/0!</v>
      </c>
      <c r="AH772" s="560"/>
      <c r="AI772" s="556"/>
      <c r="AJ772" s="556"/>
      <c r="AK772" s="721"/>
      <c r="AL772" s="1806"/>
      <c r="AM772" s="631"/>
      <c r="AN772" s="631"/>
      <c r="AO772" s="631"/>
      <c r="AP772" s="556"/>
      <c r="AQ772" s="561"/>
      <c r="AR772" s="556"/>
      <c r="AS772" s="556"/>
      <c r="AT772" s="556"/>
      <c r="AU772" s="556"/>
      <c r="AV772" s="35"/>
      <c r="AW772" s="13"/>
    </row>
    <row r="773" spans="1:49" ht="15" hidden="1" customHeight="1">
      <c r="A773" s="17">
        <f>OBRA!I771</f>
        <v>0</v>
      </c>
      <c r="B773" s="895" t="s">
        <v>3989</v>
      </c>
      <c r="C773" s="25"/>
      <c r="D773" s="25"/>
      <c r="E773" s="2">
        <f>OBRA!K771</f>
        <v>0</v>
      </c>
      <c r="F773" s="561"/>
      <c r="G773" s="2020"/>
      <c r="H773" s="13">
        <f>OBRA!L771</f>
        <v>0</v>
      </c>
      <c r="I773" s="2">
        <f>OBRA!M771</f>
        <v>0</v>
      </c>
      <c r="J773" s="3">
        <f>OBRA!N771</f>
        <v>0</v>
      </c>
      <c r="K773" s="597"/>
      <c r="L773" s="597"/>
      <c r="M773" s="3">
        <f>OBRA!O771</f>
        <v>0</v>
      </c>
      <c r="N773" s="3"/>
      <c r="O773" s="4">
        <f>OBRA!P771</f>
        <v>0</v>
      </c>
      <c r="P773" s="1208">
        <f t="shared" si="59"/>
        <v>0</v>
      </c>
      <c r="Q773" s="1208"/>
      <c r="R773" s="6">
        <f>OBRA!Q771</f>
        <v>0</v>
      </c>
      <c r="S773" s="1327">
        <f>OBRA!T771</f>
        <v>0</v>
      </c>
      <c r="T773" s="5">
        <f>OBRA!R771</f>
        <v>0</v>
      </c>
      <c r="U773" s="12">
        <f>OBRA!S771</f>
        <v>0</v>
      </c>
      <c r="V773" s="305"/>
      <c r="W773" s="1207">
        <f>OBRA!AQ771+OBRA!AR771</f>
        <v>0</v>
      </c>
      <c r="X773" s="1202"/>
      <c r="Y773" s="639">
        <f>OBRA!U771</f>
        <v>0</v>
      </c>
      <c r="Z773" s="639"/>
      <c r="AA773" s="640">
        <f t="shared" si="61"/>
        <v>0</v>
      </c>
      <c r="AB773" s="1372"/>
      <c r="AC773" s="1373"/>
      <c r="AD773" s="608">
        <f>OBRA!V771</f>
        <v>0</v>
      </c>
      <c r="AE773" s="169"/>
      <c r="AF773" s="560"/>
      <c r="AG773" s="720" t="e">
        <f t="shared" si="60"/>
        <v>#DIV/0!</v>
      </c>
      <c r="AH773" s="560"/>
      <c r="AI773" s="556"/>
      <c r="AJ773" s="556"/>
      <c r="AK773" s="721"/>
      <c r="AL773" s="1806"/>
      <c r="AM773" s="631"/>
      <c r="AN773" s="631"/>
      <c r="AO773" s="631"/>
      <c r="AP773" s="556"/>
      <c r="AQ773" s="561"/>
      <c r="AR773" s="556"/>
      <c r="AS773" s="556"/>
      <c r="AT773" s="556"/>
      <c r="AU773" s="556"/>
      <c r="AV773" s="35"/>
      <c r="AW773" s="13"/>
    </row>
    <row r="774" spans="1:49" ht="15" hidden="1" customHeight="1">
      <c r="A774" s="17">
        <f>OBRA!I772</f>
        <v>0</v>
      </c>
      <c r="B774" s="895" t="s">
        <v>3989</v>
      </c>
      <c r="C774" s="25"/>
      <c r="D774" s="25"/>
      <c r="E774" s="2">
        <f>OBRA!K772</f>
        <v>0</v>
      </c>
      <c r="F774" s="561"/>
      <c r="G774" s="2020"/>
      <c r="H774" s="13">
        <f>OBRA!L772</f>
        <v>0</v>
      </c>
      <c r="I774" s="2">
        <f>OBRA!M772</f>
        <v>0</v>
      </c>
      <c r="J774" s="3">
        <f>OBRA!N772</f>
        <v>0</v>
      </c>
      <c r="K774" s="597"/>
      <c r="L774" s="597"/>
      <c r="M774" s="3">
        <f>OBRA!O772</f>
        <v>0</v>
      </c>
      <c r="N774" s="3"/>
      <c r="O774" s="4">
        <f>OBRA!P772</f>
        <v>0</v>
      </c>
      <c r="P774" s="1208">
        <f t="shared" si="59"/>
        <v>0</v>
      </c>
      <c r="Q774" s="1208"/>
      <c r="R774" s="6">
        <f>OBRA!Q772</f>
        <v>0</v>
      </c>
      <c r="S774" s="1327">
        <f>OBRA!T772</f>
        <v>0</v>
      </c>
      <c r="T774" s="5">
        <f>OBRA!R772</f>
        <v>0</v>
      </c>
      <c r="U774" s="12">
        <f>OBRA!S772</f>
        <v>0</v>
      </c>
      <c r="V774" s="305"/>
      <c r="W774" s="1207">
        <f>OBRA!AQ772+OBRA!AR772</f>
        <v>0</v>
      </c>
      <c r="X774" s="1202"/>
      <c r="Y774" s="639">
        <f>OBRA!U772</f>
        <v>0</v>
      </c>
      <c r="Z774" s="639"/>
      <c r="AA774" s="640">
        <f t="shared" si="61"/>
        <v>0</v>
      </c>
      <c r="AB774" s="1372"/>
      <c r="AC774" s="1373"/>
      <c r="AD774" s="608">
        <f>OBRA!V772</f>
        <v>0</v>
      </c>
      <c r="AE774" s="169"/>
      <c r="AF774" s="560"/>
      <c r="AG774" s="720" t="e">
        <f t="shared" si="60"/>
        <v>#DIV/0!</v>
      </c>
      <c r="AH774" s="560"/>
      <c r="AI774" s="556"/>
      <c r="AJ774" s="556"/>
      <c r="AK774" s="721"/>
      <c r="AL774" s="1806"/>
      <c r="AM774" s="631"/>
      <c r="AN774" s="631"/>
      <c r="AO774" s="631"/>
      <c r="AP774" s="556"/>
      <c r="AQ774" s="561"/>
      <c r="AR774" s="556"/>
      <c r="AS774" s="556"/>
      <c r="AT774" s="556"/>
      <c r="AU774" s="556"/>
      <c r="AV774" s="35"/>
      <c r="AW774" s="13"/>
    </row>
    <row r="775" spans="1:49" ht="15" hidden="1" customHeight="1">
      <c r="A775" s="17">
        <f>OBRA!I773</f>
        <v>0</v>
      </c>
      <c r="B775" s="895" t="s">
        <v>3989</v>
      </c>
      <c r="C775" s="25"/>
      <c r="D775" s="25"/>
      <c r="E775" s="2">
        <f>OBRA!K773</f>
        <v>0</v>
      </c>
      <c r="F775" s="561"/>
      <c r="G775" s="2020"/>
      <c r="H775" s="13">
        <f>OBRA!L773</f>
        <v>0</v>
      </c>
      <c r="I775" s="2">
        <f>OBRA!M773</f>
        <v>0</v>
      </c>
      <c r="J775" s="3">
        <f>OBRA!N773</f>
        <v>0</v>
      </c>
      <c r="K775" s="597"/>
      <c r="L775" s="597"/>
      <c r="M775" s="3">
        <f>OBRA!O773</f>
        <v>0</v>
      </c>
      <c r="N775" s="3"/>
      <c r="O775" s="4">
        <f>OBRA!P773</f>
        <v>0</v>
      </c>
      <c r="P775" s="1208">
        <f t="shared" si="59"/>
        <v>0</v>
      </c>
      <c r="Q775" s="1208"/>
      <c r="R775" s="6">
        <f>OBRA!Q773</f>
        <v>0</v>
      </c>
      <c r="S775" s="1327">
        <f>OBRA!T773</f>
        <v>0</v>
      </c>
      <c r="T775" s="5">
        <f>OBRA!R773</f>
        <v>0</v>
      </c>
      <c r="U775" s="12">
        <f>OBRA!S773</f>
        <v>0</v>
      </c>
      <c r="V775" s="305"/>
      <c r="W775" s="1207">
        <f>OBRA!AQ773+OBRA!AR773</f>
        <v>0</v>
      </c>
      <c r="X775" s="1202"/>
      <c r="Y775" s="639">
        <f>OBRA!U773</f>
        <v>0</v>
      </c>
      <c r="Z775" s="639"/>
      <c r="AA775" s="640">
        <f t="shared" si="61"/>
        <v>0</v>
      </c>
      <c r="AB775" s="1372"/>
      <c r="AC775" s="1373"/>
      <c r="AD775" s="608">
        <f>OBRA!V773</f>
        <v>0</v>
      </c>
      <c r="AE775" s="169"/>
      <c r="AF775" s="560"/>
      <c r="AG775" s="720" t="e">
        <f t="shared" si="60"/>
        <v>#DIV/0!</v>
      </c>
      <c r="AH775" s="560"/>
      <c r="AI775" s="556"/>
      <c r="AJ775" s="556"/>
      <c r="AK775" s="721"/>
      <c r="AL775" s="1806"/>
      <c r="AM775" s="631"/>
      <c r="AN775" s="631"/>
      <c r="AO775" s="631"/>
      <c r="AP775" s="556"/>
      <c r="AQ775" s="561"/>
      <c r="AR775" s="556"/>
      <c r="AS775" s="556"/>
      <c r="AT775" s="556"/>
      <c r="AU775" s="556"/>
      <c r="AV775" s="35"/>
      <c r="AW775" s="13"/>
    </row>
    <row r="776" spans="1:49" ht="15" hidden="1" customHeight="1">
      <c r="A776" s="17">
        <f>OBRA!I774</f>
        <v>0</v>
      </c>
      <c r="B776" s="895" t="s">
        <v>3989</v>
      </c>
      <c r="C776" s="25"/>
      <c r="D776" s="25"/>
      <c r="E776" s="2">
        <f>OBRA!K774</f>
        <v>0</v>
      </c>
      <c r="F776" s="561"/>
      <c r="G776" s="2020"/>
      <c r="H776" s="13">
        <f>OBRA!L774</f>
        <v>0</v>
      </c>
      <c r="I776" s="2">
        <f>OBRA!M774</f>
        <v>0</v>
      </c>
      <c r="J776" s="3">
        <f>OBRA!N774</f>
        <v>0</v>
      </c>
      <c r="K776" s="597"/>
      <c r="L776" s="597"/>
      <c r="M776" s="3">
        <f>OBRA!O774</f>
        <v>0</v>
      </c>
      <c r="N776" s="3"/>
      <c r="O776" s="4">
        <f>OBRA!P774</f>
        <v>0</v>
      </c>
      <c r="P776" s="1208">
        <f t="shared" si="59"/>
        <v>0</v>
      </c>
      <c r="Q776" s="1208"/>
      <c r="R776" s="6">
        <f>OBRA!Q774</f>
        <v>0</v>
      </c>
      <c r="S776" s="1327">
        <f>OBRA!T774</f>
        <v>0</v>
      </c>
      <c r="T776" s="5">
        <f>OBRA!R774</f>
        <v>0</v>
      </c>
      <c r="U776" s="12">
        <f>OBRA!S774</f>
        <v>0</v>
      </c>
      <c r="V776" s="305"/>
      <c r="W776" s="1207">
        <f>OBRA!AQ774+OBRA!AR774</f>
        <v>0</v>
      </c>
      <c r="X776" s="1202"/>
      <c r="Y776" s="639">
        <f>OBRA!U774</f>
        <v>0</v>
      </c>
      <c r="Z776" s="639"/>
      <c r="AA776" s="640">
        <f t="shared" si="61"/>
        <v>0</v>
      </c>
      <c r="AB776" s="1372"/>
      <c r="AC776" s="1373"/>
      <c r="AD776" s="608">
        <f>OBRA!V774</f>
        <v>0</v>
      </c>
      <c r="AE776" s="169"/>
      <c r="AF776" s="560"/>
      <c r="AG776" s="720" t="e">
        <f t="shared" si="60"/>
        <v>#DIV/0!</v>
      </c>
      <c r="AH776" s="560"/>
      <c r="AI776" s="556"/>
      <c r="AJ776" s="556"/>
      <c r="AK776" s="721"/>
      <c r="AL776" s="1806"/>
      <c r="AM776" s="631"/>
      <c r="AN776" s="631"/>
      <c r="AO776" s="631"/>
      <c r="AP776" s="556"/>
      <c r="AQ776" s="561"/>
      <c r="AR776" s="556"/>
      <c r="AS776" s="556"/>
      <c r="AT776" s="556"/>
      <c r="AU776" s="556"/>
      <c r="AV776" s="35"/>
      <c r="AW776" s="13"/>
    </row>
    <row r="777" spans="1:49" ht="15" hidden="1" customHeight="1">
      <c r="A777" s="17">
        <f>OBRA!I775</f>
        <v>0</v>
      </c>
      <c r="B777" s="895" t="s">
        <v>3989</v>
      </c>
      <c r="C777" s="25"/>
      <c r="D777" s="25"/>
      <c r="E777" s="2">
        <f>OBRA!K775</f>
        <v>0</v>
      </c>
      <c r="F777" s="561"/>
      <c r="G777" s="2020"/>
      <c r="H777" s="13">
        <f>OBRA!L775</f>
        <v>0</v>
      </c>
      <c r="I777" s="2">
        <f>OBRA!M775</f>
        <v>0</v>
      </c>
      <c r="J777" s="3">
        <f>OBRA!N775</f>
        <v>0</v>
      </c>
      <c r="K777" s="597"/>
      <c r="L777" s="597"/>
      <c r="M777" s="3">
        <f>OBRA!O775</f>
        <v>0</v>
      </c>
      <c r="N777" s="3"/>
      <c r="O777" s="4">
        <f>OBRA!P775</f>
        <v>0</v>
      </c>
      <c r="P777" s="1208">
        <f t="shared" si="59"/>
        <v>0</v>
      </c>
      <c r="Q777" s="1208"/>
      <c r="R777" s="6">
        <f>OBRA!Q775</f>
        <v>0</v>
      </c>
      <c r="S777" s="1327">
        <f>OBRA!T775</f>
        <v>0</v>
      </c>
      <c r="T777" s="5">
        <f>OBRA!R775</f>
        <v>0</v>
      </c>
      <c r="U777" s="12">
        <f>OBRA!S775</f>
        <v>0</v>
      </c>
      <c r="V777" s="305"/>
      <c r="W777" s="1207">
        <f>OBRA!AQ775+OBRA!AR775</f>
        <v>0</v>
      </c>
      <c r="X777" s="1202"/>
      <c r="Y777" s="639">
        <f>OBRA!U775</f>
        <v>0</v>
      </c>
      <c r="Z777" s="639"/>
      <c r="AA777" s="640">
        <f t="shared" si="61"/>
        <v>0</v>
      </c>
      <c r="AB777" s="1372"/>
      <c r="AC777" s="1373"/>
      <c r="AD777" s="608">
        <f>OBRA!V775</f>
        <v>0</v>
      </c>
      <c r="AE777" s="169"/>
      <c r="AF777" s="560"/>
      <c r="AG777" s="720" t="e">
        <f t="shared" si="60"/>
        <v>#DIV/0!</v>
      </c>
      <c r="AH777" s="560"/>
      <c r="AI777" s="556"/>
      <c r="AJ777" s="556"/>
      <c r="AK777" s="721"/>
      <c r="AL777" s="1806"/>
      <c r="AM777" s="631"/>
      <c r="AN777" s="631"/>
      <c r="AO777" s="631"/>
      <c r="AP777" s="556"/>
      <c r="AQ777" s="561"/>
      <c r="AR777" s="556"/>
      <c r="AS777" s="556"/>
      <c r="AT777" s="556"/>
      <c r="AU777" s="556"/>
      <c r="AV777" s="35"/>
      <c r="AW777" s="13"/>
    </row>
    <row r="778" spans="1:49" ht="15" hidden="1" customHeight="1">
      <c r="A778" s="17">
        <f>OBRA!I776</f>
        <v>0</v>
      </c>
      <c r="B778" s="895" t="s">
        <v>3989</v>
      </c>
      <c r="C778" s="25"/>
      <c r="D778" s="25"/>
      <c r="E778" s="2">
        <f>OBRA!K776</f>
        <v>0</v>
      </c>
      <c r="F778" s="561"/>
      <c r="G778" s="2020"/>
      <c r="H778" s="13">
        <f>OBRA!L776</f>
        <v>0</v>
      </c>
      <c r="I778" s="2">
        <f>OBRA!M776</f>
        <v>0</v>
      </c>
      <c r="J778" s="3">
        <f>OBRA!N776</f>
        <v>0</v>
      </c>
      <c r="K778" s="597"/>
      <c r="L778" s="597"/>
      <c r="M778" s="3">
        <f>OBRA!O776</f>
        <v>0</v>
      </c>
      <c r="N778" s="3"/>
      <c r="O778" s="4">
        <f>OBRA!P776</f>
        <v>0</v>
      </c>
      <c r="P778" s="1208">
        <f t="shared" si="59"/>
        <v>0</v>
      </c>
      <c r="Q778" s="1208"/>
      <c r="R778" s="6">
        <f>OBRA!Q776</f>
        <v>0</v>
      </c>
      <c r="S778" s="1327">
        <f>OBRA!T776</f>
        <v>0</v>
      </c>
      <c r="T778" s="5">
        <f>OBRA!R776</f>
        <v>0</v>
      </c>
      <c r="U778" s="12">
        <f>OBRA!S776</f>
        <v>0</v>
      </c>
      <c r="V778" s="305"/>
      <c r="W778" s="1207">
        <f>OBRA!AQ776+OBRA!AR776</f>
        <v>0</v>
      </c>
      <c r="X778" s="1202"/>
      <c r="Y778" s="639">
        <f>OBRA!U776</f>
        <v>0</v>
      </c>
      <c r="Z778" s="639"/>
      <c r="AA778" s="640">
        <f t="shared" si="61"/>
        <v>0</v>
      </c>
      <c r="AB778" s="1372"/>
      <c r="AC778" s="1373"/>
      <c r="AD778" s="608">
        <f>OBRA!V776</f>
        <v>0</v>
      </c>
      <c r="AE778" s="169"/>
      <c r="AF778" s="560"/>
      <c r="AG778" s="720" t="e">
        <f t="shared" si="60"/>
        <v>#DIV/0!</v>
      </c>
      <c r="AH778" s="560"/>
      <c r="AI778" s="556"/>
      <c r="AJ778" s="556"/>
      <c r="AK778" s="721"/>
      <c r="AL778" s="1806"/>
      <c r="AM778" s="631"/>
      <c r="AN778" s="631"/>
      <c r="AO778" s="631"/>
      <c r="AP778" s="556"/>
      <c r="AQ778" s="561"/>
      <c r="AR778" s="556"/>
      <c r="AS778" s="556"/>
      <c r="AT778" s="556"/>
      <c r="AU778" s="556"/>
      <c r="AV778" s="35"/>
      <c r="AW778" s="13"/>
    </row>
    <row r="779" spans="1:49" ht="15" hidden="1" customHeight="1">
      <c r="A779" s="17">
        <f>OBRA!I777</f>
        <v>0</v>
      </c>
      <c r="B779" s="895" t="s">
        <v>3989</v>
      </c>
      <c r="C779" s="25"/>
      <c r="D779" s="25"/>
      <c r="E779" s="2">
        <f>OBRA!K777</f>
        <v>0</v>
      </c>
      <c r="F779" s="561"/>
      <c r="G779" s="2020"/>
      <c r="H779" s="13">
        <f>OBRA!L777</f>
        <v>0</v>
      </c>
      <c r="I779" s="2">
        <f>OBRA!M777</f>
        <v>0</v>
      </c>
      <c r="J779" s="3">
        <f>OBRA!N777</f>
        <v>0</v>
      </c>
      <c r="K779" s="597"/>
      <c r="L779" s="597"/>
      <c r="M779" s="3">
        <f>OBRA!O777</f>
        <v>0</v>
      </c>
      <c r="N779" s="3"/>
      <c r="O779" s="4">
        <f>OBRA!P777</f>
        <v>0</v>
      </c>
      <c r="P779" s="1208">
        <f t="shared" si="59"/>
        <v>0</v>
      </c>
      <c r="Q779" s="1208"/>
      <c r="R779" s="6">
        <f>OBRA!Q777</f>
        <v>0</v>
      </c>
      <c r="S779" s="1327">
        <f>OBRA!T777</f>
        <v>0</v>
      </c>
      <c r="T779" s="5">
        <f>OBRA!R777</f>
        <v>0</v>
      </c>
      <c r="U779" s="12">
        <f>OBRA!S777</f>
        <v>0</v>
      </c>
      <c r="V779" s="305"/>
      <c r="W779" s="1207">
        <f>OBRA!AQ777+OBRA!AR777</f>
        <v>0</v>
      </c>
      <c r="X779" s="1202"/>
      <c r="Y779" s="639">
        <f>OBRA!U777</f>
        <v>0</v>
      </c>
      <c r="Z779" s="639"/>
      <c r="AA779" s="640">
        <f t="shared" si="61"/>
        <v>0</v>
      </c>
      <c r="AB779" s="1372"/>
      <c r="AC779" s="1373"/>
      <c r="AD779" s="608">
        <f>OBRA!V777</f>
        <v>0</v>
      </c>
      <c r="AE779" s="169"/>
      <c r="AF779" s="560"/>
      <c r="AG779" s="720" t="e">
        <f t="shared" si="60"/>
        <v>#DIV/0!</v>
      </c>
      <c r="AH779" s="560"/>
      <c r="AI779" s="556"/>
      <c r="AJ779" s="556"/>
      <c r="AK779" s="721"/>
      <c r="AL779" s="1806"/>
      <c r="AM779" s="631"/>
      <c r="AN779" s="631"/>
      <c r="AO779" s="631"/>
      <c r="AP779" s="556"/>
      <c r="AQ779" s="561"/>
      <c r="AR779" s="556"/>
      <c r="AS779" s="556"/>
      <c r="AT779" s="556"/>
      <c r="AU779" s="556"/>
      <c r="AV779" s="35"/>
      <c r="AW779" s="13"/>
    </row>
    <row r="780" spans="1:49" ht="15" hidden="1" customHeight="1">
      <c r="A780" s="17">
        <f>OBRA!I778</f>
        <v>0</v>
      </c>
      <c r="B780" s="895" t="s">
        <v>3989</v>
      </c>
      <c r="C780" s="25"/>
      <c r="D780" s="25"/>
      <c r="E780" s="2">
        <f>OBRA!K778</f>
        <v>0</v>
      </c>
      <c r="F780" s="561"/>
      <c r="G780" s="2020"/>
      <c r="H780" s="13">
        <f>OBRA!L778</f>
        <v>0</v>
      </c>
      <c r="I780" s="2">
        <f>OBRA!M778</f>
        <v>0</v>
      </c>
      <c r="J780" s="3">
        <f>OBRA!N778</f>
        <v>0</v>
      </c>
      <c r="K780" s="597"/>
      <c r="L780" s="597"/>
      <c r="M780" s="3">
        <f>OBRA!O778</f>
        <v>0</v>
      </c>
      <c r="N780" s="3"/>
      <c r="O780" s="4">
        <f>OBRA!P778</f>
        <v>0</v>
      </c>
      <c r="P780" s="1208">
        <f t="shared" si="59"/>
        <v>0</v>
      </c>
      <c r="Q780" s="1208"/>
      <c r="R780" s="6">
        <f>OBRA!Q778</f>
        <v>0</v>
      </c>
      <c r="S780" s="1327">
        <f>OBRA!T778</f>
        <v>0</v>
      </c>
      <c r="T780" s="5">
        <f>OBRA!R778</f>
        <v>0</v>
      </c>
      <c r="U780" s="12">
        <f>OBRA!S778</f>
        <v>0</v>
      </c>
      <c r="V780" s="305"/>
      <c r="W780" s="1207">
        <f>OBRA!AQ778+OBRA!AR778</f>
        <v>0</v>
      </c>
      <c r="X780" s="1202"/>
      <c r="Y780" s="639">
        <f>OBRA!U778</f>
        <v>0</v>
      </c>
      <c r="Z780" s="639"/>
      <c r="AA780" s="640">
        <f t="shared" si="61"/>
        <v>0</v>
      </c>
      <c r="AB780" s="1372"/>
      <c r="AC780" s="1373"/>
      <c r="AD780" s="608">
        <f>OBRA!V778</f>
        <v>0</v>
      </c>
      <c r="AE780" s="169"/>
      <c r="AF780" s="560"/>
      <c r="AG780" s="720" t="e">
        <f t="shared" si="60"/>
        <v>#DIV/0!</v>
      </c>
      <c r="AH780" s="560"/>
      <c r="AI780" s="556"/>
      <c r="AJ780" s="556"/>
      <c r="AK780" s="721"/>
      <c r="AL780" s="1806"/>
      <c r="AM780" s="631"/>
      <c r="AN780" s="631"/>
      <c r="AO780" s="631"/>
      <c r="AP780" s="556"/>
      <c r="AQ780" s="561"/>
      <c r="AR780" s="556"/>
      <c r="AS780" s="556"/>
      <c r="AT780" s="556"/>
      <c r="AU780" s="556"/>
      <c r="AV780" s="35"/>
      <c r="AW780" s="13"/>
    </row>
    <row r="781" spans="1:49" ht="15" hidden="1" customHeight="1">
      <c r="A781" s="17">
        <f>OBRA!I779</f>
        <v>0</v>
      </c>
      <c r="B781" s="895" t="s">
        <v>3989</v>
      </c>
      <c r="C781" s="25"/>
      <c r="D781" s="25"/>
      <c r="E781" s="2">
        <f>OBRA!K779</f>
        <v>0</v>
      </c>
      <c r="F781" s="561"/>
      <c r="G781" s="2020"/>
      <c r="H781" s="13">
        <f>OBRA!L779</f>
        <v>0</v>
      </c>
      <c r="I781" s="2">
        <f>OBRA!M779</f>
        <v>0</v>
      </c>
      <c r="J781" s="3">
        <f>OBRA!N779</f>
        <v>0</v>
      </c>
      <c r="K781" s="597"/>
      <c r="L781" s="597"/>
      <c r="M781" s="3">
        <f>OBRA!O779</f>
        <v>0</v>
      </c>
      <c r="N781" s="3"/>
      <c r="O781" s="4">
        <f>OBRA!P779</f>
        <v>0</v>
      </c>
      <c r="P781" s="1208">
        <f t="shared" si="59"/>
        <v>0</v>
      </c>
      <c r="Q781" s="1208"/>
      <c r="R781" s="6">
        <f>OBRA!Q779</f>
        <v>0</v>
      </c>
      <c r="S781" s="1327">
        <f>OBRA!T779</f>
        <v>0</v>
      </c>
      <c r="T781" s="5">
        <f>OBRA!R779</f>
        <v>0</v>
      </c>
      <c r="U781" s="12">
        <f>OBRA!S779</f>
        <v>0</v>
      </c>
      <c r="V781" s="305"/>
      <c r="W781" s="1207">
        <f>OBRA!AQ779+OBRA!AR779</f>
        <v>0</v>
      </c>
      <c r="X781" s="1202"/>
      <c r="Y781" s="639">
        <f>OBRA!U779</f>
        <v>0</v>
      </c>
      <c r="Z781" s="639"/>
      <c r="AA781" s="640">
        <f t="shared" si="61"/>
        <v>0</v>
      </c>
      <c r="AB781" s="1372"/>
      <c r="AC781" s="1373"/>
      <c r="AD781" s="608">
        <f>OBRA!V779</f>
        <v>0</v>
      </c>
      <c r="AE781" s="169"/>
      <c r="AF781" s="560"/>
      <c r="AG781" s="720" t="e">
        <f t="shared" si="60"/>
        <v>#DIV/0!</v>
      </c>
      <c r="AH781" s="560"/>
      <c r="AI781" s="556"/>
      <c r="AJ781" s="556"/>
      <c r="AK781" s="721"/>
      <c r="AL781" s="1806"/>
      <c r="AM781" s="631"/>
      <c r="AN781" s="631"/>
      <c r="AO781" s="631"/>
      <c r="AP781" s="556"/>
      <c r="AQ781" s="561"/>
      <c r="AR781" s="556"/>
      <c r="AS781" s="556"/>
      <c r="AT781" s="556"/>
      <c r="AU781" s="556"/>
      <c r="AV781" s="35"/>
      <c r="AW781" s="13"/>
    </row>
    <row r="782" spans="1:49" ht="15" hidden="1" customHeight="1">
      <c r="A782" s="17">
        <f>OBRA!I780</f>
        <v>0</v>
      </c>
      <c r="B782" s="895" t="s">
        <v>3989</v>
      </c>
      <c r="C782" s="25"/>
      <c r="D782" s="25"/>
      <c r="E782" s="2">
        <f>OBRA!K780</f>
        <v>0</v>
      </c>
      <c r="F782" s="561"/>
      <c r="G782" s="2020"/>
      <c r="H782" s="13">
        <f>OBRA!L780</f>
        <v>0</v>
      </c>
      <c r="I782" s="2">
        <f>OBRA!M780</f>
        <v>0</v>
      </c>
      <c r="J782" s="3">
        <f>OBRA!N780</f>
        <v>0</v>
      </c>
      <c r="K782" s="597"/>
      <c r="L782" s="597"/>
      <c r="M782" s="3">
        <f>OBRA!O780</f>
        <v>0</v>
      </c>
      <c r="N782" s="3"/>
      <c r="O782" s="4">
        <f>OBRA!P780</f>
        <v>0</v>
      </c>
      <c r="P782" s="1208">
        <f t="shared" si="59"/>
        <v>0</v>
      </c>
      <c r="Q782" s="1208"/>
      <c r="R782" s="6">
        <f>OBRA!Q780</f>
        <v>0</v>
      </c>
      <c r="S782" s="1327">
        <f>OBRA!T780</f>
        <v>0</v>
      </c>
      <c r="T782" s="5">
        <f>OBRA!R780</f>
        <v>0</v>
      </c>
      <c r="U782" s="12">
        <f>OBRA!S780</f>
        <v>0</v>
      </c>
      <c r="V782" s="305"/>
      <c r="W782" s="1207">
        <f>OBRA!AQ780+OBRA!AR780</f>
        <v>0</v>
      </c>
      <c r="X782" s="1202"/>
      <c r="Y782" s="639">
        <f>OBRA!U780</f>
        <v>0</v>
      </c>
      <c r="Z782" s="639"/>
      <c r="AA782" s="640">
        <f t="shared" si="61"/>
        <v>0</v>
      </c>
      <c r="AB782" s="1372"/>
      <c r="AC782" s="1373"/>
      <c r="AD782" s="608">
        <f>OBRA!V780</f>
        <v>0</v>
      </c>
      <c r="AE782" s="169"/>
      <c r="AF782" s="560"/>
      <c r="AG782" s="720" t="e">
        <f t="shared" si="60"/>
        <v>#DIV/0!</v>
      </c>
      <c r="AH782" s="560"/>
      <c r="AI782" s="556"/>
      <c r="AJ782" s="556"/>
      <c r="AK782" s="721"/>
      <c r="AL782" s="1806"/>
      <c r="AM782" s="631"/>
      <c r="AN782" s="631"/>
      <c r="AO782" s="631"/>
      <c r="AP782" s="556"/>
      <c r="AQ782" s="561"/>
      <c r="AR782" s="556"/>
      <c r="AS782" s="556"/>
      <c r="AT782" s="556"/>
      <c r="AU782" s="556"/>
      <c r="AV782" s="35"/>
      <c r="AW782" s="13"/>
    </row>
    <row r="783" spans="1:49" ht="15" hidden="1" customHeight="1">
      <c r="A783" s="17">
        <f>OBRA!I781</f>
        <v>0</v>
      </c>
      <c r="B783" s="895" t="s">
        <v>3989</v>
      </c>
      <c r="C783" s="25"/>
      <c r="D783" s="25"/>
      <c r="E783" s="2">
        <f>OBRA!K781</f>
        <v>0</v>
      </c>
      <c r="F783" s="561"/>
      <c r="G783" s="2020"/>
      <c r="H783" s="13">
        <f>OBRA!L781</f>
        <v>0</v>
      </c>
      <c r="I783" s="2">
        <f>OBRA!M781</f>
        <v>0</v>
      </c>
      <c r="J783" s="3">
        <f>OBRA!N781</f>
        <v>0</v>
      </c>
      <c r="K783" s="597"/>
      <c r="L783" s="597"/>
      <c r="M783" s="3">
        <f>OBRA!O781</f>
        <v>0</v>
      </c>
      <c r="N783" s="3"/>
      <c r="O783" s="4">
        <f>OBRA!P781</f>
        <v>0</v>
      </c>
      <c r="P783" s="1208">
        <f t="shared" si="59"/>
        <v>0</v>
      </c>
      <c r="Q783" s="1208"/>
      <c r="R783" s="6">
        <f>OBRA!Q781</f>
        <v>0</v>
      </c>
      <c r="S783" s="1327">
        <f>OBRA!T781</f>
        <v>0</v>
      </c>
      <c r="T783" s="5">
        <f>OBRA!R781</f>
        <v>0</v>
      </c>
      <c r="U783" s="12">
        <f>OBRA!S781</f>
        <v>0</v>
      </c>
      <c r="V783" s="305"/>
      <c r="W783" s="1207">
        <f>OBRA!AQ781+OBRA!AR781</f>
        <v>0</v>
      </c>
      <c r="X783" s="1202"/>
      <c r="Y783" s="639">
        <f>OBRA!U781</f>
        <v>0</v>
      </c>
      <c r="Z783" s="639"/>
      <c r="AA783" s="640">
        <f t="shared" si="61"/>
        <v>0</v>
      </c>
      <c r="AB783" s="1372"/>
      <c r="AC783" s="1373"/>
      <c r="AD783" s="608">
        <f>OBRA!V781</f>
        <v>0</v>
      </c>
      <c r="AE783" s="169"/>
      <c r="AF783" s="560"/>
      <c r="AG783" s="720" t="e">
        <f t="shared" si="60"/>
        <v>#DIV/0!</v>
      </c>
      <c r="AH783" s="560"/>
      <c r="AI783" s="556"/>
      <c r="AJ783" s="556"/>
      <c r="AK783" s="721"/>
      <c r="AL783" s="1806"/>
      <c r="AM783" s="631"/>
      <c r="AN783" s="631"/>
      <c r="AO783" s="631"/>
      <c r="AP783" s="556"/>
      <c r="AQ783" s="561"/>
      <c r="AR783" s="556"/>
      <c r="AS783" s="556"/>
      <c r="AT783" s="556"/>
      <c r="AU783" s="556"/>
      <c r="AV783" s="35"/>
      <c r="AW783" s="13"/>
    </row>
    <row r="784" spans="1:49" ht="15" hidden="1" customHeight="1">
      <c r="A784" s="17">
        <f>OBRA!I782</f>
        <v>0</v>
      </c>
      <c r="B784" s="895" t="s">
        <v>3989</v>
      </c>
      <c r="C784" s="25"/>
      <c r="D784" s="25"/>
      <c r="E784" s="2">
        <f>OBRA!K782</f>
        <v>0</v>
      </c>
      <c r="F784" s="561"/>
      <c r="G784" s="2020"/>
      <c r="H784" s="13">
        <f>OBRA!L782</f>
        <v>0</v>
      </c>
      <c r="I784" s="2">
        <f>OBRA!M782</f>
        <v>0</v>
      </c>
      <c r="J784" s="3">
        <f>OBRA!N782</f>
        <v>0</v>
      </c>
      <c r="K784" s="597"/>
      <c r="L784" s="597"/>
      <c r="M784" s="3">
        <f>OBRA!O782</f>
        <v>0</v>
      </c>
      <c r="N784" s="3"/>
      <c r="O784" s="4">
        <f>OBRA!P782</f>
        <v>0</v>
      </c>
      <c r="P784" s="1208">
        <f t="shared" si="59"/>
        <v>0</v>
      </c>
      <c r="Q784" s="1208"/>
      <c r="R784" s="6">
        <f>OBRA!Q782</f>
        <v>0</v>
      </c>
      <c r="S784" s="1327">
        <f>OBRA!T782</f>
        <v>0</v>
      </c>
      <c r="T784" s="5">
        <f>OBRA!R782</f>
        <v>0</v>
      </c>
      <c r="U784" s="12">
        <f>OBRA!S782</f>
        <v>0</v>
      </c>
      <c r="V784" s="305"/>
      <c r="W784" s="1207">
        <f>OBRA!AQ782+OBRA!AR782</f>
        <v>0</v>
      </c>
      <c r="X784" s="1202"/>
      <c r="Y784" s="639">
        <f>OBRA!U782</f>
        <v>0</v>
      </c>
      <c r="Z784" s="639"/>
      <c r="AA784" s="640">
        <f t="shared" si="61"/>
        <v>0</v>
      </c>
      <c r="AB784" s="1372"/>
      <c r="AC784" s="1373"/>
      <c r="AD784" s="608">
        <f>OBRA!V782</f>
        <v>0</v>
      </c>
      <c r="AE784" s="169"/>
      <c r="AF784" s="560"/>
      <c r="AG784" s="720" t="e">
        <f t="shared" si="60"/>
        <v>#DIV/0!</v>
      </c>
      <c r="AH784" s="560"/>
      <c r="AI784" s="556"/>
      <c r="AJ784" s="556"/>
      <c r="AK784" s="721"/>
      <c r="AL784" s="1806"/>
      <c r="AM784" s="631"/>
      <c r="AN784" s="631"/>
      <c r="AO784" s="631"/>
      <c r="AP784" s="556"/>
      <c r="AQ784" s="561"/>
      <c r="AR784" s="556"/>
      <c r="AS784" s="556"/>
      <c r="AT784" s="556"/>
      <c r="AU784" s="556"/>
      <c r="AV784" s="35"/>
      <c r="AW784" s="13"/>
    </row>
    <row r="785" spans="1:49" ht="15" hidden="1" customHeight="1">
      <c r="A785" s="17">
        <f>OBRA!I783</f>
        <v>0</v>
      </c>
      <c r="B785" s="895" t="s">
        <v>3989</v>
      </c>
      <c r="C785" s="25"/>
      <c r="D785" s="25"/>
      <c r="E785" s="2">
        <f>OBRA!K783</f>
        <v>0</v>
      </c>
      <c r="F785" s="561"/>
      <c r="G785" s="2020"/>
      <c r="H785" s="13">
        <f>OBRA!L783</f>
        <v>0</v>
      </c>
      <c r="I785" s="2">
        <f>OBRA!M783</f>
        <v>0</v>
      </c>
      <c r="J785" s="3">
        <f>OBRA!N783</f>
        <v>0</v>
      </c>
      <c r="K785" s="597"/>
      <c r="L785" s="597"/>
      <c r="M785" s="3">
        <f>OBRA!O783</f>
        <v>0</v>
      </c>
      <c r="N785" s="3"/>
      <c r="O785" s="4">
        <f>OBRA!P783</f>
        <v>0</v>
      </c>
      <c r="P785" s="1208">
        <f t="shared" si="59"/>
        <v>0</v>
      </c>
      <c r="Q785" s="1208"/>
      <c r="R785" s="6">
        <f>OBRA!Q783</f>
        <v>0</v>
      </c>
      <c r="S785" s="1327">
        <f>OBRA!T783</f>
        <v>0</v>
      </c>
      <c r="T785" s="5">
        <f>OBRA!R783</f>
        <v>0</v>
      </c>
      <c r="U785" s="12">
        <f>OBRA!S783</f>
        <v>0</v>
      </c>
      <c r="V785" s="305"/>
      <c r="W785" s="1207">
        <f>OBRA!AQ783+OBRA!AR783</f>
        <v>0</v>
      </c>
      <c r="X785" s="1202"/>
      <c r="Y785" s="639">
        <f>OBRA!U783</f>
        <v>0</v>
      </c>
      <c r="Z785" s="639"/>
      <c r="AA785" s="640">
        <f t="shared" si="61"/>
        <v>0</v>
      </c>
      <c r="AB785" s="1372"/>
      <c r="AC785" s="1373"/>
      <c r="AD785" s="608">
        <f>OBRA!V783</f>
        <v>0</v>
      </c>
      <c r="AE785" s="169"/>
      <c r="AF785" s="560"/>
      <c r="AG785" s="720" t="e">
        <f t="shared" si="60"/>
        <v>#DIV/0!</v>
      </c>
      <c r="AH785" s="560"/>
      <c r="AI785" s="556"/>
      <c r="AJ785" s="556"/>
      <c r="AK785" s="721"/>
      <c r="AL785" s="1806"/>
      <c r="AM785" s="631"/>
      <c r="AN785" s="631"/>
      <c r="AO785" s="631"/>
      <c r="AP785" s="556"/>
      <c r="AQ785" s="561"/>
      <c r="AR785" s="556"/>
      <c r="AS785" s="556"/>
      <c r="AT785" s="556"/>
      <c r="AU785" s="556"/>
      <c r="AV785" s="35"/>
      <c r="AW785" s="13"/>
    </row>
    <row r="786" spans="1:49" ht="15" hidden="1" customHeight="1">
      <c r="A786" s="17">
        <f>OBRA!I784</f>
        <v>0</v>
      </c>
      <c r="B786" s="895" t="s">
        <v>3989</v>
      </c>
      <c r="C786" s="25"/>
      <c r="D786" s="25"/>
      <c r="E786" s="2">
        <f>OBRA!K784</f>
        <v>0</v>
      </c>
      <c r="F786" s="561"/>
      <c r="G786" s="2020"/>
      <c r="H786" s="13">
        <f>OBRA!L784</f>
        <v>0</v>
      </c>
      <c r="I786" s="2">
        <f>OBRA!M784</f>
        <v>0</v>
      </c>
      <c r="J786" s="3">
        <f>OBRA!N784</f>
        <v>0</v>
      </c>
      <c r="K786" s="597"/>
      <c r="L786" s="597"/>
      <c r="M786" s="3">
        <f>OBRA!O784</f>
        <v>0</v>
      </c>
      <c r="N786" s="3"/>
      <c r="O786" s="4">
        <f>OBRA!P784</f>
        <v>0</v>
      </c>
      <c r="P786" s="1208">
        <f t="shared" si="59"/>
        <v>0</v>
      </c>
      <c r="Q786" s="1208"/>
      <c r="R786" s="6">
        <f>OBRA!Q784</f>
        <v>0</v>
      </c>
      <c r="S786" s="1327">
        <f>OBRA!T784</f>
        <v>0</v>
      </c>
      <c r="T786" s="5">
        <f>OBRA!R784</f>
        <v>0</v>
      </c>
      <c r="U786" s="12">
        <f>OBRA!S784</f>
        <v>0</v>
      </c>
      <c r="V786" s="305"/>
      <c r="W786" s="1207">
        <f>OBRA!AQ784+OBRA!AR784</f>
        <v>0</v>
      </c>
      <c r="X786" s="1202"/>
      <c r="Y786" s="639">
        <f>OBRA!U784</f>
        <v>0</v>
      </c>
      <c r="Z786" s="639"/>
      <c r="AA786" s="640">
        <f t="shared" si="61"/>
        <v>0</v>
      </c>
      <c r="AB786" s="1372"/>
      <c r="AC786" s="1373"/>
      <c r="AD786" s="608">
        <f>OBRA!V784</f>
        <v>0</v>
      </c>
      <c r="AE786" s="169"/>
      <c r="AF786" s="560"/>
      <c r="AG786" s="720" t="e">
        <f t="shared" si="60"/>
        <v>#DIV/0!</v>
      </c>
      <c r="AH786" s="560"/>
      <c r="AI786" s="556"/>
      <c r="AJ786" s="556"/>
      <c r="AK786" s="721"/>
      <c r="AL786" s="1806"/>
      <c r="AM786" s="631"/>
      <c r="AN786" s="631"/>
      <c r="AO786" s="631"/>
      <c r="AP786" s="556"/>
      <c r="AQ786" s="561"/>
      <c r="AR786" s="556"/>
      <c r="AS786" s="556"/>
      <c r="AT786" s="556"/>
      <c r="AU786" s="556"/>
      <c r="AV786" s="35"/>
      <c r="AW786" s="13"/>
    </row>
    <row r="787" spans="1:49" s="31" customFormat="1">
      <c r="A787" s="25"/>
      <c r="B787" s="25"/>
      <c r="C787" s="25"/>
      <c r="D787" s="25"/>
      <c r="E787" s="24"/>
      <c r="F787" s="990"/>
      <c r="G787" s="990"/>
      <c r="H787" s="24"/>
      <c r="I787" s="26"/>
      <c r="J787" s="27"/>
      <c r="K787" s="27"/>
      <c r="L787" s="27"/>
      <c r="M787" s="1156"/>
      <c r="N787" s="1010"/>
      <c r="O787" s="28"/>
      <c r="P787" s="28"/>
      <c r="Q787" s="2042"/>
      <c r="R787" s="29"/>
      <c r="S787" s="29"/>
      <c r="T787" s="30"/>
      <c r="U787" s="30"/>
      <c r="V787" s="30"/>
      <c r="W787" s="30"/>
      <c r="X787" s="30"/>
      <c r="Y787" s="30"/>
      <c r="Z787" s="30"/>
      <c r="AA787" s="30"/>
      <c r="AB787" s="30"/>
      <c r="AC787" s="30"/>
      <c r="AD787" s="24"/>
      <c r="AE787" s="24"/>
      <c r="AF787" s="673"/>
      <c r="AG787" s="26"/>
      <c r="AH787" s="26"/>
      <c r="AI787" s="26"/>
      <c r="AJ787" s="26"/>
      <c r="AK787" s="26"/>
      <c r="AL787" s="26"/>
      <c r="AM787" s="673"/>
      <c r="AN787" s="673"/>
      <c r="AO787" s="26"/>
      <c r="AP787" s="673"/>
      <c r="AQ787" s="26"/>
      <c r="AR787" s="26"/>
      <c r="AS787" s="1484"/>
      <c r="AT787" s="1484"/>
      <c r="AU787" s="26"/>
      <c r="AV787" s="26"/>
      <c r="AW787" s="24"/>
    </row>
    <row r="788" spans="1:49" ht="30" customHeight="1">
      <c r="E788" s="1366" t="s">
        <v>3005</v>
      </c>
      <c r="F788" s="197"/>
      <c r="G788" s="197"/>
      <c r="H788" s="8"/>
      <c r="I788"/>
      <c r="L788"/>
      <c r="M788"/>
      <c r="N788" s="1156"/>
      <c r="O788" s="555">
        <f>O516+O582</f>
        <v>3714171.4000000004</v>
      </c>
      <c r="Q788" s="197"/>
      <c r="V788" s="589"/>
      <c r="W788" s="589"/>
      <c r="Y788"/>
      <c r="Z788"/>
      <c r="AB788"/>
      <c r="AC788"/>
      <c r="AE788">
        <f>AE602+AE603</f>
        <v>344.5</v>
      </c>
      <c r="AM788" s="197"/>
      <c r="AN788" s="197"/>
      <c r="AP788" s="197"/>
    </row>
    <row r="789" spans="1:49">
      <c r="E789" t="s">
        <v>3006</v>
      </c>
      <c r="F789" s="197"/>
      <c r="G789" s="197"/>
      <c r="H789" s="8"/>
      <c r="I789"/>
      <c r="L789"/>
      <c r="M789"/>
      <c r="N789" s="1156"/>
      <c r="Q789" s="197"/>
      <c r="Y789"/>
      <c r="Z789"/>
      <c r="AB789"/>
      <c r="AC789"/>
      <c r="AE789"/>
      <c r="AM789" s="197"/>
      <c r="AN789" s="197"/>
      <c r="AP789" s="197"/>
    </row>
    <row r="790" spans="1:49">
      <c r="F790" s="197"/>
      <c r="G790" s="197"/>
      <c r="H790" s="8"/>
      <c r="I790"/>
      <c r="L790"/>
      <c r="M790"/>
      <c r="N790" s="1156"/>
      <c r="Q790" s="197"/>
      <c r="Y790"/>
      <c r="Z790"/>
      <c r="AB790"/>
      <c r="AC790"/>
      <c r="AE790"/>
      <c r="AM790" s="197"/>
      <c r="AN790" s="197"/>
      <c r="AP790" s="197"/>
    </row>
    <row r="791" spans="1:49" ht="18.75">
      <c r="A791" s="167"/>
      <c r="B791" s="167"/>
      <c r="C791" s="167"/>
      <c r="D791" s="167"/>
      <c r="H791" s="197"/>
      <c r="I791" s="197"/>
      <c r="J791" s="197"/>
      <c r="K791" s="197"/>
      <c r="L791" s="197"/>
      <c r="M791" s="197"/>
      <c r="N791" s="197"/>
      <c r="O791" s="197"/>
      <c r="P791" s="197"/>
      <c r="Q791" s="197"/>
      <c r="R791" s="197"/>
      <c r="S791" s="197"/>
      <c r="T791" s="197"/>
      <c r="U791" s="197"/>
      <c r="V791" s="197"/>
      <c r="W791" s="1434"/>
      <c r="X791" s="197"/>
      <c r="Y791" s="197"/>
      <c r="Z791" s="197"/>
      <c r="AA791" s="197"/>
      <c r="AB791" s="197"/>
      <c r="AC791" s="197"/>
      <c r="AD791" s="197"/>
      <c r="AF791" s="673"/>
      <c r="AG791" s="197"/>
      <c r="AH791" s="197"/>
      <c r="AI791" s="197"/>
      <c r="AJ791" s="197"/>
      <c r="AK791" s="197"/>
      <c r="AL791" s="197"/>
      <c r="AM791" s="197"/>
      <c r="AN791" s="197"/>
      <c r="AO791" s="197"/>
      <c r="AP791" s="197"/>
      <c r="AQ791" s="197"/>
      <c r="AR791" s="197"/>
      <c r="AS791" s="197"/>
      <c r="AT791" s="197"/>
      <c r="AU791" s="197"/>
      <c r="AV791" s="197"/>
      <c r="AW791" s="197"/>
    </row>
    <row r="792" spans="1:49" s="1173" customFormat="1" ht="26.25">
      <c r="E792" s="1174" t="s">
        <v>2207</v>
      </c>
      <c r="F792" s="1174"/>
      <c r="G792" s="1174"/>
      <c r="H792" s="1175"/>
      <c r="I792" s="1175"/>
      <c r="J792" s="1175"/>
      <c r="K792" s="1175"/>
      <c r="L792" s="1175"/>
      <c r="M792" s="1175"/>
      <c r="N792" s="1175"/>
      <c r="O792" s="1175"/>
      <c r="P792" s="1175"/>
      <c r="Q792" s="1175"/>
      <c r="R792" s="1175"/>
      <c r="S792" s="1175"/>
      <c r="T792" s="1175"/>
      <c r="U792" s="1175"/>
      <c r="V792" s="1175"/>
      <c r="W792" s="1175"/>
      <c r="X792" s="1175"/>
      <c r="Y792" s="1175"/>
      <c r="Z792" s="1175"/>
      <c r="AA792" s="1175"/>
      <c r="AB792" s="1175"/>
      <c r="AC792" s="1175"/>
      <c r="AD792" s="1175"/>
      <c r="AE792" s="1175"/>
      <c r="AF792" s="1175"/>
      <c r="AG792" s="1175"/>
      <c r="AH792" s="1175"/>
      <c r="AI792" s="1175"/>
      <c r="AJ792" s="1175"/>
      <c r="AK792" s="1175"/>
      <c r="AL792" s="1175"/>
      <c r="AM792" s="1175"/>
      <c r="AN792" s="1175"/>
      <c r="AO792" s="1175"/>
      <c r="AP792" s="1175"/>
      <c r="AQ792" s="1175"/>
      <c r="AR792" s="1175"/>
      <c r="AS792" s="1175"/>
      <c r="AT792" s="1175"/>
      <c r="AU792" s="1175"/>
      <c r="AV792" s="1175"/>
      <c r="AW792" s="1175"/>
    </row>
    <row r="793" spans="1:49" s="1173" customFormat="1" ht="26.25">
      <c r="E793" s="1178">
        <f>OBRA!N786</f>
        <v>45302</v>
      </c>
      <c r="F793" s="1176"/>
      <c r="G793" s="1176"/>
      <c r="H793" s="1177"/>
      <c r="I793" s="1177"/>
      <c r="J793" s="1175"/>
      <c r="K793" s="1175"/>
      <c r="L793" s="1175"/>
      <c r="M793" s="1175"/>
      <c r="N793" s="1175"/>
      <c r="O793" s="1175"/>
      <c r="P793" s="1175"/>
      <c r="Q793" s="1175"/>
      <c r="R793" s="1175"/>
      <c r="S793" s="1175"/>
      <c r="T793" s="1175"/>
      <c r="U793" s="1175"/>
      <c r="V793" s="1175"/>
      <c r="W793" s="1175"/>
      <c r="X793" s="1175"/>
      <c r="Y793" s="1175"/>
      <c r="Z793" s="1175"/>
      <c r="AA793" s="1175"/>
      <c r="AB793" s="1175"/>
      <c r="AC793" s="1175"/>
      <c r="AD793" s="1175"/>
      <c r="AE793" s="1175"/>
      <c r="AF793" s="1175"/>
      <c r="AG793" s="1175"/>
      <c r="AH793" s="1175"/>
      <c r="AI793" s="1175"/>
      <c r="AJ793" s="1175"/>
      <c r="AK793" s="1175"/>
      <c r="AL793" s="1175"/>
      <c r="AM793" s="1175"/>
      <c r="AN793" s="1175"/>
      <c r="AO793" s="1175"/>
      <c r="AP793" s="1175"/>
      <c r="AQ793" s="1175"/>
      <c r="AR793" s="1175"/>
      <c r="AS793" s="1175"/>
      <c r="AT793" s="1175"/>
      <c r="AU793" s="1175"/>
      <c r="AV793" s="1175"/>
      <c r="AW793" s="1175"/>
    </row>
    <row r="794" spans="1:49">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F794" s="197"/>
      <c r="AG794" s="197"/>
      <c r="AH794" s="197"/>
      <c r="AI794" s="197"/>
      <c r="AJ794" s="197"/>
      <c r="AK794" s="197"/>
      <c r="AL794" s="197"/>
      <c r="AM794" s="197"/>
      <c r="AN794" s="197"/>
      <c r="AO794" s="197"/>
      <c r="AP794" s="197"/>
      <c r="AQ794" s="197"/>
      <c r="AR794" s="197"/>
      <c r="AS794" s="197"/>
      <c r="AT794" s="197"/>
      <c r="AU794" s="197"/>
      <c r="AV794" s="197"/>
      <c r="AW794" s="197"/>
    </row>
    <row r="795" spans="1:49">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F795" s="197"/>
      <c r="AG795" s="197"/>
      <c r="AH795" s="197"/>
      <c r="AI795" s="197"/>
      <c r="AJ795" s="197"/>
      <c r="AK795" s="197"/>
      <c r="AL795" s="197"/>
      <c r="AM795" s="197"/>
      <c r="AN795" s="197"/>
      <c r="AO795" s="197"/>
      <c r="AP795" s="197"/>
      <c r="AQ795" s="197"/>
      <c r="AR795" s="197"/>
      <c r="AS795" s="197"/>
      <c r="AT795" s="197"/>
      <c r="AU795" s="197"/>
      <c r="AV795" s="197"/>
      <c r="AW795" s="197"/>
    </row>
    <row r="796" spans="1:49" s="724" customFormat="1">
      <c r="E796" s="724" t="s">
        <v>2208</v>
      </c>
      <c r="F796" s="724" t="s">
        <v>2209</v>
      </c>
    </row>
    <row r="797" spans="1:49" s="724" customFormat="1">
      <c r="E797" s="1068" t="s">
        <v>2210</v>
      </c>
    </row>
    <row r="798" spans="1:49">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F798" s="197"/>
      <c r="AG798" s="197"/>
      <c r="AH798" s="197"/>
      <c r="AI798" s="197"/>
      <c r="AJ798" s="197"/>
      <c r="AK798" s="197"/>
      <c r="AL798" s="197"/>
      <c r="AM798" s="197"/>
      <c r="AN798" s="197"/>
      <c r="AO798" s="197"/>
      <c r="AP798" s="197"/>
      <c r="AQ798" s="197"/>
      <c r="AR798" s="197"/>
      <c r="AS798" s="197"/>
      <c r="AT798" s="197"/>
      <c r="AU798" s="197"/>
      <c r="AV798" s="197"/>
      <c r="AW798" s="197"/>
    </row>
    <row r="799" spans="1:49" s="724" customFormat="1">
      <c r="E799" s="724" t="s">
        <v>2208</v>
      </c>
      <c r="F799" s="724" t="s">
        <v>2211</v>
      </c>
    </row>
    <row r="800" spans="1:49" s="724" customFormat="1">
      <c r="E800" s="1068" t="s">
        <v>2212</v>
      </c>
      <c r="W800" s="1072"/>
      <c r="X800" s="1072"/>
    </row>
    <row r="801" spans="8:49">
      <c r="H801" s="197"/>
      <c r="I801" s="197"/>
      <c r="J801" s="197"/>
      <c r="K801" s="197"/>
      <c r="L801" s="197"/>
      <c r="M801" s="197"/>
      <c r="N801" s="197"/>
      <c r="O801" s="677"/>
      <c r="P801" s="677"/>
      <c r="Q801" s="677"/>
      <c r="R801" s="197"/>
      <c r="S801" s="197"/>
      <c r="T801" s="679"/>
      <c r="U801" s="677"/>
      <c r="V801" s="677"/>
      <c r="W801" s="677"/>
      <c r="X801" s="677"/>
      <c r="Y801" s="677"/>
      <c r="Z801" s="677"/>
      <c r="AA801" s="677"/>
      <c r="AB801" s="677"/>
      <c r="AC801" s="677"/>
      <c r="AD801" s="197"/>
      <c r="AF801" s="197"/>
      <c r="AG801" s="197"/>
      <c r="AH801" s="197"/>
      <c r="AI801" s="197"/>
      <c r="AJ801" s="197"/>
      <c r="AK801" s="197"/>
      <c r="AL801" s="197"/>
      <c r="AM801" s="197"/>
      <c r="AN801" s="197"/>
      <c r="AO801" s="197"/>
      <c r="AP801" s="197"/>
      <c r="AQ801" s="197"/>
      <c r="AR801" s="197"/>
      <c r="AS801" s="197"/>
      <c r="AT801" s="197"/>
      <c r="AU801" s="197"/>
      <c r="AV801" s="197"/>
      <c r="AW801" s="197"/>
    </row>
    <row r="802" spans="8:49">
      <c r="Y802" s="197"/>
      <c r="Z802" s="197"/>
      <c r="AA802" s="197"/>
      <c r="AB802" s="197"/>
      <c r="AC802" s="197"/>
    </row>
  </sheetData>
  <autoFilter ref="A7:AW786">
    <filterColumn colId="0">
      <filters>
        <filter val="2020"/>
        <filter val="2021"/>
        <filter val="2023"/>
      </filters>
    </filterColumn>
    <filterColumn colId="1">
      <filters>
        <filter val="2018-2021"/>
        <filter val="2021-2024"/>
      </filters>
    </filterColumn>
    <filterColumn colId="7">
      <filters>
        <filter val="CSS-OP-CC-003/2023"/>
        <filter val="CSS-OP-CC-017/2023"/>
        <filter val="CSS-OP-CC-018/2023"/>
        <filter val="CSS-OP-CC-024/2023"/>
        <filter val="FAIS-RAMO33/CC-OP-CSS-026/2023"/>
      </filters>
    </filterColumn>
    <filterColumn colId="8">
      <filters>
        <filter val="CONCURSO SIMPLIFICADO SUMARIO"/>
        <filter val="CONCURSO SIMPLIFICADO SUMARIO CON RECURSOS CONCURRIDOS"/>
      </filters>
    </filterColumn>
    <sortState ref="A293:AQ576">
      <sortCondition ref="C7:C59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P80" display="http://www.jocotepec.gob.mx/transparencia/index.php/ayuntamiento/informacion-fundamental/vi-la-informacion-sobre-la-gestion-publica-que-comprende/c-las-obras-publicas-que-realiza-el-sujeto-obligado-de-cuando-menos-los-ultimos-tres-anos/2014-3/construccion"/>
    <hyperlink ref="AP79" display="http://www.jocotepec.gob.mx/transparencia/index.php/ayuntamiento/informacion-fundamental/vi-la-informacion-sobre-la-gestion-publica-que-comprende/c-las-obras-publicas-que-realiza-el-sujeto-obligado-de-cuando-menos-los-ultimos-tres-anos/2014-3/construccion"/>
    <hyperlink ref="AQ89" display="http://www.jocotepec.gob.mx/transparencia/index.php/ayuntamiento/informacion-fundamental/vi-la-informacion-sobre-la-gestion-publica-que-comprende/c-las-obras-publicas-que-realiza-el-sujeto-obligado-de-cuando-menos-los-ultimos-tres-anos/2014-3/rehabilitaci"/>
    <hyperlink ref="AP89" display="http://www.jocotepec.gob.mx/transparencia/index.php/ayuntamiento/informacion-fundamental/vi-la-informacion-sobre-la-gestion-publica-que-comprende/c-las-obras-publicas-que-realiza-el-sujeto-obligado-de-cuando-menos-los-ultimos-tres-anos/2014-3/rehabilitaci"/>
    <hyperlink ref="AP84" display="http://www.jocotepec.gob.mx/transparencia/index.php/ayuntamiento/informacion-fundamental/vi-la-informacion-sobre-la-gestion-publica-que-comprende/c-las-obras-publicas-que-realiza-el-sujeto-obligado-de-cuando-menos-los-ultimos-tres-anos/2014-3/rehabilitaci"/>
    <hyperlink ref="AQ84" display="http://www.jocotepec.gob.mx/transparencia/index.php/ayuntamiento/informacion-fundamental/vi-la-informacion-sobre-la-gestion-publica-que-comprende/c-las-obras-publicas-que-realiza-el-sujeto-obligado-de-cuando-menos-los-ultimos-tres-anos/2014-3/rehabilitaci"/>
    <hyperlink ref="F272" r:id="rId6"/>
    <hyperlink ref="AP100" display="http://www.jocotepec.gob.mx/transparencia/index.php/ayuntamiento/informacion-fundamental/v-la-informacion-financiera-patrimonial-y-administrativa/o-las-adjudicaciones-directas-en-materia-de-adquisiciones-obra-publica-proyectos-de-inversion-y-prestacion-de"/>
    <hyperlink ref="AP101" display="http://www.jocotepec.gob.mx/transparencia/index.php/ayuntamiento/informacion-fundamental/v-la-informacion-financiera-patrimonial-y-administrativa/o-las-adjudicaciones-directas-en-materia-de-adquisiciones-obra-publica-proyectos-de-inversion-y-prestacion-de"/>
    <hyperlink ref="AP102" display="http://www.jocotepec.gob.mx/transparencia/index.php/ayuntamiento/informacion-fundamental/v-la-informacion-financiera-patrimonial-y-administrativa/o-las-adjudicaciones-directas-en-materia-de-adquisiciones-obra-publica-proyectos-de-inversion-y-prestacion-de"/>
    <hyperlink ref="AP103" display="http://www.jocotepec.gob.mx/transparencia/index.php/ayuntamiento/informacion-fundamental/v-la-informacion-financiera-patrimonial-y-administrativa/o-las-adjudicaciones-directas-en-materia-de-adquisiciones-obra-publica-proyectos-de-inversion-y-prestacion-de"/>
    <hyperlink ref="AP121" display="http://www.jocotepec.gob.mx/transparencia/index.php/ayuntamiento/informacion-fundamental/v-la-informacion-financiera-patrimonial-y-administrativa/o-las-adjudicaciones-directas-en-materia-de-adquisiciones-obra-publica-proyectos-de-inversion-y-prestacion-de"/>
    <hyperlink ref="AP136" display="http://www.jocotepec.gob.mx/transparencia/index.php/ayuntamiento/informacion-fundamental/v-la-informacion-financiera-patrimonial-y-administrativa/o-las-adjudicaciones-directas-en-materia-de-adquisiciones-obra-publica-proyectos-de-inversion-y-prestacion-de"/>
    <hyperlink ref="AP174" display="http://www.jocotepec.gob.mx/transparencia/index.php/ayuntamiento/informacion-fundamental/v-la-informacion-financiera-patrimonial-y-administrativa/o-las-adjudicaciones-directas-en-materia-de-adquisiciones-obra-publica-proyectos-de-inversion-y-prestacion-de"/>
    <hyperlink ref="AP175" display="http://www.jocotepec.gob.mx/transparencia/index.php/ayuntamiento/informacion-fundamental/v-la-informacion-financiera-patrimonial-y-administrativa/o-las-adjudicaciones-directas-en-materia-de-adquisiciones-obra-publica-proyectos-de-inversion-y-prestacion-de"/>
    <hyperlink ref="AP178" display="http://www.jocotepec.gob.mx/transparencia/index.php/ayuntamiento/informacion-fundamental/v-la-informacion-financiera-patrimonial-y-administrativa/o-las-adjudicaciones-directas-en-materia-de-adquisiciones-obra-publica-proyectos-de-inversion-y-prestacion-de"/>
    <hyperlink ref="AP180" display="http://www.jocotepec.gob.mx/transparencia/index.php/ayuntamiento/informacion-fundamental/v-la-informacion-financiera-patrimonial-y-administrativa/o-las-adjudicaciones-directas-en-materia-de-adquisiciones-obra-publica-proyectos-de-inversion-y-prestacion-de"/>
    <hyperlink ref="AP181" display="http://www.jocotepec.gob.mx/transparencia/index.php/ayuntamiento/informacion-fundamental/v-la-informacion-financiera-patrimonial-y-administrativa/o-las-adjudicaciones-directas-en-materia-de-adquisiciones-obra-publica-proyectos-de-inversion-y-prestacion-de"/>
    <hyperlink ref="AP172" display="http://www.jocotepec.gob.mx/transparencia/index.php/ayuntamiento/informacion-fundamental/v-la-informacion-financiera-patrimonial-y-administrativa/o-las-adjudicaciones-directas-en-materia-de-adquisiciones-obra-publica-proyectos-de-inversion-y-prestacion-de"/>
    <hyperlink ref="AP183" display="http://www.jocotepec.gob.mx/transparencia/index.php/ayuntamiento/informacion-fundamental/v-la-informacion-financiera-patrimonial-y-administrativa/o-las-adjudicaciones-directas-en-materia-de-adquisiciones-obra-publica-proyectos-de-inversion-y-prestacion-de"/>
    <hyperlink ref="AP184" display="http://www.jocotepec.gob.mx/transparencia/index.php/ayuntamiento/informacion-fundamental/v-la-informacion-financiera-patrimonial-y-administrativa/o-las-adjudicaciones-directas-en-materia-de-adquisiciones-obra-publica-proyectos-de-inversion-y-prestacion-de"/>
    <hyperlink ref="AP191" display="http://www.jocotepec.gob.mx/transparencia/index.php/ayuntamiento/informacion-fundamental/v-la-informacion-financiera-patrimonial-y-administrativa/o-las-adjudicaciones-directas-en-materia-de-adquisiciones-obra-publica-proyectos-de-inversion-y-prestacion-de"/>
    <hyperlink ref="AP190" display="http://www.jocotepec.gob.mx/transparencia/index.php/ayuntamiento/informacion-fundamental/v-la-informacion-financiera-patrimonial-y-administrativa/o-las-adjudicaciones-directas-en-materia-de-adquisiciones-obra-publica-proyectos-de-inversion-y-prestacion-de"/>
    <hyperlink ref="AQ97" display="http://www.jocotepec.gob.mx/transparencia/index.php/ayuntamiento/informacion-fundamental/v-la-informacion-financiera-patrimonial-y-administrativa/o-las-adjudicaciones-directas-en-materia-de-adquisiciones-obra-publica-proyectos-de-inversion-y-prestacion-de"/>
    <hyperlink ref="AQ98" display="http://www.jocotepec.gob.mx/transparencia/index.php/ayuntamiento/informacion-fundamental/v-la-informacion-financiera-patrimonial-y-administrativa/o-las-adjudicaciones-directas-en-materia-de-adquisiciones-obra-publica-proyectos-de-inversion-y-prestacion-de"/>
    <hyperlink ref="AQ101" display="http://www.jocotepec.gob.mx/transparencia/index.php/ayuntamiento/informacion-fundamental/v-la-informacion-financiera-patrimonial-y-administrativa/o-las-adjudicaciones-directas-en-materia-de-adquisiciones-obra-publica-proyectos-de-inversion-y-prestacion-de"/>
    <hyperlink ref="AQ102" display="http://www.jocotepec.gob.mx/transparencia/index.php/ayuntamiento/informacion-fundamental/v-la-informacion-financiera-patrimonial-y-administrativa/o-las-adjudicaciones-directas-en-materia-de-adquisiciones-obra-publica-proyectos-de-inversion-y-prestacion-de"/>
    <hyperlink ref="AQ103" display="http://www.jocotepec.gob.mx/transparencia/index.php/ayuntamiento/informacion-fundamental/v-la-informacion-financiera-patrimonial-y-administrativa/o-las-adjudicaciones-directas-en-materia-de-adquisiciones-obra-publica-proyectos-de-inversion-y-prestacion-de"/>
    <hyperlink ref="AQ100" display="http://www.jocotepec.gob.mx/transparencia/index.php/ayuntamiento/informacion-fundamental/v-la-informacion-financiera-patrimonial-y-administrativa/o-las-adjudicaciones-directas-en-materia-de-adquisiciones-obra-publica-proyectos-de-inversion-y-prestacion-de"/>
    <hyperlink ref="AQ121" display="http://www.jocotepec.gob.mx/transparencia/index.php/ayuntamiento/informacion-fundamental/v-la-informacion-financiera-patrimonial-y-administrativa/o-las-adjudicaciones-directas-en-materia-de-adquisiciones-obra-publica-proyectos-de-inversion-y-prestacion-de"/>
    <hyperlink ref="AQ136" display="http://www.jocotepec.gob.mx/transparencia/index.php/ayuntamiento/informacion-fundamental/v-la-informacion-financiera-patrimonial-y-administrativa/o-las-adjudicaciones-directas-en-materia-de-adquisiciones-obra-publica-proyectos-de-inversion-y-prestacion-de"/>
    <hyperlink ref="AQ173" display="http://www.jocotepec.gob.mx/transparencia/index.php/ayuntamiento/informacion-fundamental/v-la-informacion-financiera-patrimonial-y-administrativa/o-las-adjudicaciones-directas-en-materia-de-adquisiciones-obra-publica-proyectos-de-inversion-y-prestacion-de"/>
    <hyperlink ref="AQ174" display="http://www.jocotepec.gob.mx/transparencia/index.php/ayuntamiento/informacion-fundamental/v-la-informacion-financiera-patrimonial-y-administrativa/o-las-adjudicaciones-directas-en-materia-de-adquisiciones-obra-publica-proyectos-de-inversion-y-prestacion-de"/>
    <hyperlink ref="AQ175" display="http://www.jocotepec.gob.mx/transparencia/index.php/ayuntamiento/informacion-fundamental/v-la-informacion-financiera-patrimonial-y-administrativa/o-las-adjudicaciones-directas-en-materia-de-adquisiciones-obra-publica-proyectos-de-inversion-y-prestacion-de"/>
    <hyperlink ref="AQ176" display="http://www.jocotepec.gob.mx/transparencia/index.php/ayuntamiento/informacion-fundamental/v-la-informacion-financiera-patrimonial-y-administrativa/o-las-adjudicaciones-directas-en-materia-de-adquisiciones-obra-publica-proyectos-de-inversion-y-prestacion-de"/>
    <hyperlink ref="AQ177" display="http://www.jocotepec.gob.mx/transparencia/index.php/ayuntamiento/informacion-fundamental/v-la-informacion-financiera-patrimonial-y-administrativa/o-las-adjudicaciones-directas-en-materia-de-adquisiciones-obra-publica-proyectos-de-inversion-y-prestacion-de"/>
    <hyperlink ref="AQ179" display="http://www.jocotepec.gob.mx/transparencia/index.php/ayuntamiento/informacion-fundamental/v-la-informacion-financiera-patrimonial-y-administrativa/o-las-adjudicaciones-directas-en-materia-de-adquisiciones-obra-publica-proyectos-de-inversion-y-prestacion-de"/>
    <hyperlink ref="AQ181" display="http://www.jocotepec.gob.mx/transparencia/index.php/ayuntamiento/informacion-fundamental/v-la-informacion-financiera-patrimonial-y-administrativa/o-las-adjudicaciones-directas-en-materia-de-adquisiciones-obra-publica-proyectos-de-inversion-y-prestacion-de"/>
    <hyperlink ref="AQ183" display="http://www.jocotepec.gob.mx/transparencia/index.php/ayuntamiento/informacion-fundamental/v-la-informacion-financiera-patrimonial-y-administrativa/o-las-adjudicaciones-directas-en-materia-de-adquisiciones-obra-publica-proyectos-de-inversion-y-prestacion-de"/>
    <hyperlink ref="AQ184" display="http://www.jocotepec.gob.mx/transparencia/index.php/ayuntamiento/informacion-fundamental/v-la-informacion-financiera-patrimonial-y-administrativa/o-las-adjudicaciones-directas-en-materia-de-adquisiciones-obra-publica-proyectos-de-inversion-y-prestacion-de"/>
    <hyperlink ref="AQ182" display="http://www.jocotepec.gob.mx/transparencia/index.php/ayuntamiento/informacion-fundamental/v-la-informacion-financiera-patrimonial-y-administrativa/p-la-informacion-sobre-concursos-por-invitacion-y-licitaciones-publicas-en-materia-de-adquisiciones-obra-publ"/>
    <hyperlink ref="AQ194" display="http://www.jocotepec.gob.mx/transparencia/index.php/ayuntamiento/informacion-fundamental/v-la-informacion-financiera-patrimonial-y-administrativa/p-la-informacion-sobre-concursos-por-invitacion-y-licitaciones-publicas-en-materia-de-adquisiciones-obra-publ"/>
    <hyperlink ref="AQ186" display="http://www.jocotepec.gob.mx/transparencia/index.php/ayuntamiento/informacion-fundamental/v-la-informacion-financiera-patrimonial-y-administrativa/p-la-informacion-sobre-concursos-por-invitacion-y-licitaciones-publicas-en-materia-de-adquisiciones-obra-publ"/>
    <hyperlink ref="AQ187" display="http://www.jocotepec.gob.mx/transparencia/index.php/ayuntamiento/informacion-fundamental/v-la-informacion-financiera-patrimonial-y-administrativa/p-la-informacion-sobre-concursos-por-invitacion-y-licitaciones-publicas-en-materia-de-adquisiciones-obra-publ"/>
    <hyperlink ref="AQ145" display="http://www.jocotepec.gob.mx/transparencia/index.php/ayuntamiento/informacion-fundamental/vi-la-informacion-sobre-la-gestion-publica-que-comprende/c-las-obras-publicas-que-realiza-el-sujeto-obligado-de-cuando-menos-los-ultimos-tres-anos/2016-20/drenaje-par"/>
    <hyperlink ref="AQ161" display="http://www.jocotepec.gob.mx/transparencia/index.php/ayuntamiento/informacion-fundamental/vi-la-informacion-sobre-la-gestion-publica-que-comprende/c-las-obras-publicas-que-realiza-el-sujeto-obligado-de-cuando-menos-los-ultimos-tres-anos/2016-20/colocacion-"/>
    <hyperlink ref="AQ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P182" display="http://www.jocotepec.gob.mx/transparencia/index.php/ayuntamiento/informacion-fundamental/v-la-informacion-financiera-patrimonial-y-administrativa/p-la-informacion-sobre-concursos-por-invitacion-y-licitaciones-publicas-en-materia-de-adquisiciones-obra-publ"/>
    <hyperlink ref="AP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P269" display="http://www.jocotepec.gob.mx/transparencia/index.php/ayuntamiento/informacion-fundamental/v-la-informacion-financiera-patrimonial-y-administrativa/o-las-adjudicaciones-directas-en-materia-de-adquisiciones-obra-publica-proyectos-de-inversion-y-prestacion-de"/>
    <hyperlink ref="AP280" display="http://www.jocotepec.gob.mx/transparencia/index.php/ayuntamiento/informacion-fundamental/v-la-informacion-financiera-patrimonial-y-administrativa/o-las-adjudicaciones-directas-en-materia-de-adquisiciones-obra-publica-proyectos-de-inversion-y-prestacion-de"/>
    <hyperlink ref="AQ269" display="http://www.jocotepec.gob.mx/transparencia/index.php/ayuntamiento/informacion-fundamental/v-la-informacion-financiera-patrimonial-y-administrativa/o-las-adjudicaciones-directas-en-materia-de-adquisiciones-obra-publica-proyectos-de-inversion-y-prestacion-de"/>
    <hyperlink ref="AQ280" display="http://www.jocotepec.gob.mx/transparencia/index.php/ayuntamiento/informacion-fundamental/v-la-informacion-financiera-patrimonial-y-administrativa/o-las-adjudicaciones-directas-en-materia-de-adquisiciones-obra-publica-proyectos-de-inversion-y-prestacion-de"/>
    <hyperlink ref="AP329" display="http://www.jocotepec.gob.mx/transparencia/index.php/ayuntamiento/informacion-fundamental/v-la-informacion-financiera-patrimonial-y-administrativa/p-la-informacion-sobre-concursos-por-invitacion-y-licitaciones-publicas-en-materia-de-adquisiciones-obra-publ"/>
    <hyperlink ref="AQ147" display="http://www.jocotepec.gob.mx/transparencia/index.php/ayuntamiento/informacion-fundamental/vi-la-informacion-sobre-la-gestion-publica-que-comprende/c-las-obras-publicas-que-realiza-el-sujeto-obligado-de-cuando-menos-los-ultimos-tres-anos/2016-20/agua-potabl"/>
    <hyperlink ref="AQ165" display="http://www.jocotepec.gob.mx/transparencia/index.php/ayuntamiento/informacion-fundamental/vi-la-informacion-sobre-la-gestion-publica-que-comprende/c-las-obras-publicas-que-realiza-el-sujeto-obligado-de-cuando-menos-los-ultimos-tres-anos/2016-20/agua-potabl"/>
    <hyperlink ref="AQ167" display="http://www.jocotepec.gob.mx/transparencia/index.php/ayuntamiento/informacion-fundamental/vi-la-informacion-sobre-la-gestion-publica-que-comprende/c-las-obras-publicas-que-realiza-el-sujeto-obligado-de-cuando-menos-los-ultimos-tres-anos/2016-20/drenaje-2a-"/>
    <hyperlink ref="AQ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P131" display="http://www.jocotepec.gob.mx/transparencia/index.php/ayuntamiento/informacion-fundamental/vi-la-informacion-sobre-la-gestion-publica-que-comprende/c-las-obras-publicas-que-realiza-el-sujeto-obligado-de-cuando-menos-los-ultimos-tres-anos/2015-19/colocacion-"/>
    <hyperlink ref="AP133" display="http://www.jocotepec.gob.mx/transparencia/index.php/ayuntamiento/informacion-fundamental/vi-la-informacion-sobre-la-gestion-publica-que-comprende/c-las-obras-publicas-que-realiza-el-sujeto-obligado-de-cuando-menos-los-ultimos-tres-anos/2015-19/colocacion-"/>
    <hyperlink ref="AQ131" display="http://www.jocotepec.gob.mx/transparencia/index.php/ayuntamiento/informacion-fundamental/vi-la-informacion-sobre-la-gestion-publica-que-comprende/c-las-obras-publicas-que-realiza-el-sujeto-obligado-de-cuando-menos-los-ultimos-tres-anos/2015-19/colocacion-"/>
    <hyperlink ref="AQ133" display="http://www.jocotepec.gob.mx/transparencia/index.php/ayuntamiento/informacion-fundamental/vi-la-informacion-sobre-la-gestion-publica-que-comprende/c-las-obras-publicas-que-realiza-el-sujeto-obligado-de-cuando-menos-los-ultimos-tres-anos/2015-19/colocacion-"/>
    <hyperlink ref="AQ134" display="http://www.jocotepec.gob.mx/transparencia/index.php/ayuntamiento/informacion-fundamental/vi-la-informacion-sobre-la-gestion-publica-que-comprende/c-las-obras-publicas-que-realiza-el-sujeto-obligado-de-cuando-menos-los-ultimos-tres-anos/2015-19/colocacion-"/>
    <hyperlink ref="AQ272" display="http://www.jocotepec.gob.mx/transparencia/index.php/ayuntamiento/informacion-fundamental/v-la-informacion-financiera-patrimonial-y-administrativa/p-la-informacion-sobre-concursos-por-invitacion-y-licitaciones-publicas-en-materia-de-adquisiciones-obra-publ"/>
    <hyperlink ref="AP313" display="http://www.jocotepec.gob.mx/transparencia/index.php/ayuntamiento/informacion-fundamental/vi-la-informacion-sobre-la-gestion-publica-que-comprende/c-las-obras-publicas-que-realiza-el-sujeto-obligado-de-cuando-menos-los-ultimos-tres-anos/2018-11/empedrado-e"/>
    <hyperlink ref="AQ220" display="http://www.jocotepec.gob.mx/transparencia/index.php/ayuntamiento/informacion-fundamental/vi-la-informacion-sobre-la-gestion-publica-que-comprende/c-las-obras-publicas-que-realiza-el-sujeto-obligado-de-cuando-menos-los-ultimos-tres-anos/2017-24/drenaje-c-z"/>
    <hyperlink ref="E800" r:id="rId11"/>
    <hyperlink ref="AN176" display="http://www.jocotepec.gob.mx/transparencia/index.php/ayuntamiento/informacion-fundamental/v-la-informacion-financiera-patrimonial-y-administrativa/o-las-adjudicaciones-directas-en-materia-de-adquisiciones-obra-publica-proyectos-de-inversion-y-prestacion-de"/>
    <hyperlink ref="AO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O177" display="http://www.jocotepec.gob.mx/transparencia/index.php/ayuntamiento/informacion-fundamental/v-la-informacion-financiera-patrimonial-y-administrativa/o-las-adjudicaciones-directas-en-materia-de-adquisiciones-obra-publica-proyectos-de-inversion-y-prestacion-de"/>
    <hyperlink ref="AO99" display="http://www.jocotepec.gob.mx/transparencia/index.php/ayuntamiento/informacion-fundamental/v-la-informacion-financiera-patrimonial-y-administrativa/p-la-informacion-sobre-concursos-por-invitacion-y-licitaciones-publicas-en-materia-de-adquisiciones-obra-publ"/>
    <hyperlink ref="AP194" display="http://www.jocotepec.gob.mx/transparencia/index.php/ayuntamiento/informacion-fundamental/v-la-informacion-financiera-patrimonial-y-administrativa/p-la-informacion-sobre-concursos-por-invitacion-y-licitaciones-publicas-en-materia-de-adquisiciones-obra-publ"/>
    <hyperlink ref="AO274" display="http://www.jocotepec.gob.mx/transparencia/index.php/ayuntamiento/informacion-fundamental/v-la-informacion-financiera-patrimonial-y-administrativa/o-las-adjudicaciones-directas-en-materia-de-adquisiciones-obra-publica-proyectos-de-inversion-y-prestacion-de"/>
    <hyperlink ref="AO269" display="http://www.jocotepec.gob.mx/transparencia/index.php/ayuntamiento/informacion-fundamental/v-la-informacion-financiera-patrimonial-y-administrativa/o-las-adjudicaciones-directas-en-materia-de-adquisiciones-obra-publica-proyectos-de-inversion-y-prestacion-de"/>
    <hyperlink ref="E797"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P514" r:id="rId39"/>
    <hyperlink ref="AM513" r:id="rId40"/>
    <hyperlink ref="AN513" r:id="rId41"/>
    <hyperlink ref="AQ513" r:id="rId42"/>
    <hyperlink ref="AP513" r:id="rId43"/>
    <hyperlink ref="AM499" r:id="rId44"/>
    <hyperlink ref="AP499" r:id="rId45"/>
    <hyperlink ref="AP500" r:id="rId46"/>
    <hyperlink ref="AP498" r:id="rId47"/>
    <hyperlink ref="AQ498" r:id="rId48"/>
    <hyperlink ref="AP515" r:id="rId49"/>
    <hyperlink ref="F522" r:id="rId50"/>
    <hyperlink ref="AM522" r:id="rId51"/>
    <hyperlink ref="AN522" r:id="rId52"/>
    <hyperlink ref="AO522" r:id="rId53"/>
    <hyperlink ref="AP522" r:id="rId54"/>
    <hyperlink ref="AQ495" r:id="rId55"/>
    <hyperlink ref="AQ496" r:id="rId56"/>
    <hyperlink ref="AP501" r:id="rId57"/>
    <hyperlink ref="F524" r:id="rId58"/>
    <hyperlink ref="AP447" r:id="rId59"/>
    <hyperlink ref="AM443" r:id="rId60"/>
    <hyperlink ref="AP443" r:id="rId61"/>
    <hyperlink ref="AM449" r:id="rId62"/>
    <hyperlink ref="AM438" r:id="rId63"/>
    <hyperlink ref="AM456" r:id="rId64"/>
    <hyperlink ref="AP517" r:id="rId65"/>
    <hyperlink ref="AO499" r:id="rId66"/>
    <hyperlink ref="AQ499" r:id="rId67"/>
    <hyperlink ref="AM500" r:id="rId68"/>
    <hyperlink ref="AQ500" r:id="rId69"/>
    <hyperlink ref="AN503" r:id="rId70"/>
    <hyperlink ref="AP503" r:id="rId71"/>
    <hyperlink ref="AM505" r:id="rId72"/>
    <hyperlink ref="AN505" r:id="rId73"/>
    <hyperlink ref="AO505" r:id="rId74"/>
    <hyperlink ref="AP505" r:id="rId75"/>
    <hyperlink ref="AQ505" r:id="rId76"/>
    <hyperlink ref="AP506" r:id="rId77"/>
    <hyperlink ref="AQ506" r:id="rId78"/>
    <hyperlink ref="AM508" r:id="rId79"/>
    <hyperlink ref="AO508" r:id="rId80"/>
    <hyperlink ref="AP507" r:id="rId81"/>
    <hyperlink ref="AQ507" r:id="rId82"/>
    <hyperlink ref="AP511" r:id="rId83"/>
    <hyperlink ref="AQ511" r:id="rId84"/>
    <hyperlink ref="AP512" r:id="rId85"/>
    <hyperlink ref="AQ512" r:id="rId86"/>
    <hyperlink ref="AM516" r:id="rId87"/>
    <hyperlink ref="AP516" r:id="rId88"/>
    <hyperlink ref="AQ516" r:id="rId89"/>
    <hyperlink ref="AM517" r:id="rId90"/>
    <hyperlink ref="AN517" r:id="rId91"/>
    <hyperlink ref="AM518" r:id="rId92"/>
    <hyperlink ref="AM519" r:id="rId93"/>
    <hyperlink ref="AN519" r:id="rId94"/>
    <hyperlink ref="AO519" r:id="rId95"/>
    <hyperlink ref="N570" r:id="rId96"/>
    <hyperlink ref="N572" r:id="rId97"/>
    <hyperlink ref="AP527" r:id="rId98"/>
    <hyperlink ref="AM430" r:id="rId99"/>
    <hyperlink ref="AM431" r:id="rId100"/>
    <hyperlink ref="AM435" r:id="rId101"/>
    <hyperlink ref="AQ435" r:id="rId102"/>
    <hyperlink ref="AP497" r:id="rId103"/>
    <hyperlink ref="AQ497" r:id="rId104"/>
    <hyperlink ref="AM293" r:id="rId105"/>
    <hyperlink ref="AM294:AM295" r:id="rId106" display="https://portaltransparencia.jocotepec.gob.mx/informacion/1767"/>
    <hyperlink ref="AM352" r:id="rId107"/>
    <hyperlink ref="AM353:AM354" r:id="rId108" display="http://fronttransparencia.desarrollojocotepec.com.mx/informacion/1764"/>
    <hyperlink ref="AM424" r:id="rId109"/>
    <hyperlink ref="AM425:AM429" r:id="rId110" display="http://fronttransparencia.desarrollojocotepec.com.mx/informacion/1758"/>
    <hyperlink ref="AM316" r:id="rId111"/>
    <hyperlink ref="AM319" r:id="rId112"/>
    <hyperlink ref="AM320" r:id="rId113"/>
    <hyperlink ref="AM321" r:id="rId114"/>
    <hyperlink ref="AN323" r:id="rId115"/>
    <hyperlink ref="AM327" r:id="rId116"/>
    <hyperlink ref="AQ327" r:id="rId117"/>
    <hyperlink ref="AM324" r:id="rId118"/>
    <hyperlink ref="AM330" r:id="rId119"/>
    <hyperlink ref="AM332" r:id="rId120"/>
    <hyperlink ref="AM333" r:id="rId121"/>
    <hyperlink ref="AM335" r:id="rId122"/>
    <hyperlink ref="AM337" r:id="rId123"/>
    <hyperlink ref="AM340" r:id="rId124"/>
    <hyperlink ref="AM341" r:id="rId125"/>
    <hyperlink ref="AM346" r:id="rId126"/>
    <hyperlink ref="AN346" r:id="rId127"/>
    <hyperlink ref="AM317" r:id="rId128"/>
    <hyperlink ref="N317" r:id="rId129"/>
    <hyperlink ref="N318" r:id="rId130"/>
    <hyperlink ref="N328" r:id="rId131"/>
    <hyperlink ref="N339" r:id="rId132"/>
    <hyperlink ref="AM385" r:id="rId133"/>
    <hyperlink ref="AQ371" r:id="rId134"/>
    <hyperlink ref="AO430" r:id="rId135"/>
    <hyperlink ref="AQ515" r:id="rId136"/>
    <hyperlink ref="AM526" r:id="rId137"/>
    <hyperlink ref="AP526" r:id="rId138"/>
    <hyperlink ref="AQ526" r:id="rId139"/>
    <hyperlink ref="AM567" r:id="rId140"/>
    <hyperlink ref="AP567" r:id="rId141"/>
    <hyperlink ref="AM570" r:id="rId142"/>
    <hyperlink ref="AP570" r:id="rId143"/>
    <hyperlink ref="AM568" r:id="rId144"/>
    <hyperlink ref="AP568" r:id="rId145"/>
    <hyperlink ref="N568" r:id="rId146"/>
    <hyperlink ref="F576" r:id="rId147"/>
    <hyperlink ref="F577" r:id="rId148"/>
    <hyperlink ref="N576" r:id="rId149"/>
    <hyperlink ref="N577" r:id="rId150"/>
    <hyperlink ref="AP518" r:id="rId151"/>
    <hyperlink ref="N549" r:id="rId152"/>
    <hyperlink ref="N552" r:id="rId153"/>
    <hyperlink ref="N557" r:id="rId154"/>
    <hyperlink ref="F528" r:id="rId155"/>
    <hyperlink ref="F440" r:id="rId156"/>
    <hyperlink ref="N573:N574" r:id="rId157" display="http://fronttransparencia.desarrollojocotepec.com.mx/informacion/2334"/>
    <hyperlink ref="AM415" r:id="rId158"/>
    <hyperlink ref="AQ567" r:id="rId159"/>
    <hyperlink ref="AM576" r:id="rId160"/>
    <hyperlink ref="AN576" r:id="rId161"/>
    <hyperlink ref="AO576" r:id="rId162"/>
    <hyperlink ref="AP576" r:id="rId163"/>
    <hyperlink ref="N355" r:id="rId164"/>
    <hyperlink ref="AM355" r:id="rId165"/>
    <hyperlink ref="N358" r:id="rId166"/>
    <hyperlink ref="AM358" r:id="rId167"/>
    <hyperlink ref="N359" r:id="rId168"/>
    <hyperlink ref="AM359" r:id="rId169"/>
    <hyperlink ref="N360" r:id="rId170"/>
    <hyperlink ref="AM360" r:id="rId171"/>
    <hyperlink ref="N361" r:id="rId172"/>
    <hyperlink ref="AM361" r:id="rId173"/>
    <hyperlink ref="N362" r:id="rId174"/>
    <hyperlink ref="AM362" r:id="rId175"/>
    <hyperlink ref="AP362" r:id="rId176"/>
    <hyperlink ref="N363" r:id="rId177"/>
    <hyperlink ref="N364" r:id="rId178"/>
    <hyperlink ref="AM364" r:id="rId179"/>
    <hyperlink ref="AQ365" r:id="rId180"/>
    <hyperlink ref="N366" r:id="rId181"/>
    <hyperlink ref="AM366" r:id="rId182"/>
    <hyperlink ref="N367" r:id="rId183"/>
    <hyperlink ref="AM367" r:id="rId184"/>
    <hyperlink ref="N368" r:id="rId185"/>
    <hyperlink ref="AQ372" r:id="rId186"/>
    <hyperlink ref="N376" r:id="rId187"/>
    <hyperlink ref="AP376" r:id="rId188"/>
    <hyperlink ref="N378" r:id="rId189"/>
    <hyperlink ref="AM378" r:id="rId190"/>
    <hyperlink ref="AQ378" r:id="rId191"/>
    <hyperlink ref="N530" r:id="rId192"/>
    <hyperlink ref="AM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M444" r:id="rId202"/>
    <hyperlink ref="N519" r:id="rId203"/>
    <hyperlink ref="N520" r:id="rId204"/>
    <hyperlink ref="AP519" r:id="rId205"/>
    <hyperlink ref="AM520" r:id="rId206"/>
    <hyperlink ref="AP520" r:id="rId207"/>
    <hyperlink ref="AQ520" r:id="rId208"/>
    <hyperlink ref="N451" r:id="rId209"/>
    <hyperlink ref="N455" r:id="rId210"/>
    <hyperlink ref="N456" r:id="rId211"/>
    <hyperlink ref="AM492" r:id="rId212"/>
    <hyperlink ref="AQ492" r:id="rId213"/>
    <hyperlink ref="AP492" r:id="rId214"/>
    <hyperlink ref="AM490" r:id="rId215"/>
    <hyperlink ref="AN490" r:id="rId216"/>
    <hyperlink ref="AM491" r:id="rId217"/>
    <hyperlink ref="AM493" r:id="rId218"/>
    <hyperlink ref="AM494" r:id="rId219"/>
    <hyperlink ref="N521" r:id="rId220"/>
    <hyperlink ref="N523" r:id="rId221"/>
    <hyperlink ref="AM521" r:id="rId222"/>
    <hyperlink ref="AP521" r:id="rId223"/>
    <hyperlink ref="AQ521" r:id="rId224"/>
    <hyperlink ref="AM523" r:id="rId225"/>
    <hyperlink ref="AQ523" r:id="rId226"/>
    <hyperlink ref="AP523" r:id="rId227"/>
    <hyperlink ref="AM579" r:id="rId228"/>
    <hyperlink ref="N507" r:id="rId229"/>
    <hyperlink ref="AO507" r:id="rId230"/>
    <hyperlink ref="N511" r:id="rId231"/>
    <hyperlink ref="N522" r:id="rId232"/>
    <hyperlink ref="AQ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M593" r:id="rId243"/>
    <hyperlink ref="AP593" r:id="rId244"/>
    <hyperlink ref="AQ593" r:id="rId245"/>
    <hyperlink ref="AM572" r:id="rId246"/>
    <hyperlink ref="AO572" r:id="rId247"/>
    <hyperlink ref="AQ572" r:id="rId248"/>
    <hyperlink ref="AP574" r:id="rId249"/>
    <hyperlink ref="AQ574" r:id="rId250"/>
    <hyperlink ref="AP594" r:id="rId251"/>
    <hyperlink ref="AQ594" r:id="rId252"/>
    <hyperlink ref="AM595" r:id="rId253"/>
    <hyperlink ref="AO595" r:id="rId254"/>
    <hyperlink ref="AP595" r:id="rId255"/>
    <hyperlink ref="AQ595" r:id="rId256"/>
    <hyperlink ref="AM596" r:id="rId257"/>
    <hyperlink ref="AN596" r:id="rId258"/>
    <hyperlink ref="AO596" r:id="rId259"/>
    <hyperlink ref="AP596" r:id="rId260"/>
    <hyperlink ref="AQ596" r:id="rId261"/>
    <hyperlink ref="N597" r:id="rId262"/>
    <hyperlink ref="AM597" r:id="rId263"/>
    <hyperlink ref="AP597" r:id="rId264"/>
    <hyperlink ref="AQ597" r:id="rId265"/>
    <hyperlink ref="AN595" r:id="rId266"/>
    <hyperlink ref="AN581" r:id="rId267"/>
    <hyperlink ref="AP581" r:id="rId268"/>
    <hyperlink ref="AQ581" r:id="rId269"/>
    <hyperlink ref="AM583" r:id="rId270"/>
    <hyperlink ref="AN583" r:id="rId271"/>
    <hyperlink ref="AO583" r:id="rId272"/>
    <hyperlink ref="AQ583" r:id="rId273"/>
    <hyperlink ref="N516" r:id="rId274"/>
    <hyperlink ref="AP582" r:id="rId275"/>
    <hyperlink ref="AQ582" r:id="rId276"/>
    <hyperlink ref="AQ568" r:id="rId277"/>
    <hyperlink ref="AQ570" r:id="rId278"/>
    <hyperlink ref="AP575" r:id="rId279"/>
    <hyperlink ref="AQ575" r:id="rId280"/>
    <hyperlink ref="AQ576" r:id="rId281"/>
    <hyperlink ref="N638" r:id="rId282"/>
    <hyperlink ref="N639:N645" r:id="rId283" display="https://portaltransparencia.jocotepec.gob.mx/informacion/4333"/>
    <hyperlink ref="AP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M638" r:id="rId298"/>
    <hyperlink ref="AQ638" r:id="rId299"/>
    <hyperlink ref="AP638" r:id="rId300"/>
    <hyperlink ref="AQ639" r:id="rId301"/>
    <hyperlink ref="AP639" r:id="rId302"/>
    <hyperlink ref="AQ640" r:id="rId303"/>
    <hyperlink ref="AP640" r:id="rId304"/>
    <hyperlink ref="N646:N647" r:id="rId305" display="https://portaltransparencia.jocotepec.gob.mx/informacion/4333"/>
    <hyperlink ref="N648" r:id="rId306"/>
    <hyperlink ref="N649" r:id="rId307"/>
    <hyperlink ref="N653" r:id="rId308"/>
    <hyperlink ref="AM644" r:id="rId309"/>
    <hyperlink ref="N650" r:id="rId310"/>
    <hyperlink ref="N651:N652" r:id="rId311" display="https://portaltransparencia.jocotepec.gob.mx/informacion/4457"/>
    <hyperlink ref="N654:N655" r:id="rId312" display="https://portaltransparencia.jocotepec.gob.mx/informacion/4457"/>
    <hyperlink ref="N656" r:id="rId313"/>
    <hyperlink ref="AM650" r:id="rId314"/>
    <hyperlink ref="AM655" r:id="rId315"/>
    <hyperlink ref="AO655" r:id="rId316"/>
    <hyperlink ref="AP655" r:id="rId317"/>
    <hyperlink ref="AN651" r:id="rId318"/>
    <hyperlink ref="AM652" r:id="rId319"/>
    <hyperlink ref="AN652" r:id="rId320"/>
    <hyperlink ref="AM654" r:id="rId321"/>
    <hyperlink ref="AM599" r:id="rId322"/>
    <hyperlink ref="AP599" r:id="rId323"/>
    <hyperlink ref="AQ599" r:id="rId324"/>
    <hyperlink ref="N599" r:id="rId325"/>
    <hyperlink ref="AM641" r:id="rId326"/>
    <hyperlink ref="AN641" r:id="rId327"/>
    <hyperlink ref="AO641" r:id="rId328"/>
    <hyperlink ref="AP641" r:id="rId329"/>
    <hyperlink ref="AN642" r:id="rId330"/>
    <hyperlink ref="AQ642" r:id="rId331"/>
    <hyperlink ref="AM643" r:id="rId332"/>
    <hyperlink ref="AN643" r:id="rId333"/>
    <hyperlink ref="AM648" r:id="rId334"/>
    <hyperlink ref="AM649" r:id="rId335"/>
    <hyperlink ref="AM653" r:id="rId336"/>
    <hyperlink ref="AM639" r:id="rId337"/>
    <hyperlink ref="AM640" r:id="rId338"/>
    <hyperlink ref="N641" r:id="rId339"/>
    <hyperlink ref="N598" r:id="rId340"/>
    <hyperlink ref="AM598" r:id="rId341"/>
    <hyperlink ref="AP598" r:id="rId342"/>
    <hyperlink ref="N600" r:id="rId343"/>
    <hyperlink ref="AM600" r:id="rId344"/>
    <hyperlink ref="AP600" r:id="rId345"/>
    <hyperlink ref="AQ600" r:id="rId346"/>
    <hyperlink ref="N601" r:id="rId347"/>
    <hyperlink ref="AM601" r:id="rId348"/>
    <hyperlink ref="AQ601" r:id="rId349"/>
    <hyperlink ref="N602" r:id="rId350"/>
    <hyperlink ref="AM602" r:id="rId351"/>
    <hyperlink ref="AN602" r:id="rId352"/>
    <hyperlink ref="AO602" r:id="rId353"/>
    <hyperlink ref="AP602" r:id="rId354"/>
    <hyperlink ref="N603" r:id="rId355"/>
    <hyperlink ref="AM603" r:id="rId356"/>
    <hyperlink ref="AN603" r:id="rId357"/>
    <hyperlink ref="AO603" r:id="rId358"/>
    <hyperlink ref="AP603" r:id="rId359"/>
    <hyperlink ref="AM605" r:id="rId360"/>
    <hyperlink ref="AN605" r:id="rId361"/>
    <hyperlink ref="AO605" r:id="rId362"/>
    <hyperlink ref="AP605" r:id="rId363"/>
    <hyperlink ref="AN650" r:id="rId364"/>
    <hyperlink ref="AO650" r:id="rId365"/>
    <hyperlink ref="AQ650" r:id="rId366"/>
    <hyperlink ref="AP651" r:id="rId367"/>
    <hyperlink ref="AQ652" r:id="rId368"/>
    <hyperlink ref="AQ653" r:id="rId369"/>
    <hyperlink ref="AN654" r:id="rId370"/>
    <hyperlink ref="AQ654" r:id="rId371"/>
    <hyperlink ref="AN655" r:id="rId372"/>
    <hyperlink ref="AQ655" r:id="rId373"/>
    <hyperlink ref="AM656" r:id="rId374"/>
    <hyperlink ref="AO656" r:id="rId375"/>
    <hyperlink ref="AP656" r:id="rId376"/>
    <hyperlink ref="AQ656" r:id="rId377"/>
    <hyperlink ref="N726" r:id="rId378"/>
    <hyperlink ref="N728" r:id="rId379"/>
    <hyperlink ref="AM728" r:id="rId380"/>
    <hyperlink ref="AO728" r:id="rId381"/>
    <hyperlink ref="AP728" r:id="rId382"/>
    <hyperlink ref="AM727" r:id="rId383"/>
    <hyperlink ref="AO727" r:id="rId384"/>
    <hyperlink ref="AP727" r:id="rId385"/>
    <hyperlink ref="AM726" r:id="rId386"/>
    <hyperlink ref="AO726" r:id="rId387"/>
    <hyperlink ref="AP726" r:id="rId388"/>
    <hyperlink ref="AM729" r:id="rId389"/>
    <hyperlink ref="AO729" r:id="rId390"/>
    <hyperlink ref="AP729" r:id="rId391"/>
    <hyperlink ref="AM730" r:id="rId392"/>
    <hyperlink ref="AN730" r:id="rId393"/>
    <hyperlink ref="AO730" r:id="rId394"/>
    <hyperlink ref="AP730" r:id="rId395"/>
    <hyperlink ref="AM731" r:id="rId396"/>
    <hyperlink ref="AN731" r:id="rId397"/>
    <hyperlink ref="AO731" r:id="rId398"/>
    <hyperlink ref="AM733" r:id="rId399"/>
    <hyperlink ref="AN733" r:id="rId400"/>
    <hyperlink ref="AO733" r:id="rId401"/>
    <hyperlink ref="AP733" r:id="rId402"/>
    <hyperlink ref="AP731" r:id="rId403"/>
    <hyperlink ref="AN735" r:id="rId404"/>
    <hyperlink ref="AO735" r:id="rId405"/>
    <hyperlink ref="AP735" r:id="rId406"/>
    <hyperlink ref="N736" r:id="rId407"/>
    <hyperlink ref="N737:N740" r:id="rId408" display="https://portaltransparencia.jocotepec.gob.mx/informacion/4969"/>
    <hyperlink ref="N663" r:id="rId409"/>
    <hyperlink ref="N664:N669" r:id="rId410" display="https://portaltransparencia.jocotepec.gob.mx/informacion/4690"/>
    <hyperlink ref="N679" r:id="rId411"/>
    <hyperlink ref="N680" r:id="rId412"/>
    <hyperlink ref="N686" r:id="rId413"/>
    <hyperlink ref="N687:N688" r:id="rId414" display="https://portaltransparencia.jocotepec.gob.mx/informacion/4974"/>
    <hyperlink ref="N693" r:id="rId415"/>
    <hyperlink ref="N694:N696" r:id="rId416" display="https://portaltransparencia.jocotepec.gob.mx/informacion/4691"/>
    <hyperlink ref="N710" r:id="rId417"/>
    <hyperlink ref="N712" r:id="rId418"/>
    <hyperlink ref="N554:N556" r:id="rId419" display="https://portaltransparencia.jocotepec.gob.mx/informacion/3330"/>
    <hyperlink ref="AM666" r:id="rId420"/>
    <hyperlink ref="AM671" r:id="rId421"/>
    <hyperlink ref="N528" r:id="rId422"/>
    <hyperlink ref="F658" r:id="rId423"/>
    <hyperlink ref="N658" r:id="rId424"/>
    <hyperlink ref="F660" r:id="rId425"/>
    <hyperlink ref="N660" r:id="rId426"/>
    <hyperlink ref="N661:N662" r:id="rId427" display="https://portaltransparencia.jocotepec.gob.mx/informacion/4686"/>
    <hyperlink ref="N659" r:id="rId428"/>
    <hyperlink ref="F661:F662" r:id="rId429" display="https://portaltransparencia.jocotepec.gob.mx/informacion/4686"/>
    <hyperlink ref="F659" r:id="rId430"/>
    <hyperlink ref="AM742" r:id="rId431"/>
    <hyperlink ref="F742" r:id="rId432"/>
    <hyperlink ref="N741:N743" r:id="rId433" display="https://portaltransparencia.jocotepec.gob.mx/informacion/4969"/>
    <hyperlink ref="N735" r:id="rId434"/>
    <hyperlink ref="AM738" r:id="rId435"/>
    <hyperlink ref="AP738" r:id="rId436"/>
    <hyperlink ref="AM739" r:id="rId437"/>
    <hyperlink ref="AN739" r:id="rId438"/>
    <hyperlink ref="AO739" r:id="rId439"/>
    <hyperlink ref="AP739" r:id="rId440"/>
    <hyperlink ref="AM740" r:id="rId441"/>
    <hyperlink ref="AN740" r:id="rId442"/>
    <hyperlink ref="AO740" r:id="rId443"/>
    <hyperlink ref="AP740" r:id="rId444"/>
    <hyperlink ref="AM741" r:id="rId445"/>
    <hyperlink ref="AN741" r:id="rId446"/>
    <hyperlink ref="AO741" r:id="rId447"/>
    <hyperlink ref="AP741" r:id="rId448"/>
    <hyperlink ref="N744" r:id="rId449"/>
    <hyperlink ref="N747" r:id="rId450"/>
    <hyperlink ref="N748" r:id="rId451"/>
    <hyperlink ref="AM743" r:id="rId452"/>
    <hyperlink ref="AN727" r:id="rId453"/>
    <hyperlink ref="AN726" r:id="rId454"/>
    <hyperlink ref="AQ727" r:id="rId455"/>
    <hyperlink ref="AQ726" r:id="rId456"/>
    <hyperlink ref="AN728" r:id="rId457"/>
    <hyperlink ref="AQ728" r:id="rId458"/>
    <hyperlink ref="N749" r:id="rId459"/>
    <hyperlink ref="N745" r:id="rId460"/>
    <hyperlink ref="N746" r:id="rId461"/>
    <hyperlink ref="AM749" r:id="rId462"/>
    <hyperlink ref="N750:N755" r:id="rId463" display="https://portaltransparencia.jocotepec.gob.mx/informacion/4969"/>
    <hyperlink ref="N716" r:id="rId464"/>
    <hyperlink ref="N717" r:id="rId465"/>
    <hyperlink ref="AM717" r:id="rId466"/>
    <hyperlink ref="N720" r:id="rId467"/>
    <hyperlink ref="AM720" r:id="rId468"/>
    <hyperlink ref="AN717" r:id="rId469"/>
    <hyperlink ref="AO717" r:id="rId470"/>
    <hyperlink ref="AN720" r:id="rId471"/>
    <hyperlink ref="AO720" r:id="rId472"/>
    <hyperlink ref="AP720" r:id="rId473"/>
    <hyperlink ref="AP716" r:id="rId474"/>
    <hyperlink ref="AQ729" r:id="rId475"/>
    <hyperlink ref="AQ730" r:id="rId476"/>
    <hyperlink ref="AQ731" r:id="rId477"/>
    <hyperlink ref="AM732" r:id="rId478"/>
    <hyperlink ref="AN732" r:id="rId479"/>
    <hyperlink ref="AO732" r:id="rId480"/>
    <hyperlink ref="AP732" r:id="rId481"/>
    <hyperlink ref="AQ732" r:id="rId482"/>
    <hyperlink ref="AQ733" r:id="rId483"/>
    <hyperlink ref="AM734" r:id="rId484"/>
    <hyperlink ref="AN734" r:id="rId485"/>
    <hyperlink ref="AP734" r:id="rId486"/>
    <hyperlink ref="AQ735" r:id="rId487"/>
    <hyperlink ref="AM736" r:id="rId488"/>
    <hyperlink ref="AN736" r:id="rId489"/>
    <hyperlink ref="AO736" r:id="rId490"/>
    <hyperlink ref="AP736" r:id="rId491"/>
    <hyperlink ref="AQ736" r:id="rId492"/>
    <hyperlink ref="AM737" r:id="rId493"/>
    <hyperlink ref="AN737" r:id="rId494"/>
    <hyperlink ref="AO737" r:id="rId495"/>
    <hyperlink ref="AQ737" r:id="rId496"/>
    <hyperlink ref="AQ738" r:id="rId497"/>
    <hyperlink ref="AQ739" r:id="rId498"/>
    <hyperlink ref="AM744" r:id="rId499"/>
    <hyperlink ref="AN744" r:id="rId500"/>
    <hyperlink ref="AO744" r:id="rId501"/>
    <hyperlink ref="AP744" r:id="rId502"/>
    <hyperlink ref="AM745" r:id="rId503"/>
    <hyperlink ref="AP745" r:id="rId504"/>
    <hyperlink ref="AM746" r:id="rId505"/>
    <hyperlink ref="AN746" r:id="rId506"/>
    <hyperlink ref="AP746" r:id="rId507"/>
    <hyperlink ref="AM747" r:id="rId508"/>
    <hyperlink ref="AN747" r:id="rId509"/>
    <hyperlink ref="AO747" r:id="rId510"/>
    <hyperlink ref="AM748" r:id="rId511"/>
    <hyperlink ref="AN748" r:id="rId512"/>
    <hyperlink ref="AO748" r:id="rId513"/>
    <hyperlink ref="AN742" r:id="rId514"/>
    <hyperlink ref="AO742" r:id="rId515"/>
    <hyperlink ref="AP742" r:id="rId516"/>
    <hyperlink ref="AO743" r:id="rId517"/>
    <hyperlink ref="AP743" r:id="rId518"/>
    <hyperlink ref="AM751" r:id="rId519"/>
    <hyperlink ref="AO751" r:id="rId520"/>
    <hyperlink ref="AP751" r:id="rId521"/>
  </hyperlinks>
  <printOptions horizontalCentered="1"/>
  <pageMargins left="0.47244094488188981" right="0.23622047244094491" top="0.74803149606299213" bottom="0.74803149606299213" header="0.70866141732283472" footer="0.74803149606299213"/>
  <pageSetup scale="15" orientation="landscape" r:id="rId5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938" hidden="1" customWidth="1"/>
    <col min="5" max="5" width="14.28515625" customWidth="1"/>
    <col min="6" max="6" width="14" style="1383"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974" customWidth="1"/>
  </cols>
  <sheetData>
    <row r="5" spans="1:17">
      <c r="A5" s="1932"/>
      <c r="B5" s="1939"/>
      <c r="C5" s="1932" t="s">
        <v>1410</v>
      </c>
      <c r="D5" s="1932" t="s">
        <v>19</v>
      </c>
      <c r="E5" s="1932" t="s">
        <v>1421</v>
      </c>
      <c r="F5" s="1969" t="s">
        <v>4797</v>
      </c>
      <c r="G5" s="1932" t="s">
        <v>2239</v>
      </c>
      <c r="H5" s="1932" t="s">
        <v>4794</v>
      </c>
      <c r="I5" s="1932" t="s">
        <v>3425</v>
      </c>
      <c r="J5" s="1932" t="s">
        <v>3426</v>
      </c>
      <c r="K5" s="2190" t="s">
        <v>4795</v>
      </c>
      <c r="L5" s="2190"/>
      <c r="M5" s="1936" t="s">
        <v>4798</v>
      </c>
      <c r="N5" s="1932" t="s">
        <v>2491</v>
      </c>
      <c r="O5" s="1932" t="s">
        <v>1419</v>
      </c>
      <c r="P5" s="1932" t="s">
        <v>4796</v>
      </c>
      <c r="Q5" s="1975" t="s">
        <v>3005</v>
      </c>
    </row>
    <row r="6" spans="1:17" ht="18.75" customHeight="1">
      <c r="A6" s="1098"/>
      <c r="B6" s="1940"/>
      <c r="C6" s="1098"/>
      <c r="D6" s="1098"/>
      <c r="E6" s="1098"/>
      <c r="F6" s="1970"/>
      <c r="G6" s="1098"/>
      <c r="H6" s="1098"/>
      <c r="I6" s="1098"/>
      <c r="J6" s="1098"/>
      <c r="K6" s="1098"/>
      <c r="L6" s="1098"/>
      <c r="M6" s="1098"/>
      <c r="N6" s="1098"/>
      <c r="O6" s="1098"/>
      <c r="P6" s="1098"/>
      <c r="Q6" s="1976"/>
    </row>
    <row r="7" spans="1:17" ht="60.75" customHeight="1">
      <c r="A7" s="1"/>
      <c r="B7" s="1935"/>
      <c r="C7" s="1" t="str">
        <f>OBRA!BY346</f>
        <v>2018-2021</v>
      </c>
      <c r="D7" s="1">
        <f>OBRA!I346</f>
        <v>2018</v>
      </c>
      <c r="E7" s="1933" t="str">
        <f>OBRA!M346</f>
        <v>ADMINISTRACIÓN DIRECTA</v>
      </c>
      <c r="F7" s="1971" t="str">
        <f>OBRA!L346</f>
        <v>DOP/AD/001/2018</v>
      </c>
      <c r="G7" s="3" t="str">
        <f>OBRA!N346</f>
        <v>"CONSTRUCCIÓN DE LÍNEA DE AGUA POTABLE EN CALLE EL DOMINGUILLO (RED DE ABASTECIMIENTO)", EN LA LOCALIDAD DE SAN JUAN COSALA, DEL MUNICIPIO DE JOCOTEPEC, JALISCO</v>
      </c>
      <c r="H7" s="1933" t="s">
        <v>4799</v>
      </c>
      <c r="I7" s="3" t="str">
        <f>OBRA!O346</f>
        <v>SAN JUAN COSALÁ</v>
      </c>
      <c r="J7" s="3" t="s">
        <v>4816</v>
      </c>
      <c r="K7" s="780"/>
      <c r="L7" s="780"/>
      <c r="M7" s="1937">
        <f>OBRA!AQ346+OBRA!AR346</f>
        <v>256948.51</v>
      </c>
      <c r="N7" s="267">
        <f>GRAL!AE348</f>
        <v>222</v>
      </c>
      <c r="O7" s="267" t="str">
        <f>GRAL!AF348</f>
        <v>ML</v>
      </c>
      <c r="P7" s="1"/>
      <c r="Q7" s="1"/>
    </row>
    <row r="8" spans="1:17" ht="63" customHeight="1">
      <c r="A8" s="1"/>
      <c r="B8" s="1935"/>
      <c r="C8" s="1" t="str">
        <f>OBRA!BY347</f>
        <v>2018-2021</v>
      </c>
      <c r="D8" s="1">
        <f>OBRA!I347</f>
        <v>2018</v>
      </c>
      <c r="E8" s="1933" t="str">
        <f>OBRA!M347</f>
        <v>ADMINISTRACIÓN DIRECTA</v>
      </c>
      <c r="F8" s="1971" t="str">
        <f>OBRA!L347</f>
        <v>DOP/AD/002/2018</v>
      </c>
      <c r="G8" s="3" t="str">
        <f>OBRA!N347</f>
        <v>"CONSTRUCCIÓN DE LÍNEA DE AGUA POTABLE EN CALLE EL DOMINGUILLO (RED DE DISTRIBUCCIÓN)", EN LA LOCALIDAD DE SAN JUAN COSALA, DEL MUNICIPIO DE JOCOTEPEC, JALISCO</v>
      </c>
      <c r="H8" s="1933" t="s">
        <v>4799</v>
      </c>
      <c r="I8" s="3" t="str">
        <f>OBRA!O347</f>
        <v>SAN JUAN COSALÁ</v>
      </c>
      <c r="J8" s="3" t="s">
        <v>4816</v>
      </c>
      <c r="K8" s="780"/>
      <c r="L8" s="780"/>
      <c r="M8" s="1937">
        <f>OBRA!AQ347+OBRA!AR347</f>
        <v>342261.25</v>
      </c>
      <c r="N8" s="267">
        <f>GRAL!AE349</f>
        <v>229</v>
      </c>
      <c r="O8" s="267" t="str">
        <f>GRAL!AF349</f>
        <v>ML</v>
      </c>
      <c r="P8" s="1"/>
      <c r="Q8" s="1"/>
    </row>
    <row r="9" spans="1:17" ht="60">
      <c r="A9" s="1"/>
      <c r="B9" s="1935"/>
      <c r="C9" s="1" t="str">
        <f>OBRA!BY348</f>
        <v>2018-2021</v>
      </c>
      <c r="D9" s="1">
        <f>OBRA!I348</f>
        <v>2018</v>
      </c>
      <c r="E9" s="1933" t="str">
        <f>OBRA!M348</f>
        <v>ADMINISTRACIÓN DIRECTA</v>
      </c>
      <c r="F9" s="1971" t="str">
        <f>OBRA!L348</f>
        <v>DOP/AD/003/2018</v>
      </c>
      <c r="G9" s="3" t="str">
        <f>OBRA!N348</f>
        <v>"REHABILITACIÓN DE RED DE DRENAJE EN CALLE PLAYAS DE LA LAGUNA CON REPOSICIÓN DE EMPEDRADO", EN LA AGENCIA MUNICIPAL DE CHANTEPEC, DEL MUNICIPIO DE JOCOTEPEC, JALISCO</v>
      </c>
      <c r="H9" s="1933" t="s">
        <v>4801</v>
      </c>
      <c r="I9" s="3" t="str">
        <f>OBRA!O348</f>
        <v>CHANTEPEC</v>
      </c>
      <c r="J9" s="3" t="s">
        <v>2669</v>
      </c>
      <c r="K9" s="328" t="s">
        <v>4820</v>
      </c>
      <c r="L9" s="328" t="s">
        <v>4955</v>
      </c>
      <c r="M9" s="1937">
        <f>OBRA!AQ348+OBRA!AR348</f>
        <v>305644.31</v>
      </c>
      <c r="N9" s="267">
        <f>GRAL!AE350</f>
        <v>70</v>
      </c>
      <c r="O9" s="267" t="str">
        <f>GRAL!AF350</f>
        <v>ML</v>
      </c>
      <c r="P9" s="1"/>
      <c r="Q9" s="1"/>
    </row>
    <row r="10" spans="1:17" ht="60">
      <c r="A10" s="1"/>
      <c r="B10" s="1935"/>
      <c r="C10" s="1" t="str">
        <f>OBRA!BY349</f>
        <v>2018-2021</v>
      </c>
      <c r="D10" s="1">
        <f>OBRA!I349</f>
        <v>2018</v>
      </c>
      <c r="E10" s="1933" t="str">
        <f>OBRA!M349</f>
        <v>ADMINISTRACIÓN DIRECTA</v>
      </c>
      <c r="F10" s="1971" t="str">
        <f>OBRA!L349</f>
        <v>DOP/AD/004/2018</v>
      </c>
      <c r="G10" s="3" t="str">
        <f>OBRA!N349</f>
        <v>"REHABILITACIÓN DE LÍNEA DE AGUA POTABLE EN CALLE PLAYAS DE LA LAGUNA CON REPOSICIÓN DE SUPERFICIE DE RODAMIENTO", EN LA AGENCIA MUNICIPAL DE CHANTEPEC, DEL MUNICIPIO DE JOCOTEPEC, JALISCO</v>
      </c>
      <c r="H10" s="1933" t="s">
        <v>4799</v>
      </c>
      <c r="I10" s="3" t="str">
        <f>OBRA!O349</f>
        <v>CHANTEPEC</v>
      </c>
      <c r="J10" s="3" t="s">
        <v>2669</v>
      </c>
      <c r="K10" s="328" t="s">
        <v>4820</v>
      </c>
      <c r="L10" s="328" t="s">
        <v>4955</v>
      </c>
      <c r="M10" s="1937">
        <f>OBRA!AQ349+OBRA!AR349</f>
        <v>217283.1</v>
      </c>
      <c r="N10" s="267">
        <f>GRAL!AE351</f>
        <v>70</v>
      </c>
      <c r="O10" s="267" t="str">
        <f>GRAL!AF351</f>
        <v>ML</v>
      </c>
      <c r="P10" s="1"/>
      <c r="Q10" s="1"/>
    </row>
    <row r="11" spans="1:17" ht="30" hidden="1">
      <c r="A11" s="1"/>
      <c r="B11" s="1"/>
      <c r="C11" s="1" t="str">
        <f>OBRA!BY350</f>
        <v>2018-2021</v>
      </c>
      <c r="D11" s="1">
        <f>OBRA!I350</f>
        <v>2019</v>
      </c>
      <c r="E11" s="1933" t="str">
        <f>OBRA!M350</f>
        <v>CONVENIO</v>
      </c>
      <c r="F11" s="1933" t="str">
        <f>OBRA!L350</f>
        <v>CEA-PERF-003/2019</v>
      </c>
      <c r="G11" s="3" t="str">
        <f>OBRA!N350</f>
        <v>PERFORACIÓN DE POZO PROFUNDO PARA AGUA POTABLE EN LA LOCALIDAD DE EL MOLINO, MUNICIPIO DE JOCOTEPEC, JALISCO".</v>
      </c>
      <c r="H11" s="1"/>
      <c r="I11" s="3" t="str">
        <f>OBRA!O350</f>
        <v>EL MOLINO</v>
      </c>
      <c r="J11" s="3"/>
      <c r="K11" s="3"/>
      <c r="L11" s="3"/>
      <c r="M11" s="1937">
        <f>OBRA!AQ350+OBRA!AR350</f>
        <v>0</v>
      </c>
      <c r="N11" s="1" t="str">
        <f>GRAL!AE352</f>
        <v>-</v>
      </c>
      <c r="O11" s="1" t="str">
        <f>GRAL!AF352</f>
        <v>-</v>
      </c>
      <c r="P11" s="1"/>
      <c r="Q11" s="1"/>
    </row>
    <row r="12" spans="1:17" ht="33.75" hidden="1">
      <c r="A12" s="1"/>
      <c r="B12" s="1"/>
      <c r="C12" s="1" t="str">
        <f>OBRA!BY351</f>
        <v>2018-2021</v>
      </c>
      <c r="D12" s="1">
        <f>OBRA!I351</f>
        <v>2019</v>
      </c>
      <c r="E12" s="1933" t="str">
        <f>OBRA!M351</f>
        <v>CONVENIO</v>
      </c>
      <c r="F12" s="1933" t="str">
        <f>OBRA!L351</f>
        <v>CONVENIO JOCOTEPEC PID 2019</v>
      </c>
      <c r="G12" s="3" t="str">
        <f>OBRA!N351</f>
        <v>ESTABLECIMIENTO DE DOS PUNTOS INOCUOS DE DESEMBARQUE (PID)"</v>
      </c>
      <c r="H12" s="1"/>
      <c r="I12" s="3">
        <f>OBRA!O351</f>
        <v>0</v>
      </c>
      <c r="J12" s="3"/>
      <c r="K12" s="3"/>
      <c r="L12" s="3"/>
      <c r="M12" s="1937">
        <f>OBRA!AQ351+OBRA!AR351</f>
        <v>0</v>
      </c>
      <c r="N12" s="1" t="str">
        <f>GRAL!AE353</f>
        <v>-</v>
      </c>
      <c r="O12" s="1" t="str">
        <f>GRAL!AF353</f>
        <v>-</v>
      </c>
      <c r="P12" s="1"/>
      <c r="Q12" s="1"/>
    </row>
    <row r="13" spans="1:17" ht="30" hidden="1">
      <c r="A13" s="1"/>
      <c r="B13" s="1"/>
      <c r="C13" s="1" t="str">
        <f>OBRA!BY352</f>
        <v>2018-2021</v>
      </c>
      <c r="D13" s="1">
        <f>OBRA!I352</f>
        <v>2019</v>
      </c>
      <c r="E13" s="1933" t="str">
        <f>OBRA!M352</f>
        <v>CONVENIO</v>
      </c>
      <c r="F13" s="1933" t="str">
        <f>OBRA!L352</f>
        <v>CONVENIO RASTRO DIGNO 2019</v>
      </c>
      <c r="G13" s="3" t="str">
        <f>OBRA!N352</f>
        <v>PROGRAMA DE MEJORAMIENTO DE INSTALACIONES DE SACRIFICIO DE GANADO "RASTRO DIGNO" EJERCICIO FISCAL 2019</v>
      </c>
      <c r="H13" s="1"/>
      <c r="I13" s="3" t="str">
        <f>OBRA!O352</f>
        <v>CABECERA MUNICIPAL</v>
      </c>
      <c r="J13" s="3"/>
      <c r="K13" s="3"/>
      <c r="L13" s="3"/>
      <c r="M13" s="1937">
        <f>OBRA!AQ352+OBRA!AR352</f>
        <v>0</v>
      </c>
      <c r="N13" s="1" t="str">
        <f>GRAL!AE354</f>
        <v>-</v>
      </c>
      <c r="O13" s="1" t="str">
        <f>GRAL!AF354</f>
        <v>-</v>
      </c>
      <c r="P13" s="1"/>
      <c r="Q13" s="1"/>
    </row>
    <row r="14" spans="1:17" ht="75">
      <c r="A14" s="1"/>
      <c r="B14" s="1935"/>
      <c r="C14" s="1" t="str">
        <f>OBRA!BY353</f>
        <v>2018-2021</v>
      </c>
      <c r="D14" s="1">
        <f>OBRA!I353</f>
        <v>2019</v>
      </c>
      <c r="E14" s="1933" t="str">
        <f>OBRA!M353</f>
        <v>ADMINISTRACIÓN DIRECTA</v>
      </c>
      <c r="F14" s="1971"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933" t="s">
        <v>2239</v>
      </c>
      <c r="I14" s="3" t="str">
        <f>OBRA!O353</f>
        <v>CABECERA MUNICIPAL</v>
      </c>
      <c r="J14" s="3" t="s">
        <v>4817</v>
      </c>
      <c r="K14" s="3" t="s">
        <v>3186</v>
      </c>
      <c r="L14" s="328" t="s">
        <v>68</v>
      </c>
      <c r="M14" s="1937">
        <f>OBRA!AQ353+OBRA!AR353</f>
        <v>249936.46</v>
      </c>
      <c r="N14" s="267">
        <f>GRAL!AE355</f>
        <v>534.25</v>
      </c>
      <c r="O14" s="267" t="str">
        <f>GRAL!AF355</f>
        <v>M2</v>
      </c>
      <c r="P14" s="2" t="s">
        <v>68</v>
      </c>
      <c r="Q14" s="2"/>
    </row>
    <row r="15" spans="1:17" ht="60" hidden="1">
      <c r="A15" s="1"/>
      <c r="B15" s="1"/>
      <c r="C15" s="1" t="str">
        <f>OBRA!BY354</f>
        <v>2018-2021</v>
      </c>
      <c r="D15" s="1">
        <f>OBRA!I354</f>
        <v>2019</v>
      </c>
      <c r="E15" s="1933" t="str">
        <f>OBRA!M354</f>
        <v>CANCELADA</v>
      </c>
      <c r="F15" s="1933"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937">
        <f>OBRA!AQ354+OBRA!AR354</f>
        <v>0</v>
      </c>
      <c r="N15" s="1">
        <f>GRAL!AE356</f>
        <v>295.60000000000002</v>
      </c>
      <c r="O15" s="1" t="str">
        <f>GRAL!AF356</f>
        <v>M2</v>
      </c>
      <c r="P15" s="1"/>
      <c r="Q15" s="1"/>
    </row>
    <row r="16" spans="1:17" ht="45" hidden="1">
      <c r="A16" s="1"/>
      <c r="B16" s="1"/>
      <c r="C16" s="1" t="str">
        <f>OBRA!BY355</f>
        <v>2018-2021</v>
      </c>
      <c r="D16" s="1">
        <f>OBRA!I355</f>
        <v>2019</v>
      </c>
      <c r="E16" s="1933" t="str">
        <f>OBRA!M355</f>
        <v>CANCELADA</v>
      </c>
      <c r="F16" s="1933" t="str">
        <f>OBRA!L355</f>
        <v>DOP/AD/003/2019</v>
      </c>
      <c r="G16" s="3" t="str">
        <f>OBRA!N355</f>
        <v>CONSERVACIÓN Y MANTENIMIENTO INCLUYENTE DE BANQUETA Y ACCESO HOSPITAL DE URGENCIAS" EN LA CABECERA MUNICIPAL DE JOCOTEPEC, JALISCO</v>
      </c>
      <c r="H16" s="1"/>
      <c r="I16" s="3">
        <f>OBRA!O355</f>
        <v>0</v>
      </c>
      <c r="J16" s="3"/>
      <c r="K16" s="3"/>
      <c r="L16" s="3"/>
      <c r="M16" s="1937">
        <f>OBRA!AQ355+OBRA!AR355</f>
        <v>0</v>
      </c>
      <c r="N16" s="1">
        <f>GRAL!AE357</f>
        <v>1</v>
      </c>
      <c r="O16" s="1">
        <f>GRAL!AF357</f>
        <v>0</v>
      </c>
      <c r="P16" s="1"/>
      <c r="Q16" s="1"/>
    </row>
    <row r="17" spans="1:17" ht="45">
      <c r="A17" s="1"/>
      <c r="B17" s="1935"/>
      <c r="C17" s="1" t="str">
        <f>OBRA!BY356</f>
        <v>2018-2021</v>
      </c>
      <c r="D17" s="1">
        <f>OBRA!I356</f>
        <v>2019</v>
      </c>
      <c r="E17" s="1933" t="str">
        <f>OBRA!M356</f>
        <v>ADMINISTRACIÓN DIRECTA</v>
      </c>
      <c r="F17" s="1971" t="str">
        <f>OBRA!L356</f>
        <v>DOP/AD/004/2019</v>
      </c>
      <c r="G17" s="3" t="str">
        <f>OBRA!N356</f>
        <v>CONSTRUCCIÓN DE RAMPAS INCLUYENTES EN LA DELEGACIÓN, DE SAN JUAN COSALA" DE LA CABECERA MUNICIPAL DE JOCOTEPEC, JALISCO.</v>
      </c>
      <c r="H17" s="1933" t="s">
        <v>4802</v>
      </c>
      <c r="I17" s="3" t="str">
        <f>OBRA!O356</f>
        <v>SAN JUAN COSALÁ</v>
      </c>
      <c r="J17" s="780" t="s">
        <v>4833</v>
      </c>
      <c r="K17" s="780" t="s">
        <v>2622</v>
      </c>
      <c r="L17" s="328" t="s">
        <v>68</v>
      </c>
      <c r="M17" s="1937">
        <f>OBRA!AQ356+OBRA!AR356</f>
        <v>6559.65</v>
      </c>
      <c r="N17" s="267">
        <f>GRAL!AE358</f>
        <v>1</v>
      </c>
      <c r="O17" s="267" t="str">
        <f>GRAL!AF358</f>
        <v>LOTE</v>
      </c>
      <c r="P17" s="2" t="s">
        <v>68</v>
      </c>
      <c r="Q17" s="2"/>
    </row>
    <row r="18" spans="1:17" ht="67.5" customHeight="1">
      <c r="A18" s="1"/>
      <c r="B18" s="1935"/>
      <c r="C18" s="1" t="str">
        <f>OBRA!BY357</f>
        <v>2018-2021</v>
      </c>
      <c r="D18" s="1">
        <f>OBRA!I357</f>
        <v>2019</v>
      </c>
      <c r="E18" s="1933" t="str">
        <f>OBRA!M357</f>
        <v>ADMINISTRACIÓN DIRECTA</v>
      </c>
      <c r="F18" s="1971" t="str">
        <f>OBRA!L357</f>
        <v>DOP/AD/005/2019</v>
      </c>
      <c r="G18" s="3" t="str">
        <f>OBRA!N357</f>
        <v>CONSTRUCCIÓN DE ASTA DE BANDERA DE 10 MTS DE ALURA EN LA PLAZA PRINCIPAL" EN LA DELEGACIÓN DE SAN JUAN COSALA, DE LA CABECERA MUNICIPAL DE JOCOTEPEC, JALISCO.</v>
      </c>
      <c r="H18" s="1933" t="s">
        <v>4803</v>
      </c>
      <c r="I18" s="3" t="str">
        <f>OBRA!O357</f>
        <v>SAN JUAN COSALÁ</v>
      </c>
      <c r="J18" s="3" t="s">
        <v>4800</v>
      </c>
      <c r="K18" s="3" t="s">
        <v>68</v>
      </c>
      <c r="L18" s="3" t="s">
        <v>68</v>
      </c>
      <c r="M18" s="1937">
        <f>OBRA!AQ357+OBRA!AR357</f>
        <v>50740.69</v>
      </c>
      <c r="N18" s="267">
        <f>GRAL!AE359</f>
        <v>1</v>
      </c>
      <c r="O18" s="267" t="str">
        <f>GRAL!AF359</f>
        <v>LOTE</v>
      </c>
      <c r="P18" s="2" t="s">
        <v>68</v>
      </c>
      <c r="Q18" s="2"/>
    </row>
    <row r="19" spans="1:17" ht="60.75" customHeight="1">
      <c r="A19" s="1"/>
      <c r="B19" s="1935"/>
      <c r="C19" s="1" t="str">
        <f>OBRA!BY358</f>
        <v>2018-2021</v>
      </c>
      <c r="D19" s="1">
        <f>OBRA!I358</f>
        <v>2019</v>
      </c>
      <c r="E19" s="1933" t="str">
        <f>OBRA!M358</f>
        <v>ADMINISTRACIÓN DIRECTA</v>
      </c>
      <c r="F19" s="1971" t="str">
        <f>OBRA!L358</f>
        <v>DOP/AD/006/2019</v>
      </c>
      <c r="G19" s="3" t="str">
        <f>OBRA!N358</f>
        <v>"FABRICACIÓN DE APLANADO EN MURO PONIENTE DE LA PLAZA PRINCIPAL" EN LA DELEGACIÓN, DE SAN JUAN COSALA, DE LA CABECERA MUNICIPAL DE JOCOTEPEC, JALISCO</v>
      </c>
      <c r="H19" s="1933" t="s">
        <v>4803</v>
      </c>
      <c r="I19" s="3" t="str">
        <f>OBRA!O358</f>
        <v>SAN JUAN COSALÁ</v>
      </c>
      <c r="J19" s="3" t="s">
        <v>4800</v>
      </c>
      <c r="K19" s="3" t="s">
        <v>68</v>
      </c>
      <c r="L19" s="3" t="s">
        <v>68</v>
      </c>
      <c r="M19" s="1937">
        <f>OBRA!AQ358+OBRA!AR358</f>
        <v>6202.19</v>
      </c>
      <c r="N19" s="267">
        <f>GRAL!AE360</f>
        <v>43</v>
      </c>
      <c r="O19" s="267" t="str">
        <f>GRAL!AF360</f>
        <v>M2</v>
      </c>
      <c r="P19" s="2" t="s">
        <v>68</v>
      </c>
      <c r="Q19" s="2"/>
    </row>
    <row r="20" spans="1:17" ht="64.5" customHeight="1">
      <c r="A20" s="1"/>
      <c r="B20" s="1935"/>
      <c r="C20" s="1" t="str">
        <f>OBRA!BY359</f>
        <v>2018-2021</v>
      </c>
      <c r="D20" s="1">
        <f>OBRA!I359</f>
        <v>2019</v>
      </c>
      <c r="E20" s="1933" t="str">
        <f>OBRA!M359</f>
        <v>ADMINISTRACIÓN DIRECTA</v>
      </c>
      <c r="F20" s="1971" t="str">
        <f>OBRA!L359</f>
        <v>DOP/AD/007/2019</v>
      </c>
      <c r="G20" s="3" t="str">
        <f>OBRA!N359</f>
        <v>"MANTENIMIENTO Y CONSERVACIÓN CON MAQUINARIA PESADA DE CALLES Y CAMINOS EN LAS AGENCIAS, DELEGACIONES Y CABECERA DEL MUNICIPIO DE JOCOTEPEC, JALISCO"</v>
      </c>
      <c r="H20" s="1933" t="s">
        <v>4804</v>
      </c>
      <c r="I20" s="3" t="str">
        <f>OBRA!O359</f>
        <v>MUNICIPIO</v>
      </c>
      <c r="J20" s="3" t="s">
        <v>4818</v>
      </c>
      <c r="K20" s="3" t="s">
        <v>68</v>
      </c>
      <c r="L20" s="3" t="s">
        <v>68</v>
      </c>
      <c r="M20" s="1937">
        <f>OBRA!AQ359+OBRA!AR359</f>
        <v>185312.5</v>
      </c>
      <c r="N20" s="267">
        <f>GRAL!AE361</f>
        <v>1</v>
      </c>
      <c r="O20" s="267" t="str">
        <f>GRAL!AF361</f>
        <v>LOTE</v>
      </c>
      <c r="P20" s="2" t="s">
        <v>68</v>
      </c>
      <c r="Q20" s="2"/>
    </row>
    <row r="21" spans="1:17" ht="63" customHeight="1">
      <c r="A21" s="1"/>
      <c r="B21" s="1935"/>
      <c r="C21" s="1" t="str">
        <f>OBRA!BY360</f>
        <v>2018-2021</v>
      </c>
      <c r="D21" s="1">
        <f>OBRA!I360</f>
        <v>2019</v>
      </c>
      <c r="E21" s="1933" t="str">
        <f>OBRA!M360</f>
        <v>ADMINISTRACIÓN DIRECTA</v>
      </c>
      <c r="F21" s="1971" t="str">
        <f>OBRA!L360</f>
        <v>DOP/AD/008/2019</v>
      </c>
      <c r="G21" s="3" t="str">
        <f>OBRA!N360</f>
        <v>"LA COMPRA DE MATERIALES E INSUMOS NECESARIOS" PARA LA PERFORACIÓN DE POZO PROFUNDO EN LA AGENCIA MUNICIPAL DE EL MOLINO, DEL MUNICIPIO DE JOCOTEPEC, JALISCO.</v>
      </c>
      <c r="H21" s="1933" t="s">
        <v>4805</v>
      </c>
      <c r="I21" s="3" t="str">
        <f>OBRA!O360</f>
        <v>EL MOLINO</v>
      </c>
      <c r="J21" s="780" t="s">
        <v>4943</v>
      </c>
      <c r="K21" s="3" t="s">
        <v>68</v>
      </c>
      <c r="L21" s="3" t="s">
        <v>68</v>
      </c>
      <c r="M21" s="1937">
        <f>OBRA!AQ360+OBRA!AR360</f>
        <v>615186.80000000005</v>
      </c>
      <c r="N21" s="267">
        <f>GRAL!AE362</f>
        <v>1</v>
      </c>
      <c r="O21" s="267" t="str">
        <f>GRAL!AF362</f>
        <v>POZO</v>
      </c>
      <c r="P21" s="2" t="s">
        <v>68</v>
      </c>
      <c r="Q21" s="2"/>
    </row>
    <row r="22" spans="1:17" ht="60">
      <c r="A22" s="1"/>
      <c r="B22" s="1935"/>
      <c r="C22" s="1" t="str">
        <f>OBRA!BY361</f>
        <v>2018-2021</v>
      </c>
      <c r="D22" s="1">
        <f>OBRA!I361</f>
        <v>2019</v>
      </c>
      <c r="E22" s="1933" t="str">
        <f>OBRA!M361</f>
        <v>ADMINISTRACIÓN DIRECTA</v>
      </c>
      <c r="F22" s="1971" t="str">
        <f>OBRA!L361</f>
        <v>DOP/AD/009/2019</v>
      </c>
      <c r="G22" s="3" t="str">
        <f>OBRA!N361</f>
        <v>"CONSTRUCCION DE EMPEDRADOS ECOLÓGICOS, AHOGADOS EN CEMENTO Y CON HUELLAS, EN VARIAS CALLES DE LA AGENCIA MUNICIPAL DE EL MOLINO". DEL MUNICIPIO DE JOCOTEPEC, JALISCO.</v>
      </c>
      <c r="H22" s="1933" t="s">
        <v>4806</v>
      </c>
      <c r="I22" s="3" t="str">
        <f>OBRA!O361</f>
        <v>EL MOLINO</v>
      </c>
      <c r="J22" s="3" t="s">
        <v>4143</v>
      </c>
      <c r="K22" s="3" t="s">
        <v>68</v>
      </c>
      <c r="L22" s="3" t="s">
        <v>68</v>
      </c>
      <c r="M22" s="1937">
        <f>OBRA!AQ361+OBRA!AR361</f>
        <v>630687.37</v>
      </c>
      <c r="N22" s="267">
        <f>GRAL!AE363</f>
        <v>2787.77</v>
      </c>
      <c r="O22" s="267" t="str">
        <f>GRAL!AF363</f>
        <v>M2</v>
      </c>
      <c r="P22" s="2" t="s">
        <v>68</v>
      </c>
      <c r="Q22" s="2"/>
    </row>
    <row r="23" spans="1:17" ht="45">
      <c r="A23" s="1"/>
      <c r="B23" s="1935"/>
      <c r="C23" s="1" t="str">
        <f>OBRA!BY362</f>
        <v>2018-2021</v>
      </c>
      <c r="D23" s="1">
        <f>OBRA!I362</f>
        <v>2019</v>
      </c>
      <c r="E23" s="1933" t="str">
        <f>OBRA!M362</f>
        <v>ADMINISTRACIÓN DIRECTA</v>
      </c>
      <c r="F23" s="1971" t="str">
        <f>OBRA!L362</f>
        <v>DOP/AD/010/2019</v>
      </c>
      <c r="G23" s="3" t="str">
        <f>OBRA!N362</f>
        <v>"CONSTRUCCIÓN DE LÍNEAS HIDROSANITARIAS EN CALLE EXTRAMUROS DE PRIVADA A CARRETERA," EN SAN PEDRO TESISTAN, DEL MUNICIPIO DE JOCOTEPEC, JALISCO.</v>
      </c>
      <c r="H23" s="1933" t="s">
        <v>4807</v>
      </c>
      <c r="I23" s="3" t="str">
        <f>OBRA!O362</f>
        <v>SAN PEDRO TESISTÁN</v>
      </c>
      <c r="J23" s="3" t="s">
        <v>4819</v>
      </c>
      <c r="K23" s="3" t="s">
        <v>4820</v>
      </c>
      <c r="L23" s="3" t="s">
        <v>4821</v>
      </c>
      <c r="M23" s="1937">
        <f>OBRA!AQ362+OBRA!AR362</f>
        <v>445239.22</v>
      </c>
      <c r="N23" s="267">
        <f>GRAL!AE364</f>
        <v>351</v>
      </c>
      <c r="O23" s="267" t="str">
        <f>GRAL!AF364</f>
        <v>ML</v>
      </c>
      <c r="P23" s="1971" t="s">
        <v>5032</v>
      </c>
      <c r="Q23" s="2" t="s">
        <v>5033</v>
      </c>
    </row>
    <row r="24" spans="1:17" ht="60">
      <c r="A24" s="1"/>
      <c r="B24" s="1935"/>
      <c r="C24" s="1" t="str">
        <f>OBRA!BY363</f>
        <v>2018-2021</v>
      </c>
      <c r="D24" s="1">
        <f>OBRA!I363</f>
        <v>2019</v>
      </c>
      <c r="E24" s="1933" t="str">
        <f>OBRA!M363</f>
        <v>ADMINISTRACIÓN DIRECTA</v>
      </c>
      <c r="F24" s="1971" t="str">
        <f>OBRA!L363</f>
        <v>DOP/AD/011/2019</v>
      </c>
      <c r="G24" s="3" t="str">
        <f>OBRA!N363</f>
        <v>"REHABILITACIÓN DE RED DE AGUA POTABLE CON REPOSICIÓN DE SUPERFICIE DE RODAMIENTO EN CALLE HIDALGO ENTRE ALDAMA Y FILOSOFOS", EN LA CABECERA MUNICIPAL DE JOCOTEPEC, JALISCO.</v>
      </c>
      <c r="H24" s="1933" t="s">
        <v>4808</v>
      </c>
      <c r="I24" s="3" t="str">
        <f>OBRA!O363</f>
        <v>CABECERA MUNICIPAL</v>
      </c>
      <c r="J24" s="3" t="s">
        <v>2655</v>
      </c>
      <c r="K24" s="3" t="s">
        <v>4822</v>
      </c>
      <c r="L24" s="3" t="s">
        <v>4823</v>
      </c>
      <c r="M24" s="1937">
        <f>OBRA!AQ363+OBRA!AR363</f>
        <v>660663.76</v>
      </c>
      <c r="N24" s="267">
        <f>GRAL!AE365</f>
        <v>208.14</v>
      </c>
      <c r="O24" s="267" t="str">
        <f>GRAL!AF365</f>
        <v>ML</v>
      </c>
      <c r="P24" s="1971"/>
      <c r="Q24" s="2"/>
    </row>
    <row r="25" spans="1:17" ht="60">
      <c r="A25" s="1"/>
      <c r="B25" s="1935"/>
      <c r="C25" s="1" t="str">
        <f>OBRA!BY364</f>
        <v>2018-2021</v>
      </c>
      <c r="D25" s="1">
        <f>OBRA!I364</f>
        <v>2019</v>
      </c>
      <c r="E25" s="1933" t="str">
        <f>OBRA!M364</f>
        <v>ADMINISTRACIÓN DIRECTA</v>
      </c>
      <c r="F25" s="1971" t="str">
        <f>OBRA!L364</f>
        <v>DOP/AD/012/2019</v>
      </c>
      <c r="G25" s="3" t="str">
        <f>OBRA!N364</f>
        <v>"REHABILITACIÓN DE RED DE DRENAJE CON REPOSICIÓN DE SUPERFICIE DE RODAMIENTO EN CALLE HIDALGO ENTRE ALDAMA Y FILOSOFOS", EN LA CABECERA MUNICIPAL DE JOCOTEPEC, JALISCO.</v>
      </c>
      <c r="H25" s="1933" t="s">
        <v>4809</v>
      </c>
      <c r="I25" s="3" t="str">
        <f>OBRA!O364</f>
        <v>CABECERA MUNICIPAL</v>
      </c>
      <c r="J25" s="3" t="s">
        <v>2655</v>
      </c>
      <c r="K25" s="3" t="s">
        <v>4822</v>
      </c>
      <c r="L25" s="3" t="s">
        <v>4823</v>
      </c>
      <c r="M25" s="1937">
        <f>OBRA!AQ364+OBRA!AR364</f>
        <v>885994.40999999992</v>
      </c>
      <c r="N25" s="267">
        <f>GRAL!AE366</f>
        <v>208.14</v>
      </c>
      <c r="O25" s="267" t="str">
        <f>GRAL!AF366</f>
        <v>ML</v>
      </c>
      <c r="P25" s="1971"/>
      <c r="Q25" s="2"/>
    </row>
    <row r="26" spans="1:17" ht="79.5" customHeight="1">
      <c r="A26" s="1"/>
      <c r="B26" s="1935"/>
      <c r="C26" s="1" t="str">
        <f>OBRA!BY365</f>
        <v>2018-2021</v>
      </c>
      <c r="D26" s="1">
        <f>OBRA!I365</f>
        <v>2019</v>
      </c>
      <c r="E26" s="1933" t="str">
        <f>OBRA!M365</f>
        <v>ADMINISTRACIÓN DIRECTA</v>
      </c>
      <c r="F26" s="1971"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933" t="s">
        <v>4808</v>
      </c>
      <c r="I26" s="3" t="str">
        <f>OBRA!O365</f>
        <v>SAN JUAN COSALÁ</v>
      </c>
      <c r="J26" s="3" t="s">
        <v>2672</v>
      </c>
      <c r="K26" s="3" t="s">
        <v>4824</v>
      </c>
      <c r="L26" s="3" t="s">
        <v>2636</v>
      </c>
      <c r="M26" s="1937">
        <f>OBRA!AQ365+OBRA!AR365</f>
        <v>238710.43</v>
      </c>
      <c r="N26" s="267">
        <f>GRAL!AE367</f>
        <v>0</v>
      </c>
      <c r="O26" s="267" t="str">
        <f>GRAL!AF367</f>
        <v>PIEZAS</v>
      </c>
      <c r="P26" s="2"/>
      <c r="Q26" s="2"/>
    </row>
    <row r="27" spans="1:17" ht="75">
      <c r="A27" s="1"/>
      <c r="B27" s="1935"/>
      <c r="C27" s="1" t="str">
        <f>OBRA!BY366</f>
        <v>2018-2021</v>
      </c>
      <c r="D27" s="1">
        <f>OBRA!I366</f>
        <v>2019</v>
      </c>
      <c r="E27" s="1933" t="str">
        <f>OBRA!M366</f>
        <v>ADMINISTRACIÓN DIRECTA</v>
      </c>
      <c r="F27" s="1971"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933" t="s">
        <v>4809</v>
      </c>
      <c r="I27" s="3" t="str">
        <f>OBRA!O366</f>
        <v>SAN JUAN COSALÁ</v>
      </c>
      <c r="J27" s="3" t="s">
        <v>2672</v>
      </c>
      <c r="K27" s="3" t="s">
        <v>4824</v>
      </c>
      <c r="L27" s="3" t="s">
        <v>2636</v>
      </c>
      <c r="M27" s="1937">
        <f>OBRA!AQ366+OBRA!AR366</f>
        <v>239516.18</v>
      </c>
      <c r="N27" s="267">
        <f>GRAL!AE368</f>
        <v>54</v>
      </c>
      <c r="O27" s="267" t="str">
        <f>GRAL!AF368</f>
        <v>PIEZAS</v>
      </c>
      <c r="P27" s="2"/>
      <c r="Q27" s="2"/>
    </row>
    <row r="28" spans="1:17" ht="77.25" customHeight="1">
      <c r="A28" s="1"/>
      <c r="B28" s="1935"/>
      <c r="C28" s="1" t="str">
        <f>OBRA!BY367</f>
        <v>2018-2021</v>
      </c>
      <c r="D28" s="1">
        <f>OBRA!I367</f>
        <v>2019</v>
      </c>
      <c r="E28" s="1933" t="str">
        <f>OBRA!M367</f>
        <v>ADMINISTRACIÓN DIRECTA</v>
      </c>
      <c r="F28" s="1971"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933" t="s">
        <v>4808</v>
      </c>
      <c r="I28" s="3" t="str">
        <f>OBRA!O367</f>
        <v>SAN JUAN COSALÁ</v>
      </c>
      <c r="J28" s="3" t="s">
        <v>2672</v>
      </c>
      <c r="K28" s="3" t="s">
        <v>4824</v>
      </c>
      <c r="L28" s="3" t="s">
        <v>2636</v>
      </c>
      <c r="M28" s="1937">
        <f>OBRA!AQ367+OBRA!AR367</f>
        <v>718023.82000000007</v>
      </c>
      <c r="N28" s="239">
        <f>GRAL!AE369</f>
        <v>0</v>
      </c>
      <c r="O28" s="267" t="str">
        <f>GRAL!AF369</f>
        <v>ML</v>
      </c>
      <c r="P28" s="2"/>
      <c r="Q28" s="2"/>
    </row>
    <row r="29" spans="1:17" hidden="1">
      <c r="A29" s="1"/>
      <c r="B29" s="1"/>
      <c r="C29" s="1" t="str">
        <f>OBRA!BY368</f>
        <v>2018-2021</v>
      </c>
      <c r="D29" s="1">
        <f>OBRA!I368</f>
        <v>2019</v>
      </c>
      <c r="E29" s="1933" t="str">
        <f>OBRA!M368</f>
        <v>CANCELADA</v>
      </c>
      <c r="F29" s="1933" t="str">
        <f>OBRA!L368</f>
        <v>DOP/AD/016/2019</v>
      </c>
      <c r="G29" s="3">
        <f>OBRA!N368</f>
        <v>0</v>
      </c>
      <c r="H29" s="1"/>
      <c r="I29" s="3">
        <f>OBRA!O368</f>
        <v>0</v>
      </c>
      <c r="J29" s="3"/>
      <c r="K29" s="3"/>
      <c r="L29" s="3"/>
      <c r="M29" s="1937">
        <f>OBRA!AQ368+OBRA!AR368</f>
        <v>0</v>
      </c>
      <c r="N29" s="1">
        <f>GRAL!AE370</f>
        <v>1</v>
      </c>
      <c r="O29" s="1">
        <f>GRAL!AF370</f>
        <v>0</v>
      </c>
      <c r="P29" s="1"/>
      <c r="Q29" s="1"/>
    </row>
    <row r="30" spans="1:17" ht="45">
      <c r="A30" s="1"/>
      <c r="B30" s="1935"/>
      <c r="C30" s="1" t="str">
        <f>OBRA!BY369</f>
        <v>2018-2021</v>
      </c>
      <c r="D30" s="1">
        <f>OBRA!I369</f>
        <v>2019</v>
      </c>
      <c r="E30" s="1933" t="str">
        <f>OBRA!M369</f>
        <v>ADMINISTRACIÓN DIRECTA</v>
      </c>
      <c r="F30" s="1971" t="str">
        <f>OBRA!L369</f>
        <v>DOP/AD/017/2019</v>
      </c>
      <c r="G30" s="3" t="str">
        <f>OBRA!N369</f>
        <v>"CONSTRUCCIÓN DE PUNTO INOCUO DE DESEMBARQUE EN LA CALLE 5 DE MAYO" EN LA LOCALIDAD DE SAN JUAN COSALA, DEL MUNICIPIO DE JOCOTEPEC, JALISCO.</v>
      </c>
      <c r="H30" s="1933" t="s">
        <v>2239</v>
      </c>
      <c r="I30" s="3" t="str">
        <f>OBRA!O369</f>
        <v>SAN JUAN COSALÁ</v>
      </c>
      <c r="J30" s="3" t="s">
        <v>2718</v>
      </c>
      <c r="K30" s="328" t="s">
        <v>2571</v>
      </c>
      <c r="L30" s="328" t="s">
        <v>4821</v>
      </c>
      <c r="M30" s="1937">
        <f>OBRA!AQ369+OBRA!AR369</f>
        <v>737048.95</v>
      </c>
      <c r="N30" s="267">
        <f>GRAL!AE371</f>
        <v>117.68</v>
      </c>
      <c r="O30" s="267" t="str">
        <f>GRAL!AF371</f>
        <v>M2</v>
      </c>
      <c r="P30" s="2" t="s">
        <v>68</v>
      </c>
      <c r="Q30" s="2"/>
    </row>
    <row r="31" spans="1:17" ht="45">
      <c r="A31" s="1"/>
      <c r="B31" s="1935"/>
      <c r="C31" s="1" t="str">
        <f>OBRA!BY370</f>
        <v>2018-2021</v>
      </c>
      <c r="D31" s="1">
        <f>OBRA!I370</f>
        <v>2019</v>
      </c>
      <c r="E31" s="1933" t="str">
        <f>OBRA!M370</f>
        <v>ADMINISTRACIÓN DIRECTA</v>
      </c>
      <c r="F31" s="1971" t="str">
        <f>OBRA!L370</f>
        <v>DOP/AD/018/2019</v>
      </c>
      <c r="G31" s="3" t="str">
        <f>OBRA!N370</f>
        <v>"REHABILITACIÓN DE LÍNEA DE DISTRIBUCIÓN DE 6" DE AGUA POTABLE, EN CALLE NIÑOS HÉROES DE CALLE ITURBIDE A CALLE VERANO", EN LA CABECERA MUNICIPAL DE JOCOTEPEC, JALISCO.</v>
      </c>
      <c r="H31" s="1933" t="s">
        <v>4799</v>
      </c>
      <c r="I31" s="3" t="str">
        <f>OBRA!O370</f>
        <v>CABECERA MUNICIPAL</v>
      </c>
      <c r="J31" s="3" t="s">
        <v>4881</v>
      </c>
      <c r="K31" s="3" t="s">
        <v>4824</v>
      </c>
      <c r="L31" s="3" t="s">
        <v>2578</v>
      </c>
      <c r="M31" s="1937">
        <f>OBRA!AQ370+OBRA!AR370</f>
        <v>108738.26999999999</v>
      </c>
      <c r="N31" s="267">
        <f>GRAL!AE372</f>
        <v>204</v>
      </c>
      <c r="O31" s="267" t="str">
        <f>GRAL!AF372</f>
        <v>ML</v>
      </c>
      <c r="P31" s="2" t="s">
        <v>5000</v>
      </c>
      <c r="Q31" s="2"/>
    </row>
    <row r="32" spans="1:17" hidden="1">
      <c r="A32" s="1"/>
      <c r="B32" s="1"/>
      <c r="C32" s="1" t="str">
        <f>OBRA!BY371</f>
        <v>2018-2021</v>
      </c>
      <c r="D32" s="1">
        <f>OBRA!I371</f>
        <v>2019</v>
      </c>
      <c r="E32" s="1933" t="str">
        <f>OBRA!M371</f>
        <v>CANCELADA</v>
      </c>
      <c r="F32" s="1933" t="str">
        <f>OBRA!L371</f>
        <v>DOP/AD/019/2019</v>
      </c>
      <c r="G32" s="3">
        <f>OBRA!N371</f>
        <v>0</v>
      </c>
      <c r="H32" s="1"/>
      <c r="I32" s="3">
        <f>OBRA!O371</f>
        <v>0</v>
      </c>
      <c r="J32" s="3"/>
      <c r="K32" s="3"/>
      <c r="L32" s="3"/>
      <c r="M32" s="1937">
        <f>OBRA!AQ371+OBRA!AR371</f>
        <v>0</v>
      </c>
      <c r="N32" s="1">
        <f>GRAL!AE373</f>
        <v>1</v>
      </c>
      <c r="O32" s="1">
        <f>GRAL!AF373</f>
        <v>0</v>
      </c>
      <c r="P32" s="1"/>
      <c r="Q32" s="1"/>
    </row>
    <row r="33" spans="1:17" ht="64.5" customHeight="1">
      <c r="A33" s="1"/>
      <c r="B33" s="1935"/>
      <c r="C33" s="1" t="str">
        <f>OBRA!BY372</f>
        <v>2018-2021</v>
      </c>
      <c r="D33" s="1">
        <f>OBRA!I372</f>
        <v>2019</v>
      </c>
      <c r="E33" s="1933" t="str">
        <f>OBRA!M372</f>
        <v>ADMINISTRACIÓN DIRECTA</v>
      </c>
      <c r="F33" s="1971" t="str">
        <f>OBRA!L372</f>
        <v>DOP/AD/020/2019</v>
      </c>
      <c r="G33" s="3" t="str">
        <f>OBRA!N372</f>
        <v>"REPOSICIÓN DE TOMAS DOMICILIARIAS DE AGUA POTABLE EN CALLE VERANO ENTRE CALLES NIÑOS HÉROES Y LÓPEZ RAYÓN EN LA CABECERA MUNICIPAL DE JOCOTEPEC, JALISCO.</v>
      </c>
      <c r="H33" s="1933" t="s">
        <v>4799</v>
      </c>
      <c r="I33" s="3" t="str">
        <f>OBRA!O372</f>
        <v>CABECERA MUNICIPAL</v>
      </c>
      <c r="J33" s="3" t="s">
        <v>2578</v>
      </c>
      <c r="K33" s="3" t="s">
        <v>4881</v>
      </c>
      <c r="L33" s="3" t="s">
        <v>4741</v>
      </c>
      <c r="M33" s="1937">
        <f>OBRA!AQ372+OBRA!AR372</f>
        <v>15408</v>
      </c>
      <c r="N33" s="267">
        <f>GRAL!AE374</f>
        <v>13</v>
      </c>
      <c r="O33" s="267" t="str">
        <f>GRAL!AF374</f>
        <v>PIEZAS</v>
      </c>
      <c r="P33" s="2"/>
      <c r="Q33" s="2"/>
    </row>
    <row r="34" spans="1:17" ht="60" hidden="1">
      <c r="A34" s="1"/>
      <c r="B34" s="1"/>
      <c r="C34" s="1" t="str">
        <f>OBRA!BY373</f>
        <v>2018-2021</v>
      </c>
      <c r="D34" s="1">
        <f>OBRA!I373</f>
        <v>2019</v>
      </c>
      <c r="E34" s="1933" t="str">
        <f>OBRA!M373</f>
        <v>CANCELADA</v>
      </c>
      <c r="F34" s="1933"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937">
        <f>OBRA!AQ373+OBRA!AR373</f>
        <v>0</v>
      </c>
      <c r="N34" s="1">
        <f>GRAL!AE375</f>
        <v>0</v>
      </c>
      <c r="O34" s="1">
        <f>GRAL!AF375</f>
        <v>0</v>
      </c>
      <c r="P34" s="1"/>
      <c r="Q34" s="1"/>
    </row>
    <row r="35" spans="1:17" ht="63" customHeight="1">
      <c r="A35" s="1"/>
      <c r="B35" s="1935"/>
      <c r="C35" s="1" t="str">
        <f>OBRA!BY374</f>
        <v>2018-2021</v>
      </c>
      <c r="D35" s="1">
        <f>OBRA!I374</f>
        <v>2019</v>
      </c>
      <c r="E35" s="1933" t="str">
        <f>OBRA!M374</f>
        <v>ADMINISTRACIÓN DIRECTA</v>
      </c>
      <c r="F35" s="1971" t="str">
        <f>OBRA!L374</f>
        <v>DOP/AD/022/2019</v>
      </c>
      <c r="G35" s="3" t="str">
        <f>OBRA!N374</f>
        <v>REHABILITACIÓN DE RED DE DRENAJE SANITARIO EN CALLE LA PAZ ENTRE TACUBA Y VICENTE GUERRERO", EN LA LOCALIDAD DE SAN JUAN CÓSALA, DEL MUNICIPIO DE JOCOTEPEC, JALISCO.</v>
      </c>
      <c r="H35" s="1933" t="s">
        <v>4801</v>
      </c>
      <c r="I35" s="3" t="str">
        <f>OBRA!O374</f>
        <v>SAN JUAN COSALÁ</v>
      </c>
      <c r="J35" s="3" t="s">
        <v>2672</v>
      </c>
      <c r="K35" s="3" t="s">
        <v>4825</v>
      </c>
      <c r="L35" s="3" t="s">
        <v>2564</v>
      </c>
      <c r="M35" s="1937">
        <f>OBRA!AQ374+OBRA!AR374</f>
        <v>232635.88</v>
      </c>
      <c r="N35" s="239">
        <f>GRAL!AE376</f>
        <v>0</v>
      </c>
      <c r="O35" s="267" t="str">
        <f>GRAL!AF376</f>
        <v>ML</v>
      </c>
      <c r="P35" s="2"/>
      <c r="Q35" s="2"/>
    </row>
    <row r="36" spans="1:17" hidden="1">
      <c r="A36" s="1"/>
      <c r="B36" s="1"/>
      <c r="C36" s="1" t="str">
        <f>OBRA!BY375</f>
        <v>2018-2021</v>
      </c>
      <c r="D36" s="1">
        <f>OBRA!I375</f>
        <v>2019</v>
      </c>
      <c r="E36" s="1933" t="str">
        <f>OBRA!M375</f>
        <v>CANCELADA</v>
      </c>
      <c r="F36" s="1933" t="str">
        <f>OBRA!L375</f>
        <v>DOP/AD/023/2019</v>
      </c>
      <c r="G36" s="3">
        <f>OBRA!N375</f>
        <v>0</v>
      </c>
      <c r="H36" s="1"/>
      <c r="I36" s="3">
        <f>OBRA!O375</f>
        <v>0</v>
      </c>
      <c r="J36" s="3"/>
      <c r="K36" s="3"/>
      <c r="L36" s="3"/>
      <c r="M36" s="1937">
        <f>OBRA!AQ375+OBRA!AR375</f>
        <v>0</v>
      </c>
      <c r="N36" s="1">
        <f>GRAL!AE377</f>
        <v>1</v>
      </c>
      <c r="O36" s="1">
        <f>GRAL!AF377</f>
        <v>0</v>
      </c>
      <c r="P36" s="1"/>
      <c r="Q36" s="1"/>
    </row>
    <row r="37" spans="1:17" ht="62.25" customHeight="1">
      <c r="A37" s="1"/>
      <c r="B37" s="1935"/>
      <c r="C37" s="1" t="str">
        <f>OBRA!BY376</f>
        <v>2018-2021</v>
      </c>
      <c r="D37" s="1">
        <f>OBRA!I376</f>
        <v>2019</v>
      </c>
      <c r="E37" s="1933" t="str">
        <f>OBRA!M376</f>
        <v>ADMINISTRACIÓN DIRECTA</v>
      </c>
      <c r="F37" s="1971" t="str">
        <f>OBRA!L376</f>
        <v>DOP/AD/024/2019</v>
      </c>
      <c r="G37" s="3" t="str">
        <f>OBRA!N376</f>
        <v>"CONSTRUCCIÓN DE BANQUETAS 2DA. ETAPA EN LA CALLE MORELOS", EN LA LOCALIDAD DE CHANTEPEC, DEL MUNICIPIO DE JOCOTEPEC, JALISCO.</v>
      </c>
      <c r="H37" s="1933" t="s">
        <v>4802</v>
      </c>
      <c r="I37" s="3" t="str">
        <f>OBRA!O376</f>
        <v>CHANTEPEC</v>
      </c>
      <c r="J37" s="3" t="s">
        <v>2524</v>
      </c>
      <c r="K37" s="328" t="s">
        <v>2573</v>
      </c>
      <c r="L37" s="328" t="s">
        <v>68</v>
      </c>
      <c r="M37" s="1937">
        <f>OBRA!AQ376+OBRA!AR376</f>
        <v>11470</v>
      </c>
      <c r="N37" s="267">
        <f>GRAL!AE378</f>
        <v>19.239999999999998</v>
      </c>
      <c r="O37" s="267" t="str">
        <f>GRAL!AF378</f>
        <v>M2</v>
      </c>
      <c r="P37" s="1971" t="s">
        <v>5034</v>
      </c>
      <c r="Q37" s="2"/>
    </row>
    <row r="38" spans="1:17" hidden="1">
      <c r="A38" s="1"/>
      <c r="B38" s="1"/>
      <c r="C38" s="1" t="str">
        <f>OBRA!BY377</f>
        <v>2018-2021</v>
      </c>
      <c r="D38" s="1">
        <f>OBRA!I377</f>
        <v>2019</v>
      </c>
      <c r="E38" s="1933" t="str">
        <f>OBRA!M377</f>
        <v>CANCELADA</v>
      </c>
      <c r="F38" s="1933" t="str">
        <f>OBRA!L377</f>
        <v>DOP/AD/025/2019</v>
      </c>
      <c r="G38" s="3">
        <f>OBRA!N377</f>
        <v>0</v>
      </c>
      <c r="H38" s="1"/>
      <c r="I38" s="3">
        <f>OBRA!O377</f>
        <v>0</v>
      </c>
      <c r="J38" s="3"/>
      <c r="K38" s="3"/>
      <c r="L38" s="3"/>
      <c r="M38" s="1937">
        <f>OBRA!AQ377+OBRA!AR377</f>
        <v>0</v>
      </c>
      <c r="N38" s="1">
        <f>GRAL!AE379</f>
        <v>1</v>
      </c>
      <c r="O38" s="1">
        <f>GRAL!AF379</f>
        <v>0</v>
      </c>
      <c r="P38" s="1"/>
      <c r="Q38" s="1"/>
    </row>
    <row r="39" spans="1:17" ht="45" hidden="1">
      <c r="A39" s="1"/>
      <c r="B39" s="1"/>
      <c r="C39" s="1" t="str">
        <f>OBRA!BY378</f>
        <v>2018-2021</v>
      </c>
      <c r="D39" s="1">
        <f>OBRA!I378</f>
        <v>2019</v>
      </c>
      <c r="E39" s="1933" t="str">
        <f>OBRA!M378</f>
        <v>ADQUISICIÓN</v>
      </c>
      <c r="F39" s="1933"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937" t="e">
        <f>OBRA!AQ378+OBRA!AR378</f>
        <v>#VALUE!</v>
      </c>
      <c r="N39" s="1">
        <f>GRAL!AE380</f>
        <v>1</v>
      </c>
      <c r="O39" s="1" t="str">
        <f>GRAL!AF380</f>
        <v>PIEZAS</v>
      </c>
      <c r="P39" s="1"/>
      <c r="Q39" s="1"/>
    </row>
    <row r="40" spans="1:17" ht="30" hidden="1">
      <c r="A40" s="1"/>
      <c r="B40" s="1"/>
      <c r="C40" s="1" t="str">
        <f>OBRA!BY379</f>
        <v>2018-2021</v>
      </c>
      <c r="D40" s="1">
        <f>OBRA!I379</f>
        <v>2019</v>
      </c>
      <c r="E40" s="1933" t="str">
        <f>OBRA!M379</f>
        <v>ADQUISICIÓN</v>
      </c>
      <c r="F40" s="1933" t="str">
        <f>OBRA!L379</f>
        <v>PID/2019 - NEXTIPAC</v>
      </c>
      <c r="G40" s="3" t="str">
        <f>OBRA!N379</f>
        <v>ADQUISICIÓN DE: UN MUELLE FLOTANTE Y ESTACIÓN DE RECICLADO, PARA LA LOCALIDAD DE NEXTIPAC.</v>
      </c>
      <c r="H40" s="1"/>
      <c r="I40" s="3" t="str">
        <f>OBRA!O379</f>
        <v>NEXTIPAC</v>
      </c>
      <c r="J40" s="3"/>
      <c r="K40" s="3"/>
      <c r="L40" s="3"/>
      <c r="M40" s="1937">
        <f>OBRA!AQ379+OBRA!AR379</f>
        <v>256520.08</v>
      </c>
      <c r="N40" s="1">
        <f>GRAL!AE381</f>
        <v>1</v>
      </c>
      <c r="O40" s="1" t="str">
        <f>GRAL!AF381</f>
        <v>LOTE</v>
      </c>
      <c r="P40" s="1"/>
      <c r="Q40" s="1"/>
    </row>
    <row r="41" spans="1:17" ht="30" hidden="1">
      <c r="A41" s="1"/>
      <c r="B41" s="1"/>
      <c r="C41" s="1" t="str">
        <f>OBRA!BY380</f>
        <v>2018-2021</v>
      </c>
      <c r="D41" s="1">
        <f>OBRA!I380</f>
        <v>2019</v>
      </c>
      <c r="E41" s="1933" t="str">
        <f>OBRA!M380</f>
        <v>ADQUISICIÓN</v>
      </c>
      <c r="F41" s="1933" t="str">
        <f>OBRA!L380</f>
        <v>PID/2019 - SJC</v>
      </c>
      <c r="G41" s="3" t="str">
        <f>OBRA!N380</f>
        <v>ADQUISICIÓN DE: UN MUELLE FLOTANTE Y ESTACIÓN DE RECICLADO, PARA LA LOCALIDAD DE SAN JUAN CÓSALA.</v>
      </c>
      <c r="H41" s="1"/>
      <c r="I41" s="3" t="str">
        <f>OBRA!O380</f>
        <v>SAN JUAN COSALÁ</v>
      </c>
      <c r="J41" s="3"/>
      <c r="K41" s="3"/>
      <c r="L41" s="3"/>
      <c r="M41" s="1937">
        <f>OBRA!AQ380+OBRA!AR380</f>
        <v>256520.08</v>
      </c>
      <c r="N41" s="1">
        <f>GRAL!AE382</f>
        <v>1</v>
      </c>
      <c r="O41" s="1" t="str">
        <f>GRAL!AF382</f>
        <v>LOTE</v>
      </c>
      <c r="P41" s="1"/>
      <c r="Q41" s="1"/>
    </row>
    <row r="42" spans="1:17" ht="45" hidden="1">
      <c r="A42" s="1"/>
      <c r="B42" s="1"/>
      <c r="C42" s="1" t="str">
        <f>OBRA!BY381</f>
        <v>2018-2021</v>
      </c>
      <c r="D42" s="1">
        <f>OBRA!I381</f>
        <v>2019</v>
      </c>
      <c r="E42" s="1933" t="str">
        <f>OBRA!M381</f>
        <v>ARRENDAMIENTO</v>
      </c>
      <c r="F42" s="1933"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937">
        <f>OBRA!AQ381+OBRA!AR381</f>
        <v>0</v>
      </c>
      <c r="N42" s="1" t="str">
        <f>GRAL!AE383</f>
        <v>N/A</v>
      </c>
      <c r="O42" s="1" t="str">
        <f>GRAL!AF383</f>
        <v>N/A</v>
      </c>
      <c r="P42" s="1"/>
      <c r="Q42" s="1"/>
    </row>
    <row r="43" spans="1:17" ht="75" hidden="1">
      <c r="A43" s="1"/>
      <c r="B43" s="1"/>
      <c r="C43" s="1" t="str">
        <f>OBRA!BY382</f>
        <v>2018-2021</v>
      </c>
      <c r="D43" s="1">
        <f>OBRA!I382</f>
        <v>2019</v>
      </c>
      <c r="E43" s="1933" t="str">
        <f>OBRA!M382</f>
        <v>SERVICIOS</v>
      </c>
      <c r="F43" s="1933"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937">
        <f>OBRA!AQ382+OBRA!AR382</f>
        <v>0</v>
      </c>
      <c r="N43" s="1" t="str">
        <f>GRAL!AE384</f>
        <v>N/A</v>
      </c>
      <c r="O43" s="1" t="str">
        <f>GRAL!AF384</f>
        <v>N/A</v>
      </c>
      <c r="P43" s="1"/>
      <c r="Q43" s="1"/>
    </row>
    <row r="44" spans="1:17" ht="75">
      <c r="A44" s="1"/>
      <c r="B44" s="1935"/>
      <c r="C44" s="1" t="str">
        <f>OBRA!BY383</f>
        <v>2018-2021</v>
      </c>
      <c r="D44" s="1">
        <f>OBRA!I383</f>
        <v>2019</v>
      </c>
      <c r="E44" s="1933" t="str">
        <f>OBRA!M383</f>
        <v>ADJUDICACIÓN DIRECTA</v>
      </c>
      <c r="F44" s="1971"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933" t="s">
        <v>4810</v>
      </c>
      <c r="I44" s="3" t="str">
        <f>OBRA!O383</f>
        <v>SAN JUAN COSALÁ</v>
      </c>
      <c r="J44" s="3" t="s">
        <v>2564</v>
      </c>
      <c r="K44" s="3" t="s">
        <v>4833</v>
      </c>
      <c r="L44" s="3" t="s">
        <v>2524</v>
      </c>
      <c r="M44" s="1937">
        <f>OBRA!AQ383+OBRA!AR383</f>
        <v>726896.94</v>
      </c>
      <c r="N44" s="267">
        <f>GRAL!AE385</f>
        <v>100.55</v>
      </c>
      <c r="O44" s="267" t="str">
        <f>GRAL!AF385</f>
        <v>ML</v>
      </c>
      <c r="P44" s="1980" t="s">
        <v>5035</v>
      </c>
      <c r="Q44" s="1980" t="s">
        <v>5036</v>
      </c>
    </row>
    <row r="45" spans="1:17" ht="45">
      <c r="A45" s="1"/>
      <c r="B45" s="1935"/>
      <c r="C45" s="1" t="str">
        <f>OBRA!BY384</f>
        <v>2018-2021</v>
      </c>
      <c r="D45" s="1">
        <f>OBRA!I384</f>
        <v>2019</v>
      </c>
      <c r="E45" s="1933" t="str">
        <f>OBRA!M384</f>
        <v>ADJUDICACIÓN DIRECTA</v>
      </c>
      <c r="F45" s="1971" t="str">
        <f>OBRA!L384</f>
        <v>GMJ 002 C-OP/2019</v>
      </c>
      <c r="G45" s="3" t="str">
        <f>OBRA!N384</f>
        <v>"CONSERVACIÓN Y MANTENIMIENTO INCLUYENTE DE BANQUETA Y ACCESO A HOSPITAL DE URGENCIAS EN LA CABECERA MUNICIPAL DE JOCOTEPEC, JALISCO"</v>
      </c>
      <c r="H45" s="1933" t="s">
        <v>4802</v>
      </c>
      <c r="I45" s="3" t="str">
        <f>OBRA!O384</f>
        <v>CABECERA MUNICIPAL</v>
      </c>
      <c r="J45" s="3" t="s">
        <v>4702</v>
      </c>
      <c r="K45" s="3" t="s">
        <v>4826</v>
      </c>
      <c r="L45" s="3" t="s">
        <v>4827</v>
      </c>
      <c r="M45" s="1937">
        <f>OBRA!AQ384+OBRA!AR384</f>
        <v>140099.94</v>
      </c>
      <c r="N45" s="267">
        <f>GRAL!AE386</f>
        <v>295.60000000000002</v>
      </c>
      <c r="O45" s="267" t="str">
        <f>GRAL!AF386</f>
        <v>M2</v>
      </c>
      <c r="P45" s="1980" t="s">
        <v>5037</v>
      </c>
      <c r="Q45" s="2"/>
    </row>
    <row r="46" spans="1:17" ht="45" hidden="1">
      <c r="A46" s="1"/>
      <c r="B46" s="1"/>
      <c r="C46" s="1" t="str">
        <f>OBRA!BY385</f>
        <v>2018-2021</v>
      </c>
      <c r="D46" s="1">
        <f>OBRA!I385</f>
        <v>2019</v>
      </c>
      <c r="E46" s="1933" t="str">
        <f>OBRA!M385</f>
        <v>CANCELADA</v>
      </c>
      <c r="F46" s="1933"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937">
        <f>OBRA!AQ385+OBRA!AR385</f>
        <v>398930.6</v>
      </c>
      <c r="N46" s="1">
        <f>GRAL!AE387</f>
        <v>138</v>
      </c>
      <c r="O46" s="1" t="str">
        <f>GRAL!AF387</f>
        <v>ML</v>
      </c>
      <c r="P46" s="1"/>
      <c r="Q46" s="1"/>
    </row>
    <row r="47" spans="1:17" ht="50.25" customHeight="1">
      <c r="A47" s="1"/>
      <c r="B47" s="1935"/>
      <c r="C47" s="1" t="str">
        <f>OBRA!BY386</f>
        <v>2018-2021</v>
      </c>
      <c r="D47" s="1">
        <f>OBRA!I386</f>
        <v>2019</v>
      </c>
      <c r="E47" s="1933" t="str">
        <f>OBRA!M386</f>
        <v>ADJUDICACIÓN DIRECTA</v>
      </c>
      <c r="F47" s="1971" t="str">
        <f>OBRA!L386</f>
        <v>GMJ 004 C-OP/2019</v>
      </c>
      <c r="G47" s="3" t="str">
        <f>OBRA!N386</f>
        <v>"CONSTRUCCIÓN DE BANQUETAS EN CALLE CUAUHTÉMOC, DELEGACIÓN DEL CHANTE, MUNICIPIO DE JOCOTEPEC, JALISCO</v>
      </c>
      <c r="H47" s="1933" t="s">
        <v>4802</v>
      </c>
      <c r="I47" s="3" t="str">
        <f>OBRA!O386</f>
        <v>CHANTEPEC</v>
      </c>
      <c r="J47" s="3" t="s">
        <v>4828</v>
      </c>
      <c r="K47" s="780" t="s">
        <v>5481</v>
      </c>
      <c r="L47" s="780" t="s">
        <v>2669</v>
      </c>
      <c r="M47" s="1937">
        <f>OBRA!AQ386+OBRA!AR386</f>
        <v>148378.85</v>
      </c>
      <c r="N47" s="267">
        <f>GRAL!AE388</f>
        <v>240</v>
      </c>
      <c r="O47" s="267" t="str">
        <f>GRAL!AF388</f>
        <v>M2</v>
      </c>
      <c r="P47" s="1971" t="s">
        <v>5038</v>
      </c>
      <c r="Q47" s="2"/>
    </row>
    <row r="48" spans="1:17" ht="60">
      <c r="A48" s="1"/>
      <c r="B48" s="1935"/>
      <c r="C48" s="1" t="str">
        <f>OBRA!BY387</f>
        <v>2018-2021</v>
      </c>
      <c r="D48" s="1">
        <f>OBRA!I387</f>
        <v>2019</v>
      </c>
      <c r="E48" s="1933" t="str">
        <f>OBRA!M387</f>
        <v>ADJUDICACIÓN DIRECTA</v>
      </c>
      <c r="F48" s="1971"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933" t="s">
        <v>4808</v>
      </c>
      <c r="I48" s="3" t="str">
        <f>OBRA!O387</f>
        <v>CABECERA MUNICIPAL</v>
      </c>
      <c r="J48" s="3" t="s">
        <v>2723</v>
      </c>
      <c r="K48" s="3" t="s">
        <v>4824</v>
      </c>
      <c r="L48" s="3" t="s">
        <v>2584</v>
      </c>
      <c r="M48" s="1937">
        <f>OBRA!AQ387+OBRA!AR387</f>
        <v>554784.07999999996</v>
      </c>
      <c r="N48" s="267">
        <f>GRAL!AE389</f>
        <v>98.47</v>
      </c>
      <c r="O48" s="267" t="str">
        <f>GRAL!AF389</f>
        <v>ML</v>
      </c>
      <c r="P48" s="1981" t="s">
        <v>5039</v>
      </c>
      <c r="Q48" s="2"/>
    </row>
    <row r="49" spans="1:17" ht="75" customHeight="1">
      <c r="A49" s="1"/>
      <c r="B49" s="1935"/>
      <c r="C49" s="1" t="str">
        <f>OBRA!BY388</f>
        <v>2018-2021</v>
      </c>
      <c r="D49" s="1">
        <f>OBRA!I388</f>
        <v>2019</v>
      </c>
      <c r="E49" s="1933" t="str">
        <f>OBRA!M388</f>
        <v>ADJUDICACIÓN DIRECTA</v>
      </c>
      <c r="F49" s="1971" t="str">
        <f>OBRA!L388</f>
        <v>GMJ 006 C-OP/2019</v>
      </c>
      <c r="G49" s="3" t="str">
        <f>OBRA!N388</f>
        <v>"REHABILITACIÓN DE LÍNEA DE DRENAJE SANITARIO EN CALLE 20 DE NOVIEMBRE DE ITURBIDE A PRIMAVERA CON REPOSICIÓN DE SUPERFICIE DE RODAMIENTO", EN CABECERA MUNICIPAL DEL MUNICIPIO DE JOCOTEPEC, JALISCO.</v>
      </c>
      <c r="H49" s="1933" t="s">
        <v>4809</v>
      </c>
      <c r="I49" s="3" t="str">
        <f>OBRA!O388</f>
        <v>CABECERA MUNICIPAL</v>
      </c>
      <c r="J49" s="3" t="s">
        <v>2723</v>
      </c>
      <c r="K49" s="3" t="s">
        <v>4824</v>
      </c>
      <c r="L49" s="3" t="s">
        <v>2584</v>
      </c>
      <c r="M49" s="1937">
        <f>OBRA!AQ388+OBRA!AR388</f>
        <v>569953.75</v>
      </c>
      <c r="N49" s="267">
        <f>GRAL!AE390</f>
        <v>104.3</v>
      </c>
      <c r="O49" s="267" t="str">
        <f>GRAL!AF390</f>
        <v>ML</v>
      </c>
      <c r="P49" s="1981" t="s">
        <v>5040</v>
      </c>
      <c r="Q49" s="2"/>
    </row>
    <row r="50" spans="1:17" ht="45" hidden="1">
      <c r="A50" s="1"/>
      <c r="B50" s="1"/>
      <c r="C50" s="1" t="str">
        <f>OBRA!BY389</f>
        <v>2018-2021</v>
      </c>
      <c r="D50" s="1">
        <f>OBRA!I389</f>
        <v>2019</v>
      </c>
      <c r="E50" s="1933" t="str">
        <f>OBRA!M389</f>
        <v>CANCELADA</v>
      </c>
      <c r="F50" s="1933"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937">
        <f>OBRA!AQ389+OBRA!AR389</f>
        <v>949738.6</v>
      </c>
      <c r="N50" s="1">
        <f>GRAL!AE391</f>
        <v>1050</v>
      </c>
      <c r="O50" s="1" t="str">
        <f>GRAL!AF391</f>
        <v>M2</v>
      </c>
      <c r="P50" s="1"/>
      <c r="Q50" s="1"/>
    </row>
    <row r="51" spans="1:17" ht="45">
      <c r="A51" s="1"/>
      <c r="B51" s="1935"/>
      <c r="C51" s="1" t="str">
        <f>OBRA!BY390</f>
        <v>2018-2021</v>
      </c>
      <c r="D51" s="1">
        <f>OBRA!I390</f>
        <v>2019</v>
      </c>
      <c r="E51" s="1933" t="str">
        <f>OBRA!M390</f>
        <v>ADJUDICACIÓN DIRECTA</v>
      </c>
      <c r="F51" s="1971" t="str">
        <f>OBRA!L390</f>
        <v>GMJ 008 C-OP/2019</v>
      </c>
      <c r="G51" s="3" t="str">
        <f>OBRA!N390</f>
        <v>"CONSTRUCCION DE DEPOSITO PARA ALMACENAMIENTO DE AGUA POTABLE", EN LA LOCALIDAD DE HUEJOTITAN, MUNICIPIO DE JOCOTEPEC, JALISCO.</v>
      </c>
      <c r="H51" s="1933" t="s">
        <v>4799</v>
      </c>
      <c r="I51" s="3" t="str">
        <f>OBRA!O390</f>
        <v>HUEJOTITÁN</v>
      </c>
      <c r="J51" s="3" t="s">
        <v>4829</v>
      </c>
      <c r="K51" s="3" t="s">
        <v>68</v>
      </c>
      <c r="L51" s="3" t="s">
        <v>68</v>
      </c>
      <c r="M51" s="1937">
        <f>OBRA!AQ390+OBRA!AR390</f>
        <v>707135.33</v>
      </c>
      <c r="N51" s="267">
        <f>GRAL!AE392</f>
        <v>1</v>
      </c>
      <c r="O51" s="267" t="str">
        <f>GRAL!AF392</f>
        <v>LOTE</v>
      </c>
      <c r="P51" s="2" t="s">
        <v>68</v>
      </c>
      <c r="Q51" s="2"/>
    </row>
    <row r="52" spans="1:17" ht="45">
      <c r="A52" s="1"/>
      <c r="B52" s="1935"/>
      <c r="C52" s="1" t="str">
        <f>OBRA!BY391</f>
        <v>2018-2021</v>
      </c>
      <c r="D52" s="1">
        <f>OBRA!I391</f>
        <v>2019</v>
      </c>
      <c r="E52" s="1933" t="str">
        <f>OBRA!M391</f>
        <v>ADJUDICACIÓN DIRECTA</v>
      </c>
      <c r="F52" s="1971" t="str">
        <f>OBRA!L391</f>
        <v>GMJ 009 C-OP/2019</v>
      </c>
      <c r="G52" s="3" t="str">
        <f>OBRA!N391</f>
        <v>CONSTRUCCIÓN DE PLATAFORMA Y CAMINO DE ACCESO AL PREDIO DEL DEPOSITO DE AGUA EN ZONA NORTE DE LA CABECERA MUNICIPAL DE JOCOTEPEC, JALISCO.</v>
      </c>
      <c r="H52" s="1933" t="s">
        <v>4799</v>
      </c>
      <c r="I52" s="3" t="str">
        <f>OBRA!O391</f>
        <v>CABECERA MUNICIPAL</v>
      </c>
      <c r="J52" s="3" t="s">
        <v>2690</v>
      </c>
      <c r="K52" s="3" t="s">
        <v>68</v>
      </c>
      <c r="L52" s="3" t="s">
        <v>68</v>
      </c>
      <c r="M52" s="1937">
        <f>OBRA!AQ391+OBRA!AR391</f>
        <v>413006.4</v>
      </c>
      <c r="N52" s="267">
        <f>GRAL!AE393</f>
        <v>2000</v>
      </c>
      <c r="O52" s="267" t="str">
        <f>GRAL!AF393</f>
        <v>M2</v>
      </c>
      <c r="P52" s="2" t="s">
        <v>68</v>
      </c>
      <c r="Q52" s="2"/>
    </row>
    <row r="53" spans="1:17" ht="45">
      <c r="A53" s="1"/>
      <c r="B53" s="1935"/>
      <c r="C53" s="1" t="str">
        <f>OBRA!BY392</f>
        <v>2018-2021</v>
      </c>
      <c r="D53" s="1">
        <f>OBRA!I392</f>
        <v>2019</v>
      </c>
      <c r="E53" s="1933" t="str">
        <f>OBRA!M392</f>
        <v>ADJUDICACIÓN DIRECTA</v>
      </c>
      <c r="F53" s="1971" t="str">
        <f>OBRA!L392</f>
        <v>GMJ 010 C-OP/2019</v>
      </c>
      <c r="G53" s="3" t="str">
        <f>OBRA!N392</f>
        <v>"CONSTRUCCIÓN DE DEPOSITO PARA ALMACENAMIENTO DE AGUA POTABLE", EN LA ZONA NORTE DE LA CABECERA MUNICIPAL DE JOCOTEPEC, JALISCO.</v>
      </c>
      <c r="H53" s="1933" t="s">
        <v>4799</v>
      </c>
      <c r="I53" s="3" t="str">
        <f>OBRA!O392</f>
        <v>CABECERA MUNICIPAL</v>
      </c>
      <c r="J53" s="3" t="s">
        <v>2690</v>
      </c>
      <c r="K53" s="3" t="s">
        <v>68</v>
      </c>
      <c r="L53" s="3" t="s">
        <v>68</v>
      </c>
      <c r="M53" s="1937">
        <f>OBRA!AQ392+OBRA!AR392</f>
        <v>1661297.6</v>
      </c>
      <c r="N53" s="267">
        <f>GRAL!AE394</f>
        <v>1</v>
      </c>
      <c r="O53" s="267" t="str">
        <f>GRAL!AF394</f>
        <v>LOTE</v>
      </c>
      <c r="P53" s="2" t="s">
        <v>68</v>
      </c>
      <c r="Q53" s="2"/>
    </row>
    <row r="54" spans="1:17" ht="45">
      <c r="A54" s="1"/>
      <c r="B54" s="1935"/>
      <c r="C54" s="1" t="str">
        <f>OBRA!BY393</f>
        <v>2018-2021</v>
      </c>
      <c r="D54" s="1">
        <f>OBRA!I393</f>
        <v>2019</v>
      </c>
      <c r="E54" s="1933" t="str">
        <f>OBRA!M393</f>
        <v>ADJUDICACIÓN DIRECTA</v>
      </c>
      <c r="F54" s="1971" t="str">
        <f>OBRA!L393</f>
        <v>GMJ 011 C-OP/2019</v>
      </c>
      <c r="G54" s="3" t="str">
        <f>OBRA!N393</f>
        <v>"CONSTRUCCIÓN DE DEPOSITO PARA ALMACENAMIENTO DE AGUA POTABLE", EN LA LOCALIDAD DE SAN CRISTOBAL ZAPOTITLAN, MUNICIPIO DE JOCOTEPEC, JALISCO.</v>
      </c>
      <c r="H54" s="1933" t="s">
        <v>4799</v>
      </c>
      <c r="I54" s="3" t="str">
        <f>OBRA!O393</f>
        <v>SAN CRISTÓBAL ZAPOTITLÁN</v>
      </c>
      <c r="J54" s="780" t="s">
        <v>4944</v>
      </c>
      <c r="K54" s="780" t="s">
        <v>2564</v>
      </c>
      <c r="L54" s="780" t="s">
        <v>4945</v>
      </c>
      <c r="M54" s="1937">
        <f>OBRA!AQ393+OBRA!AR393</f>
        <v>643537.42000000004</v>
      </c>
      <c r="N54" s="267">
        <f>GRAL!AE395</f>
        <v>1</v>
      </c>
      <c r="O54" s="267" t="str">
        <f>GRAL!AF395</f>
        <v>LOTE</v>
      </c>
      <c r="P54" s="2" t="s">
        <v>68</v>
      </c>
      <c r="Q54" s="2"/>
    </row>
    <row r="55" spans="1:17" ht="22.5" hidden="1">
      <c r="A55" s="1"/>
      <c r="B55" s="1"/>
      <c r="C55" s="1" t="str">
        <f>OBRA!BY394</f>
        <v>2018-2021</v>
      </c>
      <c r="D55" s="1">
        <f>OBRA!I394</f>
        <v>2019</v>
      </c>
      <c r="E55" s="1933" t="str">
        <f>OBRA!M394</f>
        <v>CANCELADA</v>
      </c>
      <c r="F55" s="1933" t="str">
        <f>OBRA!L394</f>
        <v>GMJ 012 C-OP/2019</v>
      </c>
      <c r="G55" s="3">
        <f>OBRA!N394</f>
        <v>0</v>
      </c>
      <c r="H55" s="1"/>
      <c r="I55" s="3">
        <f>OBRA!O394</f>
        <v>0</v>
      </c>
      <c r="J55" s="3"/>
      <c r="K55" s="3"/>
      <c r="L55" s="3"/>
      <c r="M55" s="1937">
        <f>OBRA!AQ394+OBRA!AR394</f>
        <v>0</v>
      </c>
      <c r="N55" s="1">
        <f>GRAL!AE396</f>
        <v>0</v>
      </c>
      <c r="O55" s="1">
        <f>GRAL!AF396</f>
        <v>0</v>
      </c>
      <c r="P55" s="1"/>
      <c r="Q55" s="1"/>
    </row>
    <row r="56" spans="1:17" ht="45">
      <c r="A56" s="1"/>
      <c r="B56" s="1935"/>
      <c r="C56" s="1" t="str">
        <f>OBRA!BY395</f>
        <v>2018-2021</v>
      </c>
      <c r="D56" s="1">
        <f>OBRA!I395</f>
        <v>2019</v>
      </c>
      <c r="E56" s="1933" t="str">
        <f>OBRA!M395</f>
        <v>ADJUDICACIÓN DIRECTA</v>
      </c>
      <c r="F56" s="1971" t="str">
        <f>OBRA!L395</f>
        <v>GMJ 013 C-OP/2019</v>
      </c>
      <c r="G56" s="3" t="str">
        <f>OBRA!N395</f>
        <v>"CONSTRUCCIÓN DE EMPEDRADO ECOLOGICO EN LA CALLE PRIVADA MORELOS, DELEGACIÓN DE CHANTE, MUNICIPIO DE JOCOTEPEC, JALISCO".</v>
      </c>
      <c r="H56" s="1933" t="s">
        <v>4806</v>
      </c>
      <c r="I56" s="3" t="str">
        <f>OBRA!O395</f>
        <v>CHANTEPEC</v>
      </c>
      <c r="J56" s="3" t="s">
        <v>2739</v>
      </c>
      <c r="K56" s="328" t="s">
        <v>4751</v>
      </c>
      <c r="L56" s="3" t="s">
        <v>4821</v>
      </c>
      <c r="M56" s="1937">
        <f>OBRA!AQ395+OBRA!AR395</f>
        <v>74990.720000000001</v>
      </c>
      <c r="N56" s="267">
        <f>GRAL!AE397</f>
        <v>216</v>
      </c>
      <c r="O56" s="267" t="str">
        <f>GRAL!AF397</f>
        <v>M2</v>
      </c>
      <c r="P56" s="2" t="s">
        <v>68</v>
      </c>
      <c r="Q56" s="2"/>
    </row>
    <row r="57" spans="1:17" ht="55.5" customHeight="1">
      <c r="A57" s="1"/>
      <c r="B57" s="1935"/>
      <c r="C57" s="1" t="str">
        <f>OBRA!BY396</f>
        <v>2018-2021</v>
      </c>
      <c r="D57" s="1">
        <f>OBRA!I396</f>
        <v>2019</v>
      </c>
      <c r="E57" s="1933" t="str">
        <f>OBRA!M396</f>
        <v>ADJUDICACIÓN DIRECTA</v>
      </c>
      <c r="F57" s="1971" t="str">
        <f>OBRA!L396</f>
        <v>GMJ 014 C-OP/2019</v>
      </c>
      <c r="G57" s="3" t="str">
        <f>OBRA!N396</f>
        <v>"CONSTRUCCIÓN DE BANQUETAS EN CALLE CUAUHTÉMOC, 2ª ETAPA, DELEGACIÓN DEL CHANTE, MUNICIPIO DE JOCOTEPEC, JALISCO</v>
      </c>
      <c r="H57" s="1933" t="s">
        <v>4802</v>
      </c>
      <c r="I57" s="3" t="str">
        <f>OBRA!O396</f>
        <v>CHANTEPEC</v>
      </c>
      <c r="J57" s="3" t="s">
        <v>4828</v>
      </c>
      <c r="K57" s="780" t="s">
        <v>2669</v>
      </c>
      <c r="L57" s="780" t="s">
        <v>5482</v>
      </c>
      <c r="M57" s="1937">
        <f>OBRA!AQ396+OBRA!AR396</f>
        <v>185760.77</v>
      </c>
      <c r="N57" s="267">
        <f>GRAL!AE398</f>
        <v>265</v>
      </c>
      <c r="O57" s="267" t="str">
        <f>GRAL!AF398</f>
        <v>M2</v>
      </c>
      <c r="P57" s="1971" t="s">
        <v>5038</v>
      </c>
      <c r="Q57" s="2"/>
    </row>
    <row r="58" spans="1:17" ht="45">
      <c r="A58" s="1"/>
      <c r="B58" s="1935"/>
      <c r="C58" s="1" t="str">
        <f>OBRA!BY397</f>
        <v>2018-2021</v>
      </c>
      <c r="D58" s="1">
        <f>OBRA!I397</f>
        <v>2019</v>
      </c>
      <c r="E58" s="1933" t="str">
        <f>OBRA!M397</f>
        <v>ADJUDICACIÓN DIRECTA</v>
      </c>
      <c r="F58" s="1971" t="str">
        <f>OBRA!L397</f>
        <v>GMJ 015 C-OP/2019</v>
      </c>
      <c r="G58" s="3" t="str">
        <f>OBRA!N397</f>
        <v>REHABILITACIÓN DE LINEA DE AGUA POTABLE EN LA CALLE PRIVADA CARDENAL DE CARDENAL A CERRADA, EN LA DELEGACIÓN DE SAN JUAN COSALA, JOCOTEPEC, JALISCO.</v>
      </c>
      <c r="H58" s="1933" t="s">
        <v>4799</v>
      </c>
      <c r="I58" s="3" t="str">
        <f>OBRA!O397</f>
        <v>SAN JUAN COSALÁ</v>
      </c>
      <c r="J58" s="3" t="s">
        <v>2748</v>
      </c>
      <c r="K58" s="3" t="s">
        <v>2622</v>
      </c>
      <c r="L58" s="3" t="s">
        <v>4821</v>
      </c>
      <c r="M58" s="1937">
        <f>OBRA!AQ397+OBRA!AR397</f>
        <v>74815.27</v>
      </c>
      <c r="N58" s="267">
        <f>GRAL!AE399</f>
        <v>75</v>
      </c>
      <c r="O58" s="267" t="str">
        <f>GRAL!AF399</f>
        <v>ML</v>
      </c>
      <c r="P58" s="1981" t="s">
        <v>5041</v>
      </c>
      <c r="Q58" s="2"/>
    </row>
    <row r="59" spans="1:17" ht="60" customHeight="1">
      <c r="A59" s="1"/>
      <c r="B59" s="1935"/>
      <c r="C59" s="1" t="str">
        <f>OBRA!BY398</f>
        <v>2018-2021</v>
      </c>
      <c r="D59" s="1">
        <f>OBRA!I398</f>
        <v>2019</v>
      </c>
      <c r="E59" s="1933" t="str">
        <f>OBRA!M398</f>
        <v>ADJUDICACIÓN DIRECTA</v>
      </c>
      <c r="F59" s="1971" t="str">
        <f>OBRA!L398</f>
        <v>GMJ 016 C-OP/2019</v>
      </c>
      <c r="G59" s="3" t="str">
        <f>OBRA!N398</f>
        <v>REHABILITACION DE LINEA DE DRENAJE SANITARIO, EN LA CALLE PRIVADA CARDENAL DE CARDENAL A CERRADA, EN SAN JUAN COSALA, EN EL MUNICIPIO DE JOCOTEPEC, JALISCO.</v>
      </c>
      <c r="H59" s="1933" t="s">
        <v>4801</v>
      </c>
      <c r="I59" s="3" t="str">
        <f>OBRA!O398</f>
        <v>SAN JUAN COSALÁ</v>
      </c>
      <c r="J59" s="3" t="s">
        <v>2748</v>
      </c>
      <c r="K59" s="3" t="s">
        <v>2622</v>
      </c>
      <c r="L59" s="3" t="s">
        <v>4821</v>
      </c>
      <c r="M59" s="1937">
        <f>OBRA!AQ398+OBRA!AR398</f>
        <v>131515.03</v>
      </c>
      <c r="N59" s="267">
        <f>GRAL!AE400</f>
        <v>80</v>
      </c>
      <c r="O59" s="267" t="str">
        <f>GRAL!AF400</f>
        <v>ML</v>
      </c>
      <c r="P59" s="1981" t="s">
        <v>5042</v>
      </c>
      <c r="Q59" s="2"/>
    </row>
    <row r="60" spans="1:17" ht="90.75" customHeight="1">
      <c r="A60" s="1"/>
      <c r="B60" s="1935"/>
      <c r="C60" s="1" t="str">
        <f>OBRA!BY399</f>
        <v>2018-2021</v>
      </c>
      <c r="D60" s="1">
        <f>OBRA!I399</f>
        <v>2019</v>
      </c>
      <c r="E60" s="1933" t="str">
        <f>OBRA!M399</f>
        <v>ADJUDICACIÓN DIRECTA</v>
      </c>
      <c r="F60" s="1971" t="str">
        <f>OBRA!L399</f>
        <v>GMJ 017 C-OP/2019</v>
      </c>
      <c r="G60" s="3" t="str">
        <f>OBRA!N399</f>
        <v>"REHABILITACIÓN DE LÍNEA DE DRENAJE CON REPOSICIÓN DE SUPERFICIE DE RODAMIENTO EN LA CALLE NIÑOS HEROES ENTRE CALLES ITURBIDE Y VERANO", EN LA CABECERA MUNICIPAL DE JOCOTEPEC, JALISCO.</v>
      </c>
      <c r="H60" s="1933" t="s">
        <v>4809</v>
      </c>
      <c r="I60" s="3" t="str">
        <f>OBRA!O399</f>
        <v>CABECERA MUNICIPAL</v>
      </c>
      <c r="J60" s="3" t="s">
        <v>4881</v>
      </c>
      <c r="K60" s="3" t="s">
        <v>4824</v>
      </c>
      <c r="L60" s="3" t="s">
        <v>2578</v>
      </c>
      <c r="M60" s="1937">
        <f>OBRA!AQ399+OBRA!AR399</f>
        <v>997930.57</v>
      </c>
      <c r="N60" s="267">
        <f>GRAL!AE401</f>
        <v>193.9</v>
      </c>
      <c r="O60" s="267" t="str">
        <f>GRAL!AF401</f>
        <v>ML</v>
      </c>
      <c r="P60" s="1980" t="s">
        <v>5044</v>
      </c>
      <c r="Q60" s="1980" t="s">
        <v>5043</v>
      </c>
    </row>
    <row r="61" spans="1:17" ht="80.25" customHeight="1">
      <c r="A61" s="1"/>
      <c r="B61" s="1935"/>
      <c r="C61" s="1" t="str">
        <f>OBRA!BY400</f>
        <v>2018-2021</v>
      </c>
      <c r="D61" s="1">
        <f>OBRA!I400</f>
        <v>2019</v>
      </c>
      <c r="E61" s="1933" t="str">
        <f>OBRA!M400</f>
        <v>ADJUDICACIÓN DIRECTA</v>
      </c>
      <c r="F61" s="1971" t="str">
        <f>OBRA!L400</f>
        <v>GMJ 018 C-OP/2019</v>
      </c>
      <c r="G61" s="3" t="str">
        <f>OBRA!N400</f>
        <v>"REHABILITACIÓN DE RED DE AGUA POTABLE CON REPOSICIÓN DE SUPERFICIE DE RODAMIENTO EN LA CALLE NIÑOS HEROES ENTRE CALLES ITURBIDE Y VERANO", EN LA CABECERA MUNICIPAL DE JOCOTEPEC, JALISCO.</v>
      </c>
      <c r="H61" s="1933" t="s">
        <v>4808</v>
      </c>
      <c r="I61" s="3" t="str">
        <f>OBRA!O400</f>
        <v>CABECERA MUNICIPAL</v>
      </c>
      <c r="J61" s="3" t="s">
        <v>4881</v>
      </c>
      <c r="K61" s="3" t="s">
        <v>4824</v>
      </c>
      <c r="L61" s="3" t="s">
        <v>2578</v>
      </c>
      <c r="M61" s="1937">
        <f>OBRA!AQ400+OBRA!AR400</f>
        <v>911481</v>
      </c>
      <c r="N61" s="267">
        <f>GRAL!AE402</f>
        <v>203.26</v>
      </c>
      <c r="O61" s="267" t="str">
        <f>GRAL!AF402</f>
        <v>ML</v>
      </c>
      <c r="P61" s="1980" t="s">
        <v>5045</v>
      </c>
      <c r="Q61" s="1980" t="s">
        <v>5046</v>
      </c>
    </row>
    <row r="62" spans="1:17" ht="60">
      <c r="A62" s="1"/>
      <c r="B62" s="1935"/>
      <c r="C62" s="1" t="str">
        <f>OBRA!BY401</f>
        <v>2018-2021</v>
      </c>
      <c r="D62" s="1">
        <f>OBRA!I401</f>
        <v>2019</v>
      </c>
      <c r="E62" s="1933" t="str">
        <f>OBRA!M401</f>
        <v>ADJUDICACIÓN DIRECTA</v>
      </c>
      <c r="F62" s="1971" t="str">
        <f>OBRA!L401</f>
        <v>GMJ 019 C-OP/2019</v>
      </c>
      <c r="G62" s="3" t="str">
        <f>OBRA!N401</f>
        <v>"REHABILITACIÓN RED DE DRENAJE SANITARIO EN LA CALLE PRIVADA ZARAGOZA DE CALLE ZARAGOZA A CERRADA DELEGACIÓN DE SAN JUAN COSALA MUNICIPIO DE JOCOTEPEC, JALISCO".</v>
      </c>
      <c r="H62" s="1933" t="s">
        <v>4801</v>
      </c>
      <c r="I62" s="3" t="str">
        <f>OBRA!O401</f>
        <v>SAN JUAN COSALÁ</v>
      </c>
      <c r="J62" s="3" t="s">
        <v>2750</v>
      </c>
      <c r="K62" s="3" t="s">
        <v>2571</v>
      </c>
      <c r="L62" s="3" t="s">
        <v>4821</v>
      </c>
      <c r="M62" s="1937">
        <f>OBRA!AQ401+OBRA!AR401</f>
        <v>99707.9</v>
      </c>
      <c r="N62" s="267">
        <f>GRAL!AE403</f>
        <v>50</v>
      </c>
      <c r="O62" s="267" t="str">
        <f>GRAL!AF403</f>
        <v>ML</v>
      </c>
      <c r="P62" s="1981" t="s">
        <v>5042</v>
      </c>
      <c r="Q62" s="2"/>
    </row>
    <row r="63" spans="1:17" ht="63" customHeight="1">
      <c r="A63" s="1"/>
      <c r="B63" s="1935"/>
      <c r="C63" s="1" t="str">
        <f>OBRA!BY402</f>
        <v>2018-2021</v>
      </c>
      <c r="D63" s="1">
        <f>OBRA!I402</f>
        <v>2019</v>
      </c>
      <c r="E63" s="1933" t="str">
        <f>OBRA!M402</f>
        <v>ADJUDICACIÓN DIRECTA</v>
      </c>
      <c r="F63" s="1971" t="str">
        <f>OBRA!L402</f>
        <v>GMJ 019 C-OP/2019</v>
      </c>
      <c r="G63" s="3" t="str">
        <f>OBRA!N402</f>
        <v>"REHABILITACIÓN DE RED DE AGUA POTABLE EN PRIVADA ZARAGOZA DE CALLE ZARAGOZA A CERRADA DELEGACIÓN DE SAN JUAN COSALA MUNICIPIO DE JOCOTEPEC, JALISCO".</v>
      </c>
      <c r="H63" s="1933" t="s">
        <v>4799</v>
      </c>
      <c r="I63" s="3" t="str">
        <f>OBRA!O402</f>
        <v>SAN JUAN COSALÁ</v>
      </c>
      <c r="J63" s="3" t="s">
        <v>2750</v>
      </c>
      <c r="K63" s="3" t="s">
        <v>2571</v>
      </c>
      <c r="L63" s="3" t="s">
        <v>4821</v>
      </c>
      <c r="M63" s="1937">
        <f>OBRA!AQ402+OBRA!AR402</f>
        <v>130875.44</v>
      </c>
      <c r="N63" s="267">
        <f>GRAL!AE404</f>
        <v>107.47</v>
      </c>
      <c r="O63" s="267" t="str">
        <f>GRAL!AF404</f>
        <v>ML</v>
      </c>
      <c r="P63" s="1981"/>
      <c r="Q63" s="2"/>
    </row>
    <row r="64" spans="1:17" ht="45">
      <c r="A64" s="1"/>
      <c r="B64" s="1935"/>
      <c r="C64" s="1" t="str">
        <f>OBRA!BY403</f>
        <v>2018-2021</v>
      </c>
      <c r="D64" s="1">
        <f>OBRA!I403</f>
        <v>2019</v>
      </c>
      <c r="E64" s="1933" t="str">
        <f>OBRA!M403</f>
        <v>ADJUDICACIÓN DIRECTA</v>
      </c>
      <c r="F64" s="1971" t="str">
        <f>OBRA!L403</f>
        <v>GMJ 020 C-OP/2019</v>
      </c>
      <c r="G64" s="3" t="str">
        <f>OBRA!N403</f>
        <v>"CONSTRUCCIÓN DE RED DE AGUA POTABLE EN CALLE PRIVADA GUADALUPE VICTORIA DELEGACIÓN DE SAN JUAN COSALA MUNICIPIO DE JOCOTEPEC, JALISCO"</v>
      </c>
      <c r="H64" s="1933" t="s">
        <v>4799</v>
      </c>
      <c r="I64" s="3" t="str">
        <f>OBRA!O403</f>
        <v>SAN JUAN COSALÁ</v>
      </c>
      <c r="J64" s="3" t="s">
        <v>2753</v>
      </c>
      <c r="K64" s="328" t="s">
        <v>4847</v>
      </c>
      <c r="L64" s="3" t="s">
        <v>4821</v>
      </c>
      <c r="M64" s="1937">
        <f>OBRA!AQ403+OBRA!AR403</f>
        <v>104942</v>
      </c>
      <c r="N64" s="267">
        <f>GRAL!AE405</f>
        <v>119</v>
      </c>
      <c r="O64" s="267" t="str">
        <f>GRAL!AF405</f>
        <v>ML</v>
      </c>
      <c r="P64" s="1981" t="s">
        <v>5039</v>
      </c>
      <c r="Q64" s="2"/>
    </row>
    <row r="65" spans="1:17" ht="45">
      <c r="A65" s="1"/>
      <c r="B65" s="1935"/>
      <c r="C65" s="1" t="str">
        <f>OBRA!BY404</f>
        <v>2018-2021</v>
      </c>
      <c r="D65" s="1">
        <f>OBRA!I404</f>
        <v>2019</v>
      </c>
      <c r="E65" s="1933" t="str">
        <f>OBRA!M404</f>
        <v>ADJUDICACIÓN DIRECTA</v>
      </c>
      <c r="F65" s="1971" t="str">
        <f>OBRA!L404</f>
        <v>GMJ 021 C-OP/2019</v>
      </c>
      <c r="G65" s="3" t="str">
        <f>OBRA!N404</f>
        <v>"CONSTRUCCIÓN DE LÍNEA DE DRENAJE SANITARIO EN CALLE PRIVADA GUADALUPE VICTORIA DELELGACIÓN DE SAN JUAN COSALA MUNICIPIO DE JOCOTEPEC, JALISCO".</v>
      </c>
      <c r="H65" s="1933" t="s">
        <v>4801</v>
      </c>
      <c r="I65" s="3" t="str">
        <f>OBRA!O404</f>
        <v>SAN JUAN COSALÁ</v>
      </c>
      <c r="J65" s="3" t="s">
        <v>2753</v>
      </c>
      <c r="K65" s="328" t="s">
        <v>4847</v>
      </c>
      <c r="L65" s="3" t="s">
        <v>4821</v>
      </c>
      <c r="M65" s="1937">
        <f>OBRA!AQ404+OBRA!AR404</f>
        <v>132810.69</v>
      </c>
      <c r="N65" s="267">
        <f>GRAL!AE406</f>
        <v>105</v>
      </c>
      <c r="O65" s="267" t="str">
        <f>GRAL!AF406</f>
        <v>ML</v>
      </c>
      <c r="P65" s="1981" t="s">
        <v>5040</v>
      </c>
      <c r="Q65" s="2"/>
    </row>
    <row r="66" spans="1:17" ht="45" hidden="1">
      <c r="A66" s="1"/>
      <c r="B66" s="1"/>
      <c r="C66" s="1" t="str">
        <f>OBRA!BY405</f>
        <v>2018-2021</v>
      </c>
      <c r="D66" s="1">
        <f>OBRA!I405</f>
        <v>2019</v>
      </c>
      <c r="E66" s="1933" t="str">
        <f>OBRA!M405</f>
        <v>CANCELADA</v>
      </c>
      <c r="F66" s="1933"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937">
        <f>OBRA!AQ405+OBRA!AR405</f>
        <v>0</v>
      </c>
      <c r="N66" s="1">
        <f>GRAL!AE407</f>
        <v>1</v>
      </c>
      <c r="O66" s="1" t="str">
        <f>GRAL!AF407</f>
        <v>LOTE</v>
      </c>
      <c r="P66" s="1"/>
      <c r="Q66" s="1"/>
    </row>
    <row r="67" spans="1:17" ht="45">
      <c r="A67" s="1"/>
      <c r="B67" s="1935"/>
      <c r="C67" s="1" t="str">
        <f>OBRA!BY406</f>
        <v>2018-2021</v>
      </c>
      <c r="D67" s="1">
        <f>OBRA!I406</f>
        <v>2019</v>
      </c>
      <c r="E67" s="1933" t="str">
        <f>OBRA!M406</f>
        <v>ADJUDICACIÓN DIRECTA</v>
      </c>
      <c r="F67" s="1971" t="str">
        <f>OBRA!L406</f>
        <v>GMJ 023 C-OP/2019</v>
      </c>
      <c r="G67" s="3" t="str">
        <f>OBRA!N406</f>
        <v>“CONSTRUCCIÓN DE ÁREA DE CORRALES MÓDULO 1 PRIMERA ETAPA EN EL RASTRO MUNICIPAL”, EN LA CABECERA MUNICIPAL, DE JOCOTEPEC, JALISCO.</v>
      </c>
      <c r="H67" s="1933" t="s">
        <v>4811</v>
      </c>
      <c r="I67" s="3" t="str">
        <f>OBRA!O406</f>
        <v>CABECERA MUNICIPAL</v>
      </c>
      <c r="J67" s="3" t="s">
        <v>3183</v>
      </c>
      <c r="K67" s="3" t="s">
        <v>4830</v>
      </c>
      <c r="L67" s="3" t="s">
        <v>4831</v>
      </c>
      <c r="M67" s="1937">
        <f>OBRA!AQ406+OBRA!AR406</f>
        <v>1393904.46</v>
      </c>
      <c r="N67" s="267">
        <f>GRAL!AE408</f>
        <v>731.62</v>
      </c>
      <c r="O67" s="267" t="str">
        <f>GRAL!AF408</f>
        <v>M2</v>
      </c>
      <c r="P67" s="2" t="s">
        <v>68</v>
      </c>
      <c r="Q67" s="2"/>
    </row>
    <row r="68" spans="1:17" ht="45">
      <c r="A68" s="1"/>
      <c r="B68" s="1935"/>
      <c r="C68" s="1" t="str">
        <f>OBRA!BY407</f>
        <v>2018-2021</v>
      </c>
      <c r="D68" s="1">
        <f>OBRA!I407</f>
        <v>2019</v>
      </c>
      <c r="E68" s="1933" t="str">
        <f>OBRA!M407</f>
        <v>ADJUDICACIÓN DIRECTA</v>
      </c>
      <c r="F68" s="1971" t="str">
        <f>OBRA!L407</f>
        <v>GMJ 024 C-OP/2019</v>
      </c>
      <c r="G68" s="3" t="str">
        <f>OBRA!N407</f>
        <v>“REHABILITACIÓN DE ÁREA DE MATANZA EN ESTRUCTURA Y TECHUMBRE PRIMERA ETAPA EN EL RASTRO MUNICIPAL”, EN LA CABECERA MUNICIPAL, DE JOCOTEPEC, JALISCO.</v>
      </c>
      <c r="H68" s="1933" t="s">
        <v>4811</v>
      </c>
      <c r="I68" s="3" t="str">
        <f>OBRA!O407</f>
        <v>CABECERA MUNICIPAL</v>
      </c>
      <c r="J68" s="3" t="s">
        <v>3183</v>
      </c>
      <c r="K68" s="3" t="s">
        <v>4830</v>
      </c>
      <c r="L68" s="3" t="s">
        <v>4831</v>
      </c>
      <c r="M68" s="1937">
        <f>OBRA!AQ407+OBRA!AR407</f>
        <v>1414229.1</v>
      </c>
      <c r="N68" s="267">
        <f>GRAL!AE409</f>
        <v>276.38</v>
      </c>
      <c r="O68" s="267" t="str">
        <f>GRAL!AF409</f>
        <v>M2</v>
      </c>
      <c r="P68" s="2" t="s">
        <v>68</v>
      </c>
      <c r="Q68" s="2"/>
    </row>
    <row r="69" spans="1:17" ht="45">
      <c r="A69" s="1"/>
      <c r="B69" s="1935"/>
      <c r="C69" s="1" t="str">
        <f>OBRA!BY408</f>
        <v>2018-2021</v>
      </c>
      <c r="D69" s="1">
        <f>OBRA!I408</f>
        <v>2019</v>
      </c>
      <c r="E69" s="1933" t="str">
        <f>OBRA!M408</f>
        <v>ADJUDICACIÓN DIRECTA</v>
      </c>
      <c r="F69" s="1971" t="str">
        <f>OBRA!L408</f>
        <v>GMJ 025 C-OP/2019</v>
      </c>
      <c r="G69" s="3" t="str">
        <f>OBRA!N408</f>
        <v>"REHABILITACIÓN DE RED DE DRENAJE SANITARIO EN CALLE OTOÑO ENTRE CALLE NIÑOS HEROES Y ZARAGOZA" EN LA CABECERA MUNICIPAL DE JOCOTEPEC, JALISCO</v>
      </c>
      <c r="H69" s="1933" t="s">
        <v>4801</v>
      </c>
      <c r="I69" s="3" t="str">
        <f>OBRA!O408</f>
        <v>CABECERA MUNICIPAL</v>
      </c>
      <c r="J69" s="3" t="s">
        <v>2683</v>
      </c>
      <c r="K69" s="3" t="s">
        <v>4881</v>
      </c>
      <c r="L69" s="3" t="s">
        <v>2571</v>
      </c>
      <c r="M69" s="1937">
        <f>OBRA!AQ408+OBRA!AR408</f>
        <v>185500.38</v>
      </c>
      <c r="N69" s="267">
        <f>GRAL!AE410</f>
        <v>131</v>
      </c>
      <c r="O69" s="267" t="str">
        <f>GRAL!AF410</f>
        <v>ML</v>
      </c>
      <c r="P69" s="1981" t="s">
        <v>5040</v>
      </c>
      <c r="Q69" s="2"/>
    </row>
    <row r="70" spans="1:17" ht="45">
      <c r="A70" s="1"/>
      <c r="B70" s="1935"/>
      <c r="C70" s="1" t="str">
        <f>OBRA!BY409</f>
        <v>2018-2021</v>
      </c>
      <c r="D70" s="1">
        <f>OBRA!I409</f>
        <v>2019</v>
      </c>
      <c r="E70" s="1933" t="str">
        <f>OBRA!M409</f>
        <v>ADJUDICACIÓN DIRECTA</v>
      </c>
      <c r="F70" s="1971" t="str">
        <f>OBRA!L409</f>
        <v>GMJ 026 C-OP/2019</v>
      </c>
      <c r="G70" s="3" t="str">
        <f>OBRA!N409</f>
        <v>"REHABILITACIÓN DE RED DE AGUA POTABLE EN CALLE OTOÑO ENTRE CALLE NIÑOS HEROES Y ZARAGOZA" EN LA CABECERA MUNICIPAL DE JOCOTEPEC, JALISCO</v>
      </c>
      <c r="H70" s="1933" t="s">
        <v>4799</v>
      </c>
      <c r="I70" s="3" t="str">
        <f>OBRA!O409</f>
        <v>CABECERA MUNICIPAL</v>
      </c>
      <c r="J70" s="3" t="s">
        <v>2683</v>
      </c>
      <c r="K70" s="3" t="s">
        <v>4881</v>
      </c>
      <c r="L70" s="3" t="s">
        <v>2571</v>
      </c>
      <c r="M70" s="1937">
        <f>OBRA!AQ409+OBRA!AR409</f>
        <v>140274.29</v>
      </c>
      <c r="N70" s="267">
        <f>GRAL!AE411</f>
        <v>121.65</v>
      </c>
      <c r="O70" s="267" t="str">
        <f>GRAL!AF411</f>
        <v>ML</v>
      </c>
      <c r="P70" s="1981" t="s">
        <v>5039</v>
      </c>
      <c r="Q70" s="2"/>
    </row>
    <row r="71" spans="1:17" ht="60" customHeight="1">
      <c r="A71" s="1"/>
      <c r="B71" s="1935"/>
      <c r="C71" s="1" t="str">
        <f>OBRA!BY410</f>
        <v>2018-2021</v>
      </c>
      <c r="D71" s="1">
        <f>OBRA!I410</f>
        <v>2019</v>
      </c>
      <c r="E71" s="1933" t="str">
        <f>OBRA!M410</f>
        <v>ADJUDICACIÓN DIRECTA</v>
      </c>
      <c r="F71" s="1971" t="str">
        <f>OBRA!L410</f>
        <v>GMJ 027 C-OP/2019</v>
      </c>
      <c r="G71" s="3" t="str">
        <f>OBRA!N410</f>
        <v>“CONSTRUCCIÓN DE EMPEDRADO AHOGADO EN  CEMENTO EN CALLE OTOÑO ENTRE CALLE NIÑOS HÉROES Y CALLE ZARAGOZA”  EN LA CABECERA MUNICIPAL DE JOCOTEPEC, JALISCO.</v>
      </c>
      <c r="H71" s="1933" t="s">
        <v>4806</v>
      </c>
      <c r="I71" s="3" t="str">
        <f>OBRA!O410</f>
        <v>CABECERA MUNICIPAL</v>
      </c>
      <c r="J71" s="3" t="s">
        <v>2683</v>
      </c>
      <c r="K71" s="3" t="s">
        <v>4881</v>
      </c>
      <c r="L71" s="3" t="s">
        <v>2571</v>
      </c>
      <c r="M71" s="1937">
        <f>OBRA!AQ410+OBRA!AR410</f>
        <v>826172.24</v>
      </c>
      <c r="N71" s="267">
        <f>GRAL!AE412</f>
        <v>1301.04</v>
      </c>
      <c r="O71" s="267" t="str">
        <f>GRAL!AF412</f>
        <v>M2</v>
      </c>
      <c r="P71" s="2"/>
      <c r="Q71" s="2"/>
    </row>
    <row r="72" spans="1:17" ht="64.5" customHeight="1">
      <c r="A72" s="1"/>
      <c r="B72" s="1935"/>
      <c r="C72" s="1" t="str">
        <f>OBRA!BY411</f>
        <v>2018-2021</v>
      </c>
      <c r="D72" s="1">
        <f>OBRA!I411</f>
        <v>2019</v>
      </c>
      <c r="E72" s="1933" t="str">
        <f>OBRA!M411</f>
        <v>ADJUDICACIÓN DIRECTA</v>
      </c>
      <c r="F72" s="1971" t="str">
        <f>OBRA!L411</f>
        <v>GMJ 028 C-OP/2019</v>
      </c>
      <c r="G72" s="3" t="str">
        <f>OBRA!N411</f>
        <v>“REHABILITACIÓN DE LÍNEA DE DRENAJE EN LA CALLE INVIERNO ENTRE CALLES FRANCISCO VILLA Y 20 DE NOVIEMBRE”  EN LA CABECERA MUNICIPAL DE JOCOTEPEC, JALISCO.</v>
      </c>
      <c r="H72" s="1933" t="s">
        <v>4801</v>
      </c>
      <c r="I72" s="3" t="str">
        <f>OBRA!O411</f>
        <v>CABECERA MUNICIPAL</v>
      </c>
      <c r="J72" s="3" t="s">
        <v>2733</v>
      </c>
      <c r="K72" s="3" t="s">
        <v>3460</v>
      </c>
      <c r="L72" s="3" t="s">
        <v>2723</v>
      </c>
      <c r="M72" s="1937">
        <f>OBRA!AQ411+OBRA!AR411</f>
        <v>295953.42</v>
      </c>
      <c r="N72" s="267">
        <f>GRAL!AE413</f>
        <v>156</v>
      </c>
      <c r="O72" s="267" t="str">
        <f>GRAL!AF413</f>
        <v>ML</v>
      </c>
      <c r="P72" s="1981" t="s">
        <v>5040</v>
      </c>
      <c r="Q72" s="2"/>
    </row>
    <row r="73" spans="1:17" ht="63" customHeight="1">
      <c r="A73" s="1"/>
      <c r="B73" s="1935"/>
      <c r="C73" s="1" t="str">
        <f>OBRA!BY412</f>
        <v>2018-2021</v>
      </c>
      <c r="D73" s="1">
        <f>OBRA!I412</f>
        <v>2019</v>
      </c>
      <c r="E73" s="1933" t="str">
        <f>OBRA!M412</f>
        <v>ADJUDICACIÓN DIRECTA</v>
      </c>
      <c r="F73" s="1971" t="str">
        <f>OBRA!L412</f>
        <v>GMJ 029 C-OP/2019</v>
      </c>
      <c r="G73" s="3" t="str">
        <f>OBRA!N412</f>
        <v>“REHABILITACIÓN DE RED DE AGUA POTABLE EN CALLE INVIERNO ENTRE CALLES FRANCISCO VILLA Y 20 DE NOVIEMBRE”  EN LA CABECERA MUNICIPAL DE JOCOTEPEC, JALISCO.</v>
      </c>
      <c r="H73" s="1933" t="s">
        <v>4799</v>
      </c>
      <c r="I73" s="3" t="str">
        <f>OBRA!O412</f>
        <v>CABECERA MUNICIPAL</v>
      </c>
      <c r="J73" s="3" t="s">
        <v>2733</v>
      </c>
      <c r="K73" s="3" t="s">
        <v>3460</v>
      </c>
      <c r="L73" s="3" t="s">
        <v>2723</v>
      </c>
      <c r="M73" s="1937">
        <f>OBRA!AQ412+OBRA!AR412</f>
        <v>104872.2</v>
      </c>
      <c r="N73" s="267">
        <f>GRAL!AE414</f>
        <v>156</v>
      </c>
      <c r="O73" s="267" t="str">
        <f>GRAL!AF414</f>
        <v>ML</v>
      </c>
      <c r="P73" s="1981"/>
      <c r="Q73" s="2"/>
    </row>
    <row r="74" spans="1:17" ht="60">
      <c r="A74" s="1"/>
      <c r="B74" s="1935"/>
      <c r="C74" s="1" t="str">
        <f>OBRA!BY413</f>
        <v>2018-2021</v>
      </c>
      <c r="D74" s="1">
        <f>OBRA!I413</f>
        <v>2019</v>
      </c>
      <c r="E74" s="1933" t="str">
        <f>OBRA!M413</f>
        <v>ADJUDICACIÓN DIRECTA</v>
      </c>
      <c r="F74" s="1971" t="str">
        <f>OBRA!L413</f>
        <v>GMJ 030 C-OP/2019</v>
      </c>
      <c r="G74" s="3" t="str">
        <f>OBRA!N413</f>
        <v>“FABRICACIÓN DE EMPEDRADO AHOGADO EN CEMENTO  EN CALLE INVIERNO ENTRE CALLES FRANCISCO VILLA Y 20 DE NOVIEMBRE” EN LA CABECERA MUNICIPAL DE JOCOTEPEC, JALISCO</v>
      </c>
      <c r="H74" s="1933" t="s">
        <v>4806</v>
      </c>
      <c r="I74" s="3" t="str">
        <f>OBRA!O413</f>
        <v>CABECERA MUNICIPAL</v>
      </c>
      <c r="J74" s="3" t="s">
        <v>2733</v>
      </c>
      <c r="K74" s="3" t="s">
        <v>3460</v>
      </c>
      <c r="L74" s="3" t="s">
        <v>2723</v>
      </c>
      <c r="M74" s="1937">
        <f>OBRA!AQ413+OBRA!AR413</f>
        <v>745742.71</v>
      </c>
      <c r="N74" s="267">
        <f>GRAL!AE415</f>
        <v>984</v>
      </c>
      <c r="O74" s="267" t="str">
        <f>GRAL!AF415</f>
        <v>M2</v>
      </c>
      <c r="P74" s="2" t="s">
        <v>68</v>
      </c>
      <c r="Q74" s="2"/>
    </row>
    <row r="75" spans="1:17" ht="60.75" customHeight="1">
      <c r="A75" s="1"/>
      <c r="B75" s="1935"/>
      <c r="C75" s="1" t="str">
        <f>OBRA!BY414</f>
        <v>2018-2021</v>
      </c>
      <c r="D75" s="1">
        <f>OBRA!I414</f>
        <v>2019</v>
      </c>
      <c r="E75" s="1933" t="str">
        <f>OBRA!M414</f>
        <v>ADJUDICACIÓN DIRECTA</v>
      </c>
      <c r="F75" s="1971" t="str">
        <f>OBRA!L414</f>
        <v>GMJ 031 C-OP/2019</v>
      </c>
      <c r="G75" s="3" t="str">
        <f>OBRA!N414</f>
        <v>"CONSTRUCCIÓN DE BANQUETAS EN CALLE MORELOS DELEGACIÓN DE CHANTEPEC MUNICIPIO DE JOCOTEPEC, JALISCO".</v>
      </c>
      <c r="H75" s="1933" t="s">
        <v>4802</v>
      </c>
      <c r="I75" s="3" t="str">
        <f>OBRA!O414</f>
        <v>CHANTEPEC</v>
      </c>
      <c r="J75" s="3" t="s">
        <v>2524</v>
      </c>
      <c r="K75" s="780" t="s">
        <v>68</v>
      </c>
      <c r="L75" s="780" t="s">
        <v>68</v>
      </c>
      <c r="M75" s="1937">
        <f>OBRA!AQ414+OBRA!AR414</f>
        <v>317393.01</v>
      </c>
      <c r="N75" s="267">
        <f>GRAL!AE416</f>
        <v>71.27</v>
      </c>
      <c r="O75" s="267" t="str">
        <f>GRAL!AF416</f>
        <v>M2</v>
      </c>
      <c r="P75" s="1971" t="s">
        <v>5034</v>
      </c>
      <c r="Q75" s="2"/>
    </row>
    <row r="76" spans="1:17" ht="22.5" hidden="1">
      <c r="A76" s="1"/>
      <c r="B76" s="1"/>
      <c r="C76" s="1" t="str">
        <f>OBRA!BY415</f>
        <v>2018-2021</v>
      </c>
      <c r="D76" s="1">
        <f>OBRA!I415</f>
        <v>2019</v>
      </c>
      <c r="E76" s="1933" t="str">
        <f>OBRA!M415</f>
        <v>CANCELADA</v>
      </c>
      <c r="F76" s="1933" t="str">
        <f>OBRA!L415</f>
        <v>GMJ 032 C-OP/2019</v>
      </c>
      <c r="G76" s="3">
        <f>OBRA!N415</f>
        <v>0</v>
      </c>
      <c r="H76" s="1"/>
      <c r="I76" s="3">
        <f>OBRA!O415</f>
        <v>0</v>
      </c>
      <c r="J76" s="3"/>
      <c r="K76" s="3"/>
      <c r="L76" s="3"/>
      <c r="M76" s="1937">
        <f>OBRA!AQ415+OBRA!AR415</f>
        <v>0</v>
      </c>
      <c r="N76" s="1">
        <f>GRAL!AE417</f>
        <v>1</v>
      </c>
      <c r="O76" s="1">
        <f>GRAL!AF417</f>
        <v>0</v>
      </c>
      <c r="P76" s="1"/>
      <c r="Q76" s="1"/>
    </row>
    <row r="77" spans="1:17" ht="22.5" hidden="1">
      <c r="A77" s="1"/>
      <c r="B77" s="1"/>
      <c r="C77" s="1" t="str">
        <f>OBRA!BY416</f>
        <v>2018-2021</v>
      </c>
      <c r="D77" s="1">
        <f>OBRA!I416</f>
        <v>2019</v>
      </c>
      <c r="E77" s="1933" t="str">
        <f>OBRA!M416</f>
        <v>CANCELADA</v>
      </c>
      <c r="F77" s="1933" t="str">
        <f>OBRA!L416</f>
        <v>GMJ 033 C-OP/2019</v>
      </c>
      <c r="G77" s="3">
        <f>OBRA!N416</f>
        <v>0</v>
      </c>
      <c r="H77" s="1"/>
      <c r="I77" s="3">
        <f>OBRA!O416</f>
        <v>0</v>
      </c>
      <c r="J77" s="3"/>
      <c r="K77" s="3"/>
      <c r="L77" s="3"/>
      <c r="M77" s="1937">
        <f>OBRA!AQ416+OBRA!AR416</f>
        <v>0</v>
      </c>
      <c r="N77" s="1">
        <f>GRAL!AE418</f>
        <v>1</v>
      </c>
      <c r="O77" s="1">
        <f>GRAL!AF418</f>
        <v>0</v>
      </c>
      <c r="P77" s="1"/>
      <c r="Q77" s="1"/>
    </row>
    <row r="78" spans="1:17" ht="63.75" customHeight="1">
      <c r="A78" s="1"/>
      <c r="B78" s="1935"/>
      <c r="C78" s="1" t="str">
        <f>OBRA!BY417</f>
        <v>2018-2021</v>
      </c>
      <c r="D78" s="1">
        <f>OBRA!I417</f>
        <v>2019</v>
      </c>
      <c r="E78" s="1933" t="str">
        <f>OBRA!M417</f>
        <v>ADJUDICACIÓN DIRECTA</v>
      </c>
      <c r="F78" s="1971" t="str">
        <f>OBRA!L417</f>
        <v>GMJ 034 C-OP/2019</v>
      </c>
      <c r="G78" s="3" t="str">
        <f>OBRA!N417</f>
        <v xml:space="preserve">"CONSTRUCCIÓN DE RED DE DRENAJE SANITARIO, 2DA. ETAPA EN PRIVADA ZARAGOZA DE CALLE ZARAGOZA A CERRADA DELEGACIÓN DE SAN JUAN COSALA MUNICIPIO DE JOCOTEPEC, JALISCO". </v>
      </c>
      <c r="H78" s="1933" t="s">
        <v>4801</v>
      </c>
      <c r="I78" s="3" t="str">
        <f>OBRA!O417</f>
        <v>SAN JUAN COSALÁ</v>
      </c>
      <c r="J78" s="3" t="s">
        <v>2750</v>
      </c>
      <c r="K78" s="3" t="s">
        <v>2571</v>
      </c>
      <c r="L78" s="3" t="s">
        <v>4821</v>
      </c>
      <c r="M78" s="1937">
        <f>OBRA!AQ417+OBRA!AR417</f>
        <v>82700.08</v>
      </c>
      <c r="N78" s="267">
        <f>GRAL!AE419</f>
        <v>55</v>
      </c>
      <c r="O78" s="267" t="str">
        <f>GRAL!AF419</f>
        <v>ML</v>
      </c>
      <c r="P78" s="1981" t="s">
        <v>5042</v>
      </c>
      <c r="Q78" s="2"/>
    </row>
    <row r="79" spans="1:17" ht="45">
      <c r="A79" s="1"/>
      <c r="B79" s="1935"/>
      <c r="C79" s="1" t="str">
        <f>OBRA!BY418</f>
        <v>2018-2021</v>
      </c>
      <c r="D79" s="1">
        <f>OBRA!I418</f>
        <v>2019</v>
      </c>
      <c r="E79" s="1933" t="str">
        <f>OBRA!M418</f>
        <v>ADJUDICACIÓN DIRECTA</v>
      </c>
      <c r="F79" s="1971" t="str">
        <f>OBRA!L418</f>
        <v>GMJ 035 C-OP/2019</v>
      </c>
      <c r="G79" s="3" t="str">
        <f>OBRA!N418</f>
        <v>"REHABILITACIÓN DE LÍNEA DE DRENAJE EN CALLE VERANO ENTRE CALLES NIÑOS HÉROES Y LÓPEZ RAYÓN CABECERA MUNICIPAL DE JOCOTEPEC, JALISCO".</v>
      </c>
      <c r="H79" s="1933" t="s">
        <v>4801</v>
      </c>
      <c r="I79" s="3" t="str">
        <f>OBRA!O418</f>
        <v>CABECERA MUNICIPAL</v>
      </c>
      <c r="J79" s="3" t="s">
        <v>2578</v>
      </c>
      <c r="K79" s="3" t="s">
        <v>4881</v>
      </c>
      <c r="L79" s="3" t="s">
        <v>4741</v>
      </c>
      <c r="M79" s="1937">
        <f>OBRA!AQ418+OBRA!AR418</f>
        <v>117816.14</v>
      </c>
      <c r="N79" s="267">
        <f>GRAL!AE420</f>
        <v>42</v>
      </c>
      <c r="O79" s="267" t="str">
        <f>GRAL!AF420</f>
        <v>ML</v>
      </c>
      <c r="P79" s="1981" t="s">
        <v>5040</v>
      </c>
      <c r="Q79" s="2"/>
    </row>
    <row r="80" spans="1:17" ht="68.25" customHeight="1">
      <c r="A80" s="1"/>
      <c r="B80" s="1935"/>
      <c r="C80" s="1" t="str">
        <f>OBRA!BY419</f>
        <v>2018-2021</v>
      </c>
      <c r="D80" s="1">
        <f>OBRA!I419</f>
        <v>2019</v>
      </c>
      <c r="E80" s="1933" t="str">
        <f>OBRA!M419</f>
        <v>ADJUDICACIÓN DIRECTA</v>
      </c>
      <c r="F80" s="1971" t="str">
        <f>OBRA!L419</f>
        <v>GMJ 036 C-OP/2019</v>
      </c>
      <c r="G80" s="3" t="str">
        <f>OBRA!N419</f>
        <v>"CONSTRUCCIÓN DE EMPEDRADO AHOGADO EN CEMENTO EN CALLE VERANO ENTRE NIÑOS HÉROES Y EMPEDRADO EXISTENTE CABECERA MUNICIPAL DE JOCOTEPEC, JALISCO".</v>
      </c>
      <c r="H80" s="1933" t="s">
        <v>4806</v>
      </c>
      <c r="I80" s="3" t="str">
        <f>OBRA!O419</f>
        <v>CABECERA MUNICIPAL</v>
      </c>
      <c r="J80" s="3" t="s">
        <v>2578</v>
      </c>
      <c r="K80" s="3" t="s">
        <v>4881</v>
      </c>
      <c r="L80" s="3" t="s">
        <v>4832</v>
      </c>
      <c r="M80" s="1937">
        <f>OBRA!AQ419+OBRA!AR419</f>
        <v>256679.4</v>
      </c>
      <c r="N80" s="267">
        <f>GRAL!AE421</f>
        <v>432</v>
      </c>
      <c r="O80" s="267" t="str">
        <f>GRAL!AF421</f>
        <v>M2</v>
      </c>
      <c r="P80" s="2" t="s">
        <v>68</v>
      </c>
      <c r="Q80" s="2"/>
    </row>
    <row r="81" spans="1:17" ht="22.5" hidden="1">
      <c r="A81" s="1"/>
      <c r="B81" s="1"/>
      <c r="C81" s="1">
        <f>OBRA!BY420</f>
        <v>0</v>
      </c>
      <c r="D81" s="1">
        <f>OBRA!I420</f>
        <v>2019</v>
      </c>
      <c r="E81" s="1933" t="str">
        <f>OBRA!M420</f>
        <v>CANCELADA</v>
      </c>
      <c r="F81" s="1933" t="str">
        <f>OBRA!L420</f>
        <v>GMJ 037 C-OP/2019</v>
      </c>
      <c r="G81" s="3">
        <f>OBRA!N420</f>
        <v>0</v>
      </c>
      <c r="H81" s="1"/>
      <c r="I81" s="3">
        <f>OBRA!O420</f>
        <v>0</v>
      </c>
      <c r="J81" s="3"/>
      <c r="K81" s="3"/>
      <c r="L81" s="3"/>
      <c r="M81" s="1937">
        <f>OBRA!AQ420+OBRA!AR420</f>
        <v>0</v>
      </c>
      <c r="N81" s="1">
        <f>GRAL!AE422</f>
        <v>0</v>
      </c>
      <c r="O81" s="1">
        <f>GRAL!AF422</f>
        <v>0</v>
      </c>
      <c r="P81" s="1"/>
      <c r="Q81" s="1"/>
    </row>
    <row r="82" spans="1:17" ht="53.25" customHeight="1">
      <c r="A82" s="1"/>
      <c r="B82" s="1935"/>
      <c r="C82" s="1" t="str">
        <f>OBRA!BY421</f>
        <v>2018-2021</v>
      </c>
      <c r="D82" s="1">
        <f>OBRA!I421</f>
        <v>2019</v>
      </c>
      <c r="E82" s="1933" t="str">
        <f>OBRA!M421</f>
        <v>ADJUDICACIÓN DIRECTA</v>
      </c>
      <c r="F82" s="1971" t="str">
        <f>OBRA!L421</f>
        <v>GMJ 038 C-OP/2019</v>
      </c>
      <c r="G82" s="3" t="str">
        <f>OBRA!N421</f>
        <v>"CONSTRUCCIÓN DE PUERTO INOCUO DE DESEMBARQUE (P.I.D.) EN LA AGENCIA DE NEXTIPAC MUNICIPIO DE JOCOTEPEC, JALISCO.</v>
      </c>
      <c r="H82" s="1933" t="s">
        <v>2239</v>
      </c>
      <c r="I82" s="3" t="str">
        <f>OBRA!O421</f>
        <v>NEXTIPAC</v>
      </c>
      <c r="J82" s="780" t="s">
        <v>68</v>
      </c>
      <c r="K82" s="780" t="s">
        <v>68</v>
      </c>
      <c r="L82" s="780" t="s">
        <v>68</v>
      </c>
      <c r="M82" s="1937">
        <f>OBRA!AQ421+OBRA!AR421</f>
        <v>875309.47</v>
      </c>
      <c r="N82" s="267">
        <f>GRAL!AE423</f>
        <v>95.9</v>
      </c>
      <c r="O82" s="267" t="str">
        <f>GRAL!AF423</f>
        <v>M2</v>
      </c>
      <c r="P82" s="2" t="s">
        <v>68</v>
      </c>
      <c r="Q82" s="2"/>
    </row>
    <row r="83" spans="1:17" ht="30" hidden="1">
      <c r="A83" s="1"/>
      <c r="B83" s="1"/>
      <c r="C83" s="1" t="str">
        <f>OBRA!BY422</f>
        <v>2018-2021</v>
      </c>
      <c r="D83" s="1">
        <f>OBRA!I422</f>
        <v>2020</v>
      </c>
      <c r="E83" s="1933" t="str">
        <f>OBRA!M422</f>
        <v>CONVENIO</v>
      </c>
      <c r="F83" s="1933" t="str">
        <f>OBRA!L422</f>
        <v>CEAJ-PERF-002/2020</v>
      </c>
      <c r="G83" s="3" t="str">
        <f>OBRA!N422</f>
        <v>CONVENIO PARA LA PERFORACIÓN DE UN POZO PROFUNDO PARA AGUA POTABLE</v>
      </c>
      <c r="H83" s="1"/>
      <c r="I83" s="3" t="str">
        <f>OBRA!O422</f>
        <v>MUNICIPIO</v>
      </c>
      <c r="J83" s="3"/>
      <c r="K83" s="3"/>
      <c r="L83" s="3"/>
      <c r="M83" s="1937">
        <f>OBRA!AQ422+OBRA!AR422</f>
        <v>0</v>
      </c>
      <c r="N83" s="1">
        <f>GRAL!AE424</f>
        <v>1</v>
      </c>
      <c r="O83" s="1" t="str">
        <f>GRAL!AF424</f>
        <v>POZO</v>
      </c>
      <c r="P83" s="1"/>
      <c r="Q83" s="1"/>
    </row>
    <row r="84" spans="1:17" ht="30" hidden="1">
      <c r="A84" s="1"/>
      <c r="B84" s="1"/>
      <c r="C84" s="1" t="str">
        <f>OBRA!BY423</f>
        <v>2018-2021</v>
      </c>
      <c r="D84" s="1">
        <f>OBRA!I423</f>
        <v>2020</v>
      </c>
      <c r="E84" s="1933" t="str">
        <f>OBRA!M423</f>
        <v>CONVENIO</v>
      </c>
      <c r="F84" s="1933" t="str">
        <f>OBRA!L423</f>
        <v>CULTURA 2020</v>
      </c>
      <c r="G84" s="3" t="str">
        <f>OBRA!N423</f>
        <v>REMOZAMIENTO Y MEJORAMIENTO  DE IMAGEN URBANA DEL TEMPLO DEL SEÑOR DEL MONTE</v>
      </c>
      <c r="H84" s="1"/>
      <c r="I84" s="3" t="str">
        <f>OBRA!O423</f>
        <v>CABECERA MUNICIPAL</v>
      </c>
      <c r="J84" s="3"/>
      <c r="K84" s="3"/>
      <c r="L84" s="3"/>
      <c r="M84" s="1937">
        <f>OBRA!AQ423+OBRA!AR423</f>
        <v>0</v>
      </c>
      <c r="N84" s="1">
        <f>GRAL!AE425</f>
        <v>2</v>
      </c>
      <c r="O84" s="1" t="str">
        <f>GRAL!AF425</f>
        <v>OBRAS</v>
      </c>
      <c r="P84" s="1"/>
      <c r="Q84" s="1"/>
    </row>
    <row r="85" spans="1:17" ht="60" hidden="1">
      <c r="A85" s="1"/>
      <c r="B85" s="1"/>
      <c r="C85" s="1" t="str">
        <f>OBRA!BY424</f>
        <v>2018-2021</v>
      </c>
      <c r="D85" s="1">
        <f>OBRA!I424</f>
        <v>2020</v>
      </c>
      <c r="E85" s="1933" t="str">
        <f>OBRA!M424</f>
        <v>CONVENIO</v>
      </c>
      <c r="F85" s="1933"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937">
        <f>OBRA!AQ424+OBRA!AR424</f>
        <v>0</v>
      </c>
      <c r="N85" s="1">
        <f>GRAL!AE426</f>
        <v>0</v>
      </c>
      <c r="O85" s="1">
        <f>GRAL!AF426</f>
        <v>0</v>
      </c>
      <c r="P85" s="1"/>
      <c r="Q85" s="1"/>
    </row>
    <row r="86" spans="1:17" ht="30" hidden="1">
      <c r="A86" s="1"/>
      <c r="B86" s="1"/>
      <c r="C86" s="1" t="str">
        <f>OBRA!BY425</f>
        <v>2018-2021</v>
      </c>
      <c r="D86" s="1">
        <f>OBRA!I425</f>
        <v>2020</v>
      </c>
      <c r="E86" s="1933" t="str">
        <f>OBRA!M425</f>
        <v>CONVENIO</v>
      </c>
      <c r="F86" s="1933" t="str">
        <f>OBRA!L425</f>
        <v>RASTRO DIGNO 2020</v>
      </c>
      <c r="G86" s="3" t="str">
        <f>OBRA!N425</f>
        <v>PROGRAMA PARA MEJORAMIENTO DE RASTROS "RASTRO DIGNO", EJERCICIO 2020</v>
      </c>
      <c r="H86" s="1"/>
      <c r="I86" s="3" t="str">
        <f>OBRA!O425</f>
        <v>CABECERA MUNICIPAL</v>
      </c>
      <c r="J86" s="3"/>
      <c r="K86" s="3"/>
      <c r="L86" s="3"/>
      <c r="M86" s="1937">
        <f>OBRA!AQ425+OBRA!AR425</f>
        <v>0</v>
      </c>
      <c r="N86" s="1">
        <f>GRAL!AE427</f>
        <v>2</v>
      </c>
      <c r="O86" s="1" t="str">
        <f>GRAL!AF427</f>
        <v>OBRAS</v>
      </c>
      <c r="P86" s="1"/>
      <c r="Q86" s="1"/>
    </row>
    <row r="87" spans="1:17" ht="30" hidden="1">
      <c r="A87" s="1"/>
      <c r="B87" s="1"/>
      <c r="C87" s="1" t="str">
        <f>OBRA!BY426</f>
        <v>2018-2021</v>
      </c>
      <c r="D87" s="1">
        <f>OBRA!I426</f>
        <v>2020</v>
      </c>
      <c r="E87" s="1933" t="str">
        <f>OBRA!M426</f>
        <v>CONVENIO</v>
      </c>
      <c r="F87" s="1933" t="str">
        <f>OBRA!L426</f>
        <v>SADER/DGIR/EMP/057/2020</v>
      </c>
      <c r="G87" s="3" t="str">
        <f>OBRA!N426</f>
        <v xml:space="preserve">PROGRAMA DE EMPEDRADOS PARA LA REACTIVACIÓN ECONÓMICA EN MUNICIPIOS </v>
      </c>
      <c r="H87" s="1"/>
      <c r="I87" s="3" t="str">
        <f>OBRA!O426</f>
        <v>MUNICIPIO</v>
      </c>
      <c r="J87" s="3"/>
      <c r="K87" s="3"/>
      <c r="L87" s="3"/>
      <c r="M87" s="1937">
        <f>OBRA!AQ426+OBRA!AR426</f>
        <v>0</v>
      </c>
      <c r="N87" s="1">
        <f>GRAL!AE428</f>
        <v>2</v>
      </c>
      <c r="O87" s="1" t="str">
        <f>GRAL!AF428</f>
        <v>OBRAS</v>
      </c>
      <c r="P87" s="1"/>
      <c r="Q87" s="1"/>
    </row>
    <row r="88" spans="1:17" ht="45">
      <c r="A88" s="1"/>
      <c r="B88" s="1935"/>
      <c r="C88" s="1" t="str">
        <f>OBRA!BY427</f>
        <v>2018-2021</v>
      </c>
      <c r="D88" s="1">
        <f>OBRA!I427</f>
        <v>2020</v>
      </c>
      <c r="E88" s="1933" t="str">
        <f>OBRA!M427</f>
        <v>ADMINISTRACIÓN DIRECTA</v>
      </c>
      <c r="F88" s="1971" t="str">
        <f>OBRA!L427</f>
        <v>DOP/AD/001/2020</v>
      </c>
      <c r="G88" s="3" t="str">
        <f>OBRA!N427</f>
        <v>"ADQUISICION DE MATERIALES PARA LA LINEA DE ALIMENTACION DEL DEPOSITO NUEVO , EN LA LOCALIDAD DE HUEJOTITAN, MUNICIPIO DE JOCOTEPEC, JALISCO"</v>
      </c>
      <c r="H88" s="1933" t="s">
        <v>4799</v>
      </c>
      <c r="I88" s="3" t="str">
        <f>OBRA!O427</f>
        <v>HUEJOTITÁN</v>
      </c>
      <c r="J88" s="328" t="s">
        <v>4829</v>
      </c>
      <c r="K88" s="328" t="s">
        <v>68</v>
      </c>
      <c r="L88" s="328" t="s">
        <v>68</v>
      </c>
      <c r="M88" s="1937">
        <f>OBRA!AQ427+OBRA!AR427</f>
        <v>148382.19</v>
      </c>
      <c r="N88" s="267">
        <f>GRAL!AE429</f>
        <v>2</v>
      </c>
      <c r="O88" s="267" t="str">
        <f>GRAL!AF429</f>
        <v>OBRAS</v>
      </c>
      <c r="P88" s="2" t="s">
        <v>68</v>
      </c>
      <c r="Q88" s="2"/>
    </row>
    <row r="89" spans="1:17" ht="51.75" customHeight="1">
      <c r="A89" s="1"/>
      <c r="B89" s="1935"/>
      <c r="C89" s="1" t="str">
        <f>OBRA!BY428</f>
        <v>2018-2021</v>
      </c>
      <c r="D89" s="1">
        <f>OBRA!I428</f>
        <v>2020</v>
      </c>
      <c r="E89" s="1933" t="str">
        <f>OBRA!M428</f>
        <v>ADMINISTRACIÓN DIRECTA</v>
      </c>
      <c r="F89" s="1971" t="str">
        <f>OBRA!L428</f>
        <v>DOP/AD/002/2020</v>
      </c>
      <c r="G89" s="3" t="str">
        <f>OBRA!N428</f>
        <v>"REHABILITACIÓN Y MANTENIMIENTO DE "LA CASA DE CULTURA SAN JUAN COSALA, DEL MUNICIPIO DE JOCOTEPEC, JALISCO.</v>
      </c>
      <c r="H89" s="1933" t="s">
        <v>4812</v>
      </c>
      <c r="I89" s="3" t="str">
        <f>OBRA!O428</f>
        <v>SAN JUAN COSALÁ</v>
      </c>
      <c r="J89" s="3" t="s">
        <v>2622</v>
      </c>
      <c r="K89" s="3" t="s">
        <v>4820</v>
      </c>
      <c r="L89" s="3" t="s">
        <v>4833</v>
      </c>
      <c r="M89" s="1972">
        <f>OBRA!P428</f>
        <v>655000</v>
      </c>
      <c r="N89" s="267">
        <f>GRAL!AE430</f>
        <v>152</v>
      </c>
      <c r="O89" s="267" t="str">
        <f>GRAL!AF430</f>
        <v>ML</v>
      </c>
      <c r="P89" s="2" t="s">
        <v>68</v>
      </c>
      <c r="Q89" s="2"/>
    </row>
    <row r="90" spans="1:17" ht="62.25" customHeight="1">
      <c r="A90" s="1"/>
      <c r="B90" s="1935"/>
      <c r="C90" s="1" t="str">
        <f>OBRA!BY429</f>
        <v>2018-2021</v>
      </c>
      <c r="D90" s="1">
        <f>OBRA!I429</f>
        <v>2020</v>
      </c>
      <c r="E90" s="1933" t="str">
        <f>OBRA!M429</f>
        <v>ADMINISTRACIÓN DIRECTA</v>
      </c>
      <c r="F90" s="1971" t="str">
        <f>OBRA!L429</f>
        <v>DOP/AD/003/2020</v>
      </c>
      <c r="G90" s="3" t="str">
        <f>OBRA!N429</f>
        <v>"MATERIALES E INSUMOS NECESARIOS PARA LA PERFORACIÓN DE POZO PROFUNDO EN LA LOCALIDAD DE LAS TROJES, DEL MUNICIPIO DE JOCOTEPEC, JALISCO.</v>
      </c>
      <c r="H90" s="1933" t="s">
        <v>4799</v>
      </c>
      <c r="I90" s="3" t="str">
        <f>OBRA!O429</f>
        <v>LAS TROJES</v>
      </c>
      <c r="J90" s="780" t="s">
        <v>2564</v>
      </c>
      <c r="K90" s="780" t="s">
        <v>4822</v>
      </c>
      <c r="L90" s="780" t="s">
        <v>2654</v>
      </c>
      <c r="M90" s="1972">
        <f>OBRA!P429</f>
        <v>962427.31</v>
      </c>
      <c r="N90" s="267">
        <f>GRAL!AE431</f>
        <v>343.85</v>
      </c>
      <c r="O90" s="267" t="str">
        <f>GRAL!AF431</f>
        <v>M2</v>
      </c>
      <c r="P90" s="2" t="s">
        <v>68</v>
      </c>
      <c r="Q90" s="2"/>
    </row>
    <row r="91" spans="1:17" ht="60">
      <c r="A91" s="1"/>
      <c r="B91" s="1935"/>
      <c r="C91" s="1" t="str">
        <f>OBRA!BY430</f>
        <v>2018-2021</v>
      </c>
      <c r="D91" s="1">
        <f>OBRA!I430</f>
        <v>2020</v>
      </c>
      <c r="E91" s="1933" t="str">
        <f>OBRA!M430</f>
        <v>ADMINISTRACIÓN DIRECTA</v>
      </c>
      <c r="F91" s="1971" t="str">
        <f>OBRA!L430</f>
        <v>DOP/AD/004/2020</v>
      </c>
      <c r="G91" s="3" t="str">
        <f>OBRA!N430</f>
        <v>FABRICACIÓN DE EMPEDRADO NORMAL CON HUELLAS DE CONCRETO EN CALLE LA PAZ ENTRE VICENTE GUERRERO E ITURBIDE" EN LA DELEGACIÓN DE SAN JUAN COSALA, DEL MUNICIPIO DE JOCOTEPEC, JALISCO.</v>
      </c>
      <c r="H91" s="1933" t="s">
        <v>4806</v>
      </c>
      <c r="I91" s="3" t="str">
        <f>OBRA!O430</f>
        <v>SAN JUAN COSALÁ</v>
      </c>
      <c r="J91" s="3" t="s">
        <v>2672</v>
      </c>
      <c r="K91" s="3" t="s">
        <v>2564</v>
      </c>
      <c r="L91" s="3" t="s">
        <v>4824</v>
      </c>
      <c r="M91" s="1972">
        <f>OBRA!P430</f>
        <v>192779.35</v>
      </c>
      <c r="N91" s="267">
        <f>GRAL!AE432</f>
        <v>1</v>
      </c>
      <c r="O91" s="267" t="str">
        <f>GRAL!AF432</f>
        <v>POZO</v>
      </c>
      <c r="P91" s="2" t="s">
        <v>5002</v>
      </c>
      <c r="Q91" s="2"/>
    </row>
    <row r="92" spans="1:17" ht="45">
      <c r="A92" s="1"/>
      <c r="B92" s="1935"/>
      <c r="C92" s="1" t="str">
        <f>OBRA!BY431</f>
        <v>2018-2021</v>
      </c>
      <c r="D92" s="1">
        <f>OBRA!I431</f>
        <v>2020</v>
      </c>
      <c r="E92" s="1933" t="str">
        <f>OBRA!M431</f>
        <v>ADMINISTRACIÓN DIRECTA</v>
      </c>
      <c r="F92" s="1971" t="str">
        <f>OBRA!L431</f>
        <v>DOP/AD/005/2020</v>
      </c>
      <c r="G92" s="3" t="str">
        <f>OBRA!N431</f>
        <v>"ELABORACIÓN DE MURO PERIMETRAL, EN LA CASA DE CULTURA" UBICADA EN LA DELEGACIÓN DE SAN JUAN COSALA, DEL MUNICIPIO DE JOCOTEPEC, JALISCO.</v>
      </c>
      <c r="H92" s="1933" t="s">
        <v>4812</v>
      </c>
      <c r="I92" s="3" t="str">
        <f>OBRA!O431</f>
        <v>SAN JUAN COSALÁ</v>
      </c>
      <c r="J92" s="3" t="s">
        <v>2622</v>
      </c>
      <c r="K92" s="3" t="s">
        <v>4820</v>
      </c>
      <c r="L92" s="3" t="s">
        <v>4833</v>
      </c>
      <c r="M92" s="1972">
        <f>OBRA!P431</f>
        <v>50000</v>
      </c>
      <c r="N92" s="267">
        <f>GRAL!AE433</f>
        <v>57</v>
      </c>
      <c r="O92" s="267" t="str">
        <f>GRAL!AF433</f>
        <v>ML</v>
      </c>
      <c r="P92" s="2" t="s">
        <v>68</v>
      </c>
      <c r="Q92" s="2"/>
    </row>
    <row r="93" spans="1:17" ht="60" customHeight="1">
      <c r="A93" s="1"/>
      <c r="B93" s="1935"/>
      <c r="C93" s="1" t="str">
        <f>OBRA!BY432</f>
        <v>2018-2021</v>
      </c>
      <c r="D93" s="1">
        <f>OBRA!I432</f>
        <v>2020</v>
      </c>
      <c r="E93" s="1933" t="str">
        <f>OBRA!M432</f>
        <v>ADMINISTRACIÓN DIRECTA</v>
      </c>
      <c r="F93" s="1971" t="str">
        <f>OBRA!L432</f>
        <v>DOP/AD/006/2020</v>
      </c>
      <c r="G93" s="3" t="str">
        <f>OBRA!N432</f>
        <v>SUMINISTRO Y COLOCACIÓN DE MACHUELO PRE FABRICADO EN LA CALLE LOS ÁNGELES ENTRE PRIVADA ALDAMA Y CERRADA”, EN LA CABECERA MUNICIPAL DE JOCOTEPEC, JALISCO</v>
      </c>
      <c r="H93" s="1933" t="s">
        <v>4806</v>
      </c>
      <c r="I93" s="3" t="str">
        <f>OBRA!O432</f>
        <v>CABECERA MUNICIPAL</v>
      </c>
      <c r="J93" s="3" t="s">
        <v>4880</v>
      </c>
      <c r="K93" s="3" t="s">
        <v>4834</v>
      </c>
      <c r="L93" s="3" t="s">
        <v>4821</v>
      </c>
      <c r="M93" s="1937">
        <f>OBRA!AQ432+OBRA!AR432</f>
        <v>38982.61</v>
      </c>
      <c r="N93" s="239">
        <f>GRAL!AE434</f>
        <v>0</v>
      </c>
      <c r="O93" s="239">
        <f>GRAL!AF434</f>
        <v>0</v>
      </c>
      <c r="P93" s="2" t="s">
        <v>68</v>
      </c>
      <c r="Q93" s="2"/>
    </row>
    <row r="94" spans="1:17" ht="65.25" customHeight="1">
      <c r="A94" s="1"/>
      <c r="B94" s="1935"/>
      <c r="C94" s="1" t="str">
        <f>OBRA!BY433</f>
        <v>2018-2021</v>
      </c>
      <c r="D94" s="1">
        <f>OBRA!I433</f>
        <v>2020</v>
      </c>
      <c r="E94" s="1933" t="str">
        <f>OBRA!M433</f>
        <v>ADMINISTRACIÓN DIRECTA</v>
      </c>
      <c r="F94" s="1971" t="str">
        <f>OBRA!L433</f>
        <v>DOP/AD/007/2020</v>
      </c>
      <c r="G94" s="3" t="str">
        <f>OBRA!N433</f>
        <v>CONSTRUCCIÓN DE EMPEDRADO ZAMPEADO EN VIALIDAD CALLE JUAREZ DE KM 0+000.00 AL KM 0+126.10, EN LA LOCALIDAD DE LAS TROJES DEL MUNICIPIO DE JOCOTEPEC, JALISCO.</v>
      </c>
      <c r="H94" s="1933" t="s">
        <v>4806</v>
      </c>
      <c r="I94" s="3" t="str">
        <f>OBRA!O433</f>
        <v>LAS TROJES</v>
      </c>
      <c r="J94" s="3" t="s">
        <v>4879</v>
      </c>
      <c r="K94" s="3" t="s">
        <v>68</v>
      </c>
      <c r="L94" s="3" t="s">
        <v>68</v>
      </c>
      <c r="M94" s="1972">
        <f>OBRA!P433</f>
        <v>196881.44</v>
      </c>
      <c r="N94" s="267">
        <f>GRAL!AE435</f>
        <v>225</v>
      </c>
      <c r="O94" s="267" t="str">
        <f>GRAL!AF435</f>
        <v>ML</v>
      </c>
      <c r="P94" s="2" t="s">
        <v>4987</v>
      </c>
      <c r="Q94" s="2"/>
    </row>
    <row r="95" spans="1:17" ht="62.25" customHeight="1">
      <c r="A95" s="1"/>
      <c r="B95" s="1935" t="s">
        <v>1177</v>
      </c>
      <c r="C95" s="1" t="str">
        <f>OBRA!BY434</f>
        <v>2018-2021</v>
      </c>
      <c r="D95" s="1">
        <f>OBRA!I434</f>
        <v>2020</v>
      </c>
      <c r="E95" s="1933" t="str">
        <f>OBRA!M434</f>
        <v>ADMINISTRACIÓN DIRECTA</v>
      </c>
      <c r="F95" s="1971" t="str">
        <f>OBRA!L434</f>
        <v>DOP/AD/007-A/2020</v>
      </c>
      <c r="G95" s="3" t="str">
        <f>OBRA!N434</f>
        <v>CONSTRUCCIÓN DE EMPEDRADO ZAMPEADO EN VIALIDAD CALLE JUAREZ DE KM 0+000.00 AL KM 0+126.10, EN LA LOCALIDAD DE LAS TROJES DEL MUNICIPIO DE JOCOTEPEC, JALISCO</v>
      </c>
      <c r="H95" s="1933" t="s">
        <v>4806</v>
      </c>
      <c r="I95" s="3" t="str">
        <f>OBRA!O434</f>
        <v>LAS TROJES</v>
      </c>
      <c r="J95" s="3" t="s">
        <v>4879</v>
      </c>
      <c r="K95" s="3" t="s">
        <v>68</v>
      </c>
      <c r="L95" s="3" t="s">
        <v>68</v>
      </c>
      <c r="M95" s="1972">
        <f>OBRA!P434</f>
        <v>283094.36</v>
      </c>
      <c r="N95" s="267">
        <f>GRAL!AE436</f>
        <v>807.4</v>
      </c>
      <c r="O95" s="267" t="str">
        <f>GRAL!AF436</f>
        <v>M2</v>
      </c>
      <c r="P95" s="2" t="s">
        <v>4987</v>
      </c>
      <c r="Q95" s="2"/>
    </row>
    <row r="96" spans="1:17" ht="30">
      <c r="A96" s="1"/>
      <c r="B96" s="1935"/>
      <c r="C96" s="1" t="str">
        <f>OBRA!BY435</f>
        <v>2018-2021</v>
      </c>
      <c r="D96" s="1">
        <f>OBRA!I435</f>
        <v>2020</v>
      </c>
      <c r="E96" s="1933" t="str">
        <f>OBRA!M435</f>
        <v>ADMINISTRACIÓN DIRECTA</v>
      </c>
      <c r="F96" s="1971" t="str">
        <f>OBRA!L435</f>
        <v>DOP/AD/008/2020</v>
      </c>
      <c r="G96" s="3" t="str">
        <f>OBRA!N435</f>
        <v>CONSTRUCCIÓN DE EMPEDRADO ZAMPEADO EN CALLES DE LA DELEGACIÓN DE HUEJOTITAN</v>
      </c>
      <c r="H96" s="1933" t="s">
        <v>4806</v>
      </c>
      <c r="I96" s="3" t="str">
        <f>OBRA!O435</f>
        <v>HUEJOTITÁN</v>
      </c>
      <c r="J96" s="3" t="s">
        <v>4835</v>
      </c>
      <c r="K96" s="3" t="s">
        <v>68</v>
      </c>
      <c r="L96" s="3" t="s">
        <v>68</v>
      </c>
      <c r="M96" s="1972">
        <f>OBRA!P435</f>
        <v>1079624.5</v>
      </c>
      <c r="N96" s="267">
        <f>GRAL!AE437</f>
        <v>807.4</v>
      </c>
      <c r="O96" s="267" t="str">
        <f>GRAL!AF437</f>
        <v>M2</v>
      </c>
      <c r="P96" s="2" t="s">
        <v>4987</v>
      </c>
      <c r="Q96" s="2"/>
    </row>
    <row r="97" spans="1:17" ht="45" customHeight="1">
      <c r="A97" s="1"/>
      <c r="B97" s="1935" t="s">
        <v>1177</v>
      </c>
      <c r="C97" s="1" t="str">
        <f>OBRA!BY436</f>
        <v>2018-2021</v>
      </c>
      <c r="D97" s="1">
        <f>OBRA!I436</f>
        <v>2020</v>
      </c>
      <c r="E97" s="1933" t="str">
        <f>OBRA!M436</f>
        <v>ADMINISTRACIÓN DIRECTA</v>
      </c>
      <c r="F97" s="1971" t="str">
        <f>OBRA!L436</f>
        <v>DOP/AD/008-A/2020</v>
      </c>
      <c r="G97" s="3" t="str">
        <f>OBRA!N436</f>
        <v>CONSTRUCCIÓN DE EMPEDRADO ZAMPEADO, EN LA LOCALIDAD DE HUEJOTITAN DEL MUNICIPIO DE JOCOTEPEC, JALISCO.</v>
      </c>
      <c r="H97" s="1933" t="s">
        <v>4806</v>
      </c>
      <c r="I97" s="3" t="str">
        <f>OBRA!O436</f>
        <v>HUEJOTITÁN</v>
      </c>
      <c r="J97" s="3" t="s">
        <v>4835</v>
      </c>
      <c r="K97" s="328" t="s">
        <v>68</v>
      </c>
      <c r="L97" s="328" t="s">
        <v>68</v>
      </c>
      <c r="M97" s="1972">
        <f>OBRA!P436</f>
        <v>327960.31</v>
      </c>
      <c r="N97" s="267">
        <f>GRAL!AE438</f>
        <v>4550</v>
      </c>
      <c r="O97" s="267" t="str">
        <f>GRAL!AF438</f>
        <v>M2</v>
      </c>
      <c r="P97" s="2" t="s">
        <v>4987</v>
      </c>
      <c r="Q97" s="2"/>
    </row>
    <row r="98" spans="1:17" ht="60">
      <c r="A98" s="1"/>
      <c r="B98" s="1935"/>
      <c r="C98" s="1" t="str">
        <f>OBRA!BY437</f>
        <v>2018-2021</v>
      </c>
      <c r="D98" s="1">
        <f>OBRA!I437</f>
        <v>2020</v>
      </c>
      <c r="E98" s="1933" t="str">
        <f>OBRA!M437</f>
        <v>ADMINISTRACIÓN DIRECTA</v>
      </c>
      <c r="F98" s="1971" t="str">
        <f>OBRA!L437</f>
        <v>DOP/AD/009/2020</v>
      </c>
      <c r="G98" s="3" t="str">
        <f>OBRA!N437</f>
        <v>CONSTRUCCIÓN DE EMPEDRADO ZAMPEADO EN VIALIDAD CALLE RAMON CORONA DEL 0+000 AL 0+101.50 ENTRE GALEANA Y FRANCISCO I MADERO,EN LA LOCALIDAD DE POTRERILLOS DEL MUNICIPIO DE JOCOTEPEC, JALISCO.</v>
      </c>
      <c r="H98" s="1933" t="s">
        <v>4806</v>
      </c>
      <c r="I98" s="3" t="str">
        <f>OBRA!O437</f>
        <v>POTRERILLOS</v>
      </c>
      <c r="J98" s="3" t="s">
        <v>4785</v>
      </c>
      <c r="K98" s="3" t="s">
        <v>4836</v>
      </c>
      <c r="L98" s="3" t="s">
        <v>3466</v>
      </c>
      <c r="M98" s="1972">
        <f>OBRA!P437</f>
        <v>193929.96</v>
      </c>
      <c r="N98" s="267">
        <f>GRAL!AE439</f>
        <v>4550</v>
      </c>
      <c r="O98" s="267" t="str">
        <f>GRAL!AF439</f>
        <v>M2</v>
      </c>
      <c r="P98" s="2" t="s">
        <v>4987</v>
      </c>
      <c r="Q98" s="2"/>
    </row>
    <row r="99" spans="1:17" ht="60">
      <c r="A99" s="1"/>
      <c r="B99" s="1935"/>
      <c r="C99" s="1" t="str">
        <f>OBRA!BY438</f>
        <v>2018-2021</v>
      </c>
      <c r="D99" s="1">
        <f>OBRA!I438</f>
        <v>2020</v>
      </c>
      <c r="E99" s="1933" t="str">
        <f>OBRA!M438</f>
        <v>ADMINISTRACIÓN DIRECTA</v>
      </c>
      <c r="F99" s="1971" t="str">
        <f>OBRA!L438</f>
        <v>DOP/AD/009/2020</v>
      </c>
      <c r="G99" s="3" t="str">
        <f>OBRA!N438</f>
        <v>CONSTRUCCIÓN DE EMPEDRADO ZAMPEADO EN VIALIDAD FRANCISCO I MADERO DEL KM 0+000 AL 0+173.50 ENTRE BENITO JUAREZ Y CERRADA, EN LA LOCALIDAD DE POTRERILLOS DEL MUNICIPIO DE JOCOTEPEC, JALISCO.</v>
      </c>
      <c r="H99" s="1933" t="s">
        <v>4806</v>
      </c>
      <c r="I99" s="3" t="str">
        <f>OBRA!O438</f>
        <v>POTRERILLOS</v>
      </c>
      <c r="J99" s="3" t="s">
        <v>3466</v>
      </c>
      <c r="K99" s="3" t="s">
        <v>4774</v>
      </c>
      <c r="L99" s="3" t="s">
        <v>4821</v>
      </c>
      <c r="M99" s="1972">
        <f>OBRA!P438</f>
        <v>331496.03999999998</v>
      </c>
      <c r="N99" s="267">
        <f>GRAL!AE440</f>
        <v>812</v>
      </c>
      <c r="O99" s="267" t="str">
        <f>GRAL!AF440</f>
        <v>M2</v>
      </c>
      <c r="P99" s="2" t="s">
        <v>4987</v>
      </c>
      <c r="Q99" s="2"/>
    </row>
    <row r="100" spans="1:17" ht="47.25" customHeight="1">
      <c r="A100" s="1"/>
      <c r="B100" s="1935" t="s">
        <v>1177</v>
      </c>
      <c r="C100" s="1" t="str">
        <f>OBRA!BY439</f>
        <v>2018-2021</v>
      </c>
      <c r="D100" s="1">
        <f>OBRA!I439</f>
        <v>2020</v>
      </c>
      <c r="E100" s="1933" t="str">
        <f>OBRA!M439</f>
        <v>ADMINISTRACIÓN DIRECTA</v>
      </c>
      <c r="F100" s="1971" t="str">
        <f>OBRA!L439</f>
        <v>DOP/AD/009-A/2020</v>
      </c>
      <c r="G100" s="3" t="str">
        <f>OBRA!N439</f>
        <v>CONSTRUCCIÓN DE EMPEDRADO ZAMPEADO, EN LA LOCALIDAD DE POTRERILLOS DEL MUNICIPIO DE JOCOTEPEC, JALISCO</v>
      </c>
      <c r="H100" s="1933" t="s">
        <v>4806</v>
      </c>
      <c r="I100" s="3" t="str">
        <f>OBRA!O439</f>
        <v>POTRERILLOS</v>
      </c>
      <c r="J100" s="3" t="s">
        <v>4956</v>
      </c>
      <c r="K100" s="328" t="s">
        <v>68</v>
      </c>
      <c r="L100" s="328" t="s">
        <v>68</v>
      </c>
      <c r="M100" s="1972">
        <f>OBRA!P439</f>
        <v>174032.11</v>
      </c>
      <c r="N100" s="267">
        <f>GRAL!AE441</f>
        <v>1388</v>
      </c>
      <c r="O100" s="267" t="str">
        <f>GRAL!AF441</f>
        <v>M2</v>
      </c>
      <c r="P100" s="2" t="s">
        <v>4987</v>
      </c>
      <c r="Q100" s="2"/>
    </row>
    <row r="101" spans="1:17" ht="54.75" customHeight="1">
      <c r="A101" s="1"/>
      <c r="B101" s="1935"/>
      <c r="C101" s="1" t="str">
        <f>OBRA!BY440</f>
        <v>2018-2021</v>
      </c>
      <c r="D101" s="1">
        <f>OBRA!I440</f>
        <v>2020</v>
      </c>
      <c r="E101" s="1933" t="str">
        <f>OBRA!M440</f>
        <v>ADMINISTRACIÓN DIRECTA</v>
      </c>
      <c r="F101" s="1971" t="str">
        <f>OBRA!L440</f>
        <v>DOP/AD/010/2020</v>
      </c>
      <c r="G101" s="3" t="str">
        <f>OBRA!N440</f>
        <v>CONSTRUCCIÓN DE EMPEDRADO ZAMPEADO EN VIALIDAD AV. DEL TRABAJO DE KM 0+000.00 AL KM 0+215.00 (ENTRE VICENTE GUERRERO Y ALLENDE) SAN CRISTOBAL</v>
      </c>
      <c r="H101" s="1933" t="s">
        <v>4806</v>
      </c>
      <c r="I101" s="3" t="str">
        <f>OBRA!O440</f>
        <v>SAN CRISTÓBAL ZAPOTITLÁN</v>
      </c>
      <c r="J101" s="3" t="s">
        <v>3459</v>
      </c>
      <c r="K101" s="3" t="s">
        <v>2564</v>
      </c>
      <c r="L101" s="3" t="s">
        <v>4696</v>
      </c>
      <c r="M101" s="1972">
        <f>OBRA!P440</f>
        <v>410787.6</v>
      </c>
      <c r="N101" s="267">
        <f>GRAL!AE442</f>
        <v>1388</v>
      </c>
      <c r="O101" s="267" t="str">
        <f>GRAL!AF442</f>
        <v>M2</v>
      </c>
      <c r="P101" s="2" t="s">
        <v>4987</v>
      </c>
      <c r="Q101" s="2"/>
    </row>
    <row r="102" spans="1:17" ht="87" customHeight="1">
      <c r="A102" s="1"/>
      <c r="B102" s="1935" t="s">
        <v>1177</v>
      </c>
      <c r="C102" s="1" t="str">
        <f>OBRA!BY441</f>
        <v>2018-2021</v>
      </c>
      <c r="D102" s="1">
        <f>OBRA!I441</f>
        <v>2020</v>
      </c>
      <c r="E102" s="1933" t="str">
        <f>OBRA!M441</f>
        <v>ADMINISTRACIÓN DIRECTA</v>
      </c>
      <c r="F102" s="1971" t="str">
        <f>OBRA!L441</f>
        <v>DOP/AD/010-A/2020</v>
      </c>
      <c r="G102" s="3" t="str">
        <f>OBRA!N441</f>
        <v>CONSTRUCCIÓN DE EMPEDRADO ZAMPEADO EN VIALIDAD AV. DEL TRABAJO DE KM 0+000.00 AL KM 0+215.00 (ENTRE VICENTE GUERRERO Y ALLENDE), EN LA LOCALIDAD DE SAN CRISTÓBAL ZAPOTITLÁN DEL MUNICIPIO DE JOCOTEPEC, JALISCO.</v>
      </c>
      <c r="H102" s="1933" t="s">
        <v>4806</v>
      </c>
      <c r="I102" s="3" t="str">
        <f>OBRA!O441</f>
        <v>SAN CRISTÓBAL ZAPOTITLÁN</v>
      </c>
      <c r="J102" s="3" t="s">
        <v>3459</v>
      </c>
      <c r="K102" s="3" t="s">
        <v>2564</v>
      </c>
      <c r="L102" s="3" t="s">
        <v>4696</v>
      </c>
      <c r="M102" s="1972">
        <f>OBRA!P441</f>
        <v>149317.53</v>
      </c>
      <c r="N102" s="267">
        <f>GRAL!AE443</f>
        <v>1720</v>
      </c>
      <c r="O102" s="267" t="str">
        <f>GRAL!AF443</f>
        <v>M2</v>
      </c>
      <c r="P102" s="2" t="s">
        <v>4987</v>
      </c>
      <c r="Q102" s="2"/>
    </row>
    <row r="103" spans="1:17" ht="45">
      <c r="A103" s="1"/>
      <c r="B103" s="1935"/>
      <c r="C103" s="1" t="str">
        <f>OBRA!BY442</f>
        <v>2018-2021</v>
      </c>
      <c r="D103" s="1">
        <f>OBRA!I442</f>
        <v>2020</v>
      </c>
      <c r="E103" s="1933" t="str">
        <f>OBRA!M442</f>
        <v>ADMINISTRACIÓN DIRECTA</v>
      </c>
      <c r="F103" s="1971" t="str">
        <f>OBRA!L442</f>
        <v>DOP/AD/011/2020</v>
      </c>
      <c r="G103" s="3" t="str">
        <f>OBRA!N442</f>
        <v>CONSTRUCCIÓN DE EMPEDRADO ZAMPEADO EN CALLES DE LA AGENCIA DE EL SAUZ</v>
      </c>
      <c r="H103" s="1933" t="s">
        <v>4806</v>
      </c>
      <c r="I103" s="3" t="str">
        <f>OBRA!O442</f>
        <v>EL SAÚZ</v>
      </c>
      <c r="J103" s="328" t="s">
        <v>4957</v>
      </c>
      <c r="K103" s="328" t="s">
        <v>68</v>
      </c>
      <c r="L103" s="328" t="s">
        <v>68</v>
      </c>
      <c r="M103" s="1972">
        <f>OBRA!P442</f>
        <v>781012.26</v>
      </c>
      <c r="N103" s="267">
        <f>GRAL!AE444</f>
        <v>1720</v>
      </c>
      <c r="O103" s="267" t="str">
        <f>GRAL!AF444</f>
        <v>M2</v>
      </c>
      <c r="P103" s="2" t="s">
        <v>4987</v>
      </c>
      <c r="Q103" s="2"/>
    </row>
    <row r="104" spans="1:17" ht="45">
      <c r="A104" s="1"/>
      <c r="B104" s="1935" t="s">
        <v>1177</v>
      </c>
      <c r="C104" s="1" t="str">
        <f>OBRA!BY443</f>
        <v>2018-2021</v>
      </c>
      <c r="D104" s="1">
        <f>OBRA!I443</f>
        <v>2020</v>
      </c>
      <c r="E104" s="1933" t="str">
        <f>OBRA!M443</f>
        <v>ADMINISTRACIÓN DIRECTA</v>
      </c>
      <c r="F104" s="1971" t="str">
        <f>OBRA!L443</f>
        <v>DOP/AD/011-A/2020</v>
      </c>
      <c r="G104" s="3" t="str">
        <f>OBRA!N443</f>
        <v>CONSTRUCCIÓN DE EMPEDRADO ZAMPEADO, EN LA AGENCIA DE EL SAUZ</v>
      </c>
      <c r="H104" s="1933" t="s">
        <v>4806</v>
      </c>
      <c r="I104" s="3" t="str">
        <f>OBRA!O443</f>
        <v>EL SAÚZ</v>
      </c>
      <c r="J104" s="328" t="s">
        <v>4957</v>
      </c>
      <c r="K104" s="328" t="s">
        <v>68</v>
      </c>
      <c r="L104" s="328" t="s">
        <v>68</v>
      </c>
      <c r="M104" s="1972">
        <f>OBRA!P443</f>
        <v>289700.96999999997</v>
      </c>
      <c r="N104" s="267">
        <f>GRAL!AE445</f>
        <v>3181.05</v>
      </c>
      <c r="O104" s="267" t="str">
        <f>GRAL!AF445</f>
        <v>M2</v>
      </c>
      <c r="P104" s="2" t="s">
        <v>4987</v>
      </c>
      <c r="Q104" s="2"/>
    </row>
    <row r="105" spans="1:17" ht="59.25" customHeight="1">
      <c r="A105" s="1"/>
      <c r="B105" s="1935"/>
      <c r="C105" s="1" t="str">
        <f>OBRA!BY444</f>
        <v>2018-2021</v>
      </c>
      <c r="D105" s="1">
        <f>OBRA!I444</f>
        <v>2020</v>
      </c>
      <c r="E105" s="1933" t="str">
        <f>OBRA!M444</f>
        <v>ADMINISTRACIÓN DIRECTA</v>
      </c>
      <c r="F105" s="1971" t="str">
        <f>OBRA!L444</f>
        <v>DOP/AD/012/2020</v>
      </c>
      <c r="G105" s="3" t="str">
        <f>OBRA!N444</f>
        <v>CONSTRUCCIÓN DE EMPEDRADO ZAMPEADO EN VIALIDAD ANDADOR PEATONAL ENTRE SAN LUCIANO Y SAN LUCIANO DE ABAJO DE KM 0+000.00 AL KM 0+746.00, SAN LUCIANO</v>
      </c>
      <c r="H105" s="1933" t="s">
        <v>4806</v>
      </c>
      <c r="I105" s="3" t="str">
        <f>OBRA!O444</f>
        <v>SAN LUCIANO</v>
      </c>
      <c r="J105" s="3" t="s">
        <v>4837</v>
      </c>
      <c r="K105" s="328" t="s">
        <v>68</v>
      </c>
      <c r="L105" s="328" t="s">
        <v>68</v>
      </c>
      <c r="M105" s="1972">
        <f>OBRA!P444</f>
        <v>448092.36</v>
      </c>
      <c r="N105" s="267">
        <f>GRAL!AE446</f>
        <v>3181.05</v>
      </c>
      <c r="O105" s="267" t="str">
        <f>GRAL!AF446</f>
        <v>M2</v>
      </c>
      <c r="P105" s="2" t="s">
        <v>4987</v>
      </c>
      <c r="Q105" s="2"/>
    </row>
    <row r="106" spans="1:17" ht="81.75" customHeight="1">
      <c r="A106" s="1"/>
      <c r="B106" s="1935" t="s">
        <v>1177</v>
      </c>
      <c r="C106" s="1" t="str">
        <f>OBRA!BY445</f>
        <v>2018-2021</v>
      </c>
      <c r="D106" s="1">
        <f>OBRA!I445</f>
        <v>2020</v>
      </c>
      <c r="E106" s="1933" t="str">
        <f>OBRA!M445</f>
        <v>ADMINISTRACIÓN DIRECTA</v>
      </c>
      <c r="F106" s="1971" t="str">
        <f>OBRA!L445</f>
        <v>DOP/AD/012-A/2020</v>
      </c>
      <c r="G106" s="3" t="str">
        <f>OBRA!N445</f>
        <v>CONSTRUCCIÓN DE EMPEDRADO ZAMPEADO EN VIALIDAD ANDADOR PEATONAL ENTRE SAN LUCIANO Y SAN LUCIANO DE ABAJO DE KM 0+000.00 AL KM 0+746.00, EN LA LOCALIDAD DE SAN LUCIANO DEL MUNICIPIO DE JOCOTEPEC, JALISCO.</v>
      </c>
      <c r="H106" s="1933" t="s">
        <v>4806</v>
      </c>
      <c r="I106" s="3" t="str">
        <f>OBRA!O445</f>
        <v>SAN LUCIANO</v>
      </c>
      <c r="J106" s="3" t="s">
        <v>4837</v>
      </c>
      <c r="K106" s="328" t="s">
        <v>68</v>
      </c>
      <c r="L106" s="328" t="s">
        <v>68</v>
      </c>
      <c r="M106" s="1972">
        <f>OBRA!P445</f>
        <v>180637.7</v>
      </c>
      <c r="N106" s="267">
        <f>GRAL!AE447</f>
        <v>1492</v>
      </c>
      <c r="O106" s="267" t="str">
        <f>GRAL!AF447</f>
        <v>M2</v>
      </c>
      <c r="P106" s="2" t="s">
        <v>4987</v>
      </c>
      <c r="Q106" s="2"/>
    </row>
    <row r="107" spans="1:17" ht="84.75" customHeight="1">
      <c r="A107" s="1"/>
      <c r="B107" s="1935"/>
      <c r="C107" s="1" t="str">
        <f>OBRA!BY446</f>
        <v>2018-2021</v>
      </c>
      <c r="D107" s="1">
        <f>OBRA!I446</f>
        <v>2020</v>
      </c>
      <c r="E107" s="1933" t="str">
        <f>OBRA!M446</f>
        <v>ADMINISTRACIÓN DIRECTA</v>
      </c>
      <c r="F107" s="1971" t="str">
        <f>OBRA!L446</f>
        <v>DOP/AD/013/2020</v>
      </c>
      <c r="G107" s="3" t="str">
        <f>OBRA!N446</f>
        <v>CONSTRUCCIÓN DE EMPEDRADO ZAMPEADO, EN CALLES PRIMAVERA, REFUGIO SALAZAR IBARRA, PROF(A) CATALINA VALENCIA Y PBRO MARCOS CASTELLANOS, DEL FRACC. "EL CARRIZAL", EN LA CABECERA MUNICIPAL DE JOCOTEPEC JALISCO.</v>
      </c>
      <c r="H107" s="1933" t="s">
        <v>4806</v>
      </c>
      <c r="I107" s="3" t="str">
        <f>OBRA!O446</f>
        <v>CABECERA MUNICIPAL</v>
      </c>
      <c r="J107" s="3" t="s">
        <v>4838</v>
      </c>
      <c r="K107" s="328" t="s">
        <v>68</v>
      </c>
      <c r="L107" s="328" t="s">
        <v>68</v>
      </c>
      <c r="M107" s="1972">
        <f>OBRA!P446</f>
        <v>846155.00000000012</v>
      </c>
      <c r="N107" s="267">
        <f>GRAL!AE448</f>
        <v>1492</v>
      </c>
      <c r="O107" s="267" t="str">
        <f>GRAL!AF448</f>
        <v>M2</v>
      </c>
      <c r="P107" s="2" t="s">
        <v>4987</v>
      </c>
      <c r="Q107" s="2"/>
    </row>
    <row r="108" spans="1:17" ht="51.75" customHeight="1">
      <c r="A108" s="1"/>
      <c r="B108" s="1935" t="s">
        <v>1177</v>
      </c>
      <c r="C108" s="1" t="str">
        <f>OBRA!BY447</f>
        <v>2018-2021</v>
      </c>
      <c r="D108" s="1">
        <f>OBRA!I447</f>
        <v>2020</v>
      </c>
      <c r="E108" s="1933" t="str">
        <f>OBRA!M447</f>
        <v>ADMINISTRACIÓN DIRECTA</v>
      </c>
      <c r="F108" s="1971" t="str">
        <f>OBRA!L447</f>
        <v>DOP/AD/013-A/2020</v>
      </c>
      <c r="G108" s="3" t="str">
        <f>OBRA!N447</f>
        <v>CONSTRUCCIÓN DE EMPEDRADO ZAMPEADO, EN FRACC. "EL CARRIZAL", EN LA CABECERA MUNICIPAL DE JOCOTEPEC JALISCO.</v>
      </c>
      <c r="H108" s="1933" t="s">
        <v>4806</v>
      </c>
      <c r="I108" s="3" t="str">
        <f>OBRA!O447</f>
        <v>CABECERA MUNICIPAL</v>
      </c>
      <c r="J108" s="3" t="s">
        <v>4838</v>
      </c>
      <c r="K108" s="328" t="s">
        <v>68</v>
      </c>
      <c r="L108" s="328" t="s">
        <v>68</v>
      </c>
      <c r="M108" s="1972">
        <f>OBRA!P447</f>
        <v>219218.46</v>
      </c>
      <c r="N108" s="267">
        <f>GRAL!AE449</f>
        <v>3500</v>
      </c>
      <c r="O108" s="267" t="str">
        <f>GRAL!AF449</f>
        <v>M2</v>
      </c>
      <c r="P108" s="2" t="s">
        <v>4987</v>
      </c>
      <c r="Q108" s="2"/>
    </row>
    <row r="109" spans="1:17" ht="60">
      <c r="A109" s="1"/>
      <c r="B109" s="1935"/>
      <c r="C109" s="1" t="str">
        <f>OBRA!BY448</f>
        <v>2018-2021</v>
      </c>
      <c r="D109" s="1">
        <f>OBRA!I448</f>
        <v>2020</v>
      </c>
      <c r="E109" s="1933" t="str">
        <f>OBRA!M448</f>
        <v>ADMINISTRACIÓN DIRECTA</v>
      </c>
      <c r="F109" s="1971" t="str">
        <f>OBRA!L448</f>
        <v>DOP/AD/014/2020</v>
      </c>
      <c r="G109" s="3" t="str">
        <f>OBRA!N448</f>
        <v>CONSTRUCCIÓN DE EMPEDRADO ZAMPEADO EN VIALIDAD CALLE HIDALGO SUR DE KM 0+000.00 AL KM 0+170.00 (DE DONATO GUERRA A EMPEDRADO EXISTENTE) CABECERA MUNICIPAL DE JOCOTEPEC, JALISCO.</v>
      </c>
      <c r="H109" s="1933" t="s">
        <v>4806</v>
      </c>
      <c r="I109" s="3" t="str">
        <f>OBRA!O448</f>
        <v>CABECERA MUNICIPAL</v>
      </c>
      <c r="J109" s="3" t="s">
        <v>2655</v>
      </c>
      <c r="K109" s="3" t="s">
        <v>4826</v>
      </c>
      <c r="L109" s="3" t="s">
        <v>4821</v>
      </c>
      <c r="M109" s="1972">
        <f>OBRA!P448</f>
        <v>367959.98</v>
      </c>
      <c r="N109" s="267">
        <f>GRAL!AE450</f>
        <v>3500</v>
      </c>
      <c r="O109" s="267" t="str">
        <f>GRAL!AF450</f>
        <v>M2</v>
      </c>
      <c r="P109" s="2" t="s">
        <v>4987</v>
      </c>
      <c r="Q109" s="2"/>
    </row>
    <row r="110" spans="1:17" ht="60">
      <c r="A110" s="1"/>
      <c r="B110" s="1935" t="s">
        <v>1177</v>
      </c>
      <c r="C110" s="1" t="str">
        <f>OBRA!BY449</f>
        <v>2018-2021</v>
      </c>
      <c r="D110" s="1">
        <f>OBRA!I449</f>
        <v>2020</v>
      </c>
      <c r="E110" s="1933" t="str">
        <f>OBRA!M449</f>
        <v>ADMINISTRACIÓN DIRECTA</v>
      </c>
      <c r="F110" s="1971" t="str">
        <f>OBRA!L449</f>
        <v>DOP/AD/014-A/2020</v>
      </c>
      <c r="G110" s="3" t="str">
        <f>OBRA!N449</f>
        <v>CONSTRUCCIÓN DE EMPEDRADO ZAMPEADO EN VIALIDAD CALLE HIDALGO SUR DE KM 0+000.00 AL KM 0+170.00 (DE DONATO GUERRA A EMPEDRADO EXISTENTE), EN LA CEBECERA MUNICIPAL DE JOCOTEPEC, JALISCO.</v>
      </c>
      <c r="H110" s="1933" t="s">
        <v>4806</v>
      </c>
      <c r="I110" s="3" t="str">
        <f>OBRA!O449</f>
        <v>CABECERA MUNICIPAL</v>
      </c>
      <c r="J110" s="3" t="s">
        <v>2655</v>
      </c>
      <c r="K110" s="3" t="s">
        <v>4826</v>
      </c>
      <c r="L110" s="3" t="s">
        <v>4821</v>
      </c>
      <c r="M110" s="1972">
        <f>OBRA!P449</f>
        <v>134912.99</v>
      </c>
      <c r="N110" s="267">
        <f>GRAL!AE451</f>
        <v>1557.64</v>
      </c>
      <c r="O110" s="267" t="str">
        <f>GRAL!AF451</f>
        <v>M2</v>
      </c>
      <c r="P110" s="2" t="s">
        <v>4987</v>
      </c>
      <c r="Q110" s="2"/>
    </row>
    <row r="111" spans="1:17" ht="60">
      <c r="A111" s="1"/>
      <c r="B111" s="1935"/>
      <c r="C111" s="1" t="str">
        <f>OBRA!BY450</f>
        <v>2018-2021</v>
      </c>
      <c r="D111" s="1">
        <f>OBRA!I450</f>
        <v>2020</v>
      </c>
      <c r="E111" s="1933" t="str">
        <f>OBRA!M450</f>
        <v>ADMINISTRACIÓN DIRECTA</v>
      </c>
      <c r="F111" s="1971" t="str">
        <f>OBRA!L450</f>
        <v>DOP/AD/015/2020</v>
      </c>
      <c r="G111" s="3" t="str">
        <f>OBRA!N450</f>
        <v>CONSTRUCCIÓN DE EMPEDRADO ZAMPEADO EN CALLES MTRA MARGARITA MIRANDA RAMOS, EDUARDO SOLIS, GILBERTO PARRA PAZ Y MA DEL ROSARIO BERNAL, DEL FRACC. "LAS PALMAS" EN LA CABECERA MUNICIPAL DE JOCOTEPEC, JALISCO.</v>
      </c>
      <c r="H111" s="1933" t="s">
        <v>4806</v>
      </c>
      <c r="I111" s="3" t="str">
        <f>OBRA!O450</f>
        <v>CABECERA MUNICIPAL</v>
      </c>
      <c r="J111" s="3" t="s">
        <v>4839</v>
      </c>
      <c r="K111" s="328" t="s">
        <v>68</v>
      </c>
      <c r="L111" s="328" t="s">
        <v>68</v>
      </c>
      <c r="M111" s="1972">
        <f>OBRA!P450</f>
        <v>856034.87000000011</v>
      </c>
      <c r="N111" s="267">
        <f>GRAL!AE452</f>
        <v>1557.64</v>
      </c>
      <c r="O111" s="267" t="str">
        <f>GRAL!AF452</f>
        <v>M2</v>
      </c>
      <c r="P111" s="2" t="s">
        <v>4987</v>
      </c>
      <c r="Q111" s="2"/>
    </row>
    <row r="112" spans="1:17" ht="60">
      <c r="A112" s="1"/>
      <c r="B112" s="1935"/>
      <c r="C112" s="1" t="str">
        <f>OBRA!BY451</f>
        <v>2018-2021</v>
      </c>
      <c r="D112" s="1">
        <f>OBRA!I451</f>
        <v>2020</v>
      </c>
      <c r="E112" s="1933" t="str">
        <f>OBRA!M451</f>
        <v>ADMINISTRACIÓN DIRECTA</v>
      </c>
      <c r="F112" s="1971" t="str">
        <f>OBRA!L451</f>
        <v>DOP/AD/015/2020</v>
      </c>
      <c r="G112" s="3" t="str">
        <f>OBRA!N451</f>
        <v>CONSTRUCCIÓN DE EMPEDRADO ZAMPEADO EN VIALIDAD CALLE CHAPULTEPEC DE KM 0+000 AL KM 0+395.65 (ENTRE 1RO DE MAYO Y CHURUBUSCO), EN LA CABECERA MUNICIPAL DE JOCOTEPEC, JALISCO.</v>
      </c>
      <c r="H112" s="1933" t="s">
        <v>4806</v>
      </c>
      <c r="I112" s="3" t="str">
        <f>OBRA!O451</f>
        <v>CABECERA MUNICIPAL</v>
      </c>
      <c r="J112" s="3" t="s">
        <v>3183</v>
      </c>
      <c r="K112" s="3" t="s">
        <v>4840</v>
      </c>
      <c r="L112" s="3" t="s">
        <v>2547</v>
      </c>
      <c r="M112" s="1972">
        <f>OBRA!P451</f>
        <v>196467.44</v>
      </c>
      <c r="N112" s="267">
        <f>GRAL!AE453</f>
        <v>3576.5</v>
      </c>
      <c r="O112" s="267" t="str">
        <f>GRAL!AF453</f>
        <v>M2</v>
      </c>
      <c r="P112" s="2" t="s">
        <v>4987</v>
      </c>
      <c r="Q112" s="2"/>
    </row>
    <row r="113" spans="1:17" ht="50.25" customHeight="1">
      <c r="A113" s="1"/>
      <c r="B113" s="1935" t="s">
        <v>1177</v>
      </c>
      <c r="C113" s="1" t="str">
        <f>OBRA!BY452</f>
        <v>2018-2021</v>
      </c>
      <c r="D113" s="1">
        <f>OBRA!I452</f>
        <v>2020</v>
      </c>
      <c r="E113" s="1933" t="str">
        <f>OBRA!M452</f>
        <v>ADMINISTRACIÓN DIRECTA</v>
      </c>
      <c r="F113" s="1971" t="str">
        <f>OBRA!L452</f>
        <v>DOP/AD/015-A/2020</v>
      </c>
      <c r="G113" s="3" t="str">
        <f>OBRA!N452</f>
        <v>CONSTRUCCIÓN DE EMPEDRADO ZAMPEADO EN FRACC. "LAS PALMAS", EN LA CABECERA MUNICIPAL DE JOCOTEPEC, JALISCO.</v>
      </c>
      <c r="H113" s="1933" t="s">
        <v>4806</v>
      </c>
      <c r="I113" s="3" t="str">
        <f>OBRA!O452</f>
        <v>CABECERA MUNICIPAL</v>
      </c>
      <c r="J113" s="3" t="s">
        <v>4958</v>
      </c>
      <c r="K113" s="3" t="s">
        <v>68</v>
      </c>
      <c r="L113" s="3" t="s">
        <v>68</v>
      </c>
      <c r="M113" s="1972">
        <f>OBRA!P452</f>
        <v>230070.08</v>
      </c>
      <c r="N113" s="267">
        <f>GRAL!AE454</f>
        <v>740.62</v>
      </c>
      <c r="O113" s="267" t="str">
        <f>GRAL!AF454</f>
        <v>M2</v>
      </c>
      <c r="P113" s="2" t="s">
        <v>4987</v>
      </c>
      <c r="Q113" s="2"/>
    </row>
    <row r="114" spans="1:17" ht="60" customHeight="1">
      <c r="A114" s="1"/>
      <c r="B114" s="1935"/>
      <c r="C114" s="1" t="str">
        <f>OBRA!BY453</f>
        <v>2018-2021</v>
      </c>
      <c r="D114" s="1">
        <f>OBRA!I453</f>
        <v>2020</v>
      </c>
      <c r="E114" s="1933" t="str">
        <f>OBRA!M453</f>
        <v>ADMINISTRACIÓN DIRECTA</v>
      </c>
      <c r="F114" s="1971" t="str">
        <f>OBRA!L453</f>
        <v>DOP/AD/016/2020</v>
      </c>
      <c r="G114" s="3" t="str">
        <f>OBRA!N453</f>
        <v>CONSTRUCCIÓN DE EMPEDRADO ZAMPEADO EN C. INVIERNO, C. LAZARO CARDENAS, C. GONZALEZ ORTEGA Y CHAPULTEPEC EN CABECERA MUNICIPAL DE JOCOTEPEC, JALISCO.</v>
      </c>
      <c r="H114" s="1933" t="s">
        <v>4806</v>
      </c>
      <c r="I114" s="3" t="str">
        <f>OBRA!O453</f>
        <v>CABECERA MUNICIPAL</v>
      </c>
      <c r="J114" s="3" t="s">
        <v>4841</v>
      </c>
      <c r="K114" s="3" t="s">
        <v>68</v>
      </c>
      <c r="L114" s="3" t="s">
        <v>68</v>
      </c>
      <c r="M114" s="1972">
        <f>OBRA!P453</f>
        <v>1291558.55</v>
      </c>
      <c r="N114" s="267">
        <f>GRAL!AE455</f>
        <v>740.62</v>
      </c>
      <c r="O114" s="267" t="str">
        <f>GRAL!AF455</f>
        <v>M2</v>
      </c>
      <c r="P114" s="2" t="s">
        <v>4987</v>
      </c>
      <c r="Q114" s="2"/>
    </row>
    <row r="115" spans="1:17" ht="64.5" customHeight="1">
      <c r="A115" s="1"/>
      <c r="B115" s="1935" t="s">
        <v>1177</v>
      </c>
      <c r="C115" s="1" t="str">
        <f>OBRA!BY454</f>
        <v>2018-2021</v>
      </c>
      <c r="D115" s="1">
        <f>OBRA!I454</f>
        <v>2020</v>
      </c>
      <c r="E115" s="1933" t="str">
        <f>OBRA!M454</f>
        <v>ADMINISTRACIÓN DIRECTA</v>
      </c>
      <c r="F115" s="1971" t="str">
        <f>OBRA!L454</f>
        <v>DOP/AD/016-A/2020</v>
      </c>
      <c r="G115" s="3" t="str">
        <f>OBRA!N454</f>
        <v>CONSTRUCCIÓN DE EMPEDRADO ZAMPEADO EN C. INVIERNO, C. LAZARO CARDENAS, C. GONZALEZ ORTEGA Y CHAPULTEPEC EN CABECERA MUNICIPAL DE JOCOTEPEC, JALISCO.</v>
      </c>
      <c r="H115" s="1933" t="s">
        <v>4806</v>
      </c>
      <c r="I115" s="3" t="str">
        <f>OBRA!O454</f>
        <v>CABECERA MUNICIPAL</v>
      </c>
      <c r="J115" s="3" t="s">
        <v>4841</v>
      </c>
      <c r="K115" s="3" t="s">
        <v>68</v>
      </c>
      <c r="L115" s="3" t="s">
        <v>68</v>
      </c>
      <c r="M115" s="1972">
        <f>OBRA!P454</f>
        <v>542961</v>
      </c>
      <c r="N115" s="267">
        <f>GRAL!AE456</f>
        <v>5527.87</v>
      </c>
      <c r="O115" s="267" t="str">
        <f>GRAL!AF456</f>
        <v>M2</v>
      </c>
      <c r="P115" s="2" t="s">
        <v>4987</v>
      </c>
      <c r="Q115" s="2"/>
    </row>
    <row r="116" spans="1:17" ht="60" hidden="1">
      <c r="A116" s="1"/>
      <c r="B116" s="1"/>
      <c r="C116" s="1" t="str">
        <f>OBRA!BY455</f>
        <v>2018-2021</v>
      </c>
      <c r="D116" s="1">
        <f>OBRA!I455</f>
        <v>2020</v>
      </c>
      <c r="E116" s="1933" t="str">
        <f>OBRA!M455</f>
        <v>SERVICIOS</v>
      </c>
      <c r="F116" s="1933"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937">
        <f>OBRA!AQ455+OBRA!AR455</f>
        <v>0</v>
      </c>
      <c r="N116" s="1">
        <f>GRAL!AE457</f>
        <v>5527.87</v>
      </c>
      <c r="O116" s="1" t="str">
        <f>GRAL!AF457</f>
        <v>M2</v>
      </c>
      <c r="P116" s="1"/>
      <c r="Q116" s="1"/>
    </row>
    <row r="117" spans="1:17" ht="165" hidden="1">
      <c r="A117" s="1"/>
      <c r="B117" s="1"/>
      <c r="C117" s="1" t="str">
        <f>OBRA!BY456</f>
        <v>2018-2021</v>
      </c>
      <c r="D117" s="1">
        <f>OBRA!I456</f>
        <v>2020</v>
      </c>
      <c r="E117" s="1933" t="str">
        <f>OBRA!M456</f>
        <v>SERVICIOS</v>
      </c>
      <c r="F117" s="1933"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937">
        <f>OBRA!AQ456+OBRA!AR456</f>
        <v>0</v>
      </c>
      <c r="N117" s="1">
        <f>GRAL!AE458</f>
        <v>1</v>
      </c>
      <c r="O117" s="1" t="str">
        <f>GRAL!AF458</f>
        <v>POZO</v>
      </c>
      <c r="P117" s="1"/>
      <c r="Q117" s="1"/>
    </row>
    <row r="118" spans="1:17" ht="22.5" hidden="1">
      <c r="A118" s="1"/>
      <c r="B118" s="1"/>
      <c r="C118" s="1" t="str">
        <f>OBRA!BY457</f>
        <v>2018-2021</v>
      </c>
      <c r="D118" s="1">
        <f>OBRA!I457</f>
        <v>2020</v>
      </c>
      <c r="E118" s="1933" t="str">
        <f>OBRA!M457</f>
        <v>CANCELADA</v>
      </c>
      <c r="F118" s="1933" t="str">
        <f>OBRA!L457</f>
        <v>C.P.S.P. DOP 003/2020</v>
      </c>
      <c r="G118" s="3" t="str">
        <f>OBRA!N457</f>
        <v>CONTRATO CANCELADO</v>
      </c>
      <c r="H118" s="1"/>
      <c r="I118" s="3">
        <f>OBRA!O457</f>
        <v>0</v>
      </c>
      <c r="J118" s="3"/>
      <c r="K118" s="3"/>
      <c r="L118" s="3"/>
      <c r="M118" s="1937">
        <f>OBRA!AQ457+OBRA!AR457</f>
        <v>0</v>
      </c>
      <c r="N118" s="1">
        <f>GRAL!AE459</f>
        <v>240</v>
      </c>
      <c r="O118" s="1" t="str">
        <f>GRAL!AF459</f>
        <v>ML</v>
      </c>
      <c r="P118" s="1"/>
      <c r="Q118" s="1"/>
    </row>
    <row r="119" spans="1:17" ht="75" hidden="1">
      <c r="A119" s="1"/>
      <c r="B119" s="1"/>
      <c r="C119" s="1" t="str">
        <f>OBRA!BY458</f>
        <v>2018-2021</v>
      </c>
      <c r="D119" s="1">
        <f>OBRA!I458</f>
        <v>2020</v>
      </c>
      <c r="E119" s="1933" t="str">
        <f>OBRA!M458</f>
        <v>SERVICIOS</v>
      </c>
      <c r="F119" s="1933"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937">
        <f>OBRA!AQ458+OBRA!AR458</f>
        <v>0</v>
      </c>
      <c r="N119" s="1">
        <f>GRAL!AE460</f>
        <v>1</v>
      </c>
      <c r="O119" s="1" t="str">
        <f>GRAL!AF460</f>
        <v>LOTE</v>
      </c>
      <c r="P119" s="1"/>
      <c r="Q119" s="1"/>
    </row>
    <row r="120" spans="1:17" ht="75" hidden="1">
      <c r="A120" s="1"/>
      <c r="B120" s="1"/>
      <c r="C120" s="1" t="str">
        <f>OBRA!BY459</f>
        <v>2018-2021</v>
      </c>
      <c r="D120" s="1">
        <f>OBRA!I459</f>
        <v>2020</v>
      </c>
      <c r="E120" s="1933" t="str">
        <f>OBRA!M459</f>
        <v>SERVICIOS</v>
      </c>
      <c r="F120" s="1933"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937">
        <f>OBRA!AQ459+OBRA!AR459</f>
        <v>0</v>
      </c>
      <c r="N120" s="1">
        <f>GRAL!AE461</f>
        <v>1</v>
      </c>
      <c r="O120" s="1" t="str">
        <f>GRAL!AF461</f>
        <v>LOTE</v>
      </c>
      <c r="P120" s="1"/>
      <c r="Q120" s="1"/>
    </row>
    <row r="121" spans="1:17" ht="60" hidden="1">
      <c r="A121" s="1"/>
      <c r="B121" s="1"/>
      <c r="C121" s="1" t="str">
        <f>OBRA!BY460</f>
        <v>2018-2021</v>
      </c>
      <c r="D121" s="1">
        <f>OBRA!I460</f>
        <v>2020</v>
      </c>
      <c r="E121" s="1933" t="str">
        <f>OBRA!M460</f>
        <v>SERVICIOS</v>
      </c>
      <c r="F121" s="1933"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937">
        <f>OBRA!AQ460+OBRA!AR460</f>
        <v>0</v>
      </c>
      <c r="N121" s="1">
        <f>GRAL!AE462</f>
        <v>1</v>
      </c>
      <c r="O121" s="1" t="str">
        <f>GRAL!AF462</f>
        <v>LOTE</v>
      </c>
      <c r="P121" s="1"/>
      <c r="Q121" s="1"/>
    </row>
    <row r="122" spans="1:17" ht="60" hidden="1">
      <c r="A122" s="1"/>
      <c r="B122" s="1"/>
      <c r="C122" s="1" t="str">
        <f>OBRA!BY461</f>
        <v>2018-2021</v>
      </c>
      <c r="D122" s="1">
        <f>OBRA!I461</f>
        <v>2020</v>
      </c>
      <c r="E122" s="1933" t="str">
        <f>OBRA!M461</f>
        <v>SERVICIOS</v>
      </c>
      <c r="F122" s="1933"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937">
        <f>OBRA!AQ461+OBRA!AR461</f>
        <v>0</v>
      </c>
      <c r="N122" s="1">
        <f>GRAL!AE463</f>
        <v>1</v>
      </c>
      <c r="O122" s="1" t="str">
        <f>GRAL!AF463</f>
        <v>LOTE</v>
      </c>
      <c r="P122" s="1"/>
      <c r="Q122" s="1"/>
    </row>
    <row r="123" spans="1:17" ht="60" hidden="1">
      <c r="A123" s="1"/>
      <c r="B123" s="1"/>
      <c r="C123" s="1" t="str">
        <f>OBRA!BY462</f>
        <v>2018-2021</v>
      </c>
      <c r="D123" s="1">
        <f>OBRA!I462</f>
        <v>2020</v>
      </c>
      <c r="E123" s="1933" t="str">
        <f>OBRA!M462</f>
        <v>SERVICIOS</v>
      </c>
      <c r="F123" s="1933"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937">
        <f>OBRA!AQ462+OBRA!AR462</f>
        <v>0</v>
      </c>
      <c r="N123" s="1">
        <f>GRAL!AE464</f>
        <v>1</v>
      </c>
      <c r="O123" s="1" t="str">
        <f>GRAL!AF464</f>
        <v>LOTE</v>
      </c>
      <c r="P123" s="1"/>
      <c r="Q123" s="1"/>
    </row>
    <row r="124" spans="1:17" ht="60" hidden="1">
      <c r="A124" s="1"/>
      <c r="B124" s="1"/>
      <c r="C124" s="1" t="str">
        <f>OBRA!BY463</f>
        <v>2018-2021</v>
      </c>
      <c r="D124" s="1">
        <f>OBRA!I463</f>
        <v>2020</v>
      </c>
      <c r="E124" s="1933" t="str">
        <f>OBRA!M463</f>
        <v>SERVICIOS</v>
      </c>
      <c r="F124" s="1933"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937">
        <f>OBRA!AQ463+OBRA!AR463</f>
        <v>0</v>
      </c>
      <c r="N124" s="1">
        <f>GRAL!AE465</f>
        <v>1</v>
      </c>
      <c r="O124" s="1" t="str">
        <f>GRAL!AF465</f>
        <v>POZO</v>
      </c>
      <c r="P124" s="1"/>
      <c r="Q124" s="1"/>
    </row>
    <row r="125" spans="1:17" ht="75" hidden="1">
      <c r="A125" s="1"/>
      <c r="B125" s="1"/>
      <c r="C125" s="1" t="str">
        <f>OBRA!BY464</f>
        <v>2018-2021</v>
      </c>
      <c r="D125" s="1">
        <f>OBRA!I464</f>
        <v>2020</v>
      </c>
      <c r="E125" s="1933" t="str">
        <f>OBRA!M464</f>
        <v>SERVICIOS</v>
      </c>
      <c r="F125" s="1933"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937">
        <f>OBRA!AQ464+OBRA!AR464</f>
        <v>0</v>
      </c>
      <c r="N125" s="1">
        <f>GRAL!AE466</f>
        <v>1</v>
      </c>
      <c r="O125" s="1" t="str">
        <f>GRAL!AF466</f>
        <v>LOTE</v>
      </c>
      <c r="P125" s="1"/>
      <c r="Q125" s="1"/>
    </row>
    <row r="126" spans="1:17" ht="45" hidden="1">
      <c r="A126" s="1"/>
      <c r="B126" s="1"/>
      <c r="C126" s="1" t="str">
        <f>OBRA!BY465</f>
        <v>2018-2021</v>
      </c>
      <c r="D126" s="1">
        <f>OBRA!I465</f>
        <v>2020</v>
      </c>
      <c r="E126" s="1933" t="str">
        <f>OBRA!M465</f>
        <v>SERVICIOS</v>
      </c>
      <c r="F126" s="1933"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937">
        <f>OBRA!AQ465+OBRA!AR465</f>
        <v>0</v>
      </c>
      <c r="N126" s="1">
        <f>GRAL!AE467</f>
        <v>1</v>
      </c>
      <c r="O126" s="1" t="str">
        <f>GRAL!AF467</f>
        <v>LOTE</v>
      </c>
      <c r="P126" s="1"/>
      <c r="Q126" s="1"/>
    </row>
    <row r="127" spans="1:17" ht="135" hidden="1">
      <c r="A127" s="1"/>
      <c r="B127" s="1"/>
      <c r="C127" s="1" t="str">
        <f>OBRA!BY466</f>
        <v>2018-2021</v>
      </c>
      <c r="D127" s="1">
        <f>OBRA!I466</f>
        <v>2020</v>
      </c>
      <c r="E127" s="1933" t="str">
        <f>OBRA!M466</f>
        <v>SERVICIOS</v>
      </c>
      <c r="F127" s="1933"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937">
        <f>OBRA!AQ466+OBRA!AR466</f>
        <v>0</v>
      </c>
      <c r="N127" s="1">
        <f>GRAL!AE468</f>
        <v>1</v>
      </c>
      <c r="O127" s="1" t="str">
        <f>GRAL!AF468</f>
        <v>LOTE</v>
      </c>
      <c r="P127" s="1"/>
      <c r="Q127" s="1"/>
    </row>
    <row r="128" spans="1:17" ht="90" hidden="1">
      <c r="A128" s="1"/>
      <c r="B128" s="1"/>
      <c r="C128" s="1" t="str">
        <f>OBRA!BY467</f>
        <v>2018-2021</v>
      </c>
      <c r="D128" s="1">
        <f>OBRA!I467</f>
        <v>2020</v>
      </c>
      <c r="E128" s="1933" t="str">
        <f>OBRA!M467</f>
        <v>SERVICIOS</v>
      </c>
      <c r="F128" s="1933"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937">
        <f>OBRA!AQ467+OBRA!AR467</f>
        <v>0</v>
      </c>
      <c r="N128" s="1">
        <f>GRAL!AE469</f>
        <v>1</v>
      </c>
      <c r="O128" s="1" t="str">
        <f>GRAL!AF469</f>
        <v>LOTE</v>
      </c>
      <c r="P128" s="1"/>
      <c r="Q128" s="1"/>
    </row>
    <row r="129" spans="1:17" ht="90" hidden="1">
      <c r="A129" s="1"/>
      <c r="B129" s="1"/>
      <c r="C129" s="1" t="str">
        <f>OBRA!BY468</f>
        <v>2018-2021</v>
      </c>
      <c r="D129" s="1">
        <f>OBRA!I468</f>
        <v>2020</v>
      </c>
      <c r="E129" s="1933" t="str">
        <f>OBRA!M468</f>
        <v>SERVICIOS</v>
      </c>
      <c r="F129" s="1933"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937">
        <f>OBRA!AQ468+OBRA!AR468</f>
        <v>0</v>
      </c>
      <c r="N129" s="1">
        <f>GRAL!AE470</f>
        <v>1</v>
      </c>
      <c r="O129" s="1" t="str">
        <f>GRAL!AF470</f>
        <v>LOTE</v>
      </c>
      <c r="P129" s="1"/>
      <c r="Q129" s="1"/>
    </row>
    <row r="130" spans="1:17" ht="105" hidden="1">
      <c r="A130" s="1"/>
      <c r="B130" s="1"/>
      <c r="C130" s="1" t="str">
        <f>OBRA!BY469</f>
        <v>2018-2021</v>
      </c>
      <c r="D130" s="1">
        <f>OBRA!I469</f>
        <v>2020</v>
      </c>
      <c r="E130" s="1933" t="str">
        <f>OBRA!M469</f>
        <v>SERVICIOS</v>
      </c>
      <c r="F130" s="1933"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937">
        <f>OBRA!AQ469+OBRA!AR469</f>
        <v>0</v>
      </c>
      <c r="N130" s="1">
        <f>GRAL!AE471</f>
        <v>1</v>
      </c>
      <c r="O130" s="1" t="str">
        <f>GRAL!AF471</f>
        <v>LOTE</v>
      </c>
      <c r="P130" s="1"/>
      <c r="Q130" s="1"/>
    </row>
    <row r="131" spans="1:17" ht="90" hidden="1">
      <c r="A131" s="1"/>
      <c r="B131" s="1"/>
      <c r="C131" s="1" t="str">
        <f>OBRA!BY470</f>
        <v>2018-2021</v>
      </c>
      <c r="D131" s="1">
        <f>OBRA!I470</f>
        <v>2020</v>
      </c>
      <c r="E131" s="1933" t="str">
        <f>OBRA!M470</f>
        <v>SERVICIOS</v>
      </c>
      <c r="F131" s="1933"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937">
        <f>OBRA!AQ470+OBRA!AR470</f>
        <v>0</v>
      </c>
      <c r="N131" s="1">
        <f>GRAL!AE472</f>
        <v>1</v>
      </c>
      <c r="O131" s="1" t="str">
        <f>GRAL!AF472</f>
        <v>LOTE</v>
      </c>
      <c r="P131" s="1"/>
      <c r="Q131" s="1"/>
    </row>
    <row r="132" spans="1:17" ht="45" hidden="1">
      <c r="A132" s="1"/>
      <c r="B132" s="1"/>
      <c r="C132" s="1" t="str">
        <f>OBRA!BY471</f>
        <v>2018-2021</v>
      </c>
      <c r="D132" s="1">
        <f>OBRA!I471</f>
        <v>2020</v>
      </c>
      <c r="E132" s="1933" t="str">
        <f>OBRA!M471</f>
        <v>SERVICIOS</v>
      </c>
      <c r="F132" s="1933"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937">
        <f>OBRA!AQ471+OBRA!AR471</f>
        <v>0</v>
      </c>
      <c r="N132" s="1">
        <f>GRAL!AE473</f>
        <v>1</v>
      </c>
      <c r="O132" s="1" t="str">
        <f>GRAL!AF473</f>
        <v>LOTE</v>
      </c>
      <c r="P132" s="1"/>
      <c r="Q132" s="1"/>
    </row>
    <row r="133" spans="1:17" ht="45" hidden="1">
      <c r="A133" s="1"/>
      <c r="B133" s="1"/>
      <c r="C133" s="1" t="str">
        <f>OBRA!BY472</f>
        <v>2018-2021</v>
      </c>
      <c r="D133" s="1">
        <f>OBRA!I472</f>
        <v>2020</v>
      </c>
      <c r="E133" s="1933" t="str">
        <f>OBRA!M472</f>
        <v>SERVICIOS</v>
      </c>
      <c r="F133" s="1933"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937">
        <f>OBRA!AQ472+OBRA!AR472</f>
        <v>0</v>
      </c>
      <c r="N133" s="1">
        <f>GRAL!AE474</f>
        <v>1</v>
      </c>
      <c r="O133" s="1" t="str">
        <f>GRAL!AF474</f>
        <v>LOTE</v>
      </c>
      <c r="P133" s="1"/>
      <c r="Q133" s="1"/>
    </row>
    <row r="134" spans="1:17" ht="60" hidden="1">
      <c r="A134" s="1"/>
      <c r="B134" s="1"/>
      <c r="C134" s="1" t="str">
        <f>OBRA!BY473</f>
        <v>2018-2021</v>
      </c>
      <c r="D134" s="1">
        <f>OBRA!I473</f>
        <v>2020</v>
      </c>
      <c r="E134" s="1933" t="str">
        <f>OBRA!M473</f>
        <v>SERVICIOS</v>
      </c>
      <c r="F134" s="1933"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937">
        <f>OBRA!AQ473+OBRA!AR473</f>
        <v>0</v>
      </c>
      <c r="N134" s="1">
        <f>GRAL!AE475</f>
        <v>1</v>
      </c>
      <c r="O134" s="1" t="str">
        <f>GRAL!AF475</f>
        <v>LOTE</v>
      </c>
      <c r="P134" s="1"/>
      <c r="Q134" s="1"/>
    </row>
    <row r="135" spans="1:17" ht="60" hidden="1">
      <c r="A135" s="1"/>
      <c r="B135" s="1"/>
      <c r="C135" s="1" t="str">
        <f>OBRA!BY474</f>
        <v>2018-2021</v>
      </c>
      <c r="D135" s="1">
        <f>OBRA!I474</f>
        <v>2020</v>
      </c>
      <c r="E135" s="1933" t="str">
        <f>OBRA!M474</f>
        <v>SERVICIOS</v>
      </c>
      <c r="F135" s="1933"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937">
        <f>OBRA!AQ474+OBRA!AR474</f>
        <v>0</v>
      </c>
      <c r="N135" s="1">
        <f>GRAL!AE476</f>
        <v>1</v>
      </c>
      <c r="O135" s="1" t="str">
        <f>GRAL!AF476</f>
        <v>LOTE</v>
      </c>
      <c r="P135" s="1"/>
      <c r="Q135" s="1"/>
    </row>
    <row r="136" spans="1:17" ht="45" hidden="1">
      <c r="A136" s="1"/>
      <c r="B136" s="1"/>
      <c r="C136" s="1" t="str">
        <f>OBRA!BY475</f>
        <v>2018-2021</v>
      </c>
      <c r="D136" s="1">
        <f>OBRA!I475</f>
        <v>2020</v>
      </c>
      <c r="E136" s="1933" t="str">
        <f>OBRA!M475</f>
        <v>SERVICIOS</v>
      </c>
      <c r="F136" s="1933"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937">
        <f>OBRA!AQ475+OBRA!AR475</f>
        <v>0</v>
      </c>
      <c r="N136" s="1">
        <f>GRAL!AE477</f>
        <v>1</v>
      </c>
      <c r="O136" s="1" t="str">
        <f>GRAL!AF477</f>
        <v>LOTE</v>
      </c>
      <c r="P136" s="1"/>
      <c r="Q136" s="1"/>
    </row>
    <row r="137" spans="1:17" ht="60" hidden="1">
      <c r="A137" s="1"/>
      <c r="B137" s="1"/>
      <c r="C137" s="1" t="str">
        <f>OBRA!BY476</f>
        <v>2018-2021</v>
      </c>
      <c r="D137" s="1">
        <f>OBRA!I476</f>
        <v>2020</v>
      </c>
      <c r="E137" s="1933" t="str">
        <f>OBRA!M476</f>
        <v>SERVICIOS</v>
      </c>
      <c r="F137" s="1933"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937">
        <f>OBRA!AQ476+OBRA!AR476</f>
        <v>0</v>
      </c>
      <c r="N137" s="1">
        <f>GRAL!AE478</f>
        <v>1</v>
      </c>
      <c r="O137" s="1" t="str">
        <f>GRAL!AF478</f>
        <v>LOTE</v>
      </c>
      <c r="P137" s="1"/>
      <c r="Q137" s="1"/>
    </row>
    <row r="138" spans="1:17" ht="60" hidden="1">
      <c r="A138" s="1"/>
      <c r="B138" s="1"/>
      <c r="C138" s="1" t="str">
        <f>OBRA!BY477</f>
        <v>2018-2021</v>
      </c>
      <c r="D138" s="1">
        <f>OBRA!I477</f>
        <v>2020</v>
      </c>
      <c r="E138" s="1933" t="str">
        <f>OBRA!M477</f>
        <v>SERVICIOS</v>
      </c>
      <c r="F138" s="1933"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937">
        <f>OBRA!AQ477+OBRA!AR477</f>
        <v>0</v>
      </c>
      <c r="N138" s="1">
        <f>GRAL!AE479</f>
        <v>1</v>
      </c>
      <c r="O138" s="1" t="str">
        <f>GRAL!AF479</f>
        <v>LOTE</v>
      </c>
      <c r="P138" s="1"/>
      <c r="Q138" s="1"/>
    </row>
    <row r="139" spans="1:17" ht="60" hidden="1">
      <c r="A139" s="1"/>
      <c r="B139" s="1"/>
      <c r="C139" s="1" t="str">
        <f>OBRA!BY478</f>
        <v>2018-2021</v>
      </c>
      <c r="D139" s="1">
        <f>OBRA!I478</f>
        <v>2020</v>
      </c>
      <c r="E139" s="1933" t="str">
        <f>OBRA!M478</f>
        <v>SERVICIOS</v>
      </c>
      <c r="F139" s="1933"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937">
        <f>OBRA!AQ478+OBRA!AR478</f>
        <v>0</v>
      </c>
      <c r="N139" s="1">
        <f>GRAL!AE480</f>
        <v>1</v>
      </c>
      <c r="O139" s="1" t="str">
        <f>GRAL!AF480</f>
        <v>LOTE</v>
      </c>
      <c r="P139" s="1"/>
      <c r="Q139" s="1"/>
    </row>
    <row r="140" spans="1:17" ht="60" hidden="1">
      <c r="A140" s="1"/>
      <c r="B140" s="1"/>
      <c r="C140" s="1" t="str">
        <f>OBRA!BY479</f>
        <v>2018-2021</v>
      </c>
      <c r="D140" s="1">
        <f>OBRA!I479</f>
        <v>2020</v>
      </c>
      <c r="E140" s="1933" t="str">
        <f>OBRA!M479</f>
        <v>SERVICIOS</v>
      </c>
      <c r="F140" s="1933"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937">
        <f>OBRA!AQ479+OBRA!AR479</f>
        <v>0</v>
      </c>
      <c r="N140" s="1">
        <f>GRAL!AE481</f>
        <v>1</v>
      </c>
      <c r="O140" s="1" t="str">
        <f>GRAL!AF481</f>
        <v>LOTE</v>
      </c>
      <c r="P140" s="1"/>
      <c r="Q140" s="1"/>
    </row>
    <row r="141" spans="1:17" ht="60" hidden="1">
      <c r="A141" s="1"/>
      <c r="B141" s="1"/>
      <c r="C141" s="1" t="str">
        <f>OBRA!BY480</f>
        <v>2018-2021</v>
      </c>
      <c r="D141" s="1">
        <f>OBRA!I480</f>
        <v>2020</v>
      </c>
      <c r="E141" s="1933" t="str">
        <f>OBRA!M480</f>
        <v>SERVICIOS</v>
      </c>
      <c r="F141" s="1933"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937">
        <f>OBRA!AQ480+OBRA!AR480</f>
        <v>0</v>
      </c>
      <c r="N141" s="1">
        <f>GRAL!AE482</f>
        <v>1</v>
      </c>
      <c r="O141" s="1" t="str">
        <f>GRAL!AF482</f>
        <v>LOTE</v>
      </c>
      <c r="P141" s="1"/>
      <c r="Q141" s="1"/>
    </row>
    <row r="142" spans="1:17" ht="60" hidden="1">
      <c r="A142" s="1"/>
      <c r="B142" s="1"/>
      <c r="C142" s="1" t="str">
        <f>OBRA!BY481</f>
        <v>2018-2021</v>
      </c>
      <c r="D142" s="1">
        <f>OBRA!I481</f>
        <v>2020</v>
      </c>
      <c r="E142" s="1933" t="str">
        <f>OBRA!M481</f>
        <v>SERVICIOS</v>
      </c>
      <c r="F142" s="1933"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937">
        <f>OBRA!AQ481+OBRA!AR481</f>
        <v>0</v>
      </c>
      <c r="N142" s="1">
        <f>GRAL!AE483</f>
        <v>1</v>
      </c>
      <c r="O142" s="1" t="str">
        <f>GRAL!AF483</f>
        <v>LOTE</v>
      </c>
      <c r="P142" s="1"/>
      <c r="Q142" s="1"/>
    </row>
    <row r="143" spans="1:17" ht="60" hidden="1">
      <c r="A143" s="1"/>
      <c r="B143" s="1"/>
      <c r="C143" s="1" t="str">
        <f>OBRA!BY482</f>
        <v>2018-2021</v>
      </c>
      <c r="D143" s="1">
        <f>OBRA!I482</f>
        <v>2020</v>
      </c>
      <c r="E143" s="1933" t="str">
        <f>OBRA!M482</f>
        <v>SERVICIOS</v>
      </c>
      <c r="F143" s="1933"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937">
        <f>OBRA!AQ482+OBRA!AR482</f>
        <v>0</v>
      </c>
      <c r="N143" s="1">
        <f>GRAL!AE484</f>
        <v>1</v>
      </c>
      <c r="O143" s="1" t="str">
        <f>GRAL!AF484</f>
        <v>LOTE</v>
      </c>
      <c r="P143" s="1"/>
      <c r="Q143" s="1"/>
    </row>
    <row r="144" spans="1:17" ht="22.5" hidden="1">
      <c r="A144" s="1"/>
      <c r="B144" s="1"/>
      <c r="C144" s="1" t="str">
        <f>OBRA!BY483</f>
        <v>2018-2021</v>
      </c>
      <c r="D144" s="1">
        <f>OBRA!I483</f>
        <v>2020</v>
      </c>
      <c r="E144" s="1933" t="str">
        <f>OBRA!M483</f>
        <v>CANCELADA</v>
      </c>
      <c r="F144" s="1933" t="str">
        <f>OBRA!L483</f>
        <v>C.P.S.P. DOP 029/2020</v>
      </c>
      <c r="G144" s="3" t="str">
        <f>OBRA!N483</f>
        <v>CONTRATO CANCELADO</v>
      </c>
      <c r="H144" s="1"/>
      <c r="I144" s="3">
        <f>OBRA!O483</f>
        <v>0</v>
      </c>
      <c r="J144" s="3"/>
      <c r="K144" s="3"/>
      <c r="L144" s="3"/>
      <c r="M144" s="1937">
        <f>OBRA!AQ483+OBRA!AR483</f>
        <v>0</v>
      </c>
      <c r="N144" s="1">
        <f>GRAL!AE485</f>
        <v>0</v>
      </c>
      <c r="O144" s="1">
        <f>GRAL!AF485</f>
        <v>0</v>
      </c>
      <c r="P144" s="1"/>
      <c r="Q144" s="1"/>
    </row>
    <row r="145" spans="1:17" ht="45" hidden="1">
      <c r="A145" s="1"/>
      <c r="B145" s="1"/>
      <c r="C145" s="1" t="str">
        <f>OBRA!BY484</f>
        <v>2018-2021</v>
      </c>
      <c r="D145" s="1">
        <f>OBRA!I484</f>
        <v>2020</v>
      </c>
      <c r="E145" s="1933" t="str">
        <f>OBRA!M484</f>
        <v>SERVICIOS</v>
      </c>
      <c r="F145" s="1933"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937">
        <f>OBRA!AQ484+OBRA!AR484</f>
        <v>0</v>
      </c>
      <c r="N145" s="1">
        <f>GRAL!AE486</f>
        <v>0</v>
      </c>
      <c r="O145" s="1" t="str">
        <f>GRAL!AF486</f>
        <v>MES</v>
      </c>
      <c r="P145" s="1"/>
      <c r="Q145" s="1"/>
    </row>
    <row r="146" spans="1:17" ht="60" hidden="1">
      <c r="A146" s="1"/>
      <c r="B146" s="1"/>
      <c r="C146" s="1" t="str">
        <f>OBRA!BY485</f>
        <v>2018-2021</v>
      </c>
      <c r="D146" s="1">
        <f>OBRA!I485</f>
        <v>2020</v>
      </c>
      <c r="E146" s="1933" t="str">
        <f>OBRA!M485</f>
        <v>SERVICIOS</v>
      </c>
      <c r="F146" s="1933"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937">
        <f>OBRA!AQ485+OBRA!AR485</f>
        <v>0</v>
      </c>
      <c r="N146" s="1">
        <f>GRAL!AE487</f>
        <v>0</v>
      </c>
      <c r="O146" s="1" t="str">
        <f>GRAL!AF487</f>
        <v>MES</v>
      </c>
      <c r="P146" s="1"/>
      <c r="Q146" s="1"/>
    </row>
    <row r="147" spans="1:17" ht="60" hidden="1">
      <c r="A147" s="1"/>
      <c r="B147" s="1"/>
      <c r="C147" s="1" t="str">
        <f>OBRA!BY486</f>
        <v>2018-2021</v>
      </c>
      <c r="D147" s="1">
        <f>OBRA!I486</f>
        <v>2020</v>
      </c>
      <c r="E147" s="1933" t="str">
        <f>OBRA!M486</f>
        <v>SERVICIOS</v>
      </c>
      <c r="F147" s="1933"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937">
        <f>OBRA!AQ486+OBRA!AR486</f>
        <v>0</v>
      </c>
      <c r="N147" s="1">
        <f>GRAL!AE488</f>
        <v>0</v>
      </c>
      <c r="O147" s="1">
        <f>GRAL!AF488</f>
        <v>0</v>
      </c>
      <c r="P147" s="1"/>
      <c r="Q147" s="1"/>
    </row>
    <row r="148" spans="1:17" ht="45" hidden="1">
      <c r="A148" s="1"/>
      <c r="B148" s="1"/>
      <c r="C148" s="1" t="str">
        <f>OBRA!BY487</f>
        <v>2018-2021</v>
      </c>
      <c r="D148" s="1">
        <f>OBRA!I487</f>
        <v>2020</v>
      </c>
      <c r="E148" s="1933" t="str">
        <f>OBRA!M487</f>
        <v>SERVICIOS</v>
      </c>
      <c r="F148" s="1933"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937">
        <f>OBRA!AQ487+OBRA!AR487</f>
        <v>0</v>
      </c>
      <c r="N148" s="1">
        <f>GRAL!AE489</f>
        <v>0</v>
      </c>
      <c r="O148" s="1" t="str">
        <f>GRAL!AF489</f>
        <v>HORA</v>
      </c>
      <c r="P148" s="1"/>
      <c r="Q148" s="1"/>
    </row>
    <row r="149" spans="1:17" ht="45">
      <c r="A149" s="1"/>
      <c r="B149" s="1935"/>
      <c r="C149" s="1" t="str">
        <f>OBRA!BY488</f>
        <v>2018-2021</v>
      </c>
      <c r="D149" s="1">
        <f>OBRA!I488</f>
        <v>2020</v>
      </c>
      <c r="E149" s="1933" t="str">
        <f>OBRA!M488</f>
        <v>ADJUDICACIÓN DIRECTA</v>
      </c>
      <c r="F149" s="1971" t="str">
        <f>OBRA!L488</f>
        <v>GMJ 001C- OP/2020</v>
      </c>
      <c r="G149" s="3" t="str">
        <f>OBRA!N488</f>
        <v>CONSTRUCCIÓN DE LÍNEAS DE DRENAJE SANITARIO Y DRENAJE PLUVIAL EN LA CALLE RODRIGO DE TRIANA" EN LA CABECERA MUNICIPAL DE JOCOTEPEC, JALISCO".</v>
      </c>
      <c r="H149" s="1933" t="s">
        <v>4801</v>
      </c>
      <c r="I149" s="3" t="str">
        <f>OBRA!O488</f>
        <v>CABECERA MUNICIPAL</v>
      </c>
      <c r="J149" s="3" t="s">
        <v>4128</v>
      </c>
      <c r="K149" s="3" t="s">
        <v>4859</v>
      </c>
      <c r="L149" s="3" t="s">
        <v>4821</v>
      </c>
      <c r="M149" s="1937">
        <f>OBRA!AQ488+OBRA!AR488</f>
        <v>156609.66</v>
      </c>
      <c r="N149" s="267">
        <f>GRAL!AE490</f>
        <v>78.099999999999994</v>
      </c>
      <c r="O149" s="267" t="str">
        <f>GRAL!AF490</f>
        <v>ML</v>
      </c>
      <c r="P149" s="1971" t="s">
        <v>5003</v>
      </c>
      <c r="Q149" s="2" t="s">
        <v>5004</v>
      </c>
    </row>
    <row r="150" spans="1:17" ht="60">
      <c r="A150" s="1"/>
      <c r="B150" s="1935"/>
      <c r="C150" s="1" t="str">
        <f>OBRA!BY489</f>
        <v>2018-2021</v>
      </c>
      <c r="D150" s="1">
        <f>OBRA!I489</f>
        <v>2020</v>
      </c>
      <c r="E150" s="1933" t="str">
        <f>OBRA!M489</f>
        <v>ADJUDICACIÓN DIRECTA</v>
      </c>
      <c r="F150" s="1971" t="str">
        <f>OBRA!L489</f>
        <v>GMJ 002C- OP/2020</v>
      </c>
      <c r="G150" s="3" t="str">
        <f>OBRA!N489</f>
        <v>"CONSTRUCCIÓN DE EMPEDRADO NORMAL CON HUELLAS DE ADOQUÍN EN CALLE CUAUHTÉMOC 3ERA. ETAPA DE CARCAMO A 160 ML AL ORIENTE" EN LA DELEGACIÓN DE CHANTEPEC, MUNICIPIO DE JOCOTEPEC, JALISCO.</v>
      </c>
      <c r="H150" s="1933" t="s">
        <v>4806</v>
      </c>
      <c r="I150" s="3" t="str">
        <f>OBRA!O489</f>
        <v>CHANTEPEC</v>
      </c>
      <c r="J150" s="3" t="s">
        <v>4828</v>
      </c>
      <c r="K150" s="328" t="s">
        <v>68</v>
      </c>
      <c r="L150" s="328" t="s">
        <v>68</v>
      </c>
      <c r="M150" s="1937">
        <f>OBRA!AQ489+OBRA!AR489</f>
        <v>685944.29</v>
      </c>
      <c r="N150" s="267">
        <f>GRAL!AE491</f>
        <v>992</v>
      </c>
      <c r="O150" s="267" t="str">
        <f>GRAL!AF491</f>
        <v>M2</v>
      </c>
      <c r="P150" s="1971" t="s">
        <v>5005</v>
      </c>
      <c r="Q150" s="2"/>
    </row>
    <row r="151" spans="1:17" ht="63" customHeight="1">
      <c r="A151" s="1"/>
      <c r="B151" s="1935"/>
      <c r="C151" s="1" t="str">
        <f>OBRA!BY490</f>
        <v>2018-2021</v>
      </c>
      <c r="D151" s="1">
        <f>OBRA!I490</f>
        <v>2020</v>
      </c>
      <c r="E151" s="1933" t="str">
        <f>OBRA!M490</f>
        <v>ADJUDICACIÓN DIRECTA</v>
      </c>
      <c r="F151" s="1971" t="str">
        <f>OBRA!L490</f>
        <v>GMJ 003C- OP/2020</v>
      </c>
      <c r="G151" s="3" t="str">
        <f>OBRA!N490</f>
        <v>"CONSTRUCCIÓN DE EMPEDRADO NORMAL CON HUELLAS DE CONCRETO EN CALLE LIBERTAD DE RICO A CRISTÓBAL COLÓN" EN LA LOCALIDAD DE NEXTIPAC, MUNICIPIO DE JOCOTEPEC, JALISCO</v>
      </c>
      <c r="H151" s="1933" t="s">
        <v>4806</v>
      </c>
      <c r="I151" s="3" t="str">
        <f>OBRA!O490</f>
        <v>NEXTIPAC</v>
      </c>
      <c r="J151" s="3" t="s">
        <v>3186</v>
      </c>
      <c r="K151" s="3" t="s">
        <v>4842</v>
      </c>
      <c r="L151" s="3" t="s">
        <v>4843</v>
      </c>
      <c r="M151" s="1937">
        <f>OBRA!AQ490+OBRA!AR490</f>
        <v>255753.06</v>
      </c>
      <c r="N151" s="267">
        <f>GRAL!AE492</f>
        <v>317.99</v>
      </c>
      <c r="O151" s="267" t="str">
        <f>GRAL!AF492</f>
        <v>M2</v>
      </c>
      <c r="P151" s="1971" t="s">
        <v>5006</v>
      </c>
      <c r="Q151" s="2"/>
    </row>
    <row r="152" spans="1:17" ht="105" customHeight="1">
      <c r="A152" s="1"/>
      <c r="B152" s="1935"/>
      <c r="C152" s="1" t="str">
        <f>OBRA!BY491</f>
        <v>2018-2021</v>
      </c>
      <c r="D152" s="1">
        <f>OBRA!I491</f>
        <v>2020</v>
      </c>
      <c r="E152" s="1933" t="str">
        <f>OBRA!M491</f>
        <v>ADJUDICACIÓN DIRECTA</v>
      </c>
      <c r="F152" s="1971" t="str">
        <f>OBRA!L491</f>
        <v>GMJ 004C- OP/2020</v>
      </c>
      <c r="G152" s="3" t="str">
        <f>OBRA!N491</f>
        <v>"CONSTRUCCIÓN DE EMPEDRADO AHOGADO EN CEMENTO CON HUELLAS DE CONCRETO EN CALLE PADRE ADALBERTO MACIAS" EN LA CABECERA MUNICIPAL DE JOCOTEPEC, JALISCO.</v>
      </c>
      <c r="H152" s="1933" t="s">
        <v>4806</v>
      </c>
      <c r="I152" s="3" t="str">
        <f>OBRA!O491</f>
        <v>CABECERA MUNICIPAL</v>
      </c>
      <c r="J152" s="3" t="s">
        <v>4882</v>
      </c>
      <c r="K152" s="328" t="s">
        <v>4854</v>
      </c>
      <c r="L152" s="780" t="s">
        <v>68</v>
      </c>
      <c r="M152" s="1937">
        <f>OBRA!AQ491+OBRA!AR491</f>
        <v>966143.58</v>
      </c>
      <c r="N152" s="267">
        <f>GRAL!AE493</f>
        <v>1261.4000000000001</v>
      </c>
      <c r="O152" s="267" t="str">
        <f>GRAL!AF493</f>
        <v>M2</v>
      </c>
      <c r="P152" s="1971" t="s">
        <v>5007</v>
      </c>
      <c r="Q152" s="2"/>
    </row>
    <row r="153" spans="1:17" ht="68.25" customHeight="1">
      <c r="A153" s="1"/>
      <c r="B153" s="1935"/>
      <c r="C153" s="1" t="str">
        <f>OBRA!BY492</f>
        <v>2018-2021</v>
      </c>
      <c r="D153" s="1">
        <f>OBRA!I492</f>
        <v>2020</v>
      </c>
      <c r="E153" s="1933" t="str">
        <f>OBRA!M492</f>
        <v>ADJUDICACIÓN DIRECTA</v>
      </c>
      <c r="F153" s="1971" t="str">
        <f>OBRA!L492</f>
        <v>GMJ 005C- OP/2020</v>
      </c>
      <c r="G153" s="3" t="str">
        <f>OBRA!N492</f>
        <v>"CONSTRUCCIÓN DE LÍNEA DE DRENAJE SANITARIO EN CALLE LIBERTAD DE RICO A CRISTOBAL COLON" EN LA LOCALIDAD DE NEXTIPAC, MUNICIPIO DE JOCOTEPEC, JALISCO.</v>
      </c>
      <c r="H153" s="1933" t="s">
        <v>4801</v>
      </c>
      <c r="I153" s="3" t="str">
        <f>OBRA!O492</f>
        <v>NEXTIPAC</v>
      </c>
      <c r="J153" s="3" t="s">
        <v>3186</v>
      </c>
      <c r="K153" s="3" t="s">
        <v>4842</v>
      </c>
      <c r="L153" s="3" t="s">
        <v>4843</v>
      </c>
      <c r="M153" s="1937">
        <f>OBRA!AQ492+OBRA!AR492</f>
        <v>133293.67000000001</v>
      </c>
      <c r="N153" s="267">
        <f>GRAL!AE494</f>
        <v>74.2</v>
      </c>
      <c r="O153" s="267" t="str">
        <f>GRAL!AF494</f>
        <v>ML</v>
      </c>
      <c r="P153" s="2" t="s">
        <v>5008</v>
      </c>
      <c r="Q153" s="2"/>
    </row>
    <row r="154" spans="1:17" ht="120" customHeight="1">
      <c r="A154" s="1"/>
      <c r="B154" s="1935"/>
      <c r="C154" s="1" t="str">
        <f>OBRA!BY493</f>
        <v>2018-2021</v>
      </c>
      <c r="D154" s="1">
        <f>OBRA!I493</f>
        <v>2020</v>
      </c>
      <c r="E154" s="1933" t="str">
        <f>OBRA!M493</f>
        <v>ADJUDICACIÓN DIRECTA</v>
      </c>
      <c r="F154" s="1971" t="str">
        <f>OBRA!L493</f>
        <v>GMJ 006C- OP/2020</v>
      </c>
      <c r="G154" s="3" t="str">
        <f>OBRA!N493</f>
        <v>REHABILITACIÓN DE REDES HIDROSANITARIAS Y SUPERFICIE DE RODAMIENTO EN LA CALLE NICÓLAS BRAVO ENTRE CALLE ALDAMA Y CALLE LOS ANGELES" DE LA CABECERA MUNICIPAL, DE JOCOTEPEC, JALISCO.</v>
      </c>
      <c r="H154" s="1933" t="s">
        <v>4810</v>
      </c>
      <c r="I154" s="3" t="str">
        <f>OBRA!O493</f>
        <v>CABECERA MUNICIPAL</v>
      </c>
      <c r="J154" s="3" t="s">
        <v>4844</v>
      </c>
      <c r="K154" s="3" t="s">
        <v>4822</v>
      </c>
      <c r="L154" s="3" t="s">
        <v>4884</v>
      </c>
      <c r="M154" s="1937">
        <f>OBRA!AQ493+OBRA!AR493</f>
        <v>961549.42</v>
      </c>
      <c r="N154" s="267">
        <f>GRAL!AE495</f>
        <v>878.94</v>
      </c>
      <c r="O154" s="267" t="str">
        <f>GRAL!AF495</f>
        <v>M2</v>
      </c>
      <c r="P154" s="1980" t="s">
        <v>5010</v>
      </c>
      <c r="Q154" s="1971" t="s">
        <v>5009</v>
      </c>
    </row>
    <row r="155" spans="1:17" ht="111" customHeight="1">
      <c r="A155" s="1"/>
      <c r="B155" s="1935"/>
      <c r="C155" s="1" t="str">
        <f>OBRA!BY494</f>
        <v>2018-2021</v>
      </c>
      <c r="D155" s="1">
        <f>OBRA!I494</f>
        <v>2020</v>
      </c>
      <c r="E155" s="1933" t="str">
        <f>OBRA!M494</f>
        <v>ADJUDICACIÓN DIRECTA</v>
      </c>
      <c r="F155" s="1971" t="str">
        <f>OBRA!L494</f>
        <v>GMJ 007C- OP/2020</v>
      </c>
      <c r="G155" s="3" t="str">
        <f>OBRA!N494</f>
        <v>"REHABILITACIÓN DE REDES HIDROSANITARIAS Y FABRICACIÓN DE SUPERFICIE DE RODAMIENTO EN PRIV. NICOLAS BRAVO ENTRE NICÓLAS BRAVO A CERRADA" DE LA CABECERA MUNICIPAL, DE JOCOTEPEC, JALISCO.</v>
      </c>
      <c r="H155" s="1933" t="s">
        <v>4810</v>
      </c>
      <c r="I155" s="3" t="str">
        <f>OBRA!O494</f>
        <v>CABECERA MUNICIPAL</v>
      </c>
      <c r="J155" s="3" t="s">
        <v>4845</v>
      </c>
      <c r="K155" s="3" t="s">
        <v>4844</v>
      </c>
      <c r="L155" s="3" t="s">
        <v>4821</v>
      </c>
      <c r="M155" s="1937">
        <f>OBRA!AQ494+OBRA!AR494</f>
        <v>340712.1</v>
      </c>
      <c r="N155" s="267">
        <f>GRAL!AE496</f>
        <v>227.5</v>
      </c>
      <c r="O155" s="267" t="str">
        <f>GRAL!AF496</f>
        <v>M2</v>
      </c>
      <c r="P155" s="1980" t="s">
        <v>5011</v>
      </c>
      <c r="Q155" s="1971" t="s">
        <v>5012</v>
      </c>
    </row>
    <row r="156" spans="1:17" ht="60">
      <c r="A156" s="1"/>
      <c r="B156" s="1935"/>
      <c r="C156" s="1" t="str">
        <f>OBRA!BY495</f>
        <v>2018-2021</v>
      </c>
      <c r="D156" s="1">
        <f>OBRA!I495</f>
        <v>2020</v>
      </c>
      <c r="E156" s="1933" t="str">
        <f>OBRA!M495</f>
        <v>ADJUDICACIÓN DIRECTA</v>
      </c>
      <c r="F156" s="1971" t="str">
        <f>OBRA!L495</f>
        <v>GMJ 008C- OP/2020</v>
      </c>
      <c r="G156" s="3" t="str">
        <f>OBRA!N495</f>
        <v>"CONSTRUCCÓN DE EMPEDRADO AHOGADO EN CEMENTO EN CALLE HUASOYO ENTRE CALLE PROLONGACIÓN MORELOS Y CALLE RIVERA DEL LAGO" EN LA DELEGACIÓN DE CHANTEPEC, DEL MUNICIPIO DE JOCOTEPEC, JALISCO.</v>
      </c>
      <c r="H156" s="1933" t="s">
        <v>4806</v>
      </c>
      <c r="I156" s="3" t="str">
        <f>OBRA!O495</f>
        <v>CHANTEPEC</v>
      </c>
      <c r="J156" s="3" t="s">
        <v>4846</v>
      </c>
      <c r="K156" s="3" t="s">
        <v>4751</v>
      </c>
      <c r="L156" s="3" t="s">
        <v>2602</v>
      </c>
      <c r="M156" s="1937">
        <f>OBRA!AQ495+OBRA!AR495</f>
        <v>665921</v>
      </c>
      <c r="N156" s="267">
        <f>GRAL!AE497</f>
        <v>851.72</v>
      </c>
      <c r="O156" s="267" t="str">
        <f>GRAL!AF497</f>
        <v>M2</v>
      </c>
      <c r="P156" s="2" t="s">
        <v>4960</v>
      </c>
      <c r="Q156" s="2"/>
    </row>
    <row r="157" spans="1:17" ht="68.25" customHeight="1">
      <c r="A157" s="1"/>
      <c r="B157" s="1935"/>
      <c r="C157" s="1" t="str">
        <f>OBRA!BY496</f>
        <v>2018-2021</v>
      </c>
      <c r="D157" s="1">
        <f>OBRA!I496</f>
        <v>2020</v>
      </c>
      <c r="E157" s="1933" t="str">
        <f>OBRA!M496</f>
        <v>ADJUDICACIÓN DIRECTA</v>
      </c>
      <c r="F157" s="1971" t="str">
        <f>OBRA!L496</f>
        <v>GMJ 009C- OP/2020</v>
      </c>
      <c r="G157" s="3" t="str">
        <f>OBRA!N496</f>
        <v>"CONSTRUCCIÓN DE EMPEDRADO NORMAL EN AVENIDA DE LOS MAESTROS DE CALLE ALLENDE A CALLE GUADALUPE VICTORIA" DE LA CABECERA MUNICIPAL, DE JOCOTEPEC, JALISCO</v>
      </c>
      <c r="H157" s="1933" t="s">
        <v>4806</v>
      </c>
      <c r="I157" s="3" t="str">
        <f>OBRA!O496</f>
        <v>CABECERA MUNICIPAL</v>
      </c>
      <c r="J157" s="3" t="s">
        <v>4714</v>
      </c>
      <c r="K157" s="3" t="s">
        <v>4696</v>
      </c>
      <c r="L157" s="3" t="s">
        <v>4847</v>
      </c>
      <c r="M157" s="1937">
        <f>OBRA!AQ496+OBRA!AR496</f>
        <v>316487.46000000002</v>
      </c>
      <c r="N157" s="267">
        <f>GRAL!AE498</f>
        <v>488.63</v>
      </c>
      <c r="O157" s="267" t="str">
        <f>GRAL!AF498</f>
        <v>M2</v>
      </c>
      <c r="P157" s="2" t="s">
        <v>68</v>
      </c>
      <c r="Q157" s="2"/>
    </row>
    <row r="158" spans="1:17" ht="65.25" customHeight="1">
      <c r="A158" s="1"/>
      <c r="B158" s="1935"/>
      <c r="C158" s="1" t="str">
        <f>OBRA!BY497</f>
        <v>2018-2021</v>
      </c>
      <c r="D158" s="1">
        <f>OBRA!I497</f>
        <v>2020</v>
      </c>
      <c r="E158" s="1933" t="str">
        <f>OBRA!M497</f>
        <v>ADJUDICACIÓN DIRECTA</v>
      </c>
      <c r="F158" s="1971" t="str">
        <f>OBRA!L497</f>
        <v>GMJ 010C- OP/2020</v>
      </c>
      <c r="G158" s="3" t="str">
        <f>OBRA!N497</f>
        <v>"CONSTRUCCIÓN DE EMPEDRADO NORMAL CON HUELLAS DE ADOQUÍN EN CALLE CUAUHTÉMOC 4TA. ETAPA" EN LA DELEGACIÓN DE CHANTEPEC, MUNICIPIO DE JOCOTEPEC, JALISCO.</v>
      </c>
      <c r="H158" s="1933" t="s">
        <v>4806</v>
      </c>
      <c r="I158" s="3" t="str">
        <f>OBRA!O497</f>
        <v>CHANTEPEC</v>
      </c>
      <c r="J158" s="3" t="s">
        <v>4828</v>
      </c>
      <c r="K158" s="780" t="s">
        <v>68</v>
      </c>
      <c r="L158" s="780" t="s">
        <v>68</v>
      </c>
      <c r="M158" s="1937">
        <f>OBRA!AQ497+OBRA!AR497</f>
        <v>233601.31</v>
      </c>
      <c r="N158" s="267">
        <f>GRAL!AE499</f>
        <v>322.39999999999998</v>
      </c>
      <c r="O158" s="267" t="str">
        <f>GRAL!AF499</f>
        <v>M2</v>
      </c>
      <c r="P158" s="2" t="s">
        <v>68</v>
      </c>
      <c r="Q158" s="2"/>
    </row>
    <row r="159" spans="1:17" ht="64.5" customHeight="1">
      <c r="A159" s="1"/>
      <c r="B159" s="1935"/>
      <c r="C159" s="1" t="str">
        <f>OBRA!BY498</f>
        <v>2018-2021</v>
      </c>
      <c r="D159" s="1">
        <f>OBRA!I498</f>
        <v>2020</v>
      </c>
      <c r="E159" s="1933" t="str">
        <f>OBRA!M498</f>
        <v>ADJUDICACIÓN DIRECTA</v>
      </c>
      <c r="F159" s="1971" t="str">
        <f>OBRA!L498</f>
        <v>GMJ 011C- OP/2020</v>
      </c>
      <c r="G159" s="3" t="str">
        <f>OBRA!N498</f>
        <v>"CONSTRUCCIÓN DE EMPEDRADO NORMAL CON HUELLAS DE ADOQUÍN EN CALLE CUAUHTÉMOC 5TA. ETAPA" EN LA DELEGACIÓN DE CHANTEPEC, MUNICIPIO DE JOCOTEPEC, JALISCO.</v>
      </c>
      <c r="H159" s="1933" t="s">
        <v>4806</v>
      </c>
      <c r="I159" s="3" t="str">
        <f>OBRA!O498</f>
        <v>CHANTEPEC</v>
      </c>
      <c r="J159" s="3" t="s">
        <v>4828</v>
      </c>
      <c r="K159" s="780" t="s">
        <v>68</v>
      </c>
      <c r="L159" s="780" t="s">
        <v>68</v>
      </c>
      <c r="M159" s="1937">
        <f>OBRA!AQ498+OBRA!AR498</f>
        <v>401181.07</v>
      </c>
      <c r="N159" s="267">
        <f>GRAL!AE500</f>
        <v>558</v>
      </c>
      <c r="O159" s="267" t="str">
        <f>GRAL!AF500</f>
        <v>M2</v>
      </c>
      <c r="P159" s="2" t="s">
        <v>68</v>
      </c>
      <c r="Q159" s="2"/>
    </row>
    <row r="160" spans="1:17" ht="84">
      <c r="A160" s="1"/>
      <c r="B160" s="1935"/>
      <c r="C160" s="1" t="str">
        <f>OBRA!BY499</f>
        <v>2018-2021</v>
      </c>
      <c r="D160" s="1">
        <f>OBRA!I499</f>
        <v>2020</v>
      </c>
      <c r="E160" s="1933" t="str">
        <f>OBRA!M499</f>
        <v>ADJUDICACIÓN DIRECTA</v>
      </c>
      <c r="F160" s="1971" t="str">
        <f>OBRA!L499</f>
        <v>GMJ 012C- OP/2020</v>
      </c>
      <c r="G160" s="3" t="str">
        <f>OBRA!N499</f>
        <v>"CONSTRUCCIÓN DE REDES HIDROSANITARIAS Y SUPERFICIE DE RODAMIENTO EN LA CALLE LOS ANGELES ENTRE PRIVADA ALDAMA Y CERRADA" DE LA CABECERA MUNICIPAL, DE JOCOTEPEC, JALISCO.</v>
      </c>
      <c r="H160" s="1933" t="s">
        <v>4810</v>
      </c>
      <c r="I160" s="3" t="str">
        <f>OBRA!O499</f>
        <v>CABECERA MUNICIPAL</v>
      </c>
      <c r="J160" s="3" t="s">
        <v>4880</v>
      </c>
      <c r="K160" s="3" t="s">
        <v>4834</v>
      </c>
      <c r="L160" s="3" t="s">
        <v>4821</v>
      </c>
      <c r="M160" s="1937">
        <f>OBRA!AQ499+OBRA!AR499</f>
        <v>1281375.1299999999</v>
      </c>
      <c r="N160" s="267">
        <f>GRAL!AE501</f>
        <v>1240</v>
      </c>
      <c r="O160" s="267" t="str">
        <f>GRAL!AF501</f>
        <v>M2</v>
      </c>
      <c r="P160" s="1980" t="s">
        <v>5013</v>
      </c>
      <c r="Q160" s="1971" t="s">
        <v>5014</v>
      </c>
    </row>
    <row r="161" spans="1:17" ht="118.5" customHeight="1">
      <c r="A161" s="1"/>
      <c r="B161" s="1935"/>
      <c r="C161" s="1" t="str">
        <f>OBRA!BY500</f>
        <v>2018-2021</v>
      </c>
      <c r="D161" s="1">
        <f>OBRA!I500</f>
        <v>2020</v>
      </c>
      <c r="E161" s="1933" t="str">
        <f>OBRA!M500</f>
        <v>ADJUDICACIÓN DIRECTA</v>
      </c>
      <c r="F161" s="1971" t="str">
        <f>OBRA!L500</f>
        <v>GMJ 013C- OP/2020</v>
      </c>
      <c r="G161" s="3" t="str">
        <f>OBRA!N500</f>
        <v>"CONSTRUCCIÓN DE REDES HIDROSANITARIAS Y CONSTRUCCIÒN DE EMPEDRADO NORMAL CON HUELLAS DE CONCRETO EN CALLE PRIVADA VERANO DE CALLE VERANO A CERRADA" DE LA CABECERA MUNICIPAL, DE JOCOTEPEC, JALISCO.</v>
      </c>
      <c r="H161" s="1933" t="s">
        <v>4810</v>
      </c>
      <c r="I161" s="3" t="str">
        <f>OBRA!O500</f>
        <v>CABECERA MUNICIPAL</v>
      </c>
      <c r="J161" s="3" t="s">
        <v>4832</v>
      </c>
      <c r="K161" s="3" t="s">
        <v>2578</v>
      </c>
      <c r="L161" s="3" t="s">
        <v>4821</v>
      </c>
      <c r="M161" s="1937">
        <f>OBRA!AQ500+OBRA!AR500</f>
        <v>320004.51</v>
      </c>
      <c r="N161" s="267">
        <f>GRAL!AE502</f>
        <v>235.2</v>
      </c>
      <c r="O161" s="267" t="str">
        <f>GRAL!AF502</f>
        <v>M2</v>
      </c>
      <c r="P161" s="1980" t="s">
        <v>5015</v>
      </c>
      <c r="Q161" s="1971" t="s">
        <v>5016</v>
      </c>
    </row>
    <row r="162" spans="1:17" ht="121.5" customHeight="1">
      <c r="A162" s="1"/>
      <c r="B162" s="1935"/>
      <c r="C162" s="1" t="str">
        <f>OBRA!BY501</f>
        <v>2018-2021</v>
      </c>
      <c r="D162" s="1">
        <f>OBRA!I501</f>
        <v>2020</v>
      </c>
      <c r="E162" s="1933" t="str">
        <f>OBRA!M501</f>
        <v>ADJUDICACIÓN DIRECTA</v>
      </c>
      <c r="F162" s="1971" t="str">
        <f>OBRA!L501</f>
        <v>GMJ 014C- OP/2020</v>
      </c>
      <c r="G162" s="3" t="str">
        <f>OBRA!N501</f>
        <v>"CONSTRUCCIÓN DE RED DE DRENAJE Y CONSTRUCCIÓN DE RED DE AGUA POTABLE EN CALLE GUADALUPE VICTORIA ENTRE AVENIDA DE LOS MAESTROS Y FILOSOFOS" DE LA CABECERA MUNICIPAL, DE JOCOTEPEC, JALISCO.</v>
      </c>
      <c r="H162" s="1933" t="s">
        <v>4807</v>
      </c>
      <c r="I162" s="3" t="str">
        <f>OBRA!O501</f>
        <v>CABECERA MUNICIPAL</v>
      </c>
      <c r="J162" s="3" t="s">
        <v>4847</v>
      </c>
      <c r="K162" s="3" t="s">
        <v>4714</v>
      </c>
      <c r="L162" s="3" t="s">
        <v>4823</v>
      </c>
      <c r="M162" s="1937">
        <f>OBRA!AQ501+OBRA!AR501</f>
        <v>230567.7</v>
      </c>
      <c r="N162" s="267">
        <f>GRAL!AE503</f>
        <v>142.23000000000002</v>
      </c>
      <c r="O162" s="267" t="str">
        <f>GRAL!AF503</f>
        <v>ML</v>
      </c>
      <c r="P162" s="1980" t="s">
        <v>5018</v>
      </c>
      <c r="Q162" s="1971" t="s">
        <v>5017</v>
      </c>
    </row>
    <row r="163" spans="1:17" ht="60">
      <c r="A163" s="1"/>
      <c r="B163" s="1935"/>
      <c r="C163" s="1" t="str">
        <f>OBRA!BY502</f>
        <v>2018-2021</v>
      </c>
      <c r="D163" s="1">
        <f>OBRA!I502</f>
        <v>2020</v>
      </c>
      <c r="E163" s="1933" t="str">
        <f>OBRA!M502</f>
        <v>ADJUDICACIÓN DIRECTA</v>
      </c>
      <c r="F163" s="1971" t="str">
        <f>OBRA!L502</f>
        <v>GMJ 015C- OP/2020</v>
      </c>
      <c r="G163" s="3" t="str">
        <f>OBRA!N502</f>
        <v>"CONSTRUCCIÓN DE LÍNEA DE DRENAJE SANITARIO Y LINEA DE AGUA POTABLE EN CALLE GUADALUPE VICTORIA ENTRE FILOSOFOS Y CIENTIFICOS" DE LA CABECERA MUNICIPAL, DE JOCOTEPEC, JALISCO.</v>
      </c>
      <c r="H163" s="1933" t="s">
        <v>4807</v>
      </c>
      <c r="I163" s="3" t="str">
        <f>OBRA!O502</f>
        <v>CABECERA MUNICIPAL</v>
      </c>
      <c r="J163" s="3" t="s">
        <v>4847</v>
      </c>
      <c r="K163" s="3" t="s">
        <v>4823</v>
      </c>
      <c r="L163" s="3" t="s">
        <v>4863</v>
      </c>
      <c r="M163" s="1937">
        <f>OBRA!AQ502+OBRA!AR502</f>
        <v>251704.57</v>
      </c>
      <c r="N163" s="267">
        <f>GRAL!AE504</f>
        <v>142.18</v>
      </c>
      <c r="O163" s="267" t="str">
        <f>GRAL!AF504</f>
        <v>ML</v>
      </c>
      <c r="P163" s="1980" t="s">
        <v>5018</v>
      </c>
      <c r="Q163" s="1971" t="s">
        <v>5019</v>
      </c>
    </row>
    <row r="164" spans="1:17" ht="60">
      <c r="A164" s="1"/>
      <c r="B164" s="1935"/>
      <c r="C164" s="1" t="str">
        <f>OBRA!BY503</f>
        <v>2018-2021</v>
      </c>
      <c r="D164" s="1">
        <f>OBRA!I503</f>
        <v>2020</v>
      </c>
      <c r="E164" s="1933" t="str">
        <f>OBRA!M503</f>
        <v>ADJUDICACIÓN DIRECTA</v>
      </c>
      <c r="F164" s="1971" t="str">
        <f>OBRA!L503</f>
        <v>GMJ 016C- OP/2020</v>
      </c>
      <c r="G164" s="3" t="str">
        <f>OBRA!N503</f>
        <v>"COLOCACIÓN DE EMPEDRADO AHOGADO EN CEMENTO CALLE JAVIER MINA ENTRE CALLE SIN NOMBRE Y ALLENDE" EN LA LOCALIDAD DE EL MOLINO DEL MUNICIPIO DE JOCOTEPEC, JALISCO.</v>
      </c>
      <c r="H164" s="1933" t="s">
        <v>4806</v>
      </c>
      <c r="I164" s="3" t="str">
        <f>OBRA!O503</f>
        <v>EL MOLINO</v>
      </c>
      <c r="J164" s="3" t="s">
        <v>4758</v>
      </c>
      <c r="K164" s="3" t="s">
        <v>4848</v>
      </c>
      <c r="L164" s="3" t="s">
        <v>4696</v>
      </c>
      <c r="M164" s="1937">
        <f>OBRA!AQ503+OBRA!AR503</f>
        <v>301450.13</v>
      </c>
      <c r="N164" s="267">
        <f>GRAL!AE505</f>
        <v>660</v>
      </c>
      <c r="O164" s="267" t="str">
        <f>GRAL!AF505</f>
        <v>M2</v>
      </c>
      <c r="P164" s="2" t="s">
        <v>68</v>
      </c>
      <c r="Q164" s="2"/>
    </row>
    <row r="165" spans="1:17" ht="60">
      <c r="A165" s="1"/>
      <c r="B165" s="1935"/>
      <c r="C165" s="1" t="str">
        <f>OBRA!BY504</f>
        <v>2018-2021</v>
      </c>
      <c r="D165" s="1">
        <f>OBRA!I504</f>
        <v>2020</v>
      </c>
      <c r="E165" s="1933" t="str">
        <f>OBRA!M504</f>
        <v>ADJUDICACIÓN DIRECTA</v>
      </c>
      <c r="F165" s="1971" t="str">
        <f>OBRA!L504</f>
        <v>GMJ 017C- OP/2020</v>
      </c>
      <c r="G165" s="3" t="str">
        <f>OBRA!N504</f>
        <v>"CONSTRUCCION DE EMPEDRADO AHOGADO EN CEMENTO EN CALLE MATAMOROS DE JAVIER MINA Y CALLE SIN NOMBRE" DE LA LOCALIDAD DE EL MOLINO, DEL MUNICIPIO DE JOCOTEPEC, JALISCO.</v>
      </c>
      <c r="H165" s="1933" t="s">
        <v>4806</v>
      </c>
      <c r="I165" s="3" t="str">
        <f>OBRA!O504</f>
        <v>EL MOLINO</v>
      </c>
      <c r="J165" s="3" t="s">
        <v>4702</v>
      </c>
      <c r="K165" s="3" t="s">
        <v>4758</v>
      </c>
      <c r="L165" s="3" t="s">
        <v>4848</v>
      </c>
      <c r="M165" s="1937">
        <f>OBRA!AQ504+OBRA!AR504</f>
        <v>423219.71</v>
      </c>
      <c r="N165" s="267">
        <f>GRAL!AE506</f>
        <v>927.6</v>
      </c>
      <c r="O165" s="267" t="str">
        <f>GRAL!AF506</f>
        <v>M2</v>
      </c>
      <c r="P165" s="2" t="s">
        <v>68</v>
      </c>
      <c r="Q165" s="2"/>
    </row>
    <row r="166" spans="1:17" ht="45">
      <c r="A166" s="1"/>
      <c r="B166" s="1935"/>
      <c r="C166" s="1" t="str">
        <f>OBRA!BY505</f>
        <v>2018-2021</v>
      </c>
      <c r="D166" s="1">
        <f>OBRA!I505</f>
        <v>2020</v>
      </c>
      <c r="E166" s="1933" t="str">
        <f>OBRA!M505</f>
        <v>ADJUDICACIÓN DIRECTA</v>
      </c>
      <c r="F166" s="1971" t="str">
        <f>OBRA!L505</f>
        <v>GMJ 018C- OP/2020</v>
      </c>
      <c r="G166" s="3" t="str">
        <f>OBRA!N505</f>
        <v>"EQUIPAMIENTO DE POZO PROFUNDO DE AGUA POTABLE" EN LA AGENCIA MINICIPAL DE CHANTEPEC, DEL MUNICIPIO DE JOCOTEPEC, JALISCO.</v>
      </c>
      <c r="H166" s="1933" t="s">
        <v>4805</v>
      </c>
      <c r="I166" s="3" t="str">
        <f>OBRA!O505</f>
        <v>CHANTEPEC</v>
      </c>
      <c r="J166" s="328" t="s">
        <v>4065</v>
      </c>
      <c r="K166" s="328" t="s">
        <v>4820</v>
      </c>
      <c r="L166" s="328" t="s">
        <v>4751</v>
      </c>
      <c r="M166" s="1937">
        <f>OBRA!AQ505+OBRA!AR505</f>
        <v>174784.71</v>
      </c>
      <c r="N166" s="267">
        <f>GRAL!AE507</f>
        <v>1</v>
      </c>
      <c r="O166" s="267" t="str">
        <f>GRAL!AF507</f>
        <v>POZO</v>
      </c>
      <c r="P166" s="2" t="s">
        <v>68</v>
      </c>
      <c r="Q166" s="2"/>
    </row>
    <row r="167" spans="1:17" ht="52.5" customHeight="1">
      <c r="A167" s="1"/>
      <c r="B167" s="1935"/>
      <c r="C167" s="1" t="str">
        <f>OBRA!BY506</f>
        <v>2018-2021</v>
      </c>
      <c r="D167" s="1">
        <f>OBRA!I506</f>
        <v>2020</v>
      </c>
      <c r="E167" s="1933" t="str">
        <f>OBRA!M506</f>
        <v>ADJUDICACIÓN DIRECTA</v>
      </c>
      <c r="F167" s="1971" t="str">
        <f>OBRA!L506</f>
        <v>GMJ 019C- OP/2020</v>
      </c>
      <c r="G167" s="3" t="str">
        <f>OBRA!N506</f>
        <v>"REHABILITACIÓN DE POZO PROFUNDO DE AGUA POTABLE EN LA AGENCIA DE NEXTIPAC", DEL MUNICIPIO DE JOCOTEPEC, JALISCO.</v>
      </c>
      <c r="H167" s="1933" t="s">
        <v>4805</v>
      </c>
      <c r="I167" s="3" t="str">
        <f>OBRA!O506</f>
        <v>NEXTIPAC</v>
      </c>
      <c r="J167" s="328" t="s">
        <v>2524</v>
      </c>
      <c r="K167" s="328" t="s">
        <v>4859</v>
      </c>
      <c r="L167" s="328" t="s">
        <v>68</v>
      </c>
      <c r="M167" s="1972">
        <f>OBRA!P506</f>
        <v>165908.29999999999</v>
      </c>
      <c r="N167" s="267">
        <f>GRAL!AE508</f>
        <v>1</v>
      </c>
      <c r="O167" s="267" t="str">
        <f>GRAL!AF508</f>
        <v>POZO</v>
      </c>
      <c r="P167" s="2" t="s">
        <v>68</v>
      </c>
      <c r="Q167" s="2"/>
    </row>
    <row r="168" spans="1:17" ht="22.5" hidden="1">
      <c r="A168" s="1"/>
      <c r="B168" s="1"/>
      <c r="C168" s="1" t="str">
        <f>OBRA!BY507</f>
        <v>2018-2021</v>
      </c>
      <c r="D168" s="1">
        <f>OBRA!I507</f>
        <v>2020</v>
      </c>
      <c r="E168" s="1933" t="str">
        <f>OBRA!M507</f>
        <v>CANCELADA</v>
      </c>
      <c r="F168" s="1933" t="str">
        <f>OBRA!L507</f>
        <v>GMJ 020C- OP/2020</v>
      </c>
      <c r="G168" s="3" t="str">
        <f>OBRA!N507</f>
        <v>CONTRATO CANCELADO</v>
      </c>
      <c r="H168" s="1"/>
      <c r="I168" s="3">
        <f>OBRA!O507</f>
        <v>0</v>
      </c>
      <c r="J168" s="3"/>
      <c r="K168" s="3"/>
      <c r="L168" s="3"/>
      <c r="M168" s="1937">
        <f>OBRA!AQ507+OBRA!AR507</f>
        <v>0</v>
      </c>
      <c r="N168" s="1">
        <f>GRAL!AE509</f>
        <v>0</v>
      </c>
      <c r="O168" s="1">
        <f>GRAL!AF509</f>
        <v>0</v>
      </c>
      <c r="P168" s="1"/>
      <c r="Q168" s="1"/>
    </row>
    <row r="169" spans="1:17" ht="75">
      <c r="A169" s="1"/>
      <c r="B169" s="1935"/>
      <c r="C169" s="1" t="str">
        <f>OBRA!BY508</f>
        <v>2018-2021</v>
      </c>
      <c r="D169" s="1">
        <f>OBRA!I508</f>
        <v>2020</v>
      </c>
      <c r="E169" s="1933" t="str">
        <f>OBRA!M508</f>
        <v>ADJUDICACIÓN DIRECTA</v>
      </c>
      <c r="F169" s="1971" t="str">
        <f>OBRA!L508</f>
        <v>GMJ 021C- OP/2020</v>
      </c>
      <c r="G169" s="3" t="str">
        <f>OBRA!N508</f>
        <v>"CONSTRUCCIÓN DE EMPEDRADO NORMAL CON HUELLAS DE CONCRETO EN CALLE EMILIANO ZAPATA ENTRE PIPILA Y CALLE CERRADA" DE LA LOCALIDAD DE ZAPOTITÁN DE HIDALGO, EL MUNICIPIO DE JOCOTEPEC, JALISCO.</v>
      </c>
      <c r="H169" s="1933" t="s">
        <v>4806</v>
      </c>
      <c r="I169" s="3" t="str">
        <f>OBRA!O508</f>
        <v>ZAPOTITÁN DE HIDALGO</v>
      </c>
      <c r="J169" s="3" t="s">
        <v>2642</v>
      </c>
      <c r="K169" s="3" t="s">
        <v>3195</v>
      </c>
      <c r="L169" s="3" t="s">
        <v>4821</v>
      </c>
      <c r="M169" s="1937">
        <f>OBRA!AQ508+OBRA!AR508</f>
        <v>773314.41</v>
      </c>
      <c r="N169" s="267">
        <f>GRAL!AE510</f>
        <v>1022.62</v>
      </c>
      <c r="O169" s="267" t="str">
        <f>GRAL!AF510</f>
        <v>M2</v>
      </c>
      <c r="P169" s="2" t="s">
        <v>5020</v>
      </c>
      <c r="Q169" s="2"/>
    </row>
    <row r="170" spans="1:17" ht="109.5" customHeight="1">
      <c r="A170" s="1"/>
      <c r="B170" s="1935"/>
      <c r="C170" s="1" t="str">
        <f>OBRA!BY509</f>
        <v>2018-2021</v>
      </c>
      <c r="D170" s="1">
        <f>OBRA!I509</f>
        <v>2020</v>
      </c>
      <c r="E170" s="1933" t="str">
        <f>OBRA!M509</f>
        <v>ADJUDICACIÓN DIRECTA</v>
      </c>
      <c r="F170" s="1971"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933" t="s">
        <v>4810</v>
      </c>
      <c r="I170" s="3" t="str">
        <f>OBRA!O509</f>
        <v>ZAPOTITÁN DE HIDALGO</v>
      </c>
      <c r="J170" s="3" t="s">
        <v>3195</v>
      </c>
      <c r="K170" s="3" t="s">
        <v>2642</v>
      </c>
      <c r="L170" s="3" t="s">
        <v>3460</v>
      </c>
      <c r="M170" s="1937">
        <f>OBRA!AQ509+OBRA!AR509</f>
        <v>947197.91</v>
      </c>
      <c r="N170" s="267">
        <f>GRAL!AE511</f>
        <v>682.64</v>
      </c>
      <c r="O170" s="267" t="str">
        <f>GRAL!AF511</f>
        <v>M2</v>
      </c>
      <c r="P170" s="1980" t="s">
        <v>5013</v>
      </c>
      <c r="Q170" s="1971" t="s">
        <v>5021</v>
      </c>
    </row>
    <row r="171" spans="1:17" ht="45">
      <c r="A171" s="1"/>
      <c r="B171" s="1935"/>
      <c r="C171" s="1" t="str">
        <f>OBRA!BY510</f>
        <v>2018-2021</v>
      </c>
      <c r="D171" s="1">
        <f>OBRA!I510</f>
        <v>2020</v>
      </c>
      <c r="E171" s="1933" t="str">
        <f>OBRA!M510</f>
        <v>ADJUDICACIÓN DIRECTA</v>
      </c>
      <c r="F171" s="1971" t="str">
        <f>OBRA!L510</f>
        <v>GMJ 023C- OP/2020</v>
      </c>
      <c r="G171" s="3" t="str">
        <f>OBRA!N510</f>
        <v xml:space="preserve">"REHABILITACIÓN DE POZO PROFUNDO DE AGUA POTABLE EN CALLE JOSE SANTANA", EN LA CABECERA MUNICIPAL DE JOCOTEPEC, JALISCO </v>
      </c>
      <c r="H171" s="1933" t="s">
        <v>4805</v>
      </c>
      <c r="I171" s="3" t="str">
        <f>OBRA!O510</f>
        <v>CABECERA MUNICIPAL</v>
      </c>
      <c r="J171" s="3" t="s">
        <v>4849</v>
      </c>
      <c r="K171" s="328" t="s">
        <v>4959</v>
      </c>
      <c r="L171" s="328" t="s">
        <v>2571</v>
      </c>
      <c r="M171" s="1937">
        <f>OBRA!AQ510+OBRA!AR510</f>
        <v>189588.55</v>
      </c>
      <c r="N171" s="267">
        <f>GRAL!AE512</f>
        <v>1</v>
      </c>
      <c r="O171" s="267" t="str">
        <f>GRAL!AF512</f>
        <v>POZO</v>
      </c>
      <c r="P171" s="2" t="s">
        <v>68</v>
      </c>
      <c r="Q171" s="2"/>
    </row>
    <row r="172" spans="1:17" ht="99.75" customHeight="1">
      <c r="A172" s="1"/>
      <c r="B172" s="1935"/>
      <c r="C172" s="1" t="str">
        <f>OBRA!BY511</f>
        <v>2018-2021</v>
      </c>
      <c r="D172" s="1">
        <f>OBRA!I511</f>
        <v>2020</v>
      </c>
      <c r="E172" s="1933" t="str">
        <f>OBRA!M511</f>
        <v>ADJUDICACIÓN DIRECTA</v>
      </c>
      <c r="F172" s="1971"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933" t="s">
        <v>4809</v>
      </c>
      <c r="I172" s="3" t="str">
        <f>OBRA!O511</f>
        <v>CHANTEPEC</v>
      </c>
      <c r="J172" s="3" t="s">
        <v>4850</v>
      </c>
      <c r="K172" s="3" t="s">
        <v>4828</v>
      </c>
      <c r="L172" s="3" t="s">
        <v>4820</v>
      </c>
      <c r="M172" s="1937">
        <f>OBRA!AQ511+OBRA!AR511</f>
        <v>961943.47</v>
      </c>
      <c r="N172" s="267">
        <f>GRAL!AE513</f>
        <v>210</v>
      </c>
      <c r="O172" s="267" t="str">
        <f>GRAL!AF513</f>
        <v>ML</v>
      </c>
      <c r="P172" s="1980" t="s">
        <v>5023</v>
      </c>
      <c r="Q172" s="1971" t="s">
        <v>5022</v>
      </c>
    </row>
    <row r="173" spans="1:17" ht="127.5" customHeight="1">
      <c r="A173" s="1"/>
      <c r="B173" s="1935"/>
      <c r="C173" s="1" t="str">
        <f>OBRA!BY512</f>
        <v>2018-2021</v>
      </c>
      <c r="D173" s="1">
        <f>OBRA!I512</f>
        <v>2020</v>
      </c>
      <c r="E173" s="1933" t="str">
        <f>OBRA!M512</f>
        <v>ADJUDICACIÓN DIRECTA</v>
      </c>
      <c r="F173" s="1971"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933" t="s">
        <v>4808</v>
      </c>
      <c r="I173" s="3" t="str">
        <f>OBRA!O512</f>
        <v>CHANTEPEC</v>
      </c>
      <c r="J173" s="3" t="s">
        <v>4850</v>
      </c>
      <c r="K173" s="3" t="s">
        <v>4828</v>
      </c>
      <c r="L173" s="3" t="s">
        <v>4821</v>
      </c>
      <c r="M173" s="1937">
        <f>OBRA!AQ512+OBRA!AR512</f>
        <v>976127.66</v>
      </c>
      <c r="N173" s="267">
        <f>GRAL!AE514</f>
        <v>218</v>
      </c>
      <c r="O173" s="267" t="str">
        <f>GRAL!AF514</f>
        <v>ML</v>
      </c>
      <c r="P173" s="1980" t="s">
        <v>5024</v>
      </c>
      <c r="Q173" s="1971" t="s">
        <v>5025</v>
      </c>
    </row>
    <row r="174" spans="1:17" ht="110.25" customHeight="1">
      <c r="A174" s="1"/>
      <c r="B174" s="1935"/>
      <c r="C174" s="1" t="str">
        <f>OBRA!BY513</f>
        <v>2018-2021</v>
      </c>
      <c r="D174" s="1">
        <f>OBRA!I513</f>
        <v>2020</v>
      </c>
      <c r="E174" s="1933" t="str">
        <f>OBRA!M513</f>
        <v>ADJUDICACIÓN DIRECTA</v>
      </c>
      <c r="F174" s="1971"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933" t="s">
        <v>4806</v>
      </c>
      <c r="I174" s="3" t="str">
        <f>OBRA!O513</f>
        <v>CHANTEPEC</v>
      </c>
      <c r="J174" s="3" t="s">
        <v>4850</v>
      </c>
      <c r="K174" s="3" t="s">
        <v>4820</v>
      </c>
      <c r="L174" s="3" t="s">
        <v>4828</v>
      </c>
      <c r="M174" s="1937">
        <f>OBRA!AQ513+OBRA!AR513</f>
        <v>822451.21</v>
      </c>
      <c r="N174" s="267">
        <f>GRAL!AE515</f>
        <v>524.09</v>
      </c>
      <c r="O174" s="267" t="str">
        <f>GRAL!AF515</f>
        <v>M2</v>
      </c>
      <c r="P174" s="202" t="s">
        <v>5026</v>
      </c>
      <c r="Q174" s="1971" t="s">
        <v>5027</v>
      </c>
    </row>
    <row r="175" spans="1:17" ht="49.5" customHeight="1">
      <c r="A175" s="1"/>
      <c r="B175" s="1935"/>
      <c r="C175" s="1" t="str">
        <f>OBRA!BY514</f>
        <v>2018-2021</v>
      </c>
      <c r="D175" s="1">
        <f>OBRA!I514</f>
        <v>2020</v>
      </c>
      <c r="E175" s="1933" t="str">
        <f>OBRA!M514</f>
        <v>CONCURSO SIMPLIFICADO SUMARIO</v>
      </c>
      <c r="F175" s="1971" t="str">
        <f>OBRA!L514</f>
        <v>GMJ 027C- OP/2020</v>
      </c>
      <c r="G175" s="3" t="str">
        <f>OBRA!N514</f>
        <v>"CONSTRUCCIÓN DE POZO PROFUNDO EN CALLE ALLENDE NORTE" EN LA CABECERA MUNICIPAL DE JOCOTEPEC, JALISCO</v>
      </c>
      <c r="H175" s="1933" t="s">
        <v>4805</v>
      </c>
      <c r="I175" s="3" t="str">
        <f>OBRA!O514</f>
        <v>CABECERA MUNICIPAL</v>
      </c>
      <c r="J175" s="3" t="s">
        <v>4696</v>
      </c>
      <c r="K175" s="3" t="s">
        <v>4823</v>
      </c>
      <c r="L175" s="3" t="s">
        <v>4863</v>
      </c>
      <c r="M175" s="1937">
        <f>OBRA!AQ514+OBRA!AR514</f>
        <v>2631734.15</v>
      </c>
      <c r="N175" s="267">
        <f>GRAL!AE516</f>
        <v>1</v>
      </c>
      <c r="O175" s="267" t="str">
        <f>GRAL!AF516</f>
        <v>POZO</v>
      </c>
      <c r="P175" s="2" t="s">
        <v>68</v>
      </c>
      <c r="Q175" s="2"/>
    </row>
    <row r="176" spans="1:17" ht="33.75">
      <c r="A176" s="1"/>
      <c r="B176" s="1935"/>
      <c r="C176" s="1" t="str">
        <f>OBRA!BY515</f>
        <v>2018-2021</v>
      </c>
      <c r="D176" s="1">
        <f>OBRA!I515</f>
        <v>2020</v>
      </c>
      <c r="E176" s="1933" t="str">
        <f>OBRA!M515</f>
        <v>CONCURSO SIMPLIFICADO SUMARIO</v>
      </c>
      <c r="F176" s="1971" t="str">
        <f>OBRA!L515</f>
        <v>FOCOCI-OP-CSS-028/2020</v>
      </c>
      <c r="G176" s="3" t="str">
        <f>OBRA!N515</f>
        <v>CONSTRUCCIÓN Y EQUIPAMIENTO DE PLAZA PRINCIPAL EN CHANTEPEC, MUNICIPIO DE JOCOTEPEC, JALISCO.</v>
      </c>
      <c r="H176" s="1933" t="s">
        <v>4803</v>
      </c>
      <c r="I176" s="3" t="str">
        <f>OBRA!O515</f>
        <v>CHANTEPEC</v>
      </c>
      <c r="J176" s="3" t="s">
        <v>4850</v>
      </c>
      <c r="K176" s="3" t="s">
        <v>4828</v>
      </c>
      <c r="L176" s="3" t="s">
        <v>4820</v>
      </c>
      <c r="M176" s="1937">
        <f>OBRA!AQ515+OBRA!AR515</f>
        <v>8270576.8799999999</v>
      </c>
      <c r="N176" s="267">
        <f>GRAL!AE517</f>
        <v>8536.41</v>
      </c>
      <c r="O176" s="267" t="str">
        <f>GRAL!AF517</f>
        <v>M2</v>
      </c>
      <c r="P176" s="2" t="s">
        <v>68</v>
      </c>
      <c r="Q176" s="2"/>
    </row>
    <row r="177" spans="1:17" ht="45">
      <c r="A177" s="1"/>
      <c r="B177" s="1935"/>
      <c r="C177" s="1" t="str">
        <f>OBRA!BY516</f>
        <v>2018-2021</v>
      </c>
      <c r="D177" s="1">
        <f>OBRA!I516</f>
        <v>2020</v>
      </c>
      <c r="E177" s="1933" t="str">
        <f>OBRA!M516</f>
        <v>CONCURSO SIMPLIFICADO SUMARIO</v>
      </c>
      <c r="F177" s="1971" t="str">
        <f>OBRA!L516</f>
        <v>FOCOCI-OP-CSS-029/2020</v>
      </c>
      <c r="G177" s="3" t="str">
        <f>OBRA!N516</f>
        <v>CONSTRUCCIÓN Y EQUIPAMIENTO DE PLAZA PRINCIPAL EN CHANTEPEC MUNICIPIO DE JOCOTEPEC, JALISCO". (CONSTRUCCIÓN DE EDIFICIO ADMINISTRATIVO)</v>
      </c>
      <c r="H177" s="1933" t="s">
        <v>4812</v>
      </c>
      <c r="I177" s="3" t="str">
        <f>OBRA!O516</f>
        <v>CHANTEPEC</v>
      </c>
      <c r="J177" s="3" t="s">
        <v>4850</v>
      </c>
      <c r="K177" s="3" t="s">
        <v>4828</v>
      </c>
      <c r="L177" s="3" t="s">
        <v>4820</v>
      </c>
      <c r="M177" s="1937">
        <f>OBRA!AQ516+OBRA!AR516</f>
        <v>1729413.01</v>
      </c>
      <c r="N177" s="267">
        <f>GRAL!AE518</f>
        <v>185.76</v>
      </c>
      <c r="O177" s="267" t="str">
        <f>GRAL!AF518</f>
        <v>M2</v>
      </c>
      <c r="P177" s="2" t="s">
        <v>68</v>
      </c>
      <c r="Q177" s="2"/>
    </row>
    <row r="178" spans="1:17" ht="45">
      <c r="A178" s="1"/>
      <c r="B178" s="1935"/>
      <c r="C178" s="1" t="str">
        <f>OBRA!BY517</f>
        <v>2018-2021</v>
      </c>
      <c r="D178" s="1">
        <f>OBRA!I517</f>
        <v>2020</v>
      </c>
      <c r="E178" s="1933" t="str">
        <f>OBRA!M517</f>
        <v>CONCURSO SIMPLIFICADO SUMARIO</v>
      </c>
      <c r="F178" s="1971" t="str">
        <f>OBRA!L517</f>
        <v>FOCOCI-OP-CSS-030/2020</v>
      </c>
      <c r="G178" s="3" t="str">
        <f>OBRA!N517</f>
        <v>OBRA CIVIL "INTERVENCIÓN Y RESTAURACIÓN DE MERCADO MUNICIPAL MORELOS”, UBICADO EN CALLE MORELOS EN LA CABECERA MUNICIPAL DE JOCOTEPEC, JALISCO.</v>
      </c>
      <c r="H178" s="1933" t="s">
        <v>4812</v>
      </c>
      <c r="I178" s="3" t="str">
        <f>OBRA!O517</f>
        <v>CABECERA MUNICIPAL</v>
      </c>
      <c r="J178" s="3" t="s">
        <v>2524</v>
      </c>
      <c r="K178" s="3" t="s">
        <v>4883</v>
      </c>
      <c r="L178" s="3" t="s">
        <v>68</v>
      </c>
      <c r="M178" s="1937">
        <f>OBRA!AQ517+OBRA!AR517</f>
        <v>5170423.96</v>
      </c>
      <c r="N178" s="267">
        <f>GRAL!AE519</f>
        <v>2007.25</v>
      </c>
      <c r="O178" s="267" t="str">
        <f>GRAL!AF519</f>
        <v>M2</v>
      </c>
      <c r="P178" s="2" t="s">
        <v>68</v>
      </c>
      <c r="Q178" s="2"/>
    </row>
    <row r="179" spans="1:17" ht="45">
      <c r="A179" s="1"/>
      <c r="B179" s="1935"/>
      <c r="C179" s="1" t="str">
        <f>OBRA!BY518</f>
        <v>2018-2021</v>
      </c>
      <c r="D179" s="1">
        <f>OBRA!I518</f>
        <v>2020</v>
      </c>
      <c r="E179" s="1933" t="str">
        <f>OBRA!M518</f>
        <v>CONCURSO SIMPLIFICADO SUMARIO</v>
      </c>
      <c r="F179" s="1971" t="str">
        <f>OBRA!L518</f>
        <v>FOCOCI-OP-CSS-031/2020</v>
      </c>
      <c r="G179" s="3" t="str">
        <f>OBRA!N518</f>
        <v>"INTERVENCIÓN Y RESTAURACIÓN DE MERCADO MUNICIPAL MORELOS”, UBICADO EN CALLE MORELOS EN LA CABECERA MUNICIPAL DE JOCOTEPEC, JALISCO</v>
      </c>
      <c r="H179" s="1933" t="s">
        <v>4812</v>
      </c>
      <c r="I179" s="3" t="str">
        <f>OBRA!O518</f>
        <v>CABECERA MUNICIPAL</v>
      </c>
      <c r="J179" s="3" t="s">
        <v>2524</v>
      </c>
      <c r="K179" s="3" t="s">
        <v>4883</v>
      </c>
      <c r="L179" s="3" t="s">
        <v>68</v>
      </c>
      <c r="M179" s="1937">
        <f>OBRA!AQ518+OBRA!AR518</f>
        <v>4629475.5599999996</v>
      </c>
      <c r="N179" s="267">
        <f>GRAL!AE520</f>
        <v>2007.25</v>
      </c>
      <c r="O179" s="267" t="str">
        <f>GRAL!AF520</f>
        <v>M2</v>
      </c>
      <c r="P179" s="2" t="s">
        <v>68</v>
      </c>
      <c r="Q179" s="2"/>
    </row>
    <row r="180" spans="1:17" ht="45">
      <c r="A180" s="1"/>
      <c r="B180" s="1935"/>
      <c r="C180" s="1" t="str">
        <f>OBRA!BY519</f>
        <v>2018-2021</v>
      </c>
      <c r="D180" s="1">
        <f>OBRA!I519</f>
        <v>2020</v>
      </c>
      <c r="E180" s="1933" t="str">
        <f>OBRA!M519</f>
        <v>ADJUDICACIÓN DIRECTA</v>
      </c>
      <c r="F180" s="1971" t="str">
        <f>OBRA!L519</f>
        <v>GMJ 032C- OP/2020</v>
      </c>
      <c r="G180" s="3" t="str">
        <f>OBRA!N519</f>
        <v>"CONSTRUCCIÓN DE LÍNEA DE DRENAJE SANITARIO EN PRIVADA RAÚL RAMÍREZ", EN LA LOCALIDAD DE SAN JUAN COSALA DEL MUNICIPIO DE JOCOTEPEC, JALISCO.</v>
      </c>
      <c r="H180" s="1933" t="s">
        <v>4801</v>
      </c>
      <c r="I180" s="3" t="str">
        <f>OBRA!O519</f>
        <v>SAN JUAN COSALÁ</v>
      </c>
      <c r="J180" s="3" t="s">
        <v>4851</v>
      </c>
      <c r="K180" s="3" t="s">
        <v>4852</v>
      </c>
      <c r="L180" s="3" t="s">
        <v>4821</v>
      </c>
      <c r="M180" s="1937">
        <f>OBRA!AQ519+OBRA!AR519</f>
        <v>287771.57</v>
      </c>
      <c r="N180" s="267">
        <f>GRAL!AE521</f>
        <v>172.45</v>
      </c>
      <c r="O180" s="267" t="str">
        <f>GRAL!AF521</f>
        <v>ML</v>
      </c>
      <c r="P180" s="202" t="s">
        <v>5028</v>
      </c>
      <c r="Q180" s="2"/>
    </row>
    <row r="181" spans="1:17" ht="45">
      <c r="A181" s="1"/>
      <c r="B181" s="1935"/>
      <c r="C181" s="1" t="str">
        <f>OBRA!BY520</f>
        <v>2018-2021</v>
      </c>
      <c r="D181" s="1">
        <f>OBRA!I520</f>
        <v>2020</v>
      </c>
      <c r="E181" s="1933" t="str">
        <f>OBRA!M520</f>
        <v>ADJUDICACIÓN DIRECTA</v>
      </c>
      <c r="F181" s="1971" t="str">
        <f>OBRA!L520</f>
        <v>GMJ 033C- OP/2020</v>
      </c>
      <c r="G181" s="3" t="str">
        <f>OBRA!N520</f>
        <v>"REMOZAMIENTO Y MEJORAMIENTO DE IMAGEN URBANA EN EL TEMPLO DEL SEÑOR DEL MONTE” EN LA CABECERA MUNICIPAL DE JOCOTEPEC, JALISCO</v>
      </c>
      <c r="H181" s="1933" t="s">
        <v>4803</v>
      </c>
      <c r="I181" s="3" t="str">
        <f>OBRA!O520</f>
        <v>CABECERA MUNICIPAL</v>
      </c>
      <c r="J181" s="3" t="s">
        <v>2655</v>
      </c>
      <c r="K181" s="3" t="s">
        <v>4853</v>
      </c>
      <c r="L181" s="3" t="s">
        <v>68</v>
      </c>
      <c r="M181" s="1937">
        <f>OBRA!AQ520+OBRA!AR520</f>
        <v>1600000</v>
      </c>
      <c r="N181" s="267">
        <f>GRAL!AE522</f>
        <v>2832.99</v>
      </c>
      <c r="O181" s="267" t="str">
        <f>GRAL!AF522</f>
        <v>M2</v>
      </c>
      <c r="P181" s="2" t="s">
        <v>68</v>
      </c>
      <c r="Q181" s="2"/>
    </row>
    <row r="182" spans="1:17" ht="60.75" customHeight="1">
      <c r="A182" s="1"/>
      <c r="B182" s="1935"/>
      <c r="C182" s="1" t="str">
        <f>OBRA!BY521</f>
        <v>2018-2021</v>
      </c>
      <c r="D182" s="1">
        <f>OBRA!I521</f>
        <v>2020</v>
      </c>
      <c r="E182" s="1933" t="str">
        <f>OBRA!M521</f>
        <v>ADJUDICACIÓN DIRECTA</v>
      </c>
      <c r="F182" s="1971" t="str">
        <f>OBRA!L521</f>
        <v>GMJ 034C- OP/2020</v>
      </c>
      <c r="G182" s="3" t="str">
        <f>OBRA!N521</f>
        <v>"REHABILITACIÓN DE LÍNEAS HIDROSANITARIAS En CALLE CHAPULTEPEC ENTRE VICENTE GUERRERO Y CARRETERA FEDERAL Nº 15 ”, EN LA CABECERA MUNICIPAL DE JOCOTEPEC, JALISCO.</v>
      </c>
      <c r="H182" s="1933" t="s">
        <v>4807</v>
      </c>
      <c r="I182" s="3" t="str">
        <f>OBRA!O521</f>
        <v>CABECERA MUNICIPAL</v>
      </c>
      <c r="J182" s="3" t="s">
        <v>3183</v>
      </c>
      <c r="K182" s="3" t="s">
        <v>2564</v>
      </c>
      <c r="L182" s="3" t="s">
        <v>4820</v>
      </c>
      <c r="M182" s="1937">
        <f>OBRA!AQ521+OBRA!AR521</f>
        <v>911242.76</v>
      </c>
      <c r="N182" s="267">
        <f>GRAL!AE523</f>
        <v>598.44000000000005</v>
      </c>
      <c r="O182" s="267" t="str">
        <f>GRAL!AF523</f>
        <v>ML</v>
      </c>
      <c r="P182" s="1980" t="s">
        <v>5030</v>
      </c>
      <c r="Q182" s="1971" t="s">
        <v>5029</v>
      </c>
    </row>
    <row r="183" spans="1:17" ht="45.75" customHeight="1">
      <c r="A183" s="1"/>
      <c r="B183" s="1935"/>
      <c r="C183" s="1" t="str">
        <f>OBRA!BY522</f>
        <v>2018-2021</v>
      </c>
      <c r="D183" s="1">
        <f>OBRA!I522</f>
        <v>2020</v>
      </c>
      <c r="E183" s="1933" t="str">
        <f>OBRA!M522</f>
        <v>ADJUDICACIÓN DIRECTA</v>
      </c>
      <c r="F183" s="1971" t="str">
        <f>OBRA!L522</f>
        <v>GMJ 035C- OP/2020</v>
      </c>
      <c r="G183" s="3" t="str">
        <f>OBRA!N522</f>
        <v>OBRA CIVIL "REHABILITACIÓN DEL RASTRO MUNICIPAL 2DA ETAPA", DE LA CABECERA MUNICIPAL DE JOCOTEPEC, JALISCO.</v>
      </c>
      <c r="H183" s="1933" t="s">
        <v>4811</v>
      </c>
      <c r="I183" s="3" t="str">
        <f>OBRA!O522</f>
        <v>CABECERA MUNICIPAL</v>
      </c>
      <c r="J183" s="3" t="s">
        <v>3183</v>
      </c>
      <c r="K183" s="3" t="s">
        <v>2564</v>
      </c>
      <c r="L183" s="3" t="s">
        <v>4854</v>
      </c>
      <c r="M183" s="1972">
        <f>OBRA!P522</f>
        <v>537866.98</v>
      </c>
      <c r="N183" s="267">
        <f>GRAL!AE524</f>
        <v>0</v>
      </c>
      <c r="O183" s="267" t="str">
        <f>GRAL!AF524</f>
        <v>M2</v>
      </c>
      <c r="P183" s="2" t="s">
        <v>68</v>
      </c>
      <c r="Q183" s="2"/>
    </row>
    <row r="184" spans="1:17" ht="22.5" hidden="1">
      <c r="A184" s="1"/>
      <c r="B184" s="1"/>
      <c r="C184" s="1" t="str">
        <f>OBRA!BY523</f>
        <v>2018-2021</v>
      </c>
      <c r="D184" s="1">
        <f>OBRA!I523</f>
        <v>2020</v>
      </c>
      <c r="E184" s="1933" t="str">
        <f>OBRA!M523</f>
        <v>CANCELADA</v>
      </c>
      <c r="F184" s="1933" t="str">
        <f>OBRA!L523</f>
        <v>GMJ 036C- OP/2020</v>
      </c>
      <c r="G184" s="3" t="str">
        <f>OBRA!N523</f>
        <v>CONTRATO CANCELADO</v>
      </c>
      <c r="H184" s="1"/>
      <c r="I184" s="3">
        <f>OBRA!O523</f>
        <v>0</v>
      </c>
      <c r="J184" s="3"/>
      <c r="K184" s="3"/>
      <c r="L184" s="3"/>
      <c r="M184" s="1937">
        <f>OBRA!AQ523+OBRA!AR523</f>
        <v>0</v>
      </c>
      <c r="N184" s="1">
        <f>GRAL!AE525</f>
        <v>0</v>
      </c>
      <c r="O184" s="1">
        <f>GRAL!AF525</f>
        <v>0</v>
      </c>
      <c r="P184" s="1"/>
      <c r="Q184" s="1"/>
    </row>
    <row r="185" spans="1:17" ht="47.25" customHeight="1">
      <c r="A185" s="1"/>
      <c r="B185" s="1935"/>
      <c r="C185" s="1" t="str">
        <f>OBRA!BY524</f>
        <v>2018-2021</v>
      </c>
      <c r="D185" s="1">
        <f>OBRA!I524</f>
        <v>2020</v>
      </c>
      <c r="E185" s="1933" t="str">
        <f>OBRA!M524</f>
        <v>ADJUDICACIÓN DIRECTA</v>
      </c>
      <c r="F185" s="1971" t="str">
        <f>OBRA!L524</f>
        <v>GMJ 037C- OP/2020</v>
      </c>
      <c r="G185" s="3" t="str">
        <f>OBRA!N524</f>
        <v>"CONSTRUCCIÓN DE BANQUETAS EN UNIDAD DEPORTIVA ZARAGOZA” EN LA CABECERA MUNICIPAL DE JOCOTEPEC, JALISCO.</v>
      </c>
      <c r="H185" s="1933" t="s">
        <v>4802</v>
      </c>
      <c r="I185" s="3" t="str">
        <f>OBRA!O524</f>
        <v>CABECERA MUNICIPAL</v>
      </c>
      <c r="J185" s="3" t="s">
        <v>2733</v>
      </c>
      <c r="K185" s="3" t="s">
        <v>4737</v>
      </c>
      <c r="L185" s="3" t="s">
        <v>2571</v>
      </c>
      <c r="M185" s="1937">
        <f>OBRA!AQ524+OBRA!AR524</f>
        <v>229496.26</v>
      </c>
      <c r="N185" s="267">
        <f>GRAL!AE526</f>
        <v>251.6</v>
      </c>
      <c r="O185" s="267" t="str">
        <f>GRAL!AF526</f>
        <v>M2</v>
      </c>
      <c r="P185" s="202" t="s">
        <v>5031</v>
      </c>
      <c r="Q185" s="2"/>
    </row>
    <row r="186" spans="1:17" ht="75">
      <c r="A186" s="1"/>
      <c r="B186" s="1935"/>
      <c r="C186" s="1" t="str">
        <f>OBRA!BY525</f>
        <v>2018-2021</v>
      </c>
      <c r="D186" s="1">
        <f>OBRA!I525</f>
        <v>2020</v>
      </c>
      <c r="E186" s="1933" t="str">
        <f>OBRA!M525</f>
        <v>ADJUDICACIÓN DIRECTA</v>
      </c>
      <c r="F186" s="1971"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933" t="s">
        <v>4799</v>
      </c>
      <c r="I186" s="3" t="str">
        <f>OBRA!O525</f>
        <v>POTRERILLOS</v>
      </c>
      <c r="J186" s="328" t="s">
        <v>4698</v>
      </c>
      <c r="K186" s="328" t="s">
        <v>68</v>
      </c>
      <c r="L186" s="328" t="s">
        <v>68</v>
      </c>
      <c r="M186" s="1972">
        <f>OBRA!P525</f>
        <v>868714.16</v>
      </c>
      <c r="N186" s="267">
        <f>GRAL!AE527</f>
        <v>462.05</v>
      </c>
      <c r="O186" s="267" t="str">
        <f>GRAL!AF527</f>
        <v>M2</v>
      </c>
      <c r="P186" s="2" t="s">
        <v>68</v>
      </c>
      <c r="Q186" s="2"/>
    </row>
    <row r="187" spans="1:17" ht="90" hidden="1">
      <c r="A187" s="1"/>
      <c r="B187" s="1"/>
      <c r="C187" s="1" t="str">
        <f>OBRA!BY526</f>
        <v>2018-2021</v>
      </c>
      <c r="D187" s="1">
        <f>OBRA!I526</f>
        <v>2021</v>
      </c>
      <c r="E187" s="1933" t="str">
        <f>OBRA!M526</f>
        <v>CONVENIO</v>
      </c>
      <c r="F187" s="1933"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937">
        <f>OBRA!AQ526+OBRA!AR526</f>
        <v>0</v>
      </c>
      <c r="N187" s="1" t="str">
        <f>GRAL!AE528</f>
        <v>-</v>
      </c>
      <c r="O187" s="1" t="str">
        <f>GRAL!AF528</f>
        <v>-</v>
      </c>
      <c r="P187" s="1"/>
      <c r="Q187" s="1"/>
    </row>
    <row r="188" spans="1:17" ht="45" hidden="1">
      <c r="A188" s="1"/>
      <c r="B188" s="1"/>
      <c r="C188" s="1" t="str">
        <f>OBRA!BY527</f>
        <v>2018-2021</v>
      </c>
      <c r="D188" s="1">
        <f>OBRA!I527</f>
        <v>2021</v>
      </c>
      <c r="E188" s="1933" t="str">
        <f>OBRA!M527</f>
        <v>CANCELADA</v>
      </c>
      <c r="F188" s="1933"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937">
        <f>OBRA!AQ527+OBRA!AR527</f>
        <v>0</v>
      </c>
      <c r="N188" s="1">
        <f>GRAL!AE529</f>
        <v>0</v>
      </c>
      <c r="O188" s="1">
        <f>GRAL!AF529</f>
        <v>0</v>
      </c>
      <c r="P188" s="1"/>
      <c r="Q188" s="1"/>
    </row>
    <row r="189" spans="1:17" ht="80.25" customHeight="1">
      <c r="A189" s="1"/>
      <c r="B189" s="1935"/>
      <c r="C189" s="1" t="str">
        <f>OBRA!BY528</f>
        <v>2018-2021</v>
      </c>
      <c r="D189" s="1">
        <f>OBRA!I528</f>
        <v>2021</v>
      </c>
      <c r="E189" s="1933" t="str">
        <f>OBRA!M528</f>
        <v>ADMINISTRACIÓN DIRECTA</v>
      </c>
      <c r="F189" s="1971"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933" t="s">
        <v>4803</v>
      </c>
      <c r="I189" s="3" t="str">
        <f>OBRA!O528</f>
        <v>ZAPOTITÁN DE HIDALGO</v>
      </c>
      <c r="J189" s="328" t="s">
        <v>4951</v>
      </c>
      <c r="K189" s="328" t="s">
        <v>68</v>
      </c>
      <c r="L189" s="328" t="s">
        <v>68</v>
      </c>
      <c r="M189" s="1937">
        <f>OBRA!AQ528+OBRA!AR528</f>
        <v>693456.15999999992</v>
      </c>
      <c r="N189" s="267">
        <f>GRAL!AE530</f>
        <v>567.16999999999996</v>
      </c>
      <c r="O189" s="267" t="str">
        <f>GRAL!AF530</f>
        <v>M2</v>
      </c>
      <c r="P189" s="2" t="s">
        <v>4981</v>
      </c>
      <c r="Q189" s="2"/>
    </row>
    <row r="190" spans="1:17" ht="75">
      <c r="A190" s="1"/>
      <c r="B190" s="1935"/>
      <c r="C190" s="1" t="str">
        <f>OBRA!BY529</f>
        <v>2018-2021</v>
      </c>
      <c r="D190" s="1">
        <f>OBRA!I529</f>
        <v>2021</v>
      </c>
      <c r="E190" s="1933" t="str">
        <f>OBRA!M529</f>
        <v>ADMINISTRACIÓN DIRECTA</v>
      </c>
      <c r="F190" s="1971"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933" t="s">
        <v>4807</v>
      </c>
      <c r="I190" s="3" t="str">
        <f>OBRA!O529</f>
        <v>CABECERA MUNICIPAL</v>
      </c>
      <c r="J190" s="3" t="s">
        <v>2524</v>
      </c>
      <c r="K190" s="3" t="s">
        <v>4842</v>
      </c>
      <c r="L190" s="3" t="s">
        <v>2602</v>
      </c>
      <c r="M190" s="1972">
        <f>OBRA!P529</f>
        <v>174639.07</v>
      </c>
      <c r="N190" s="267">
        <f>GRAL!AE531</f>
        <v>48.83</v>
      </c>
      <c r="O190" s="267" t="str">
        <f>GRAL!AF531</f>
        <v>ML</v>
      </c>
      <c r="P190" s="2" t="s">
        <v>4982</v>
      </c>
      <c r="Q190" s="2"/>
    </row>
    <row r="191" spans="1:17" ht="45">
      <c r="A191" s="1"/>
      <c r="B191" s="1935"/>
      <c r="C191" s="1" t="str">
        <f>OBRA!BY530</f>
        <v>2018-2021</v>
      </c>
      <c r="D191" s="1">
        <f>OBRA!I530</f>
        <v>2021</v>
      </c>
      <c r="E191" s="1933" t="str">
        <f>OBRA!M530</f>
        <v>ADMINISTRACIÓN DIRECTA</v>
      </c>
      <c r="F191" s="1971" t="str">
        <f>OBRA!L530</f>
        <v>DOP/AD/004/2021</v>
      </c>
      <c r="G191" s="3" t="str">
        <f>OBRA!N530</f>
        <v>"REHABILITACIÓN DE PISOS EN AULAS DE LA ESCUELA PRIMARIA JOSE SANTANA", EN LA CABECERA MUNICIPAL DE JOCOTEPEC, JALISCO.</v>
      </c>
      <c r="H191" s="1933" t="s">
        <v>4813</v>
      </c>
      <c r="I191" s="3" t="str">
        <f>OBRA!O530</f>
        <v>CABECERA MUNICIPAL</v>
      </c>
      <c r="J191" s="3" t="s">
        <v>4855</v>
      </c>
      <c r="K191" s="3" t="s">
        <v>68</v>
      </c>
      <c r="L191" s="3" t="s">
        <v>68</v>
      </c>
      <c r="M191" s="1972">
        <f>OBRA!P530</f>
        <v>27000</v>
      </c>
      <c r="N191" s="267">
        <f>GRAL!AE532</f>
        <v>0</v>
      </c>
      <c r="O191" s="267" t="str">
        <f>GRAL!AF532</f>
        <v>M2</v>
      </c>
      <c r="P191" s="2" t="s">
        <v>68</v>
      </c>
      <c r="Q191" s="2"/>
    </row>
    <row r="192" spans="1:17" ht="60">
      <c r="A192" s="1"/>
      <c r="B192" s="1935"/>
      <c r="C192" s="1" t="str">
        <f>OBRA!BY531</f>
        <v>2018-2021</v>
      </c>
      <c r="D192" s="1">
        <f>OBRA!I531</f>
        <v>2021</v>
      </c>
      <c r="E192" s="1933" t="str">
        <f>OBRA!M531</f>
        <v>ADMINISTRACIÓN DIRECTA</v>
      </c>
      <c r="F192" s="1971" t="str">
        <f>OBRA!L531</f>
        <v>DOP/AD/005/2021</v>
      </c>
      <c r="G192" s="3" t="str">
        <f>OBRA!N531</f>
        <v>"MANO DE OBRA PARA LA REACTIVACIÓN DE LÍNEAS HIDROSANITARIAS EN CALLE JUÁREZ, CALLE 30 DE SEPTIEMBRE Y C. 5 DE MAYO", EN LA DELEGACIÓN DE HUEJOTITÁN, DEL MUNICIPIO DE JOCOTEPEC, JALISCO.</v>
      </c>
      <c r="H192" s="1933" t="s">
        <v>4807</v>
      </c>
      <c r="I192" s="3" t="str">
        <f>OBRA!O531</f>
        <v>HUEJOTITÁN</v>
      </c>
      <c r="J192" s="3" t="s">
        <v>4856</v>
      </c>
      <c r="K192" s="3" t="s">
        <v>68</v>
      </c>
      <c r="L192" s="3" t="s">
        <v>68</v>
      </c>
      <c r="M192" s="1972">
        <f>OBRA!P531</f>
        <v>266000</v>
      </c>
      <c r="N192" s="267">
        <f>GRAL!AE533</f>
        <v>652</v>
      </c>
      <c r="O192" s="267" t="str">
        <f>GRAL!AF533</f>
        <v>ML</v>
      </c>
      <c r="P192" s="2" t="s">
        <v>4983</v>
      </c>
      <c r="Q192" s="2"/>
    </row>
    <row r="193" spans="1:17" hidden="1">
      <c r="A193" s="1"/>
      <c r="B193" s="1"/>
      <c r="C193" s="1" t="str">
        <f>OBRA!BY532</f>
        <v>2018-2021</v>
      </c>
      <c r="D193" s="1">
        <f>OBRA!I532</f>
        <v>2021</v>
      </c>
      <c r="E193" s="1933" t="str">
        <f>OBRA!M532</f>
        <v>CANCELADA</v>
      </c>
      <c r="F193" s="1933" t="str">
        <f>OBRA!L532</f>
        <v>DOP/AD/006/2021</v>
      </c>
      <c r="G193" s="3">
        <f>OBRA!N532</f>
        <v>0</v>
      </c>
      <c r="H193" s="1"/>
      <c r="I193" s="3">
        <f>OBRA!O532</f>
        <v>0</v>
      </c>
      <c r="J193" s="3"/>
      <c r="K193" s="3"/>
      <c r="L193" s="3"/>
      <c r="M193" s="1937">
        <f>OBRA!AQ532+OBRA!AR532</f>
        <v>0</v>
      </c>
      <c r="N193" s="1">
        <f>GRAL!AE534</f>
        <v>0</v>
      </c>
      <c r="O193" s="1">
        <f>GRAL!AF534</f>
        <v>0</v>
      </c>
      <c r="P193" s="1"/>
      <c r="Q193" s="1"/>
    </row>
    <row r="194" spans="1:17" ht="45" hidden="1">
      <c r="A194" s="1"/>
      <c r="B194" s="1"/>
      <c r="C194" s="1" t="str">
        <f>OBRA!BY533</f>
        <v>2018-2021</v>
      </c>
      <c r="D194" s="1">
        <f>OBRA!I533</f>
        <v>2021</v>
      </c>
      <c r="E194" s="1933" t="str">
        <f>OBRA!M533</f>
        <v>CANCELADA</v>
      </c>
      <c r="F194" s="1933"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937">
        <f>OBRA!AQ533+OBRA!AR533</f>
        <v>0</v>
      </c>
      <c r="N194" s="1">
        <f>GRAL!AE535</f>
        <v>0</v>
      </c>
      <c r="O194" s="1">
        <f>GRAL!AF535</f>
        <v>0</v>
      </c>
      <c r="P194" s="1"/>
      <c r="Q194" s="1"/>
    </row>
    <row r="195" spans="1:17" ht="60">
      <c r="A195" s="1"/>
      <c r="B195" s="1935"/>
      <c r="C195" s="1" t="str">
        <f>OBRA!BY534</f>
        <v>2018-2021</v>
      </c>
      <c r="D195" s="1">
        <f>OBRA!I534</f>
        <v>2021</v>
      </c>
      <c r="E195" s="1933" t="str">
        <f>OBRA!M534</f>
        <v>ADMINISTRACIÓN DIRECTA</v>
      </c>
      <c r="F195" s="1971" t="str">
        <f>OBRA!L534</f>
        <v>DOP/AD/008/2021</v>
      </c>
      <c r="G195" s="3" t="str">
        <f>OBRA!N534</f>
        <v>"CONSTRUCCIÓN DE DRENAJE SANITARIO EN PRIVADA FRANCISCO VILLA DE LA CALLE 1RO DE MAYO A CERRADA" EN LA DELEGACIÓN DE LA LOMA, EN EL MUNICIPIO DE JOCOTEPEC, JALISCO.</v>
      </c>
      <c r="H195" s="1933" t="s">
        <v>4801</v>
      </c>
      <c r="I195" s="3" t="str">
        <f>OBRA!O534</f>
        <v>LA LOMA</v>
      </c>
      <c r="J195" s="3" t="s">
        <v>4708</v>
      </c>
      <c r="K195" s="3" t="s">
        <v>4840</v>
      </c>
      <c r="L195" s="3" t="s">
        <v>4821</v>
      </c>
      <c r="M195" s="1972">
        <f>OBRA!P534</f>
        <v>113778.58</v>
      </c>
      <c r="N195" s="267">
        <f>GRAL!AE536</f>
        <v>62</v>
      </c>
      <c r="O195" s="267" t="str">
        <f>GRAL!AF536</f>
        <v>ML</v>
      </c>
      <c r="P195" s="2" t="s">
        <v>4984</v>
      </c>
      <c r="Q195" s="2"/>
    </row>
    <row r="196" spans="1:17" ht="60" hidden="1">
      <c r="A196" s="1"/>
      <c r="B196" s="1"/>
      <c r="C196" s="1" t="str">
        <f>OBRA!BY535</f>
        <v>2018-2021</v>
      </c>
      <c r="D196" s="1">
        <f>OBRA!I535</f>
        <v>2021</v>
      </c>
      <c r="E196" s="1933" t="str">
        <f>OBRA!M535</f>
        <v>CANCELADA</v>
      </c>
      <c r="F196" s="1933"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937">
        <f>OBRA!AQ535+OBRA!AR535</f>
        <v>0</v>
      </c>
      <c r="N196" s="1">
        <f>GRAL!AE537</f>
        <v>0</v>
      </c>
      <c r="O196" s="1">
        <f>GRAL!AF537</f>
        <v>0</v>
      </c>
      <c r="P196" s="1"/>
      <c r="Q196" s="1"/>
    </row>
    <row r="197" spans="1:17" hidden="1">
      <c r="A197" s="1"/>
      <c r="B197" s="1"/>
      <c r="C197" s="1" t="str">
        <f>OBRA!BY536</f>
        <v>2018-2021</v>
      </c>
      <c r="D197" s="1">
        <f>OBRA!I536</f>
        <v>2021</v>
      </c>
      <c r="E197" s="1933" t="str">
        <f>OBRA!M536</f>
        <v>CANCELADA</v>
      </c>
      <c r="F197" s="1933" t="str">
        <f>OBRA!L536</f>
        <v>DOP/AD/010/2021</v>
      </c>
      <c r="G197" s="3">
        <f>OBRA!N536</f>
        <v>0</v>
      </c>
      <c r="H197" s="1"/>
      <c r="I197" s="3">
        <f>OBRA!O536</f>
        <v>0</v>
      </c>
      <c r="J197" s="3"/>
      <c r="K197" s="3"/>
      <c r="L197" s="3"/>
      <c r="M197" s="1937">
        <f>OBRA!AQ536+OBRA!AR536</f>
        <v>0</v>
      </c>
      <c r="N197" s="1">
        <f>GRAL!AE538</f>
        <v>0</v>
      </c>
      <c r="O197" s="1">
        <f>GRAL!AF538</f>
        <v>0</v>
      </c>
      <c r="P197" s="1"/>
      <c r="Q197" s="1"/>
    </row>
    <row r="198" spans="1:17" ht="117" customHeight="1">
      <c r="A198" s="1"/>
      <c r="B198" s="1935"/>
      <c r="C198" s="1" t="str">
        <f>OBRA!BY537</f>
        <v>2018-2021</v>
      </c>
      <c r="D198" s="1">
        <f>OBRA!I537</f>
        <v>2021</v>
      </c>
      <c r="E198" s="1933" t="str">
        <f>OBRA!M537</f>
        <v>ADMINISTRACIÓN DIRECTA</v>
      </c>
      <c r="F198" s="1971"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933" t="s">
        <v>4803</v>
      </c>
      <c r="I198" s="3" t="str">
        <f>OBRA!O537</f>
        <v>CABECERA MUNICIPAL</v>
      </c>
      <c r="J198" s="3" t="s">
        <v>2655</v>
      </c>
      <c r="K198" s="3" t="s">
        <v>4853</v>
      </c>
      <c r="L198" s="3" t="s">
        <v>68</v>
      </c>
      <c r="M198" s="1972">
        <f>OBRA!P537</f>
        <v>271040</v>
      </c>
      <c r="N198" s="267">
        <f>GRAL!AE539</f>
        <v>536.30999999999995</v>
      </c>
      <c r="O198" s="267" t="str">
        <f>GRAL!AF539</f>
        <v>M2</v>
      </c>
      <c r="P198" s="2" t="s">
        <v>4985</v>
      </c>
      <c r="Q198" s="2"/>
    </row>
    <row r="199" spans="1:17" ht="30" hidden="1">
      <c r="A199" s="1"/>
      <c r="B199" s="1"/>
      <c r="C199" s="1" t="str">
        <f>OBRA!BY538</f>
        <v>2018-2021</v>
      </c>
      <c r="D199" s="1">
        <f>OBRA!I538</f>
        <v>2021</v>
      </c>
      <c r="E199" s="1933" t="str">
        <f>OBRA!M538</f>
        <v>CANCELADA</v>
      </c>
      <c r="F199" s="1933" t="str">
        <f>OBRA!L538</f>
        <v>DOP/AD/012/2021</v>
      </c>
      <c r="G199" s="3" t="str">
        <f>OBRA!N538</f>
        <v>“COMPLEMENTO DE OBRA CIVIL EN EL RASTRO MUNICIPAL”, DE LA CABECERA MUNICIPAL DE JOCOTEPEC, JALISCO.</v>
      </c>
      <c r="H199" s="1"/>
      <c r="I199" s="3">
        <f>OBRA!O538</f>
        <v>0</v>
      </c>
      <c r="J199" s="3"/>
      <c r="K199" s="3"/>
      <c r="L199" s="3"/>
      <c r="M199" s="1937">
        <f>OBRA!AQ538+OBRA!AR538</f>
        <v>0</v>
      </c>
      <c r="N199" s="1">
        <f>GRAL!AE540</f>
        <v>0</v>
      </c>
      <c r="O199" s="1">
        <f>GRAL!AF540</f>
        <v>0</v>
      </c>
      <c r="P199" s="1"/>
      <c r="Q199" s="1"/>
    </row>
    <row r="200" spans="1:17" ht="75">
      <c r="A200" s="1"/>
      <c r="B200" s="1935"/>
      <c r="C200" s="1" t="str">
        <f>OBRA!BY539</f>
        <v>2018-2021</v>
      </c>
      <c r="D200" s="1">
        <f>OBRA!I539</f>
        <v>2021</v>
      </c>
      <c r="E200" s="1933" t="str">
        <f>OBRA!M539</f>
        <v>ADMINISTRACIÓN DIRECTA</v>
      </c>
      <c r="F200" s="1971"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933" t="s">
        <v>4806</v>
      </c>
      <c r="I200" s="3" t="str">
        <f>OBRA!O539</f>
        <v>CABECERA MUNICIPAL</v>
      </c>
      <c r="J200" s="3" t="s">
        <v>4882</v>
      </c>
      <c r="K200" s="328" t="s">
        <v>4854</v>
      </c>
      <c r="L200" s="780" t="s">
        <v>68</v>
      </c>
      <c r="M200" s="1972">
        <f>OBRA!P539</f>
        <v>168528.09</v>
      </c>
      <c r="N200" s="267">
        <f>GRAL!AE541</f>
        <v>561.4</v>
      </c>
      <c r="O200" s="267" t="str">
        <f>GRAL!AF541</f>
        <v>M2</v>
      </c>
      <c r="P200" s="1971" t="s">
        <v>4986</v>
      </c>
      <c r="Q200" s="2"/>
    </row>
    <row r="201" spans="1:17" ht="45">
      <c r="A201" s="1"/>
      <c r="B201" s="1935"/>
      <c r="C201" s="1" t="str">
        <f>OBRA!BY540</f>
        <v>2018-2021</v>
      </c>
      <c r="D201" s="1">
        <f>OBRA!I540</f>
        <v>2021</v>
      </c>
      <c r="E201" s="1933" t="str">
        <f>OBRA!M540</f>
        <v>ADMINISTRACIÓN DIRECTA</v>
      </c>
      <c r="F201" s="1971" t="str">
        <f>OBRA!L540</f>
        <v>DOP/AD/014/2021</v>
      </c>
      <c r="G201" s="3" t="str">
        <f>OBRA!N540</f>
        <v>CONSTRUCCIÓN DE EMPEDRADO ZAMPEADO EN VIALIDAD CALLE GUAYABITOS, EN LA LOCALIDAD DE CHANTEPEC, DEL MUNICIPIO DE JOCOTEPEC, JALISCO.</v>
      </c>
      <c r="H201" s="1933" t="s">
        <v>4806</v>
      </c>
      <c r="I201" s="3" t="str">
        <f>OBRA!O540</f>
        <v>CHANTEPEC</v>
      </c>
      <c r="J201" s="3" t="s">
        <v>4118</v>
      </c>
      <c r="K201" s="3" t="s">
        <v>2602</v>
      </c>
      <c r="L201" s="3" t="s">
        <v>4751</v>
      </c>
      <c r="M201" s="1972">
        <f>OBRA!P540</f>
        <v>80674.649999999994</v>
      </c>
      <c r="N201" s="267">
        <f>GRAL!AE542</f>
        <v>231</v>
      </c>
      <c r="O201" s="267" t="str">
        <f>GRAL!AF542</f>
        <v>M2</v>
      </c>
      <c r="P201" s="2" t="s">
        <v>4987</v>
      </c>
      <c r="Q201" s="2"/>
    </row>
    <row r="202" spans="1:17" ht="42" customHeight="1">
      <c r="A202" s="1"/>
      <c r="B202" s="1935"/>
      <c r="C202" s="1" t="str">
        <f>OBRA!BY541</f>
        <v>2018-2021</v>
      </c>
      <c r="D202" s="1">
        <f>OBRA!I541</f>
        <v>2021</v>
      </c>
      <c r="E202" s="1933" t="str">
        <f>OBRA!M541</f>
        <v>ADMINISTRACIÓN DIRECTA</v>
      </c>
      <c r="F202" s="1971" t="str">
        <f>OBRA!L541</f>
        <v>DOP/AD/015/2021</v>
      </c>
      <c r="G202" s="3" t="str">
        <f>OBRA!N541</f>
        <v>CONSTRUCCIÓN DE EMPEDRADO ZAMPEADO EN LA LOCALIDAD DE LA LOMA</v>
      </c>
      <c r="H202" s="1933" t="s">
        <v>4806</v>
      </c>
      <c r="I202" s="3" t="str">
        <f>OBRA!O541</f>
        <v>LA LOMA</v>
      </c>
      <c r="J202" s="328" t="s">
        <v>4952</v>
      </c>
      <c r="K202" s="328" t="s">
        <v>68</v>
      </c>
      <c r="L202" s="328" t="s">
        <v>68</v>
      </c>
      <c r="M202" s="1972">
        <f>OBRA!P541</f>
        <v>966321.38</v>
      </c>
      <c r="N202" s="267">
        <f>GRAL!AE543</f>
        <v>2672.24</v>
      </c>
      <c r="O202" s="267" t="str">
        <f>GRAL!AF543</f>
        <v>M2</v>
      </c>
      <c r="P202" s="2" t="s">
        <v>4987</v>
      </c>
      <c r="Q202" s="2"/>
    </row>
    <row r="203" spans="1:17" ht="56.25" customHeight="1">
      <c r="A203" s="1"/>
      <c r="B203" s="1935"/>
      <c r="C203" s="1" t="str">
        <f>OBRA!BY542</f>
        <v>2018-2021</v>
      </c>
      <c r="D203" s="1">
        <f>OBRA!I542</f>
        <v>2021</v>
      </c>
      <c r="E203" s="1933" t="str">
        <f>OBRA!M542</f>
        <v>ADMINISTRACIÓN DIRECTA</v>
      </c>
      <c r="F203" s="1971" t="str">
        <f>OBRA!L542</f>
        <v>DOP/AD/016/2021</v>
      </c>
      <c r="G203" s="3" t="str">
        <f>OBRA!N542</f>
        <v>CONSTRUCCIÓN DE EMPEDRADO ZAMPEADO EN LA LOCALIDAD DE LA SAN JUAN COSALA</v>
      </c>
      <c r="H203" s="1933" t="s">
        <v>4806</v>
      </c>
      <c r="I203" s="3" t="str">
        <f>OBRA!O542</f>
        <v>SAN JUAN COSALÁ</v>
      </c>
      <c r="J203" s="328" t="s">
        <v>4953</v>
      </c>
      <c r="K203" s="328" t="s">
        <v>68</v>
      </c>
      <c r="L203" s="328" t="s">
        <v>68</v>
      </c>
      <c r="M203" s="1972">
        <f>OBRA!P542</f>
        <v>831652.39</v>
      </c>
      <c r="N203" s="267">
        <f>GRAL!AE544</f>
        <v>2278.63</v>
      </c>
      <c r="O203" s="267" t="str">
        <f>GRAL!AF544</f>
        <v>M2</v>
      </c>
      <c r="P203" s="2" t="s">
        <v>4987</v>
      </c>
      <c r="Q203" s="2"/>
    </row>
    <row r="204" spans="1:17" ht="30">
      <c r="A204" s="1"/>
      <c r="B204" s="1935"/>
      <c r="C204" s="1" t="str">
        <f>OBRA!BY543</f>
        <v>2018-2021</v>
      </c>
      <c r="D204" s="1">
        <f>OBRA!I543</f>
        <v>2021</v>
      </c>
      <c r="E204" s="1933" t="str">
        <f>OBRA!M543</f>
        <v>ADMINISTRACIÓN DIRECTA</v>
      </c>
      <c r="F204" s="1971" t="str">
        <f>OBRA!L543</f>
        <v>DOP/AD/017/2021</v>
      </c>
      <c r="G204" s="3" t="str">
        <f>OBRA!N543</f>
        <v>CONSTRUCCIÓN DE EMPEDRADO ZAMPEADO EN LA LOCALIDAD DE LA NEXTIPAC</v>
      </c>
      <c r="H204" s="1933" t="s">
        <v>4806</v>
      </c>
      <c r="I204" s="3" t="str">
        <f>OBRA!O543</f>
        <v>NEXTIPAC</v>
      </c>
      <c r="J204" s="328" t="s">
        <v>4954</v>
      </c>
      <c r="K204" s="328" t="s">
        <v>68</v>
      </c>
      <c r="L204" s="328" t="s">
        <v>68</v>
      </c>
      <c r="M204" s="1972">
        <f>OBRA!P543</f>
        <v>1965177.84</v>
      </c>
      <c r="N204" s="267">
        <f>GRAL!AE545</f>
        <v>5565.6399999999994</v>
      </c>
      <c r="O204" s="267" t="str">
        <f>GRAL!AF545</f>
        <v>M2</v>
      </c>
      <c r="P204" s="2" t="s">
        <v>4987</v>
      </c>
      <c r="Q204" s="2"/>
    </row>
    <row r="205" spans="1:17" ht="81.75" customHeight="1">
      <c r="A205" s="1"/>
      <c r="B205" s="1935"/>
      <c r="C205" s="1" t="str">
        <f>OBRA!BY544</f>
        <v>2018-2021</v>
      </c>
      <c r="D205" s="1">
        <f>OBRA!I544</f>
        <v>2021</v>
      </c>
      <c r="E205" s="1933" t="str">
        <f>OBRA!M544</f>
        <v>ADMINISTRACIÓN DIRECTA</v>
      </c>
      <c r="F205" s="1971"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933" t="s">
        <v>4806</v>
      </c>
      <c r="I205" s="3" t="str">
        <f>OBRA!O544</f>
        <v>EL MOLINO</v>
      </c>
      <c r="J205" s="3" t="s">
        <v>4121</v>
      </c>
      <c r="K205" s="3" t="s">
        <v>4857</v>
      </c>
      <c r="L205" s="3" t="s">
        <v>4848</v>
      </c>
      <c r="M205" s="1972">
        <f>OBRA!P544</f>
        <v>643795.13</v>
      </c>
      <c r="N205" s="267">
        <f>GRAL!AE546</f>
        <v>1782.99</v>
      </c>
      <c r="O205" s="267" t="str">
        <f>GRAL!AF546</f>
        <v>M2</v>
      </c>
      <c r="P205" s="2" t="s">
        <v>4987</v>
      </c>
      <c r="Q205" s="2"/>
    </row>
    <row r="206" spans="1:17" ht="78" customHeight="1">
      <c r="A206" s="1"/>
      <c r="B206" s="1935"/>
      <c r="C206" s="1" t="str">
        <f>OBRA!BY545</f>
        <v>2018-2021</v>
      </c>
      <c r="D206" s="1">
        <f>OBRA!I545</f>
        <v>2021</v>
      </c>
      <c r="E206" s="1933" t="str">
        <f>OBRA!M545</f>
        <v>ADMINISTRACIÓN DIRECTA</v>
      </c>
      <c r="F206" s="1971" t="str">
        <f>OBRA!L545</f>
        <v>DOP/AD/019/2021</v>
      </c>
      <c r="G206" s="3" t="str">
        <f>OBRA!N545</f>
        <v>CONSTRUCCIÓN DE EMPEDRADO ZAMPEADO EN VIALIDAD CALLE LIBERTAD DE KM 0+000.00 AL KM 0+221.00 (ENTRE BENITO JUAREZ A ESMERALDA), EN LA LOCALIDAD DE POTRERILLOS DEL MUNICIPIO DE JOCOTEPEC, JALISCO.</v>
      </c>
      <c r="H206" s="1933" t="s">
        <v>4806</v>
      </c>
      <c r="I206" s="3" t="str">
        <f>OBRA!O545</f>
        <v>POTRERILLOS</v>
      </c>
      <c r="J206" s="3" t="s">
        <v>3186</v>
      </c>
      <c r="K206" s="3" t="s">
        <v>4774</v>
      </c>
      <c r="L206" s="3" t="s">
        <v>4858</v>
      </c>
      <c r="M206" s="1972">
        <f>OBRA!P545</f>
        <v>512378.61</v>
      </c>
      <c r="N206" s="267">
        <f>GRAL!AE547</f>
        <v>1361.3</v>
      </c>
      <c r="O206" s="267" t="str">
        <f>GRAL!AF547</f>
        <v>M2</v>
      </c>
      <c r="P206" s="2" t="s">
        <v>4987</v>
      </c>
      <c r="Q206" s="2"/>
    </row>
    <row r="207" spans="1:17" hidden="1">
      <c r="A207" s="1"/>
      <c r="B207" s="1"/>
      <c r="C207" s="1" t="str">
        <f>OBRA!BY546</f>
        <v>2018-2021</v>
      </c>
      <c r="D207" s="1">
        <f>OBRA!I546</f>
        <v>2021</v>
      </c>
      <c r="E207" s="1933" t="str">
        <f>OBRA!M546</f>
        <v>CANCELADA</v>
      </c>
      <c r="F207" s="1933" t="str">
        <f>OBRA!L546</f>
        <v>DOP/AD/020/2021</v>
      </c>
      <c r="G207" s="3">
        <f>OBRA!N546</f>
        <v>0</v>
      </c>
      <c r="H207" s="1"/>
      <c r="I207" s="3">
        <f>OBRA!O546</f>
        <v>0</v>
      </c>
      <c r="J207" s="3"/>
      <c r="K207" s="3"/>
      <c r="L207" s="3"/>
      <c r="M207" s="1937">
        <f>OBRA!AQ546+OBRA!AR546</f>
        <v>0</v>
      </c>
      <c r="N207" s="1">
        <f>GRAL!AE548</f>
        <v>0</v>
      </c>
      <c r="O207" s="1">
        <f>GRAL!AF548</f>
        <v>0</v>
      </c>
      <c r="P207" s="1"/>
      <c r="Q207" s="1"/>
    </row>
    <row r="208" spans="1:17" ht="45" hidden="1">
      <c r="A208" s="1"/>
      <c r="B208" s="1"/>
      <c r="C208" s="1" t="str">
        <f>OBRA!BY547</f>
        <v>2018-2021</v>
      </c>
      <c r="D208" s="1">
        <f>OBRA!I547</f>
        <v>2021</v>
      </c>
      <c r="E208" s="1933" t="str">
        <f>OBRA!M547</f>
        <v>ARRENDAMIENTO</v>
      </c>
      <c r="F208" s="1933"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937">
        <f>OBRA!AQ547+OBRA!AR547</f>
        <v>0</v>
      </c>
      <c r="N208" s="1">
        <f>GRAL!AE549</f>
        <v>0</v>
      </c>
      <c r="O208" s="1">
        <f>GRAL!AF549</f>
        <v>0</v>
      </c>
      <c r="P208" s="1"/>
      <c r="Q208" s="1"/>
    </row>
    <row r="209" spans="1:17" ht="45" hidden="1">
      <c r="A209" s="1"/>
      <c r="B209" s="1"/>
      <c r="C209" s="1" t="str">
        <f>OBRA!BY548</f>
        <v>2018-2021</v>
      </c>
      <c r="D209" s="1">
        <f>OBRA!I548</f>
        <v>2021</v>
      </c>
      <c r="E209" s="1933" t="str">
        <f>OBRA!M548</f>
        <v>ARRENDAMIENTO</v>
      </c>
      <c r="F209" s="1933"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937">
        <f>OBRA!AQ548+OBRA!AR548</f>
        <v>0</v>
      </c>
      <c r="N209" s="1">
        <f>GRAL!AE550</f>
        <v>0</v>
      </c>
      <c r="O209" s="1">
        <f>GRAL!AF550</f>
        <v>0</v>
      </c>
      <c r="P209" s="1"/>
      <c r="Q209" s="1"/>
    </row>
    <row r="210" spans="1:17" ht="22.5" hidden="1">
      <c r="A210" s="1"/>
      <c r="B210" s="1935"/>
      <c r="C210" s="1" t="str">
        <f>OBRA!BY549</f>
        <v>2018-2021</v>
      </c>
      <c r="D210" s="1">
        <f>OBRA!I549</f>
        <v>2021</v>
      </c>
      <c r="E210" s="1933" t="str">
        <f>OBRA!M549</f>
        <v>ARRENDAMIENTO (CANCELADO)</v>
      </c>
      <c r="F210" s="1933" t="str">
        <f>OBRA!L549</f>
        <v>C- OP 003/2021</v>
      </c>
      <c r="G210" s="3">
        <f>OBRA!N549</f>
        <v>0</v>
      </c>
      <c r="H210" s="1933"/>
      <c r="I210" s="3">
        <f>OBRA!O549</f>
        <v>0</v>
      </c>
      <c r="J210" s="597"/>
      <c r="K210" s="597"/>
      <c r="L210" s="597"/>
      <c r="M210" s="1937">
        <f>OBRA!AQ549+OBRA!AR549</f>
        <v>0</v>
      </c>
      <c r="N210" s="1">
        <f>GRAL!AE551</f>
        <v>0</v>
      </c>
      <c r="O210" s="1">
        <f>GRAL!AF551</f>
        <v>0</v>
      </c>
      <c r="P210" s="1"/>
      <c r="Q210" s="1"/>
    </row>
    <row r="211" spans="1:17" ht="75" hidden="1">
      <c r="A211" s="1"/>
      <c r="B211" s="1"/>
      <c r="C211" s="1" t="str">
        <f>OBRA!BY550</f>
        <v>2018-2021</v>
      </c>
      <c r="D211" s="1">
        <f>OBRA!I550</f>
        <v>2021</v>
      </c>
      <c r="E211" s="1933" t="str">
        <f>OBRA!M550</f>
        <v>ARRENDAMIENTO</v>
      </c>
      <c r="F211" s="1933"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937">
        <f>OBRA!AQ550+OBRA!AR550</f>
        <v>0</v>
      </c>
      <c r="N211" s="1">
        <f>GRAL!AE552</f>
        <v>1</v>
      </c>
      <c r="O211" s="1" t="str">
        <f>GRAL!AF552</f>
        <v>HORA</v>
      </c>
      <c r="P211" s="1"/>
      <c r="Q211" s="1"/>
    </row>
    <row r="212" spans="1:17" ht="60" hidden="1">
      <c r="A212" s="1"/>
      <c r="B212" s="1"/>
      <c r="C212" s="1" t="str">
        <f>OBRA!BY551</f>
        <v>2018-2021</v>
      </c>
      <c r="D212" s="1">
        <f>OBRA!I551</f>
        <v>2021</v>
      </c>
      <c r="E212" s="1933" t="str">
        <f>OBRA!M551</f>
        <v>ARRENDAMIENTO</v>
      </c>
      <c r="F212" s="1933"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937">
        <f>OBRA!AQ551+OBRA!AR551</f>
        <v>0</v>
      </c>
      <c r="N212" s="1">
        <f>GRAL!AE553</f>
        <v>0</v>
      </c>
      <c r="O212" s="1">
        <f>GRAL!AF553</f>
        <v>0</v>
      </c>
      <c r="P212" s="1"/>
      <c r="Q212" s="1"/>
    </row>
    <row r="213" spans="1:17" ht="60" hidden="1">
      <c r="A213" s="1"/>
      <c r="B213" s="1"/>
      <c r="C213" s="1" t="str">
        <f>OBRA!BY552</f>
        <v>2018-2021</v>
      </c>
      <c r="D213" s="1">
        <f>OBRA!I552</f>
        <v>2021</v>
      </c>
      <c r="E213" s="1933" t="str">
        <f>OBRA!M552</f>
        <v>ARRENDAMIENTO</v>
      </c>
      <c r="F213" s="1933"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937">
        <f>OBRA!AQ552+OBRA!AR552</f>
        <v>0</v>
      </c>
      <c r="N213" s="1">
        <f>GRAL!AE554</f>
        <v>0</v>
      </c>
      <c r="O213" s="1">
        <f>GRAL!AF554</f>
        <v>0</v>
      </c>
      <c r="P213" s="1"/>
      <c r="Q213" s="1"/>
    </row>
    <row r="214" spans="1:17" ht="60" hidden="1">
      <c r="A214" s="1"/>
      <c r="B214" s="1"/>
      <c r="C214" s="1" t="str">
        <f>OBRA!BY553</f>
        <v>2018-2021</v>
      </c>
      <c r="D214" s="1">
        <f>OBRA!I553</f>
        <v>2021</v>
      </c>
      <c r="E214" s="1933" t="str">
        <f>OBRA!M553</f>
        <v>ARRENDAMIENTO</v>
      </c>
      <c r="F214" s="1933"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937">
        <f>OBRA!AQ553+OBRA!AR553</f>
        <v>0</v>
      </c>
      <c r="N214" s="1">
        <f>GRAL!AE555</f>
        <v>0</v>
      </c>
      <c r="O214" s="1">
        <f>GRAL!AF555</f>
        <v>0</v>
      </c>
      <c r="P214" s="1"/>
      <c r="Q214" s="1"/>
    </row>
    <row r="215" spans="1:17" ht="75" hidden="1">
      <c r="A215" s="1"/>
      <c r="B215" s="1"/>
      <c r="C215" s="1" t="str">
        <f>OBRA!BY554</f>
        <v>2018-2021</v>
      </c>
      <c r="D215" s="1">
        <f>OBRA!I554</f>
        <v>2021</v>
      </c>
      <c r="E215" s="1933" t="str">
        <f>OBRA!M554</f>
        <v>ARRENDAMIENTO</v>
      </c>
      <c r="F215" s="1933"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937">
        <f>OBRA!AQ554+OBRA!AR554</f>
        <v>0</v>
      </c>
      <c r="N215" s="1">
        <f>GRAL!AE556</f>
        <v>0</v>
      </c>
      <c r="O215" s="1">
        <f>GRAL!AF556</f>
        <v>0</v>
      </c>
      <c r="P215" s="1"/>
      <c r="Q215" s="1"/>
    </row>
    <row r="216" spans="1:17" ht="75" hidden="1">
      <c r="A216" s="1"/>
      <c r="B216" s="1"/>
      <c r="C216" s="1" t="str">
        <f>OBRA!BY555</f>
        <v>2018-2021</v>
      </c>
      <c r="D216" s="1">
        <f>OBRA!I555</f>
        <v>2021</v>
      </c>
      <c r="E216" s="1933" t="str">
        <f>OBRA!M555</f>
        <v>ARRENDAMIENTO</v>
      </c>
      <c r="F216" s="1933"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937">
        <f>OBRA!AQ555+OBRA!AR555</f>
        <v>0</v>
      </c>
      <c r="N216" s="1">
        <f>GRAL!AE557</f>
        <v>0</v>
      </c>
      <c r="O216" s="1">
        <f>GRAL!AF557</f>
        <v>0</v>
      </c>
      <c r="P216" s="1"/>
      <c r="Q216" s="1"/>
    </row>
    <row r="217" spans="1:17" ht="60" hidden="1">
      <c r="A217" s="1"/>
      <c r="B217" s="1"/>
      <c r="C217" s="1" t="str">
        <f>OBRA!BY556</f>
        <v>2018-2021</v>
      </c>
      <c r="D217" s="1">
        <f>OBRA!I556</f>
        <v>2021</v>
      </c>
      <c r="E217" s="1933" t="str">
        <f>OBRA!M556</f>
        <v>SERVICIOS</v>
      </c>
      <c r="F217" s="1933"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937">
        <f>OBRA!AQ556+OBRA!AR556</f>
        <v>0</v>
      </c>
      <c r="N217" s="1">
        <f>GRAL!AE558</f>
        <v>0</v>
      </c>
      <c r="O217" s="1">
        <f>GRAL!AF558</f>
        <v>0</v>
      </c>
      <c r="P217" s="1"/>
      <c r="Q217" s="1"/>
    </row>
    <row r="218" spans="1:17" ht="22.5" hidden="1">
      <c r="A218" s="1"/>
      <c r="B218" s="1"/>
      <c r="C218" s="1" t="str">
        <f>OBRA!BY557</f>
        <v>2018-2021</v>
      </c>
      <c r="D218" s="1">
        <f>OBRA!I557</f>
        <v>2021</v>
      </c>
      <c r="E218" s="1933" t="str">
        <f>OBRA!M557</f>
        <v>SERVICIOS (CANCELADO)</v>
      </c>
      <c r="F218" s="1933" t="str">
        <f>OBRA!L557</f>
        <v>C.P.S.P. D.O.P. 002/2021</v>
      </c>
      <c r="G218" s="3">
        <f>OBRA!N557</f>
        <v>0</v>
      </c>
      <c r="H218" s="1"/>
      <c r="I218" s="3">
        <f>OBRA!O557</f>
        <v>0</v>
      </c>
      <c r="J218" s="3"/>
      <c r="K218" s="3"/>
      <c r="L218" s="3"/>
      <c r="M218" s="1937">
        <f>OBRA!AQ557+OBRA!AR557</f>
        <v>0</v>
      </c>
      <c r="N218" s="1">
        <f>GRAL!AE559</f>
        <v>0</v>
      </c>
      <c r="O218" s="1">
        <f>GRAL!AF559</f>
        <v>0</v>
      </c>
      <c r="P218" s="1"/>
      <c r="Q218" s="1"/>
    </row>
    <row r="219" spans="1:17" ht="60" hidden="1">
      <c r="A219" s="1"/>
      <c r="B219" s="1"/>
      <c r="C219" s="1" t="str">
        <f>OBRA!BY558</f>
        <v>2018-2021</v>
      </c>
      <c r="D219" s="1">
        <f>OBRA!I558</f>
        <v>2021</v>
      </c>
      <c r="E219" s="1933" t="str">
        <f>OBRA!M558</f>
        <v>SERVICIOS</v>
      </c>
      <c r="F219" s="1933"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937">
        <f>OBRA!AQ558+OBRA!AR558</f>
        <v>0</v>
      </c>
      <c r="N219" s="1">
        <f>GRAL!AE560</f>
        <v>0</v>
      </c>
      <c r="O219" s="1">
        <f>GRAL!AF560</f>
        <v>0</v>
      </c>
      <c r="P219" s="1"/>
      <c r="Q219" s="1"/>
    </row>
    <row r="220" spans="1:17" ht="22.5" hidden="1">
      <c r="A220" s="1"/>
      <c r="B220" s="1"/>
      <c r="C220" s="1" t="str">
        <f>OBRA!BY559</f>
        <v>2018-2021</v>
      </c>
      <c r="D220" s="1">
        <f>OBRA!I559</f>
        <v>2021</v>
      </c>
      <c r="E220" s="1933" t="str">
        <f>OBRA!M559</f>
        <v>SERVICIOS (CANCELADO)</v>
      </c>
      <c r="F220" s="1933" t="str">
        <f>OBRA!L559</f>
        <v>C.P.S.P. D.O.P. 004/2021</v>
      </c>
      <c r="G220" s="3">
        <f>OBRA!N559</f>
        <v>0</v>
      </c>
      <c r="H220" s="1"/>
      <c r="I220" s="3">
        <f>OBRA!O559</f>
        <v>0</v>
      </c>
      <c r="J220" s="3"/>
      <c r="K220" s="3"/>
      <c r="L220" s="3"/>
      <c r="M220" s="1937">
        <f>OBRA!AQ559+OBRA!AR559</f>
        <v>0</v>
      </c>
      <c r="N220" s="1">
        <f>GRAL!AE561</f>
        <v>0</v>
      </c>
      <c r="O220" s="1">
        <f>GRAL!AF561</f>
        <v>0</v>
      </c>
      <c r="P220" s="1"/>
      <c r="Q220" s="1"/>
    </row>
    <row r="221" spans="1:17" ht="105" hidden="1">
      <c r="A221" s="1"/>
      <c r="B221" s="1"/>
      <c r="C221" s="1" t="str">
        <f>OBRA!BY560</f>
        <v>2018-2021</v>
      </c>
      <c r="D221" s="1">
        <f>OBRA!I560</f>
        <v>2021</v>
      </c>
      <c r="E221" s="1933" t="str">
        <f>OBRA!M560</f>
        <v>SERVICIOS</v>
      </c>
      <c r="F221" s="1933"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937">
        <f>OBRA!AQ560+OBRA!AR560</f>
        <v>0</v>
      </c>
      <c r="N221" s="1">
        <f>GRAL!AE562</f>
        <v>0</v>
      </c>
      <c r="O221" s="1">
        <f>GRAL!AF562</f>
        <v>0</v>
      </c>
      <c r="P221" s="1"/>
      <c r="Q221" s="1"/>
    </row>
    <row r="222" spans="1:17" ht="22.5" hidden="1">
      <c r="A222" s="1"/>
      <c r="B222" s="1"/>
      <c r="C222" s="1" t="str">
        <f>OBRA!BY561</f>
        <v>2018-2021</v>
      </c>
      <c r="D222" s="1">
        <f>OBRA!I561</f>
        <v>2021</v>
      </c>
      <c r="E222" s="1933" t="str">
        <f>OBRA!M561</f>
        <v>SERVICIOS (CANCELADO)</v>
      </c>
      <c r="F222" s="1933" t="str">
        <f>OBRA!L561</f>
        <v>C.P.S.P. D.O.P. 006/2021</v>
      </c>
      <c r="G222" s="3">
        <f>OBRA!N561</f>
        <v>0</v>
      </c>
      <c r="H222" s="1"/>
      <c r="I222" s="3">
        <f>OBRA!O561</f>
        <v>0</v>
      </c>
      <c r="J222" s="3"/>
      <c r="K222" s="3"/>
      <c r="L222" s="3"/>
      <c r="M222" s="1937">
        <f>OBRA!AQ561+OBRA!AR561</f>
        <v>0</v>
      </c>
      <c r="N222" s="1">
        <f>GRAL!AE563</f>
        <v>0</v>
      </c>
      <c r="O222" s="1">
        <f>GRAL!AF563</f>
        <v>0</v>
      </c>
      <c r="P222" s="1"/>
      <c r="Q222" s="1"/>
    </row>
    <row r="223" spans="1:17" ht="90" hidden="1">
      <c r="A223" s="1"/>
      <c r="B223" s="1"/>
      <c r="C223" s="1" t="str">
        <f>OBRA!BY562</f>
        <v>2018-2021</v>
      </c>
      <c r="D223" s="1">
        <f>OBRA!I562</f>
        <v>2021</v>
      </c>
      <c r="E223" s="1933" t="str">
        <f>OBRA!M562</f>
        <v>SERVICIOS</v>
      </c>
      <c r="F223" s="1933"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937">
        <f>OBRA!AQ562+OBRA!AR562</f>
        <v>0</v>
      </c>
      <c r="N223" s="1">
        <f>GRAL!AE564</f>
        <v>0</v>
      </c>
      <c r="O223" s="1">
        <f>GRAL!AF564</f>
        <v>0</v>
      </c>
      <c r="P223" s="1"/>
      <c r="Q223" s="1"/>
    </row>
    <row r="224" spans="1:17" ht="165" hidden="1">
      <c r="A224" s="1"/>
      <c r="B224" s="1"/>
      <c r="C224" s="1" t="str">
        <f>OBRA!BY563</f>
        <v>2018-2021</v>
      </c>
      <c r="D224" s="1">
        <f>OBRA!I563</f>
        <v>2021</v>
      </c>
      <c r="E224" s="1933" t="str">
        <f>OBRA!M563</f>
        <v>SERVICIOS</v>
      </c>
      <c r="F224" s="1933"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937">
        <f>OBRA!AQ563+OBRA!AR563</f>
        <v>0</v>
      </c>
      <c r="N224" s="1">
        <f>GRAL!AE565</f>
        <v>0</v>
      </c>
      <c r="O224" s="1">
        <f>GRAL!AF565</f>
        <v>0</v>
      </c>
      <c r="P224" s="1"/>
      <c r="Q224" s="1"/>
    </row>
    <row r="225" spans="1:17" ht="90" hidden="1">
      <c r="A225" s="1"/>
      <c r="B225" s="1"/>
      <c r="C225" s="1" t="str">
        <f>OBRA!BY564</f>
        <v>2018-2021</v>
      </c>
      <c r="D225" s="1">
        <f>OBRA!I564</f>
        <v>2021</v>
      </c>
      <c r="E225" s="1933" t="str">
        <f>OBRA!M564</f>
        <v>SERVICIOS</v>
      </c>
      <c r="F225" s="1933"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937">
        <f>OBRA!AQ564+OBRA!AR564</f>
        <v>0</v>
      </c>
      <c r="N225" s="1">
        <f>GRAL!AE566</f>
        <v>0</v>
      </c>
      <c r="O225" s="1">
        <f>GRAL!AF566</f>
        <v>0</v>
      </c>
      <c r="P225" s="1"/>
      <c r="Q225" s="1"/>
    </row>
    <row r="226" spans="1:17" ht="57.75" customHeight="1">
      <c r="A226" s="1"/>
      <c r="B226" s="1935"/>
      <c r="C226" s="1" t="str">
        <f>OBRA!BY565</f>
        <v>2018-2021</v>
      </c>
      <c r="D226" s="1">
        <f>OBRA!I565</f>
        <v>2021</v>
      </c>
      <c r="E226" s="1933" t="str">
        <f>OBRA!M565</f>
        <v>ADJUDICACIÓN DIRECTA</v>
      </c>
      <c r="F226" s="1971" t="str">
        <f>OBRA!L565</f>
        <v>GMJ 001C- OP/2021</v>
      </c>
      <c r="G226" s="3" t="str">
        <f>OBRA!N565</f>
        <v>"PERFORACIÓN DE POZO PROFUNDO "MORELOS" A 250 ML", EN LA AGENCIA MUNICIPAL DE NEXTIPAC, DEL MUNICIPIO DE JOCOTEPEC, JALISCO.</v>
      </c>
      <c r="H226" s="1933" t="s">
        <v>4805</v>
      </c>
      <c r="I226" s="3" t="str">
        <f>OBRA!O565</f>
        <v>NEXTIPAC</v>
      </c>
      <c r="J226" s="3" t="s">
        <v>2524</v>
      </c>
      <c r="K226" s="3" t="s">
        <v>4859</v>
      </c>
      <c r="L226" s="3" t="s">
        <v>68</v>
      </c>
      <c r="M226" s="1937">
        <f>OBRA!AQ565+OBRA!AR565</f>
        <v>1293027.17</v>
      </c>
      <c r="N226" s="267">
        <f>GRAL!AE567</f>
        <v>250</v>
      </c>
      <c r="O226" s="267" t="str">
        <f>GRAL!AF567</f>
        <v>ML</v>
      </c>
      <c r="P226" s="2" t="s">
        <v>68</v>
      </c>
      <c r="Q226" s="2"/>
    </row>
    <row r="227" spans="1:17" ht="132" customHeight="1">
      <c r="A227" s="1"/>
      <c r="B227" s="1935"/>
      <c r="C227" s="1" t="str">
        <f>OBRA!BY566</f>
        <v>2018-2021</v>
      </c>
      <c r="D227" s="1">
        <f>OBRA!I566</f>
        <v>2021</v>
      </c>
      <c r="E227" s="1933" t="str">
        <f>OBRA!M566</f>
        <v>CONCURSO SIMPLIFICADO SUMARIO</v>
      </c>
      <c r="F227" s="1971"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933" t="s">
        <v>4810</v>
      </c>
      <c r="I227" s="3" t="str">
        <f>OBRA!O566</f>
        <v>NEXTIPAC</v>
      </c>
      <c r="J227" s="3" t="s">
        <v>2524</v>
      </c>
      <c r="K227" s="3" t="s">
        <v>4844</v>
      </c>
      <c r="L227" s="3" t="s">
        <v>4859</v>
      </c>
      <c r="M227" s="1937">
        <f>OBRA!AQ566+OBRA!AR566</f>
        <v>2507056.77</v>
      </c>
      <c r="N227" s="267">
        <f>GRAL!AE568</f>
        <v>788.8</v>
      </c>
      <c r="O227" s="267" t="str">
        <f>GRAL!AF568</f>
        <v>M2</v>
      </c>
      <c r="P227" s="1980" t="s">
        <v>4988</v>
      </c>
      <c r="Q227" s="1971" t="s">
        <v>4991</v>
      </c>
    </row>
    <row r="228" spans="1:17" ht="45" hidden="1">
      <c r="A228" s="1"/>
      <c r="B228" s="1"/>
      <c r="C228" s="1" t="str">
        <f>OBRA!BY567</f>
        <v>2018-2021</v>
      </c>
      <c r="D228" s="1">
        <f>OBRA!I567</f>
        <v>2021</v>
      </c>
      <c r="E228" s="1933" t="str">
        <f>OBRA!M567</f>
        <v>CANCELADA</v>
      </c>
      <c r="F228" s="1933"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937">
        <f>OBRA!AQ567+OBRA!AR567</f>
        <v>0</v>
      </c>
      <c r="N228" s="1">
        <f>GRAL!AE569</f>
        <v>0</v>
      </c>
      <c r="O228" s="1" t="str">
        <f>GRAL!AF569</f>
        <v>M2</v>
      </c>
      <c r="P228" s="1"/>
      <c r="Q228" s="1"/>
    </row>
    <row r="229" spans="1:17" ht="145.5" customHeight="1">
      <c r="A229" s="1"/>
      <c r="B229" s="1935"/>
      <c r="C229" s="1" t="str">
        <f>OBRA!BY568</f>
        <v>2018-2021</v>
      </c>
      <c r="D229" s="1">
        <f>OBRA!I568</f>
        <v>2021</v>
      </c>
      <c r="E229" s="1933" t="str">
        <f>OBRA!M568</f>
        <v>CONCURSO SIMPLIFICADO SUMARIO</v>
      </c>
      <c r="F229" s="1971"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933" t="s">
        <v>4810</v>
      </c>
      <c r="I229" s="3" t="str">
        <f>OBRA!O568</f>
        <v>NEXTIPAC</v>
      </c>
      <c r="J229" s="3" t="s">
        <v>2524</v>
      </c>
      <c r="K229" s="3" t="s">
        <v>4859</v>
      </c>
      <c r="L229" s="3" t="s">
        <v>4843</v>
      </c>
      <c r="M229" s="1937">
        <f>OBRA!AQ568+OBRA!AR568</f>
        <v>8221897.79</v>
      </c>
      <c r="N229" s="267">
        <f>GRAL!AE570</f>
        <v>2431.5300000000002</v>
      </c>
      <c r="O229" s="267" t="str">
        <f>GRAL!AF570</f>
        <v>M2</v>
      </c>
      <c r="P229" s="1980" t="s">
        <v>4990</v>
      </c>
      <c r="Q229" s="1971" t="s">
        <v>4992</v>
      </c>
    </row>
    <row r="230" spans="1:17" ht="69.75" customHeight="1">
      <c r="A230" s="1"/>
      <c r="B230" s="1935"/>
      <c r="C230" s="1" t="str">
        <f>OBRA!BY569</f>
        <v>2018-2021</v>
      </c>
      <c r="D230" s="1">
        <f>OBRA!I569</f>
        <v>2021</v>
      </c>
      <c r="E230" s="1933" t="str">
        <f>OBRA!M569</f>
        <v>ADJUDICACIÓN DIRECTA</v>
      </c>
      <c r="F230" s="1971" t="str">
        <f>OBRA!L569</f>
        <v>GMJ 005C- OP/2021</v>
      </c>
      <c r="G230" s="3" t="str">
        <f>OBRA!N569</f>
        <v>"IMAGEN URBANA EN CALLE MORELOS ENTRE CALLE GONZÁLEZ ORTEGA A CRISTOBAL COLÓN" EN LA CABECERA MUNICIPAL DE JOCOTEPEC, JALISCO, (NEXTIPAC).</v>
      </c>
      <c r="H230" s="1933" t="s">
        <v>4803</v>
      </c>
      <c r="I230" s="3" t="str">
        <f>OBRA!O569</f>
        <v>NEXTIPAC</v>
      </c>
      <c r="J230" s="3" t="s">
        <v>2524</v>
      </c>
      <c r="K230" s="3" t="s">
        <v>4859</v>
      </c>
      <c r="L230" s="3" t="s">
        <v>4843</v>
      </c>
      <c r="M230" s="1937">
        <f>OBRA!AQ569+OBRA!AR569</f>
        <v>434553.82</v>
      </c>
      <c r="N230" s="267">
        <f>GRAL!AE571</f>
        <v>12445.58</v>
      </c>
      <c r="O230" s="267" t="str">
        <f>GRAL!AF571</f>
        <v>M2</v>
      </c>
      <c r="P230" s="426" t="s">
        <v>68</v>
      </c>
      <c r="Q230" s="2"/>
    </row>
    <row r="231" spans="1:17" ht="135.75" customHeight="1">
      <c r="A231" s="1"/>
      <c r="B231" s="1935"/>
      <c r="C231" s="1" t="str">
        <f>OBRA!BY570</f>
        <v>2018-2021</v>
      </c>
      <c r="D231" s="1">
        <f>OBRA!I570</f>
        <v>2021</v>
      </c>
      <c r="E231" s="1933" t="str">
        <f>OBRA!M570</f>
        <v>ADJUDICACIÓN DIRECTA</v>
      </c>
      <c r="F231" s="1971" t="str">
        <f>OBRA!L570</f>
        <v>GMJ 006C- OP/2021</v>
      </c>
      <c r="G231" s="3" t="str">
        <f>OBRA!N570</f>
        <v>"REHABILITACIÓN DE LÍNEAS HIDROSANITARIAS CON REPOSICIÓN DE SUPERFICIE DE RODAMIENTO EN CALLE MORELOS ENTRE CALLE CRISTOBAL COLÓN A CALLE RICO" EN LA CABECERA MUNICIPAL DE JOCOTEPEC, JALISCO, (NEXTIPAC).</v>
      </c>
      <c r="H231" s="1933" t="s">
        <v>4810</v>
      </c>
      <c r="I231" s="3" t="str">
        <f>OBRA!O570</f>
        <v>CABECERA MUNICIPAL</v>
      </c>
      <c r="J231" s="3" t="s">
        <v>2524</v>
      </c>
      <c r="K231" s="3" t="s">
        <v>4843</v>
      </c>
      <c r="L231" s="3" t="s">
        <v>4842</v>
      </c>
      <c r="M231" s="1937">
        <f>OBRA!AQ570+OBRA!AR570</f>
        <v>1239899.07</v>
      </c>
      <c r="N231" s="267">
        <f>GRAL!AE572</f>
        <v>740</v>
      </c>
      <c r="O231" s="267" t="str">
        <f>GRAL!AF572</f>
        <v>M2</v>
      </c>
      <c r="P231" s="1980" t="s">
        <v>4988</v>
      </c>
      <c r="Q231" s="1971" t="s">
        <v>4993</v>
      </c>
    </row>
    <row r="232" spans="1:17" ht="45" hidden="1">
      <c r="A232" s="1"/>
      <c r="B232" s="1"/>
      <c r="C232" s="1" t="str">
        <f>OBRA!BY571</f>
        <v>2018-2021</v>
      </c>
      <c r="D232" s="1">
        <f>OBRA!I571</f>
        <v>2021</v>
      </c>
      <c r="E232" s="1933" t="str">
        <f>OBRA!M571</f>
        <v>CANCELADA</v>
      </c>
      <c r="F232" s="1933" t="str">
        <f>OBRA!L571</f>
        <v>GMJ 007C- OP/2021</v>
      </c>
      <c r="G232" s="3" t="str">
        <f>OBRA!N571</f>
        <v>"IMAGEN URBANA EN CALLE MORELOS DE CALLE CRISTOBAL COLÓN A CALLE RICO" EN LA CABECERA MUNICIPAL DE JOCOTEPEC, JALISCO, (NEXTIPAC).</v>
      </c>
      <c r="H232" s="1"/>
      <c r="I232" s="3">
        <f>OBRA!O571</f>
        <v>0</v>
      </c>
      <c r="J232" s="3"/>
      <c r="K232" s="3"/>
      <c r="L232" s="3"/>
      <c r="M232" s="1937">
        <f>OBRA!AQ571+OBRA!AR571</f>
        <v>0</v>
      </c>
      <c r="N232" s="1">
        <f>GRAL!AE573</f>
        <v>0</v>
      </c>
      <c r="O232" s="1" t="str">
        <f>GRAL!AF573</f>
        <v>M2</v>
      </c>
      <c r="P232" s="1"/>
      <c r="Q232" s="1"/>
    </row>
    <row r="233" spans="1:17" ht="75">
      <c r="A233" s="1"/>
      <c r="B233" s="1935"/>
      <c r="C233" s="1" t="str">
        <f>OBRA!BY572</f>
        <v>2018-2021</v>
      </c>
      <c r="D233" s="1">
        <f>OBRA!I572</f>
        <v>2021</v>
      </c>
      <c r="E233" s="1933" t="str">
        <f>OBRA!M572</f>
        <v>ADJUDICACIÓN DIRECTA</v>
      </c>
      <c r="F233" s="1971"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933" t="s">
        <v>4799</v>
      </c>
      <c r="I233" s="3" t="str">
        <f>OBRA!O572</f>
        <v>CABECERA MUNICIPAL</v>
      </c>
      <c r="J233" s="3" t="s">
        <v>2524</v>
      </c>
      <c r="K233" s="3" t="s">
        <v>4842</v>
      </c>
      <c r="L233" s="3" t="s">
        <v>2602</v>
      </c>
      <c r="M233" s="1937">
        <f>OBRA!AQ572+OBRA!AR572</f>
        <v>1116853.6100000001</v>
      </c>
      <c r="N233" s="267">
        <f>GRAL!AE574</f>
        <v>2593.23</v>
      </c>
      <c r="O233" s="267" t="str">
        <f>GRAL!AF574</f>
        <v>M2</v>
      </c>
      <c r="P233" s="1980" t="s">
        <v>4989</v>
      </c>
      <c r="Q233" s="2" t="s">
        <v>4994</v>
      </c>
    </row>
    <row r="234" spans="1:17" ht="75">
      <c r="A234" s="1"/>
      <c r="B234" s="1935"/>
      <c r="C234" s="1" t="str">
        <f>OBRA!BY573</f>
        <v>2018-2021</v>
      </c>
      <c r="D234" s="1">
        <f>OBRA!I573</f>
        <v>2021</v>
      </c>
      <c r="E234" s="1933" t="str">
        <f>OBRA!M573</f>
        <v>CONCURSO SIMPLIFICADO SUMARIO</v>
      </c>
      <c r="F234" s="1971"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933" t="s">
        <v>4806</v>
      </c>
      <c r="I234" s="3" t="str">
        <f>OBRA!O573</f>
        <v>NEXTIPAC</v>
      </c>
      <c r="J234" s="3" t="s">
        <v>2524</v>
      </c>
      <c r="K234" s="3" t="s">
        <v>4842</v>
      </c>
      <c r="L234" s="3" t="s">
        <v>4860</v>
      </c>
      <c r="M234" s="1937">
        <f>OBRA!AQ573+OBRA!AR573</f>
        <v>1480943.65</v>
      </c>
      <c r="N234" s="267">
        <f>GRAL!AE575</f>
        <v>2523.9299999999998</v>
      </c>
      <c r="O234" s="267" t="str">
        <f>GRAL!AF575</f>
        <v>M2</v>
      </c>
      <c r="P234" s="2" t="s">
        <v>68</v>
      </c>
      <c r="Q234" s="2"/>
    </row>
    <row r="235" spans="1:17" ht="160.5" customHeight="1">
      <c r="A235" s="1"/>
      <c r="B235" s="1935"/>
      <c r="C235" s="1" t="str">
        <f>OBRA!BY574</f>
        <v>2018-2021</v>
      </c>
      <c r="D235" s="1">
        <f>OBRA!I574</f>
        <v>2021</v>
      </c>
      <c r="E235" s="1933" t="str">
        <f>OBRA!M574</f>
        <v>CONCURSO SIMPLIFICADO SUMARIO</v>
      </c>
      <c r="F235" s="1971" t="str">
        <f>OBRA!L574</f>
        <v>FOCOCI-OP-CSS-010/2021</v>
      </c>
      <c r="G235" s="3" t="str">
        <f>OBRA!N574</f>
        <v>"PAVIMENTACIÓN CON EMPEDRADO AHOGADO EN CONCRETO HIDRÁULICO Y SUSTITUCIÓN DE REDES HIDROSANITARIAS EN CALLE LÁZARO CÁRDENAS", EN LA CABECERA MUNICIPAL DE JOCOTEPEC, JALISCO</v>
      </c>
      <c r="H235" s="1933" t="s">
        <v>4806</v>
      </c>
      <c r="I235" s="3" t="str">
        <f>OBRA!O574</f>
        <v>CABECERA MUNICIPAL</v>
      </c>
      <c r="J235" s="3" t="s">
        <v>4737</v>
      </c>
      <c r="K235" s="3" t="s">
        <v>4861</v>
      </c>
      <c r="L235" s="597" t="s">
        <v>2578</v>
      </c>
      <c r="M235" s="1937">
        <f>OBRA!AQ574+OBRA!AR574</f>
        <v>5000000</v>
      </c>
      <c r="N235" s="267">
        <f>GRAL!AE576</f>
        <v>3357.6</v>
      </c>
      <c r="O235" s="267" t="str">
        <f>GRAL!AF576</f>
        <v>M2</v>
      </c>
      <c r="P235" s="1980" t="s">
        <v>4995</v>
      </c>
      <c r="Q235" s="1971" t="s">
        <v>4996</v>
      </c>
    </row>
    <row r="236" spans="1:17" ht="45">
      <c r="A236" s="1"/>
      <c r="B236" s="1935"/>
      <c r="C236" s="1" t="str">
        <f>OBRA!BY575</f>
        <v>2018-2021</v>
      </c>
      <c r="D236" s="1">
        <f>OBRA!I575</f>
        <v>2021</v>
      </c>
      <c r="E236" s="1933" t="str">
        <f>OBRA!M575</f>
        <v>CONCURSO SIMPLIFICADO SUMARIO</v>
      </c>
      <c r="F236" s="1971" t="str">
        <f>OBRA!L575</f>
        <v>FOCOCI-OP-CSS-011/2021</v>
      </c>
      <c r="G236" s="3" t="str">
        <f>OBRA!N575</f>
        <v>"REHABILITACIÓN DE INGRESO A ZAPOTITÁN DE HIDALGO DE LA CARRETERA FEDERAL AL PUENTE EN EL MUNICIPIO DE JOCOTEPEC, JALISCO".</v>
      </c>
      <c r="H236" s="1933" t="s">
        <v>4814</v>
      </c>
      <c r="I236" s="3" t="str">
        <f>OBRA!O575</f>
        <v>ZAPOTITÁN DE HIDALGO</v>
      </c>
      <c r="J236" s="3" t="s">
        <v>3459</v>
      </c>
      <c r="K236" s="3" t="s">
        <v>4820</v>
      </c>
      <c r="L236" s="3" t="s">
        <v>4862</v>
      </c>
      <c r="M236" s="1937">
        <f>OBRA!AQ575+OBRA!AR575</f>
        <v>4000000</v>
      </c>
      <c r="N236" s="267">
        <f>GRAL!AE577</f>
        <v>17929</v>
      </c>
      <c r="O236" s="267" t="str">
        <f>GRAL!AF577</f>
        <v>M2</v>
      </c>
      <c r="P236" s="2" t="s">
        <v>68</v>
      </c>
      <c r="Q236" s="2"/>
    </row>
    <row r="237" spans="1:17" ht="45" hidden="1">
      <c r="A237" s="1"/>
      <c r="B237" s="1"/>
      <c r="C237" s="1" t="str">
        <f>OBRA!BY576</f>
        <v>2018-2021</v>
      </c>
      <c r="D237" s="1">
        <f>OBRA!I576</f>
        <v>2021</v>
      </c>
      <c r="E237" s="1933" t="str">
        <f>OBRA!M576</f>
        <v>CANCELADA</v>
      </c>
      <c r="F237" s="1933"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937">
        <f>OBRA!AQ576+OBRA!AR576</f>
        <v>0</v>
      </c>
      <c r="N237" s="1">
        <f>GRAL!AE578</f>
        <v>0</v>
      </c>
      <c r="O237" s="1">
        <f>GRAL!AF578</f>
        <v>0</v>
      </c>
      <c r="P237" s="1"/>
      <c r="Q237" s="1"/>
    </row>
    <row r="238" spans="1:17" ht="75">
      <c r="A238" s="1"/>
      <c r="B238" s="1935"/>
      <c r="C238" s="1" t="str">
        <f>OBRA!BY577</f>
        <v>2018-2021</v>
      </c>
      <c r="D238" s="1">
        <f>OBRA!I577</f>
        <v>2021</v>
      </c>
      <c r="E238" s="1933" t="str">
        <f>OBRA!M577</f>
        <v>ADJUDICACIÓN DIRECTA</v>
      </c>
      <c r="F238" s="1971"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933" t="s">
        <v>4814</v>
      </c>
      <c r="I238" s="3" t="str">
        <f>OBRA!O577</f>
        <v>ZAPOTITÁN DE HIDALGO</v>
      </c>
      <c r="J238" s="780" t="s">
        <v>4143</v>
      </c>
      <c r="K238" s="3" t="s">
        <v>68</v>
      </c>
      <c r="L238" s="3" t="s">
        <v>68</v>
      </c>
      <c r="M238" s="1937">
        <f>OBRA!AQ577+OBRA!AR577</f>
        <v>725739.42</v>
      </c>
      <c r="N238" s="267">
        <f>GRAL!AE579</f>
        <v>1768</v>
      </c>
      <c r="O238" s="267" t="str">
        <f>GRAL!AF579</f>
        <v>M2</v>
      </c>
      <c r="P238" s="2" t="s">
        <v>68</v>
      </c>
      <c r="Q238" s="2"/>
    </row>
    <row r="239" spans="1:17" ht="90">
      <c r="A239" s="1"/>
      <c r="B239" s="1935"/>
      <c r="C239" s="1" t="str">
        <f>OBRA!BY578</f>
        <v>2018-2021</v>
      </c>
      <c r="D239" s="1">
        <f>OBRA!I578</f>
        <v>2021</v>
      </c>
      <c r="E239" s="1933" t="str">
        <f>OBRA!M578</f>
        <v>ADJUDICACIÓN DIRECTA</v>
      </c>
      <c r="F239" s="1971"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933" t="s">
        <v>4814</v>
      </c>
      <c r="I239" s="3" t="str">
        <f>OBRA!O578</f>
        <v>ZAPOTITÁN DE HIDALGO</v>
      </c>
      <c r="J239" s="780" t="s">
        <v>4143</v>
      </c>
      <c r="K239" s="3" t="s">
        <v>68</v>
      </c>
      <c r="L239" s="3" t="s">
        <v>68</v>
      </c>
      <c r="M239" s="1937">
        <f>OBRA!AQ578+OBRA!AR578</f>
        <v>940185.83</v>
      </c>
      <c r="N239" s="267">
        <f>GRAL!AE580</f>
        <v>18185.669999999998</v>
      </c>
      <c r="O239" s="267" t="str">
        <f>GRAL!AF580</f>
        <v>M2</v>
      </c>
      <c r="P239" s="2" t="s">
        <v>68</v>
      </c>
      <c r="Q239" s="2"/>
    </row>
    <row r="240" spans="1:17" ht="47.25" customHeight="1">
      <c r="A240" s="1"/>
      <c r="B240" s="1935"/>
      <c r="C240" s="1" t="str">
        <f>OBRA!BY579</f>
        <v>2018-2021</v>
      </c>
      <c r="D240" s="1">
        <f>OBRA!I579</f>
        <v>2021</v>
      </c>
      <c r="E240" s="1933" t="str">
        <f>OBRA!M579</f>
        <v>ADJUDICACIÓN DIRECTA</v>
      </c>
      <c r="F240" s="1971" t="str">
        <f>OBRA!L579</f>
        <v>GMJ 015C- OP/2021</v>
      </c>
      <c r="G240" s="3" t="str">
        <f>OBRA!N579</f>
        <v>"EQUIPAMIENTO DE POZO MORELOS" EN LA AGENCIA MINICIPAL DE NEXTIPAC, DEL MUNICIPIO DE JOCOTEPEC, JALISCO.</v>
      </c>
      <c r="H240" s="1933" t="s">
        <v>4805</v>
      </c>
      <c r="I240" s="3" t="str">
        <f>OBRA!O579</f>
        <v>NEXTIPAC</v>
      </c>
      <c r="J240" s="3" t="s">
        <v>2524</v>
      </c>
      <c r="K240" s="3" t="s">
        <v>4859</v>
      </c>
      <c r="L240" s="3" t="s">
        <v>68</v>
      </c>
      <c r="M240" s="1937">
        <f>OBRA!AQ579+OBRA!AR579</f>
        <v>347784.24</v>
      </c>
      <c r="N240" s="267">
        <f>GRAL!AE581</f>
        <v>1</v>
      </c>
      <c r="O240" s="267" t="str">
        <f>GRAL!AF581</f>
        <v>POZO</v>
      </c>
      <c r="P240" s="2" t="s">
        <v>68</v>
      </c>
      <c r="Q240" s="2"/>
    </row>
    <row r="241" spans="1:17" ht="45">
      <c r="A241" s="1"/>
      <c r="B241" s="1935"/>
      <c r="C241" s="1" t="str">
        <f>OBRA!BY580</f>
        <v>2018-2021</v>
      </c>
      <c r="D241" s="1">
        <f>OBRA!I580</f>
        <v>2021</v>
      </c>
      <c r="E241" s="1933" t="str">
        <f>OBRA!M580</f>
        <v>ADJUDICACIÓN DIRECTA</v>
      </c>
      <c r="F241" s="1971" t="str">
        <f>OBRA!L580</f>
        <v>GMJ 016C- OP/2021</v>
      </c>
      <c r="G241" s="3" t="str">
        <f>OBRA!N580</f>
        <v>"PROYECTO DE ELECTRIFICACIÓN Y EQUIPAMIENTO 1ERA ETAPA DE POZO PROFUNDO ALLENDE", UBICADO EN LA CABECERA MUNICIPAL DE JOCOTEPEC, JALISCO</v>
      </c>
      <c r="H241" s="1933" t="s">
        <v>4805</v>
      </c>
      <c r="I241" s="3" t="str">
        <f>OBRA!O580</f>
        <v>CABECERA MUNICIPAL</v>
      </c>
      <c r="J241" s="3" t="s">
        <v>4696</v>
      </c>
      <c r="K241" s="3" t="s">
        <v>4823</v>
      </c>
      <c r="L241" s="3" t="s">
        <v>4863</v>
      </c>
      <c r="M241" s="1937">
        <f>OBRA!AQ580+OBRA!AR580</f>
        <v>1083547.77</v>
      </c>
      <c r="N241" s="267">
        <f>GRAL!AE582</f>
        <v>1</v>
      </c>
      <c r="O241" s="267" t="str">
        <f>GRAL!AF582</f>
        <v>POZO</v>
      </c>
      <c r="P241" s="2" t="s">
        <v>68</v>
      </c>
      <c r="Q241" s="2"/>
    </row>
    <row r="242" spans="1:17" ht="48" customHeight="1">
      <c r="A242" s="1"/>
      <c r="B242" s="1935"/>
      <c r="C242" s="1" t="str">
        <f>OBRA!BY581</f>
        <v>2018-2021</v>
      </c>
      <c r="D242" s="1">
        <f>OBRA!I581</f>
        <v>2021</v>
      </c>
      <c r="E242" s="1933" t="str">
        <f>OBRA!M581</f>
        <v>ADJUDICACIÓN DIRECTA</v>
      </c>
      <c r="F242" s="1971" t="str">
        <f>OBRA!L581</f>
        <v>GMJ 017C- OP/2021</v>
      </c>
      <c r="G242" s="3" t="str">
        <f>OBRA!N581</f>
        <v>"PROYECTO DE ELÉCTRICO DEL RASTRO MUNICIPAL, ETAPA 1,  EN LA CABECERA MUNICIPAL DE JOCOTEPEC, JALISCO</v>
      </c>
      <c r="H242" s="1933" t="s">
        <v>4811</v>
      </c>
      <c r="I242" s="3" t="str">
        <f>OBRA!O581</f>
        <v>CABECERA MUNICIPAL</v>
      </c>
      <c r="J242" s="3" t="s">
        <v>4828</v>
      </c>
      <c r="K242" s="3" t="s">
        <v>2564</v>
      </c>
      <c r="L242" s="3" t="s">
        <v>4854</v>
      </c>
      <c r="M242" s="1937">
        <f>OBRA!AQ581+OBRA!AR581</f>
        <v>793793.33</v>
      </c>
      <c r="N242" s="267">
        <f>GRAL!AE583</f>
        <v>1</v>
      </c>
      <c r="O242" s="267" t="str">
        <f>GRAL!AF583</f>
        <v>LOTE</v>
      </c>
      <c r="P242" s="2" t="s">
        <v>68</v>
      </c>
      <c r="Q242" s="2"/>
    </row>
    <row r="243" spans="1:17" ht="60">
      <c r="A243" s="1"/>
      <c r="B243" s="1935"/>
      <c r="C243" s="1" t="str">
        <f>OBRA!BY582</f>
        <v>2018-2021</v>
      </c>
      <c r="D243" s="1">
        <f>OBRA!I582</f>
        <v>2021</v>
      </c>
      <c r="E243" s="1933" t="str">
        <f>OBRA!M582</f>
        <v>ADJUDICACIÓN DIRECTA</v>
      </c>
      <c r="F243" s="1971" t="str">
        <f>OBRA!L582</f>
        <v>GMJ 018C- OP/2021</v>
      </c>
      <c r="G243" s="3" t="str">
        <f>OBRA!N582</f>
        <v>“ACONDICIONAMIENTO DE TERRACERIAS, REHABILITACIÓN DE BANQUETAS E IMAGEN URBANA EN CALLE MORELOS DE CALLE RICO A MALECÓN DE KM 0+143.00 AL KM 0+379.50”, EN LA CABECERA MUNICIPAL DE JOCOTEPEC, JALISCO (NEXTIPAC)</v>
      </c>
      <c r="H243" s="1933" t="s">
        <v>4802</v>
      </c>
      <c r="I243" s="3" t="str">
        <f>OBRA!O582</f>
        <v>CABECERA MUNICIPAL</v>
      </c>
      <c r="J243" s="3" t="s">
        <v>2524</v>
      </c>
      <c r="K243" s="3" t="s">
        <v>4842</v>
      </c>
      <c r="L243" s="3" t="s">
        <v>4860</v>
      </c>
      <c r="M243" s="1972">
        <f>OBRA!P582</f>
        <v>1137012.22</v>
      </c>
      <c r="N243" s="267">
        <f>GRAL!AE584</f>
        <v>1661</v>
      </c>
      <c r="O243" s="267" t="str">
        <f>GRAL!AF584</f>
        <v>M2</v>
      </c>
      <c r="P243" s="2" t="s">
        <v>68</v>
      </c>
      <c r="Q243" s="2"/>
    </row>
    <row r="244" spans="1:17" ht="45">
      <c r="A244" s="1"/>
      <c r="B244" s="1935"/>
      <c r="C244" s="1" t="str">
        <f>OBRA!BY583</f>
        <v>2021-2024</v>
      </c>
      <c r="D244" s="1">
        <f>OBRA!I583</f>
        <v>2021</v>
      </c>
      <c r="E244" s="1933" t="str">
        <f>OBRA!M583</f>
        <v>ADMINISTRACIÓN DIRECTA</v>
      </c>
      <c r="F244" s="1971" t="str">
        <f>OBRA!L583</f>
        <v>DOP/AD/001/2021</v>
      </c>
      <c r="G244" s="3" t="str">
        <f>OBRA!N583</f>
        <v>CONSTRUCCIÓN DE AULA EN CASA DE LA CULTURA (PARA USO DE ARCHIVO MUERTO)" EN LA CABECERA MUNICIPAL DE JOCOTEPEC, JALISCO.</v>
      </c>
      <c r="H244" s="1933" t="s">
        <v>4812</v>
      </c>
      <c r="I244" s="3" t="str">
        <f>OBRA!O583</f>
        <v>CABECERA MUNICIPAL</v>
      </c>
      <c r="J244" s="3" t="s">
        <v>2536</v>
      </c>
      <c r="K244" s="3" t="s">
        <v>68</v>
      </c>
      <c r="L244" s="3" t="s">
        <v>68</v>
      </c>
      <c r="M244" s="1972">
        <f>OBRA!P583</f>
        <v>100000</v>
      </c>
      <c r="N244" s="267">
        <f>GRAL!AE585</f>
        <v>84</v>
      </c>
      <c r="O244" s="267" t="str">
        <f>GRAL!AF585</f>
        <v>M2</v>
      </c>
      <c r="P244" s="2" t="s">
        <v>68</v>
      </c>
      <c r="Q244" s="2"/>
    </row>
    <row r="245" spans="1:17" ht="45">
      <c r="A245" s="1"/>
      <c r="B245" s="1935"/>
      <c r="C245" s="1" t="str">
        <f>OBRA!BY584</f>
        <v>2021-2024</v>
      </c>
      <c r="D245" s="1">
        <f>OBRA!I584</f>
        <v>2021</v>
      </c>
      <c r="E245" s="1933" t="str">
        <f>OBRA!M584</f>
        <v>ADMINISTRACIÓN DIRECTA</v>
      </c>
      <c r="F245" s="1971" t="str">
        <f>OBRA!L584</f>
        <v>DOP/AD/002/2021</v>
      </c>
      <c r="G245" s="3" t="str">
        <f>OBRA!N584</f>
        <v>"REHABILITACIÓN DE INMUEBLE PARA OFICINAS ADMINISTRATIVAS, ANTES ESCUELA PAULINO NAVARRO", EN LA CABECERA MUNICIPAL DE JOCOTEPEC, JALISCO.</v>
      </c>
      <c r="H245" s="1933" t="s">
        <v>4812</v>
      </c>
      <c r="I245" s="3" t="str">
        <f>OBRA!O584</f>
        <v>CABECERA MUNICIPAL</v>
      </c>
      <c r="J245" s="3" t="s">
        <v>4864</v>
      </c>
      <c r="K245" s="3" t="s">
        <v>68</v>
      </c>
      <c r="L245" s="3" t="s">
        <v>68</v>
      </c>
      <c r="M245" s="1972">
        <f>OBRA!P584</f>
        <v>400000</v>
      </c>
      <c r="N245" s="267">
        <f>GRAL!AE586</f>
        <v>0</v>
      </c>
      <c r="O245" s="267" t="str">
        <f>GRAL!AF586</f>
        <v>M2</v>
      </c>
      <c r="P245" s="2" t="s">
        <v>68</v>
      </c>
      <c r="Q245" s="2"/>
    </row>
    <row r="246" spans="1:17" ht="45" hidden="1">
      <c r="A246" s="1"/>
      <c r="B246" s="1"/>
      <c r="C246" s="1" t="str">
        <f>OBRA!BY585</f>
        <v>2021-2024</v>
      </c>
      <c r="D246" s="1">
        <f>OBRA!I585</f>
        <v>2021</v>
      </c>
      <c r="E246" s="1933" t="str">
        <f>OBRA!M585</f>
        <v>SERVICIOS</v>
      </c>
      <c r="F246" s="1933"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937">
        <f>OBRA!AQ585+OBRA!AR585</f>
        <v>0</v>
      </c>
      <c r="N246" s="1">
        <f>GRAL!AE587</f>
        <v>0</v>
      </c>
      <c r="O246" s="1">
        <f>GRAL!AF587</f>
        <v>0</v>
      </c>
      <c r="P246" s="1"/>
      <c r="Q246" s="1"/>
    </row>
    <row r="247" spans="1:17" ht="45" hidden="1">
      <c r="A247" s="1"/>
      <c r="B247" s="1"/>
      <c r="C247" s="1" t="str">
        <f>OBRA!BY586</f>
        <v>2021-2024</v>
      </c>
      <c r="D247" s="1">
        <f>OBRA!I586</f>
        <v>2021</v>
      </c>
      <c r="E247" s="1933" t="str">
        <f>OBRA!M586</f>
        <v>SERVICIOS</v>
      </c>
      <c r="F247" s="1933"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937">
        <f>OBRA!AQ586+OBRA!AR586</f>
        <v>0</v>
      </c>
      <c r="N247" s="1">
        <f>GRAL!AE588</f>
        <v>0</v>
      </c>
      <c r="O247" s="1">
        <f>GRAL!AF588</f>
        <v>0</v>
      </c>
      <c r="P247" s="1"/>
      <c r="Q247" s="1"/>
    </row>
    <row r="248" spans="1:17" ht="120" hidden="1">
      <c r="A248" s="1"/>
      <c r="B248" s="1"/>
      <c r="C248" s="1" t="str">
        <f>OBRA!BY587</f>
        <v>2021-2024</v>
      </c>
      <c r="D248" s="1">
        <f>OBRA!I587</f>
        <v>2021</v>
      </c>
      <c r="E248" s="1933" t="str">
        <f>OBRA!M587</f>
        <v>SERVICIOS</v>
      </c>
      <c r="F248" s="1933"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937">
        <f>OBRA!AQ587+OBRA!AR587</f>
        <v>0</v>
      </c>
      <c r="N248" s="1">
        <f>GRAL!AE589</f>
        <v>0</v>
      </c>
      <c r="O248" s="1">
        <f>GRAL!AF589</f>
        <v>0</v>
      </c>
      <c r="P248" s="1"/>
      <c r="Q248" s="1"/>
    </row>
    <row r="249" spans="1:17" ht="60" hidden="1">
      <c r="A249" s="1"/>
      <c r="B249" s="1"/>
      <c r="C249" s="1" t="str">
        <f>OBRA!BY588</f>
        <v>2021-2024</v>
      </c>
      <c r="D249" s="1">
        <f>OBRA!I588</f>
        <v>2021</v>
      </c>
      <c r="E249" s="1933" t="str">
        <f>OBRA!M588</f>
        <v>SERVICIOS</v>
      </c>
      <c r="F249" s="1933"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937">
        <f>OBRA!AQ588+OBRA!AR588</f>
        <v>0</v>
      </c>
      <c r="N249" s="1">
        <f>GRAL!AE590</f>
        <v>0</v>
      </c>
      <c r="O249" s="1">
        <f>GRAL!AF590</f>
        <v>0</v>
      </c>
      <c r="P249" s="1"/>
      <c r="Q249" s="1"/>
    </row>
    <row r="250" spans="1:17" ht="22.5" hidden="1">
      <c r="A250" s="1"/>
      <c r="B250" s="1"/>
      <c r="C250" s="1" t="str">
        <f>OBRA!BY589</f>
        <v>2021-2024</v>
      </c>
      <c r="D250" s="1">
        <f>OBRA!I589</f>
        <v>2021</v>
      </c>
      <c r="E250" s="1933" t="str">
        <f>OBRA!M589</f>
        <v>CANCELADA</v>
      </c>
      <c r="F250" s="1933" t="str">
        <f>OBRA!L589</f>
        <v>GMJ 001C- OP/2021</v>
      </c>
      <c r="G250" s="3">
        <f>OBRA!N589</f>
        <v>0</v>
      </c>
      <c r="H250" s="1"/>
      <c r="I250" s="3">
        <f>OBRA!O589</f>
        <v>0</v>
      </c>
      <c r="J250" s="3"/>
      <c r="K250" s="3"/>
      <c r="L250" s="3"/>
      <c r="M250" s="1937">
        <f>OBRA!AQ589+OBRA!AR589</f>
        <v>0</v>
      </c>
      <c r="N250" s="1">
        <f>GRAL!AE591</f>
        <v>0</v>
      </c>
      <c r="O250" s="1">
        <f>GRAL!AF591</f>
        <v>0</v>
      </c>
      <c r="P250" s="1"/>
      <c r="Q250" s="1"/>
    </row>
    <row r="251" spans="1:17" ht="45">
      <c r="A251" s="1"/>
      <c r="B251" s="1935"/>
      <c r="C251" s="1" t="str">
        <f>OBRA!BY590</f>
        <v>2021-2024</v>
      </c>
      <c r="D251" s="1">
        <f>OBRA!I590</f>
        <v>2021</v>
      </c>
      <c r="E251" s="1933" t="str">
        <f>OBRA!M590</f>
        <v>ADJUDICACIÓN DIRECTA</v>
      </c>
      <c r="F251" s="1971" t="str">
        <f>OBRA!L590</f>
        <v>GMJ 002C- OP/2021</v>
      </c>
      <c r="G251" s="3" t="str">
        <f>OBRA!N590</f>
        <v>"REHABILITACIÓN DE LÍNEA DE AGUA POTABLE Y LÍNEA DRENAJE EN CALLE LIBERTAD" EN LA DELEGACIÓN DE POTRERILLOS, DEL MUNICIPIO DE JOCOTEPEC, JALISCO.</v>
      </c>
      <c r="H251" s="1933" t="s">
        <v>4807</v>
      </c>
      <c r="I251" s="3" t="str">
        <f>OBRA!O590</f>
        <v>POTRERILLOS</v>
      </c>
      <c r="J251" s="3" t="s">
        <v>3186</v>
      </c>
      <c r="K251" s="3" t="s">
        <v>4774</v>
      </c>
      <c r="L251" s="3" t="s">
        <v>4858</v>
      </c>
      <c r="M251" s="1972">
        <f>OBRA!P590</f>
        <v>715198.43</v>
      </c>
      <c r="N251" s="267">
        <f>GRAL!AE592</f>
        <v>216</v>
      </c>
      <c r="O251" s="267" t="str">
        <f>GRAL!AF592</f>
        <v>ML</v>
      </c>
      <c r="P251" s="560"/>
      <c r="Q251" s="2"/>
    </row>
    <row r="252" spans="1:17" ht="102" customHeight="1">
      <c r="A252" s="1"/>
      <c r="B252" s="1935"/>
      <c r="C252" s="1" t="str">
        <f>OBRA!BY591</f>
        <v>2021-2024</v>
      </c>
      <c r="D252" s="1">
        <f>OBRA!I591</f>
        <v>2021</v>
      </c>
      <c r="E252" s="1933" t="str">
        <f>OBRA!M591</f>
        <v>ADJUDICACIÓN DIRECTA</v>
      </c>
      <c r="F252" s="1971"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933" t="s">
        <v>4799</v>
      </c>
      <c r="I252" s="3" t="str">
        <f>OBRA!O591</f>
        <v>SAN JUAN COSALÁ</v>
      </c>
      <c r="J252" s="3" t="s">
        <v>4865</v>
      </c>
      <c r="K252" s="3" t="s">
        <v>68</v>
      </c>
      <c r="L252" s="3" t="s">
        <v>68</v>
      </c>
      <c r="M252" s="1937">
        <f>OBRA!AQ591+OBRA!AR591</f>
        <v>347130.34</v>
      </c>
      <c r="N252" s="267">
        <f>GRAL!AE593</f>
        <v>436</v>
      </c>
      <c r="O252" s="267" t="str">
        <f>GRAL!AF593</f>
        <v>ML</v>
      </c>
      <c r="P252" s="2" t="s">
        <v>4997</v>
      </c>
      <c r="Q252" s="2"/>
    </row>
    <row r="253" spans="1:17" ht="95.25" customHeight="1">
      <c r="A253" s="1"/>
      <c r="B253" s="1935"/>
      <c r="C253" s="1" t="str">
        <f>OBRA!BY592</f>
        <v>2021-2024</v>
      </c>
      <c r="D253" s="1">
        <f>OBRA!I592</f>
        <v>2021</v>
      </c>
      <c r="E253" s="1933" t="str">
        <f>OBRA!M592</f>
        <v>ADJUDICACIÓN DIRECTA</v>
      </c>
      <c r="F253" s="1971"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933" t="s">
        <v>4801</v>
      </c>
      <c r="I253" s="3" t="str">
        <f>OBRA!O592</f>
        <v>SAN JUAN COSALÁ</v>
      </c>
      <c r="J253" s="3" t="s">
        <v>4865</v>
      </c>
      <c r="K253" s="3" t="s">
        <v>68</v>
      </c>
      <c r="L253" s="3" t="s">
        <v>68</v>
      </c>
      <c r="M253" s="1937">
        <f>OBRA!AQ592+OBRA!AR592</f>
        <v>791064.19</v>
      </c>
      <c r="N253" s="267">
        <f>GRAL!AE594</f>
        <v>510.53</v>
      </c>
      <c r="O253" s="267" t="str">
        <f>GRAL!AF594</f>
        <v>ML</v>
      </c>
      <c r="P253" s="2" t="s">
        <v>4998</v>
      </c>
      <c r="Q253" s="2"/>
    </row>
    <row r="254" spans="1:17" ht="63.75" customHeight="1">
      <c r="A254" s="1"/>
      <c r="B254" s="1935"/>
      <c r="C254" s="1" t="str">
        <f>OBRA!BY593</f>
        <v>2021-2024</v>
      </c>
      <c r="D254" s="1">
        <f>OBRA!I593</f>
        <v>2021</v>
      </c>
      <c r="E254" s="1933" t="str">
        <f>OBRA!M593</f>
        <v>ADJUDICACIÓN DIRECTA</v>
      </c>
      <c r="F254" s="1971" t="str">
        <f>OBRA!L593</f>
        <v>GMJ 005C- OP/2021</v>
      </c>
      <c r="G254" s="3" t="str">
        <f>OBRA!N593</f>
        <v>"CONSTRUCCIÓN DE BANQUETAS EN CALLE LAZARO CÁRDENAS ENTRE C. VERANO Y C. INVIERNO" EN LA CABECERA MUNICIPAL DE JOCOTEPEC, JALISCO.</v>
      </c>
      <c r="H254" s="1933" t="s">
        <v>4802</v>
      </c>
      <c r="I254" s="3" t="str">
        <f>OBRA!O593</f>
        <v>CABECERA MUNICIPAL</v>
      </c>
      <c r="J254" s="3" t="s">
        <v>4737</v>
      </c>
      <c r="K254" s="3" t="s">
        <v>2578</v>
      </c>
      <c r="L254" s="3" t="s">
        <v>2733</v>
      </c>
      <c r="M254" s="1937">
        <f>OBRA!AQ593+OBRA!AR593</f>
        <v>100144.26</v>
      </c>
      <c r="N254" s="267">
        <f>GRAL!AE595</f>
        <v>155.30000000000001</v>
      </c>
      <c r="O254" s="267" t="str">
        <f>GRAL!AF595</f>
        <v>M2</v>
      </c>
      <c r="P254" s="2" t="s">
        <v>4999</v>
      </c>
      <c r="Q254" s="2"/>
    </row>
    <row r="255" spans="1:17" ht="76.5" customHeight="1">
      <c r="A255" s="1"/>
      <c r="B255" s="1935"/>
      <c r="C255" s="1" t="str">
        <f>OBRA!BY594</f>
        <v>2021-2024</v>
      </c>
      <c r="D255" s="1">
        <f>OBRA!I594</f>
        <v>2021</v>
      </c>
      <c r="E255" s="1933" t="str">
        <f>OBRA!M594</f>
        <v>ADJUDICACIÓN DIRECTA</v>
      </c>
      <c r="F255" s="1971" t="str">
        <f>OBRA!L594</f>
        <v>GMJ 006C- OP/2021</v>
      </c>
      <c r="G255" s="3" t="str">
        <f>OBRA!N594</f>
        <v>"REHABILITACIÓN DE LÍNEA ALIMENTADORA DE AGUA POTABLE DE 6" EN C. LA PAZ ENTRE C. HIDALGO Y C. TACUBA" EN LA DELEGACIÓN DE SAN JUAN COSALÁ, DEL MUNICIPIO DE JOCOTEPEC, JALISCO.</v>
      </c>
      <c r="H255" s="1933" t="s">
        <v>4799</v>
      </c>
      <c r="I255" s="3" t="str">
        <f>OBRA!O594</f>
        <v>SAN JUAN COSALÁ</v>
      </c>
      <c r="J255" s="3" t="s">
        <v>2672</v>
      </c>
      <c r="K255" s="3" t="s">
        <v>2655</v>
      </c>
      <c r="L255" s="3" t="s">
        <v>4825</v>
      </c>
      <c r="M255" s="1937">
        <f>OBRA!AQ594+OBRA!AR594</f>
        <v>252763.45</v>
      </c>
      <c r="N255" s="267">
        <f>GRAL!AE596</f>
        <v>160</v>
      </c>
      <c r="O255" s="267" t="str">
        <f>GRAL!AF596</f>
        <v>ML</v>
      </c>
      <c r="P255" s="2" t="s">
        <v>5000</v>
      </c>
      <c r="Q255" s="2"/>
    </row>
    <row r="256" spans="1:17" ht="71.25" customHeight="1">
      <c r="A256" s="1"/>
      <c r="B256" s="1935"/>
      <c r="C256" s="1" t="str">
        <f>OBRA!BY595</f>
        <v>2021-2024</v>
      </c>
      <c r="D256" s="1">
        <f>OBRA!I595</f>
        <v>2021</v>
      </c>
      <c r="E256" s="1933" t="str">
        <f>OBRA!M595</f>
        <v>ADJUDICACIÓN DIRECTA</v>
      </c>
      <c r="F256" s="1971" t="str">
        <f>OBRA!L595</f>
        <v>GMJ 007C- OP/2021</v>
      </c>
      <c r="G256" s="3" t="str">
        <f>OBRA!N595</f>
        <v>"REHABILITACIÓN DE LÍNEA DE AGUA POTABLE EN LA CALLE RIVERA DEL LAGO ENTRE CALLE MORELOS Y LA CALLE GUAYABITOS" EN LA DELEGACIÓN DE CHANTEPEC, DEL MUNICIPIO DE JOCOTEPEC, JALISCO</v>
      </c>
      <c r="H256" s="1933" t="s">
        <v>4799</v>
      </c>
      <c r="I256" s="3" t="str">
        <f>OBRA!O595</f>
        <v>CHANTEPEC</v>
      </c>
      <c r="J256" s="3" t="s">
        <v>2602</v>
      </c>
      <c r="K256" s="3" t="s">
        <v>2524</v>
      </c>
      <c r="L256" s="3" t="s">
        <v>4118</v>
      </c>
      <c r="M256" s="1937">
        <f>OBRA!AQ595+OBRA!AR595</f>
        <v>347130.35</v>
      </c>
      <c r="N256" s="267">
        <f>GRAL!AE597</f>
        <v>324.42</v>
      </c>
      <c r="O256" s="267" t="str">
        <f>GRAL!AF597</f>
        <v>ML</v>
      </c>
      <c r="P256" s="2" t="s">
        <v>5001</v>
      </c>
      <c r="Q256" s="2"/>
    </row>
    <row r="257" spans="1:17" ht="45" customHeight="1">
      <c r="A257" s="1"/>
      <c r="B257" s="1935"/>
      <c r="C257" s="1" t="str">
        <f>OBRA!BY596</f>
        <v>2021-2024</v>
      </c>
      <c r="D257" s="1">
        <f>OBRA!I596</f>
        <v>2022</v>
      </c>
      <c r="E257" s="1933" t="str">
        <f>OBRA!M596</f>
        <v>ADMINISTRACIÓN DIRECTA</v>
      </c>
      <c r="F257" s="1971" t="str">
        <f>OBRA!L596</f>
        <v>DOP/AD/001/2022</v>
      </c>
      <c r="G257" s="3" t="str">
        <f>OBRA!N596</f>
        <v>CUARTO DE EMERGENCIA PARA MUJERES EN SITUACIÓN DE VIOLENCIA EXTREMA…</v>
      </c>
      <c r="H257" s="1933" t="s">
        <v>4812</v>
      </c>
      <c r="I257" s="3" t="str">
        <f>OBRA!O596</f>
        <v>-</v>
      </c>
      <c r="J257" s="3" t="s">
        <v>68</v>
      </c>
      <c r="K257" s="3" t="s">
        <v>68</v>
      </c>
      <c r="L257" s="3" t="s">
        <v>68</v>
      </c>
      <c r="M257" s="1972">
        <f>OBRA!P596</f>
        <v>70000</v>
      </c>
      <c r="N257" s="267">
        <f>GRAL!AE598</f>
        <v>0</v>
      </c>
      <c r="O257" s="267" t="str">
        <f>GRAL!AF598</f>
        <v>M2</v>
      </c>
      <c r="P257" s="2" t="s">
        <v>68</v>
      </c>
      <c r="Q257" s="1977"/>
    </row>
    <row r="258" spans="1:17" ht="63" customHeight="1">
      <c r="A258" s="1"/>
      <c r="B258" s="1935"/>
      <c r="C258" s="1" t="str">
        <f>OBRA!BY597</f>
        <v>2021-2024</v>
      </c>
      <c r="D258" s="1">
        <f>OBRA!I597</f>
        <v>2022</v>
      </c>
      <c r="E258" s="1933" t="str">
        <f>OBRA!M597</f>
        <v>ADMINISTRACIÓN DIRECTA</v>
      </c>
      <c r="F258" s="1971" t="str">
        <f>OBRA!L597</f>
        <v>DOP/AD/002/2022</v>
      </c>
      <c r="G258" s="3" t="str">
        <f>OBRA!N597</f>
        <v>"CONSTRUCCIÓN DE BANQUETAS EN EL PUENTE 20 DE NOVIEMBRE", EN LA LOCALIDAD DE ZAPOTITÁN DE HIDALGO, DEL MUNICIPIO DE JOCOTEPEC, JALISCO.</v>
      </c>
      <c r="H258" s="1933" t="s">
        <v>4802</v>
      </c>
      <c r="I258" s="3" t="str">
        <f>OBRA!O597</f>
        <v>ZAPOTITÁN DE HIDALGO</v>
      </c>
      <c r="J258" s="3" t="s">
        <v>2723</v>
      </c>
      <c r="K258" s="3" t="s">
        <v>4866</v>
      </c>
      <c r="L258" s="3" t="s">
        <v>68</v>
      </c>
      <c r="M258" s="1972">
        <f>OBRA!P597</f>
        <v>60152.28</v>
      </c>
      <c r="N258" s="267">
        <f>GRAL!AE599</f>
        <v>70.05</v>
      </c>
      <c r="O258" s="267" t="str">
        <f>GRAL!AF599</f>
        <v>M2</v>
      </c>
      <c r="P258" s="2" t="s">
        <v>4961</v>
      </c>
      <c r="Q258" s="1977"/>
    </row>
    <row r="259" spans="1:17" ht="86.25" customHeight="1">
      <c r="A259" s="1"/>
      <c r="B259" s="1935"/>
      <c r="C259" s="1" t="str">
        <f>OBRA!BY598</f>
        <v>2021-2024</v>
      </c>
      <c r="D259" s="1">
        <f>OBRA!I598</f>
        <v>2022</v>
      </c>
      <c r="E259" s="1933" t="str">
        <f>OBRA!M598</f>
        <v>ADMINISTRACIÓN DIRECTA</v>
      </c>
      <c r="F259" s="1971" t="str">
        <f>OBRA!L598</f>
        <v>DOP/AD/003/2022</v>
      </c>
      <c r="G259" s="3" t="str">
        <f>OBRA!N598</f>
        <v>“CONSTRUCCIÓN DEL TECHO DE LA SALA DE JUNTAS DEL PUNTO INOCUO DE DESEMBARQUE UBICADO DENTRO DE LAS INSTALACIONES DE LA COOPERATIVA”, EN LA LOCALIDAD DE SAN JUAN COSALÁ, DEL MUNICIPIO DE JOCOTEPEC, JALISCO</v>
      </c>
      <c r="H259" s="1933" t="s">
        <v>4812</v>
      </c>
      <c r="I259" s="3" t="str">
        <f>OBRA!O598</f>
        <v>SAN JUAN COSALÁ</v>
      </c>
      <c r="J259" s="3" t="s">
        <v>4946</v>
      </c>
      <c r="K259" s="3" t="s">
        <v>2571</v>
      </c>
      <c r="L259" s="3" t="s">
        <v>4821</v>
      </c>
      <c r="M259" s="1972">
        <f>OBRA!P598</f>
        <v>81200</v>
      </c>
      <c r="N259" s="267">
        <f>GRAL!AE600</f>
        <v>67</v>
      </c>
      <c r="O259" s="267" t="str">
        <f>GRAL!AF600</f>
        <v>M2</v>
      </c>
      <c r="P259" s="2" t="s">
        <v>68</v>
      </c>
      <c r="Q259" s="1977"/>
    </row>
    <row r="260" spans="1:17" ht="60">
      <c r="A260" s="1"/>
      <c r="B260" s="1935"/>
      <c r="C260" s="1" t="str">
        <f>OBRA!BY599</f>
        <v>2021-2024</v>
      </c>
      <c r="D260" s="1">
        <f>OBRA!I599</f>
        <v>2022</v>
      </c>
      <c r="E260" s="1933" t="str">
        <f>OBRA!M599</f>
        <v>ADMINISTRACIÓN DIRECTA</v>
      </c>
      <c r="F260" s="1971" t="str">
        <f>OBRA!L599</f>
        <v>DOP/AD/001-A/2022</v>
      </c>
      <c r="G260" s="3" t="str">
        <f>OBRA!N599</f>
        <v>"REHABILITACIÓN DE EXTENSIÓN DE RED DE AGUA POTABLE DE 4" EN CALLE PROL. MORELOS ENTRE CALLE RIBERA DEL LAGO Y CALLE CHUECA" EN LA LOCALIDAD DE NEXTIPAC, DEL MUNICIPIO DE JOCOTEPEC, JALISCO.</v>
      </c>
      <c r="H260" s="1933" t="s">
        <v>4799</v>
      </c>
      <c r="I260" s="3" t="str">
        <f>OBRA!O599</f>
        <v>NEXTIPAC</v>
      </c>
      <c r="J260" s="3" t="s">
        <v>4751</v>
      </c>
      <c r="K260" s="3" t="s">
        <v>4764</v>
      </c>
      <c r="L260" s="3" t="s">
        <v>4065</v>
      </c>
      <c r="M260" s="1972">
        <f>OBRA!P599</f>
        <v>330190.86</v>
      </c>
      <c r="N260" s="1973">
        <f>GRAL!AE601</f>
        <v>666</v>
      </c>
      <c r="O260" s="1973" t="str">
        <f>GRAL!AF601</f>
        <v>ML</v>
      </c>
      <c r="P260" s="2" t="s">
        <v>68</v>
      </c>
      <c r="Q260" s="1977"/>
    </row>
    <row r="261" spans="1:17" ht="63" customHeight="1">
      <c r="A261" s="1"/>
      <c r="B261" s="1935"/>
      <c r="C261" s="1" t="str">
        <f>OBRA!BY600</f>
        <v>2021-2024</v>
      </c>
      <c r="D261" s="1">
        <f>OBRA!I600</f>
        <v>2022</v>
      </c>
      <c r="E261" s="1933" t="str">
        <f>OBRA!M600</f>
        <v>ADMINISTRACIÓN DIRECTA</v>
      </c>
      <c r="F261" s="1971" t="str">
        <f>OBRA!L600</f>
        <v>DOP/AD/005/2022</v>
      </c>
      <c r="G261" s="3" t="str">
        <f>OBRA!N600</f>
        <v>"CONSTRUCCIÓN DE SUPERFICIE DE RODAMIENTO EN CALLE 12 DE OCTUBRE", EN LA LOCALIDAD DE SAN PEDRO TESISTÁN, DEL MUNICIPIO DE JOCOTEPEC, JALISCO</v>
      </c>
      <c r="H261" s="1933" t="s">
        <v>4806</v>
      </c>
      <c r="I261" s="3" t="str">
        <f>OBRA!O600</f>
        <v>SAN PEDRO TESISTÁN</v>
      </c>
      <c r="J261" s="3" t="s">
        <v>2645</v>
      </c>
      <c r="K261" s="3" t="s">
        <v>4820</v>
      </c>
      <c r="L261" s="3" t="s">
        <v>68</v>
      </c>
      <c r="M261" s="1972">
        <f>OBRA!P600</f>
        <v>86073.66</v>
      </c>
      <c r="N261" s="239">
        <f>GRAL!AE602</f>
        <v>134</v>
      </c>
      <c r="O261" s="1" t="str">
        <f>GRAL!AF602</f>
        <v>M2</v>
      </c>
      <c r="P261" s="2" t="s">
        <v>4960</v>
      </c>
      <c r="Q261" s="1977"/>
    </row>
    <row r="262" spans="1:17" ht="61.5" customHeight="1">
      <c r="A262" s="1"/>
      <c r="B262" s="1935"/>
      <c r="C262" s="1" t="str">
        <f>OBRA!BY601</f>
        <v>2021-2024</v>
      </c>
      <c r="D262" s="1">
        <f>OBRA!I601</f>
        <v>2022</v>
      </c>
      <c r="E262" s="1933" t="str">
        <f>OBRA!M601</f>
        <v>ADMINISTRACIÓN DIRECTA</v>
      </c>
      <c r="F262" s="1971" t="str">
        <f>OBRA!L601</f>
        <v>DOP/AD/006/2022</v>
      </c>
      <c r="G262" s="3" t="str">
        <f>OBRA!N601</f>
        <v>"CONSTRUCCIÓN DE SUPERFICIE DE RODAMIENTO EN CALLE LIBERTAD", EN LA LOCALIDAD DE SAN PEDRO TESISTÁN, DEL MUNICIPIO DE JOCOTEPEC, JALISCO</v>
      </c>
      <c r="H262" s="1933" t="s">
        <v>4806</v>
      </c>
      <c r="I262" s="3" t="str">
        <f>OBRA!O601</f>
        <v>SAN PEDRO TESISTÁN</v>
      </c>
      <c r="J262" s="3" t="s">
        <v>3186</v>
      </c>
      <c r="K262" s="3" t="s">
        <v>4820</v>
      </c>
      <c r="L262" s="3" t="s">
        <v>68</v>
      </c>
      <c r="M262" s="1972">
        <f>OBRA!P601</f>
        <v>109829.72</v>
      </c>
      <c r="N262" s="239">
        <f>GRAL!AE603</f>
        <v>210.5</v>
      </c>
      <c r="O262" s="1" t="str">
        <f>GRAL!AF603</f>
        <v>M2</v>
      </c>
      <c r="P262" s="2" t="s">
        <v>4960</v>
      </c>
      <c r="Q262" s="1977"/>
    </row>
    <row r="263" spans="1:17" ht="30" hidden="1">
      <c r="A263" s="1"/>
      <c r="B263" s="1935"/>
      <c r="C263" s="1" t="str">
        <f>OBRA!BY602</f>
        <v>2021-2024</v>
      </c>
      <c r="D263" s="1">
        <f>OBRA!I602</f>
        <v>2022</v>
      </c>
      <c r="E263" s="1933" t="str">
        <f>OBRA!M602</f>
        <v>MANTENIMIENTOS</v>
      </c>
      <c r="F263" s="1971" t="str">
        <f>OBRA!L602</f>
        <v>MANTENIMIENTOS</v>
      </c>
      <c r="G263" s="3" t="str">
        <f>OBRA!N602</f>
        <v>REMODELACIÓN DE PRESIDENCIA</v>
      </c>
      <c r="H263" s="1933"/>
      <c r="I263" s="3" t="str">
        <f>OBRA!O602</f>
        <v>CABECERA MUNICIPAL</v>
      </c>
      <c r="J263" s="3"/>
      <c r="K263" s="3"/>
      <c r="L263" s="3"/>
      <c r="M263" s="1972">
        <f>OBRA!P602</f>
        <v>0</v>
      </c>
      <c r="N263" s="1973">
        <f>GRAL!AE604</f>
        <v>0</v>
      </c>
      <c r="O263" s="1973">
        <f>GRAL!AF604</f>
        <v>0</v>
      </c>
      <c r="P263" s="2" t="s">
        <v>68</v>
      </c>
      <c r="Q263" s="1977"/>
    </row>
    <row r="264" spans="1:17" ht="30">
      <c r="A264" s="1"/>
      <c r="B264" s="1935"/>
      <c r="C264" s="1" t="str">
        <f>OBRA!BY603</f>
        <v>2021-2024</v>
      </c>
      <c r="D264" s="1">
        <f>OBRA!I603</f>
        <v>2022</v>
      </c>
      <c r="E264" s="1933" t="str">
        <f>OBRA!M603</f>
        <v>ADMINISTRACIÓN DIRECTA</v>
      </c>
      <c r="F264" s="1971" t="str">
        <f>OBRA!L603</f>
        <v>DOP/AD/007/2022</v>
      </c>
      <c r="G264" s="3" t="str">
        <f>OBRA!N603</f>
        <v>“CONSTRUCCIÓN DE BAÑOS PÚBLICOS”, EN LA LOCALIDAD DE EL MOLINO, DEL MUNICIPIO DE JOCOTEPEC, JALISCO</v>
      </c>
      <c r="H264" s="1933" t="s">
        <v>5471</v>
      </c>
      <c r="I264" s="3" t="str">
        <f>OBRA!O603</f>
        <v>EL MOLINO</v>
      </c>
      <c r="J264" s="3" t="s">
        <v>2655</v>
      </c>
      <c r="K264" s="3" t="s">
        <v>5474</v>
      </c>
      <c r="L264" s="3" t="s">
        <v>5475</v>
      </c>
      <c r="M264" s="1972">
        <f>OBRA!P603</f>
        <v>297707.86</v>
      </c>
      <c r="N264" s="1973">
        <f>GRAL!AE605</f>
        <v>20.82</v>
      </c>
      <c r="O264" s="1973" t="str">
        <f>GRAL!AF605</f>
        <v>M2</v>
      </c>
      <c r="P264" s="2" t="s">
        <v>68</v>
      </c>
      <c r="Q264" s="1977"/>
    </row>
    <row r="265" spans="1:17" ht="30" hidden="1">
      <c r="A265" s="1"/>
      <c r="B265" s="1935"/>
      <c r="C265" s="1" t="str">
        <f>OBRA!BY604</f>
        <v>2021-2024</v>
      </c>
      <c r="D265" s="1">
        <f>OBRA!I604</f>
        <v>2022</v>
      </c>
      <c r="E265" s="1933" t="str">
        <f>OBRA!M604</f>
        <v>ADMINISTRACIÓN DIRECTA</v>
      </c>
      <c r="F265" s="1971" t="str">
        <f>OBRA!L604</f>
        <v>DOP/AD/001-B/2022</v>
      </c>
      <c r="G265" s="3" t="str">
        <f>OBRA!N604</f>
        <v>"REMODELACIÓN DE PRESIDENCIA (2DA ETAPA)", EN LA CABECERA MUNICIPAL DE JOCOTEPEC.</v>
      </c>
      <c r="H265" s="1933"/>
      <c r="I265" s="3" t="str">
        <f>OBRA!O604</f>
        <v>CABECERA MUNICIPAL</v>
      </c>
      <c r="J265" s="3"/>
      <c r="K265" s="3"/>
      <c r="L265" s="3"/>
      <c r="M265" s="1972">
        <f>OBRA!P604</f>
        <v>800000</v>
      </c>
      <c r="N265" s="1973">
        <f>GRAL!AE606</f>
        <v>0</v>
      </c>
      <c r="O265" s="1973">
        <f>GRAL!AF606</f>
        <v>0</v>
      </c>
      <c r="P265" s="2" t="s">
        <v>68</v>
      </c>
      <c r="Q265" s="1977"/>
    </row>
    <row r="266" spans="1:17" ht="25.5" hidden="1">
      <c r="A266" s="1"/>
      <c r="B266" s="1935"/>
      <c r="C266" s="1" t="str">
        <f>OBRA!BY605</f>
        <v>2021-2024</v>
      </c>
      <c r="D266" s="1">
        <f>OBRA!I605</f>
        <v>2022</v>
      </c>
      <c r="E266" s="1933" t="str">
        <f>OBRA!M605</f>
        <v>CANCELADA</v>
      </c>
      <c r="F266" s="1971" t="str">
        <f>OBRA!L605</f>
        <v>DOP/AD/010/2022</v>
      </c>
      <c r="G266" s="3" t="str">
        <f>OBRA!N605</f>
        <v>-</v>
      </c>
      <c r="H266" s="1933"/>
      <c r="I266" s="3">
        <f>OBRA!O605</f>
        <v>0</v>
      </c>
      <c r="J266" s="3"/>
      <c r="K266" s="3"/>
      <c r="L266" s="3"/>
      <c r="M266" s="1972">
        <f>OBRA!P605</f>
        <v>0</v>
      </c>
      <c r="N266" s="1973">
        <f>GRAL!AE607</f>
        <v>0</v>
      </c>
      <c r="O266" s="1973">
        <f>GRAL!AF607</f>
        <v>0</v>
      </c>
      <c r="P266" s="2" t="s">
        <v>68</v>
      </c>
      <c r="Q266" s="1977"/>
    </row>
    <row r="267" spans="1:17" ht="120" hidden="1">
      <c r="A267" s="1"/>
      <c r="B267" s="1"/>
      <c r="C267" s="1" t="str">
        <f>OBRA!BY606</f>
        <v>2021-2024</v>
      </c>
      <c r="D267" s="1">
        <f>OBRA!I606</f>
        <v>2022</v>
      </c>
      <c r="E267" s="1933" t="str">
        <f>OBRA!M606</f>
        <v xml:space="preserve">SERVICIOS </v>
      </c>
      <c r="F267" s="1933"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937">
        <f>OBRA!AQ606+OBRA!AR606</f>
        <v>0</v>
      </c>
      <c r="N267" s="1">
        <f>GRAL!AE608</f>
        <v>4</v>
      </c>
      <c r="O267" s="1" t="str">
        <f>GRAL!AF608</f>
        <v>POZO</v>
      </c>
      <c r="P267" s="1"/>
      <c r="Q267" s="1"/>
    </row>
    <row r="268" spans="1:17" ht="120" hidden="1">
      <c r="A268" s="1"/>
      <c r="B268" s="1"/>
      <c r="C268" s="1" t="str">
        <f>OBRA!BY607</f>
        <v>2021-2024</v>
      </c>
      <c r="D268" s="1">
        <f>OBRA!I607</f>
        <v>2022</v>
      </c>
      <c r="E268" s="1933" t="str">
        <f>OBRA!M607</f>
        <v>SERVICIOS (CANCELADO)</v>
      </c>
      <c r="F268" s="1933"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937">
        <f>OBRA!AQ607+OBRA!AR607</f>
        <v>0</v>
      </c>
      <c r="N268" s="1">
        <f>GRAL!AE609</f>
        <v>0</v>
      </c>
      <c r="O268" s="1">
        <f>GRAL!AF609</f>
        <v>0</v>
      </c>
      <c r="P268" s="1"/>
      <c r="Q268" s="1"/>
    </row>
    <row r="269" spans="1:17" ht="120" hidden="1">
      <c r="A269" s="1"/>
      <c r="B269" s="1"/>
      <c r="C269" s="1" t="str">
        <f>OBRA!BY608</f>
        <v>2021-2024</v>
      </c>
      <c r="D269" s="1">
        <f>OBRA!I608</f>
        <v>2022</v>
      </c>
      <c r="E269" s="1933" t="str">
        <f>OBRA!M608</f>
        <v xml:space="preserve">SERVICIOS </v>
      </c>
      <c r="F269" s="1933"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937">
        <f>OBRA!AQ608+OBRA!AR608</f>
        <v>0</v>
      </c>
      <c r="N269" s="1">
        <f>GRAL!AE610</f>
        <v>9</v>
      </c>
      <c r="O269" s="1" t="str">
        <f>GRAL!AF610</f>
        <v>PIEZAS</v>
      </c>
      <c r="P269" s="1"/>
      <c r="Q269" s="1"/>
    </row>
    <row r="270" spans="1:17" ht="60" hidden="1">
      <c r="A270" s="1"/>
      <c r="B270" s="1"/>
      <c r="C270" s="1" t="str">
        <f>OBRA!BY609</f>
        <v>2021-2024</v>
      </c>
      <c r="D270" s="1">
        <f>OBRA!I609</f>
        <v>2022</v>
      </c>
      <c r="E270" s="1933" t="str">
        <f>OBRA!M609</f>
        <v xml:space="preserve">SERVICIOS </v>
      </c>
      <c r="F270" s="1933"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937">
        <f>OBRA!AQ609+OBRA!AR609</f>
        <v>0</v>
      </c>
      <c r="N270" s="1">
        <f>GRAL!AE611</f>
        <v>0</v>
      </c>
      <c r="O270" s="1" t="str">
        <f>GRAL!AF611</f>
        <v>M2</v>
      </c>
      <c r="P270" s="1"/>
      <c r="Q270" s="1"/>
    </row>
    <row r="271" spans="1:17" ht="22.5" hidden="1">
      <c r="A271" s="1"/>
      <c r="B271" s="1"/>
      <c r="C271" s="1" t="str">
        <f>OBRA!BY610</f>
        <v>2021-2024</v>
      </c>
      <c r="D271" s="1">
        <f>OBRA!I610</f>
        <v>2022</v>
      </c>
      <c r="E271" s="1933" t="str">
        <f>OBRA!M610</f>
        <v>SERVICIOS (CANCELADO)</v>
      </c>
      <c r="F271" s="1933" t="str">
        <f>OBRA!L610</f>
        <v>CPSP DOP 005/2022</v>
      </c>
      <c r="G271" s="3" t="str">
        <f>OBRA!N610</f>
        <v>-</v>
      </c>
      <c r="H271" s="1"/>
      <c r="I271" s="3">
        <f>OBRA!O610</f>
        <v>0</v>
      </c>
      <c r="J271" s="3"/>
      <c r="K271" s="3"/>
      <c r="L271" s="3"/>
      <c r="M271" s="1937">
        <f>OBRA!AQ610+OBRA!AR610</f>
        <v>0</v>
      </c>
      <c r="N271" s="1">
        <f>GRAL!AE612</f>
        <v>0</v>
      </c>
      <c r="O271" s="1">
        <f>GRAL!AF612</f>
        <v>0</v>
      </c>
      <c r="P271" s="1"/>
      <c r="Q271" s="1"/>
    </row>
    <row r="272" spans="1:17" ht="45" hidden="1">
      <c r="A272" s="1"/>
      <c r="B272" s="1"/>
      <c r="C272" s="1" t="str">
        <f>OBRA!BY611</f>
        <v>2021-2024</v>
      </c>
      <c r="D272" s="1">
        <f>OBRA!I611</f>
        <v>2022</v>
      </c>
      <c r="E272" s="1933" t="str">
        <f>OBRA!M611</f>
        <v xml:space="preserve">SERVICIOS </v>
      </c>
      <c r="F272" s="1933"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937">
        <f>OBRA!AQ611+OBRA!AR611</f>
        <v>0</v>
      </c>
      <c r="N272" s="1">
        <f>GRAL!AE613</f>
        <v>0</v>
      </c>
      <c r="O272" s="1" t="str">
        <f>GRAL!AF613</f>
        <v>M2</v>
      </c>
      <c r="P272" s="1"/>
      <c r="Q272" s="1"/>
    </row>
    <row r="273" spans="1:17" ht="22.5" hidden="1">
      <c r="A273" s="1"/>
      <c r="B273" s="1"/>
      <c r="C273" s="1" t="str">
        <f>OBRA!BY612</f>
        <v>2021-2024</v>
      </c>
      <c r="D273" s="1">
        <f>OBRA!I612</f>
        <v>2022</v>
      </c>
      <c r="E273" s="1933" t="str">
        <f>OBRA!M612</f>
        <v>SERVICIOS (CANCELADO)</v>
      </c>
      <c r="F273" s="1933" t="str">
        <f>OBRA!L612</f>
        <v>CPSP DOP 007/2022</v>
      </c>
      <c r="G273" s="3" t="str">
        <f>OBRA!N612</f>
        <v>-</v>
      </c>
      <c r="H273" s="1"/>
      <c r="I273" s="3">
        <f>OBRA!O612</f>
        <v>0</v>
      </c>
      <c r="J273" s="3"/>
      <c r="K273" s="3"/>
      <c r="L273" s="3"/>
      <c r="M273" s="1937">
        <f>OBRA!AQ612+OBRA!AR612</f>
        <v>0</v>
      </c>
      <c r="N273" s="1">
        <f>GRAL!AE614</f>
        <v>0</v>
      </c>
      <c r="O273" s="1">
        <f>GRAL!AF614</f>
        <v>0</v>
      </c>
      <c r="P273" s="1"/>
      <c r="Q273" s="1"/>
    </row>
    <row r="274" spans="1:17" ht="45" hidden="1">
      <c r="A274" s="1"/>
      <c r="B274" s="1"/>
      <c r="C274" s="1" t="str">
        <f>OBRA!BY613</f>
        <v>2021-2024</v>
      </c>
      <c r="D274" s="1">
        <f>OBRA!I613</f>
        <v>2022</v>
      </c>
      <c r="E274" s="1933" t="str">
        <f>OBRA!M613</f>
        <v xml:space="preserve">SERVICIOS </v>
      </c>
      <c r="F274" s="1933"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937">
        <f>OBRA!AQ613+OBRA!AR613</f>
        <v>0</v>
      </c>
      <c r="N274" s="1">
        <f>GRAL!AE615</f>
        <v>0</v>
      </c>
      <c r="O274" s="1" t="str">
        <f>GRAL!AF615</f>
        <v>M2</v>
      </c>
      <c r="P274" s="1"/>
      <c r="Q274" s="1"/>
    </row>
    <row r="275" spans="1:17" ht="60" hidden="1">
      <c r="A275" s="1"/>
      <c r="B275" s="1"/>
      <c r="C275" s="1" t="str">
        <f>OBRA!BY614</f>
        <v>2021-2024</v>
      </c>
      <c r="D275" s="1">
        <f>OBRA!I614</f>
        <v>2022</v>
      </c>
      <c r="E275" s="1933" t="str">
        <f>OBRA!M614</f>
        <v xml:space="preserve">SERVICIOS </v>
      </c>
      <c r="F275" s="1933"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937">
        <f>OBRA!AQ614+OBRA!AR614</f>
        <v>0</v>
      </c>
      <c r="N275" s="1">
        <f>GRAL!AE616</f>
        <v>1</v>
      </c>
      <c r="O275" s="1" t="str">
        <f>GRAL!AF616</f>
        <v>LOTE</v>
      </c>
      <c r="P275" s="1"/>
      <c r="Q275" s="1"/>
    </row>
    <row r="276" spans="1:17" ht="60" hidden="1">
      <c r="A276" s="1"/>
      <c r="B276" s="1"/>
      <c r="C276" s="1" t="str">
        <f>OBRA!BY615</f>
        <v>2021-2024</v>
      </c>
      <c r="D276" s="1">
        <f>OBRA!I615</f>
        <v>2022</v>
      </c>
      <c r="E276" s="1933" t="str">
        <f>OBRA!M615</f>
        <v xml:space="preserve">SERVICIOS </v>
      </c>
      <c r="F276" s="1933"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937">
        <f>OBRA!AQ615+OBRA!AR615</f>
        <v>0</v>
      </c>
      <c r="N276" s="1">
        <f>GRAL!AE617</f>
        <v>1</v>
      </c>
      <c r="O276" s="1" t="str">
        <f>GRAL!AF617</f>
        <v>POZO</v>
      </c>
      <c r="P276" s="1"/>
      <c r="Q276" s="1"/>
    </row>
    <row r="277" spans="1:17" ht="60" hidden="1">
      <c r="A277" s="1"/>
      <c r="B277" s="1"/>
      <c r="C277" s="1" t="str">
        <f>OBRA!BY616</f>
        <v>2021-2024</v>
      </c>
      <c r="D277" s="1">
        <f>OBRA!I616</f>
        <v>2022</v>
      </c>
      <c r="E277" s="1933" t="str">
        <f>OBRA!M616</f>
        <v xml:space="preserve">SERVICIOS </v>
      </c>
      <c r="F277" s="1933"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937">
        <f>OBRA!AQ616+OBRA!AR616</f>
        <v>0</v>
      </c>
      <c r="N277" s="1">
        <f>GRAL!AE618</f>
        <v>1</v>
      </c>
      <c r="O277" s="1" t="str">
        <f>GRAL!AF618</f>
        <v>POZO</v>
      </c>
      <c r="P277" s="1"/>
      <c r="Q277" s="1"/>
    </row>
    <row r="278" spans="1:17" ht="75" hidden="1">
      <c r="A278" s="1"/>
      <c r="B278" s="1"/>
      <c r="C278" s="1" t="str">
        <f>OBRA!BY617</f>
        <v>2021-2024</v>
      </c>
      <c r="D278" s="1">
        <f>OBRA!I617</f>
        <v>2022</v>
      </c>
      <c r="E278" s="1933" t="str">
        <f>OBRA!M617</f>
        <v xml:space="preserve">SERVICIOS </v>
      </c>
      <c r="F278" s="1933"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937">
        <f>OBRA!AQ617+OBRA!AR617</f>
        <v>0</v>
      </c>
      <c r="N278" s="1">
        <f>GRAL!AE619</f>
        <v>3</v>
      </c>
      <c r="O278" s="1" t="str">
        <f>GRAL!AF619</f>
        <v>POZO</v>
      </c>
      <c r="P278" s="1"/>
      <c r="Q278" s="1"/>
    </row>
    <row r="279" spans="1:17" ht="105" hidden="1">
      <c r="A279" s="1"/>
      <c r="B279" s="1"/>
      <c r="C279" s="1" t="str">
        <f>OBRA!BY618</f>
        <v>2021-2024</v>
      </c>
      <c r="D279" s="1">
        <f>OBRA!I618</f>
        <v>2022</v>
      </c>
      <c r="E279" s="1933" t="str">
        <f>OBRA!M618</f>
        <v xml:space="preserve">SERVICIOS </v>
      </c>
      <c r="F279" s="1933"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937">
        <f>OBRA!AQ618+OBRA!AR618</f>
        <v>0</v>
      </c>
      <c r="N279" s="1">
        <f>GRAL!AE620</f>
        <v>1</v>
      </c>
      <c r="O279" s="1" t="str">
        <f>GRAL!AF620</f>
        <v>LOTE</v>
      </c>
      <c r="P279" s="1"/>
      <c r="Q279" s="1"/>
    </row>
    <row r="280" spans="1:17" ht="75" hidden="1">
      <c r="A280" s="1"/>
      <c r="B280" s="1"/>
      <c r="C280" s="1" t="str">
        <f>OBRA!BY619</f>
        <v>2021-2024</v>
      </c>
      <c r="D280" s="1">
        <f>OBRA!I619</f>
        <v>2022</v>
      </c>
      <c r="E280" s="1933" t="str">
        <f>OBRA!M619</f>
        <v xml:space="preserve">SERVICIOS </v>
      </c>
      <c r="F280" s="1933"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937">
        <f>OBRA!AQ619+OBRA!AR619</f>
        <v>0</v>
      </c>
      <c r="N280" s="1">
        <f>GRAL!AE621</f>
        <v>1</v>
      </c>
      <c r="O280" s="1" t="str">
        <f>GRAL!AF621</f>
        <v>POZO</v>
      </c>
      <c r="P280" s="1"/>
      <c r="Q280" s="1"/>
    </row>
    <row r="281" spans="1:17" ht="22.5" hidden="1">
      <c r="A281" s="1"/>
      <c r="B281" s="1"/>
      <c r="C281" s="1" t="str">
        <f>OBRA!BY620</f>
        <v>2021-2024</v>
      </c>
      <c r="D281" s="1">
        <f>OBRA!I620</f>
        <v>2022</v>
      </c>
      <c r="E281" s="1933" t="str">
        <f>OBRA!M620</f>
        <v>SERVICIOS (CANCELADO)</v>
      </c>
      <c r="F281" s="1933" t="str">
        <f>OBRA!L620</f>
        <v>CPSP DOP 015/2022</v>
      </c>
      <c r="G281" s="3" t="str">
        <f>OBRA!N620</f>
        <v>-</v>
      </c>
      <c r="H281" s="1"/>
      <c r="I281" s="3">
        <f>OBRA!O620</f>
        <v>0</v>
      </c>
      <c r="J281" s="3"/>
      <c r="K281" s="3"/>
      <c r="L281" s="3"/>
      <c r="M281" s="1937">
        <f>OBRA!AQ620+OBRA!AR620</f>
        <v>0</v>
      </c>
      <c r="N281" s="1">
        <f>GRAL!AE622</f>
        <v>0</v>
      </c>
      <c r="O281" s="1">
        <f>GRAL!AF622</f>
        <v>0</v>
      </c>
      <c r="P281" s="1"/>
      <c r="Q281" s="1"/>
    </row>
    <row r="282" spans="1:17" ht="22.5" hidden="1">
      <c r="A282" s="1"/>
      <c r="B282" s="1"/>
      <c r="C282" s="1" t="str">
        <f>OBRA!BY621</f>
        <v>2021-2024</v>
      </c>
      <c r="D282" s="1">
        <f>OBRA!I621</f>
        <v>2022</v>
      </c>
      <c r="E282" s="1933" t="str">
        <f>OBRA!M621</f>
        <v>SERVICIOS (CANCELADO)</v>
      </c>
      <c r="F282" s="1933" t="str">
        <f>OBRA!L621</f>
        <v>CPSP DOP 016/2022</v>
      </c>
      <c r="G282" s="3" t="str">
        <f>OBRA!N621</f>
        <v>-</v>
      </c>
      <c r="H282" s="1"/>
      <c r="I282" s="3">
        <f>OBRA!O621</f>
        <v>0</v>
      </c>
      <c r="J282" s="3"/>
      <c r="K282" s="3"/>
      <c r="L282" s="3"/>
      <c r="M282" s="1937">
        <f>OBRA!AQ621+OBRA!AR621</f>
        <v>0</v>
      </c>
      <c r="N282" s="1">
        <f>GRAL!AE623</f>
        <v>0</v>
      </c>
      <c r="O282" s="1">
        <f>GRAL!AF623</f>
        <v>0</v>
      </c>
      <c r="P282" s="1"/>
      <c r="Q282" s="1"/>
    </row>
    <row r="283" spans="1:17" ht="22.5" hidden="1">
      <c r="A283" s="1"/>
      <c r="B283" s="1"/>
      <c r="C283" s="1" t="str">
        <f>OBRA!BY622</f>
        <v>2021-2024</v>
      </c>
      <c r="D283" s="1">
        <f>OBRA!I622</f>
        <v>2022</v>
      </c>
      <c r="E283" s="1933" t="str">
        <f>OBRA!M622</f>
        <v>SERVICIOS (CANCELADO)</v>
      </c>
      <c r="F283" s="1933" t="str">
        <f>OBRA!L622</f>
        <v>CPSP DOP 017/2022</v>
      </c>
      <c r="G283" s="3" t="str">
        <f>OBRA!N622</f>
        <v>-</v>
      </c>
      <c r="H283" s="1"/>
      <c r="I283" s="3">
        <f>OBRA!O622</f>
        <v>0</v>
      </c>
      <c r="J283" s="3"/>
      <c r="K283" s="3"/>
      <c r="L283" s="3"/>
      <c r="M283" s="1937">
        <f>OBRA!AQ622+OBRA!AR622</f>
        <v>0</v>
      </c>
      <c r="N283" s="1">
        <f>GRAL!AE624</f>
        <v>0</v>
      </c>
      <c r="O283" s="1">
        <f>GRAL!AF624</f>
        <v>0</v>
      </c>
      <c r="P283" s="1"/>
      <c r="Q283" s="1"/>
    </row>
    <row r="284" spans="1:17" ht="22.5" hidden="1">
      <c r="A284" s="1"/>
      <c r="B284" s="1"/>
      <c r="C284" s="1" t="str">
        <f>OBRA!BY623</f>
        <v>2021-2024</v>
      </c>
      <c r="D284" s="1">
        <f>OBRA!I623</f>
        <v>2022</v>
      </c>
      <c r="E284" s="1933" t="str">
        <f>OBRA!M623</f>
        <v>SERVICIOS (CANCELADO)</v>
      </c>
      <c r="F284" s="1933" t="str">
        <f>OBRA!L623</f>
        <v>CPSP DOP 018/2022</v>
      </c>
      <c r="G284" s="3" t="str">
        <f>OBRA!N623</f>
        <v>-</v>
      </c>
      <c r="H284" s="1"/>
      <c r="I284" s="3">
        <f>OBRA!O623</f>
        <v>0</v>
      </c>
      <c r="J284" s="3"/>
      <c r="K284" s="3"/>
      <c r="L284" s="3"/>
      <c r="M284" s="1937">
        <f>OBRA!AQ623+OBRA!AR623</f>
        <v>0</v>
      </c>
      <c r="N284" s="1">
        <f>GRAL!AE625</f>
        <v>0</v>
      </c>
      <c r="O284" s="1">
        <f>GRAL!AF625</f>
        <v>0</v>
      </c>
      <c r="P284" s="1"/>
      <c r="Q284" s="1"/>
    </row>
    <row r="285" spans="1:17" ht="22.5" hidden="1">
      <c r="A285" s="1"/>
      <c r="B285" s="1"/>
      <c r="C285" s="1" t="str">
        <f>OBRA!BY624</f>
        <v>2021-2024</v>
      </c>
      <c r="D285" s="1">
        <f>OBRA!I624</f>
        <v>2022</v>
      </c>
      <c r="E285" s="1933" t="str">
        <f>OBRA!M624</f>
        <v>SERVICIOS (CANCELADO)</v>
      </c>
      <c r="F285" s="1933" t="str">
        <f>OBRA!L624</f>
        <v>CPSP DOP 019/2022</v>
      </c>
      <c r="G285" s="3" t="str">
        <f>OBRA!N624</f>
        <v>-</v>
      </c>
      <c r="H285" s="1"/>
      <c r="I285" s="3">
        <f>OBRA!O624</f>
        <v>0</v>
      </c>
      <c r="J285" s="3"/>
      <c r="K285" s="3"/>
      <c r="L285" s="3"/>
      <c r="M285" s="1937">
        <f>OBRA!AQ624+OBRA!AR624</f>
        <v>0</v>
      </c>
      <c r="N285" s="1">
        <f>GRAL!AE626</f>
        <v>0</v>
      </c>
      <c r="O285" s="1">
        <f>GRAL!AF626</f>
        <v>0</v>
      </c>
      <c r="P285" s="1"/>
      <c r="Q285" s="1"/>
    </row>
    <row r="286" spans="1:17" ht="22.5" hidden="1">
      <c r="A286" s="1"/>
      <c r="B286" s="1"/>
      <c r="C286" s="1" t="str">
        <f>OBRA!BY625</f>
        <v>2021-2024</v>
      </c>
      <c r="D286" s="1">
        <f>OBRA!I625</f>
        <v>2022</v>
      </c>
      <c r="E286" s="1933" t="str">
        <f>OBRA!M625</f>
        <v>SERVICIOS (CANCELADO)</v>
      </c>
      <c r="F286" s="1933" t="str">
        <f>OBRA!L625</f>
        <v>CPSP DOP 020/2022</v>
      </c>
      <c r="G286" s="3" t="str">
        <f>OBRA!N625</f>
        <v>-</v>
      </c>
      <c r="H286" s="1"/>
      <c r="I286" s="3">
        <f>OBRA!O625</f>
        <v>0</v>
      </c>
      <c r="J286" s="3"/>
      <c r="K286" s="3"/>
      <c r="L286" s="3"/>
      <c r="M286" s="1937">
        <f>OBRA!AQ625+OBRA!AR625</f>
        <v>0</v>
      </c>
      <c r="N286" s="1">
        <f>GRAL!AE627</f>
        <v>0</v>
      </c>
      <c r="O286" s="1">
        <f>GRAL!AF627</f>
        <v>0</v>
      </c>
      <c r="P286" s="1"/>
      <c r="Q286" s="1"/>
    </row>
    <row r="287" spans="1:17" ht="75" hidden="1">
      <c r="A287" s="1"/>
      <c r="B287" s="1"/>
      <c r="C287" s="1" t="str">
        <f>OBRA!BY626</f>
        <v>2021-2024</v>
      </c>
      <c r="D287" s="1">
        <f>OBRA!I626</f>
        <v>2022</v>
      </c>
      <c r="E287" s="1933" t="str">
        <f>OBRA!M626</f>
        <v>ARRENDAMIENTO</v>
      </c>
      <c r="F287" s="1933"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937">
        <f>OBRA!AQ626+OBRA!AR626</f>
        <v>0</v>
      </c>
      <c r="N287" s="1">
        <f>GRAL!AE628</f>
        <v>0</v>
      </c>
      <c r="O287" s="1">
        <f>GRAL!AF628</f>
        <v>0</v>
      </c>
      <c r="P287" s="1"/>
      <c r="Q287" s="1"/>
    </row>
    <row r="288" spans="1:17" ht="75" hidden="1">
      <c r="A288" s="1"/>
      <c r="B288" s="1"/>
      <c r="C288" s="1" t="str">
        <f>OBRA!BY627</f>
        <v>2021-2024</v>
      </c>
      <c r="D288" s="1">
        <f>OBRA!I627</f>
        <v>2022</v>
      </c>
      <c r="E288" s="1933" t="str">
        <f>OBRA!M627</f>
        <v>ARRENDAMIENTO</v>
      </c>
      <c r="F288" s="1933"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937">
        <f>OBRA!AQ627+OBRA!AR627</f>
        <v>0</v>
      </c>
      <c r="N288" s="1">
        <f>GRAL!AE629</f>
        <v>0</v>
      </c>
      <c r="O288" s="1">
        <f>GRAL!AF629</f>
        <v>0</v>
      </c>
      <c r="P288" s="1"/>
      <c r="Q288" s="1"/>
    </row>
    <row r="289" spans="1:17" ht="75" hidden="1">
      <c r="A289" s="1"/>
      <c r="B289" s="1"/>
      <c r="C289" s="1" t="str">
        <f>OBRA!BY628</f>
        <v>2021-2024</v>
      </c>
      <c r="D289" s="1">
        <f>OBRA!I628</f>
        <v>2022</v>
      </c>
      <c r="E289" s="1933" t="str">
        <f>OBRA!M628</f>
        <v>ARRENDAMIENTO</v>
      </c>
      <c r="F289" s="1933"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937">
        <f>OBRA!AQ628+OBRA!AR628</f>
        <v>0</v>
      </c>
      <c r="N289" s="1">
        <f>GRAL!AE630</f>
        <v>0</v>
      </c>
      <c r="O289" s="1">
        <f>GRAL!AF630</f>
        <v>0</v>
      </c>
      <c r="P289" s="1"/>
      <c r="Q289" s="1"/>
    </row>
    <row r="290" spans="1:17" ht="75" hidden="1">
      <c r="A290" s="1"/>
      <c r="B290" s="1"/>
      <c r="C290" s="1" t="str">
        <f>OBRA!BY629</f>
        <v>2021-2024</v>
      </c>
      <c r="D290" s="1">
        <f>OBRA!I629</f>
        <v>2022</v>
      </c>
      <c r="E290" s="1933" t="str">
        <f>OBRA!M629</f>
        <v>ARRENDAMIENTO</v>
      </c>
      <c r="F290" s="1933"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937">
        <f>OBRA!AQ629+OBRA!AR629</f>
        <v>0</v>
      </c>
      <c r="N290" s="1">
        <f>GRAL!AE631</f>
        <v>0</v>
      </c>
      <c r="O290" s="1">
        <f>GRAL!AF631</f>
        <v>0</v>
      </c>
      <c r="P290" s="1"/>
      <c r="Q290" s="1"/>
    </row>
    <row r="291" spans="1:17" ht="75" hidden="1">
      <c r="A291" s="1"/>
      <c r="B291" s="1"/>
      <c r="C291" s="1" t="str">
        <f>OBRA!BY630</f>
        <v>2021-2024</v>
      </c>
      <c r="D291" s="1">
        <f>OBRA!I630</f>
        <v>2022</v>
      </c>
      <c r="E291" s="1933" t="str">
        <f>OBRA!M630</f>
        <v>ARRENDAMIENTO</v>
      </c>
      <c r="F291" s="1933"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937">
        <f>OBRA!AQ630+OBRA!AR630</f>
        <v>0</v>
      </c>
      <c r="N291" s="1">
        <f>GRAL!AE632</f>
        <v>0</v>
      </c>
      <c r="O291" s="1">
        <f>GRAL!AF632</f>
        <v>0</v>
      </c>
      <c r="P291" s="1"/>
      <c r="Q291" s="1"/>
    </row>
    <row r="292" spans="1:17" ht="75" hidden="1">
      <c r="A292" s="1"/>
      <c r="B292" s="1"/>
      <c r="C292" s="1" t="str">
        <f>OBRA!BY631</f>
        <v>2021-2024</v>
      </c>
      <c r="D292" s="1">
        <f>OBRA!I631</f>
        <v>2022</v>
      </c>
      <c r="E292" s="1933" t="str">
        <f>OBRA!M631</f>
        <v>ARRENDAMIENTO</v>
      </c>
      <c r="F292" s="1933"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f>OBRA!O631</f>
        <v>0</v>
      </c>
      <c r="J292" s="3"/>
      <c r="K292" s="3"/>
      <c r="L292" s="3"/>
      <c r="M292" s="1937">
        <f>OBRA!AQ631+OBRA!AR631</f>
        <v>0</v>
      </c>
      <c r="N292" s="1">
        <f>GRAL!AE633</f>
        <v>0</v>
      </c>
      <c r="O292" s="1">
        <f>GRAL!AF633</f>
        <v>0</v>
      </c>
      <c r="P292" s="1"/>
      <c r="Q292" s="1"/>
    </row>
    <row r="293" spans="1:17" ht="75" hidden="1">
      <c r="A293" s="1"/>
      <c r="B293" s="1"/>
      <c r="C293" s="1" t="str">
        <f>OBRA!BY632</f>
        <v>2021-2024</v>
      </c>
      <c r="D293" s="1">
        <f>OBRA!I632</f>
        <v>2022</v>
      </c>
      <c r="E293" s="1933" t="str">
        <f>OBRA!M632</f>
        <v>ARRENDAMIENTO</v>
      </c>
      <c r="F293" s="1933"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f>OBRA!O632</f>
        <v>0</v>
      </c>
      <c r="J293" s="3"/>
      <c r="K293" s="3"/>
      <c r="L293" s="3"/>
      <c r="M293" s="1937">
        <f>OBRA!AQ632+OBRA!AR632</f>
        <v>0</v>
      </c>
      <c r="N293" s="1">
        <f>GRAL!AE634</f>
        <v>0</v>
      </c>
      <c r="O293" s="1">
        <f>GRAL!AF634</f>
        <v>0</v>
      </c>
      <c r="P293" s="1"/>
      <c r="Q293" s="1"/>
    </row>
    <row r="294" spans="1:17" ht="75" hidden="1">
      <c r="A294" s="1"/>
      <c r="B294" s="1"/>
      <c r="C294" s="1" t="str">
        <f>OBRA!BY633</f>
        <v>2021-2024</v>
      </c>
      <c r="D294" s="1">
        <f>OBRA!I633</f>
        <v>2022</v>
      </c>
      <c r="E294" s="1933" t="str">
        <f>OBRA!M633</f>
        <v>ARRENDAMIENTO</v>
      </c>
      <c r="F294" s="1933"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f>OBRA!O633</f>
        <v>0</v>
      </c>
      <c r="J294" s="3"/>
      <c r="K294" s="3"/>
      <c r="L294" s="3"/>
      <c r="M294" s="1937">
        <f>OBRA!AQ633+OBRA!AR633</f>
        <v>0</v>
      </c>
      <c r="N294" s="1">
        <f>GRAL!AE635</f>
        <v>0</v>
      </c>
      <c r="O294" s="1">
        <f>GRAL!AF635</f>
        <v>0</v>
      </c>
      <c r="P294" s="1"/>
      <c r="Q294" s="1"/>
    </row>
    <row r="295" spans="1:17" ht="22.5" hidden="1">
      <c r="A295" s="1"/>
      <c r="B295" s="1"/>
      <c r="C295" s="1" t="str">
        <f>OBRA!BY634</f>
        <v>2021-2024</v>
      </c>
      <c r="D295" s="1">
        <f>OBRA!I634</f>
        <v>2022</v>
      </c>
      <c r="E295" s="1933" t="str">
        <f>OBRA!M634</f>
        <v>ARRENDAMIENTO (CANCELADO)</v>
      </c>
      <c r="F295" s="1933" t="str">
        <f>OBRA!L634</f>
        <v>C- OP 009/2022</v>
      </c>
      <c r="G295" s="3" t="str">
        <f>OBRA!N634</f>
        <v>-</v>
      </c>
      <c r="H295" s="1"/>
      <c r="I295" s="3">
        <f>OBRA!O634</f>
        <v>0</v>
      </c>
      <c r="J295" s="3"/>
      <c r="K295" s="3"/>
      <c r="L295" s="3"/>
      <c r="M295" s="1937">
        <f>OBRA!AQ634+OBRA!AR634</f>
        <v>0</v>
      </c>
      <c r="N295" s="1">
        <f>GRAL!AE636</f>
        <v>0</v>
      </c>
      <c r="O295" s="1">
        <f>GRAL!AF636</f>
        <v>0</v>
      </c>
      <c r="P295" s="1"/>
      <c r="Q295" s="1"/>
    </row>
    <row r="296" spans="1:17" ht="22.5" hidden="1">
      <c r="A296" s="1"/>
      <c r="B296" s="1"/>
      <c r="C296" s="1" t="str">
        <f>OBRA!BY635</f>
        <v>2021-2024</v>
      </c>
      <c r="D296" s="1">
        <f>OBRA!I635</f>
        <v>2022</v>
      </c>
      <c r="E296" s="1933" t="str">
        <f>OBRA!M635</f>
        <v>ARRENDAMIENTO (CANCELADO)</v>
      </c>
      <c r="F296" s="1933" t="str">
        <f>OBRA!L635</f>
        <v>C- OP 010/2022</v>
      </c>
      <c r="G296" s="3" t="str">
        <f>OBRA!N635</f>
        <v>-</v>
      </c>
      <c r="H296" s="1"/>
      <c r="I296" s="3">
        <f>OBRA!O635</f>
        <v>0</v>
      </c>
      <c r="J296" s="3"/>
      <c r="K296" s="3"/>
      <c r="L296" s="3"/>
      <c r="M296" s="1937">
        <f>OBRA!AQ635+OBRA!AR635</f>
        <v>0</v>
      </c>
      <c r="N296" s="1">
        <f>GRAL!AE637</f>
        <v>0</v>
      </c>
      <c r="O296" s="1">
        <f>GRAL!AF637</f>
        <v>0</v>
      </c>
      <c r="P296" s="1"/>
      <c r="Q296" s="1"/>
    </row>
    <row r="297" spans="1:17" ht="71.25" customHeight="1">
      <c r="A297" s="1"/>
      <c r="B297" s="1935"/>
      <c r="C297" s="1" t="str">
        <f>OBRA!BY636</f>
        <v>2021-2024</v>
      </c>
      <c r="D297" s="1">
        <f>OBRA!I636</f>
        <v>2022</v>
      </c>
      <c r="E297" s="1933" t="str">
        <f>OBRA!M636</f>
        <v>ADJUDICACIÓN DIRECTA</v>
      </c>
      <c r="F297" s="1971" t="str">
        <f>OBRA!L636</f>
        <v>GMJ 001 C-OP/2022</v>
      </c>
      <c r="G297" s="3" t="str">
        <f>OBRA!N636</f>
        <v>"REHABILITACIÓN DE RED DE AGUA POTABLE EN CALLE PRIVADA FRANCISCO VILLA ENTRE CALLE PRIMERO DE MAYO A CERRADA", EN LA LOCALIDAD DE LA LOMA, DEL MUNICIPIO DE JOCOTEPEC, JALISCO.</v>
      </c>
      <c r="H297" s="1933" t="s">
        <v>4799</v>
      </c>
      <c r="I297" s="3" t="str">
        <f>OBRA!O636</f>
        <v>LA LOMA</v>
      </c>
      <c r="J297" s="3" t="s">
        <v>4708</v>
      </c>
      <c r="K297" s="3" t="s">
        <v>4840</v>
      </c>
      <c r="L297" s="3" t="s">
        <v>4821</v>
      </c>
      <c r="M297" s="1972">
        <f>OBRA!P636</f>
        <v>98067.87</v>
      </c>
      <c r="N297" s="1">
        <f>GRAL!AE638</f>
        <v>92</v>
      </c>
      <c r="O297" s="1" t="str">
        <f>GRAL!AF638</f>
        <v>ML</v>
      </c>
      <c r="P297" s="2" t="s">
        <v>4962</v>
      </c>
      <c r="Q297" s="1977"/>
    </row>
    <row r="298" spans="1:17" ht="80.25" customHeight="1">
      <c r="A298" s="1"/>
      <c r="B298" s="1935"/>
      <c r="C298" s="1" t="str">
        <f>OBRA!BY637</f>
        <v>2021-2024</v>
      </c>
      <c r="D298" s="1">
        <f>OBRA!I637</f>
        <v>2022</v>
      </c>
      <c r="E298" s="1933" t="str">
        <f>OBRA!M637</f>
        <v>ADJUDICACIÓN DIRECTA</v>
      </c>
      <c r="F298" s="1971" t="str">
        <f>OBRA!L637</f>
        <v>GMJ 002 C-OP/2022</v>
      </c>
      <c r="G298" s="3" t="str">
        <f>OBRA!N637</f>
        <v>"REHABILITACIÓN DE LÍNEA DE DRENAJE, EN CALLE 1RO DE MAYO ENTRE CALLE CHAPULTEPEC Y CALLE 05 DE FEBRERO", EN LA AGENCIA DE LA LOMA, MUNICIPIO DE JOCOTEPEC, JALISCO.</v>
      </c>
      <c r="H298" s="1933" t="s">
        <v>4801</v>
      </c>
      <c r="I298" s="3" t="str">
        <f>OBRA!O637</f>
        <v>LA LOMA</v>
      </c>
      <c r="J298" s="3" t="s">
        <v>4867</v>
      </c>
      <c r="K298" s="3" t="s">
        <v>3183</v>
      </c>
      <c r="L298" s="3" t="s">
        <v>4120</v>
      </c>
      <c r="M298" s="1972">
        <f>OBRA!P637</f>
        <v>160513.82999999999</v>
      </c>
      <c r="N298" s="1">
        <f>GRAL!AE639</f>
        <v>97</v>
      </c>
      <c r="O298" s="1" t="str">
        <f>GRAL!AF639</f>
        <v>ML</v>
      </c>
      <c r="P298" s="2" t="s">
        <v>4963</v>
      </c>
      <c r="Q298" s="1977"/>
    </row>
    <row r="299" spans="1:17" ht="85.5" customHeight="1">
      <c r="A299" s="1"/>
      <c r="B299" s="1935"/>
      <c r="C299" s="1" t="str">
        <f>OBRA!BY638</f>
        <v>2021-2024</v>
      </c>
      <c r="D299" s="1">
        <f>OBRA!I638</f>
        <v>2022</v>
      </c>
      <c r="E299" s="1933" t="str">
        <f>OBRA!M638</f>
        <v>ADJUDICACIÓN DIRECTA</v>
      </c>
      <c r="F299" s="1971" t="str">
        <f>OBRA!L638</f>
        <v>GMJ 003 C-OP/2022</v>
      </c>
      <c r="G299" s="3" t="str">
        <f>OBRA!N638</f>
        <v>"REHABILITACIÓN DE DRENAJE SANITARIO DE 10" EN CALLE 14 DE FEBRERO Y/O CALLE 5 DE FEBRERO ENTRE CALLE 1RO DE MAYO Y CALLE 5 DE MAYO", EN LA AGENCIA DE LA LOMA, MUNICIPIO DE JOCOTEPEC, JALISCO.</v>
      </c>
      <c r="H299" s="1933" t="s">
        <v>4801</v>
      </c>
      <c r="I299" s="3" t="str">
        <f>OBRA!O638</f>
        <v>LA LOMA</v>
      </c>
      <c r="J299" s="3" t="s">
        <v>4869</v>
      </c>
      <c r="K299" s="3" t="s">
        <v>4840</v>
      </c>
      <c r="L299" s="3" t="s">
        <v>2718</v>
      </c>
      <c r="M299" s="1972">
        <f>OBRA!P638</f>
        <v>236056.39</v>
      </c>
      <c r="N299" s="1">
        <f>GRAL!AE640</f>
        <v>151.55000000000001</v>
      </c>
      <c r="O299" s="1" t="str">
        <f>GRAL!AF640</f>
        <v>ML</v>
      </c>
      <c r="P299" s="2" t="s">
        <v>4964</v>
      </c>
      <c r="Q299" s="1977"/>
    </row>
    <row r="300" spans="1:17" ht="161.25" customHeight="1">
      <c r="A300" s="1"/>
      <c r="B300" s="1935"/>
      <c r="C300" s="1" t="str">
        <f>OBRA!BY639</f>
        <v>2021-2024</v>
      </c>
      <c r="D300" s="1">
        <f>OBRA!I639</f>
        <v>2022</v>
      </c>
      <c r="E300" s="1933" t="str">
        <f>OBRA!M639</f>
        <v>ADJUDICACIÓN DIRECTA</v>
      </c>
      <c r="F300" s="1971"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933" t="s">
        <v>4805</v>
      </c>
      <c r="I300" s="3" t="str">
        <f>OBRA!O639</f>
        <v>SAN CRISTÓBAL ZAPOTITLÁN</v>
      </c>
      <c r="J300" s="3" t="s">
        <v>2750</v>
      </c>
      <c r="K300" s="3" t="s">
        <v>2571</v>
      </c>
      <c r="L300" s="3" t="s">
        <v>4821</v>
      </c>
      <c r="M300" s="1972">
        <f>OBRA!P639</f>
        <v>2031883.8</v>
      </c>
      <c r="N300" s="1">
        <f>GRAL!AE641</f>
        <v>1</v>
      </c>
      <c r="O300" s="1" t="str">
        <f>GRAL!AF641</f>
        <v>POZO</v>
      </c>
      <c r="P300" s="2" t="s">
        <v>68</v>
      </c>
      <c r="Q300" s="1977"/>
    </row>
    <row r="301" spans="1:17" ht="76.5" customHeight="1">
      <c r="A301" s="1"/>
      <c r="B301" s="1935"/>
      <c r="C301" s="1" t="str">
        <f>OBRA!BY640</f>
        <v>2021-2024</v>
      </c>
      <c r="D301" s="1">
        <f>OBRA!I640</f>
        <v>2022</v>
      </c>
      <c r="E301" s="1933" t="str">
        <f>OBRA!M640</f>
        <v>ADJUDICACIÓN DIRECTA</v>
      </c>
      <c r="F301" s="1971" t="str">
        <f>OBRA!L640</f>
        <v>GMJ 005 C-OP/2022</v>
      </c>
      <c r="G301" s="3" t="str">
        <f>OBRA!N640</f>
        <v>"REHABILITACIÓN DE RED DE DRENAJE EN LA CALLE MORELOS ENTRE RIVERA DEL LAGO Y MALECÓN", EN LA LOCALIDAD DE NEXTIPAC, DEL MUNICIPIO DE JOCOTEPEC, JALISCO.</v>
      </c>
      <c r="H301" s="1933" t="s">
        <v>4801</v>
      </c>
      <c r="I301" s="3" t="str">
        <f>OBRA!O640</f>
        <v>NEXTIPAC</v>
      </c>
      <c r="J301" s="3" t="s">
        <v>2524</v>
      </c>
      <c r="K301" s="3" t="s">
        <v>2602</v>
      </c>
      <c r="L301" s="3" t="s">
        <v>4860</v>
      </c>
      <c r="M301" s="1972">
        <f>OBRA!P640</f>
        <v>793754.52</v>
      </c>
      <c r="N301" s="1">
        <f>GRAL!AE642</f>
        <v>129</v>
      </c>
      <c r="O301" s="1" t="str">
        <f>GRAL!AF642</f>
        <v>ML</v>
      </c>
      <c r="P301" s="1971" t="s">
        <v>4965</v>
      </c>
      <c r="Q301" s="1977"/>
    </row>
    <row r="302" spans="1:17" ht="83.25" customHeight="1">
      <c r="A302" s="1"/>
      <c r="B302" s="1935"/>
      <c r="C302" s="1" t="str">
        <f>OBRA!BY641</f>
        <v>2021-2024</v>
      </c>
      <c r="D302" s="1">
        <f>OBRA!I641</f>
        <v>2022</v>
      </c>
      <c r="E302" s="1933" t="str">
        <f>OBRA!M641</f>
        <v>ADJUDICACIÓN DIRECTA</v>
      </c>
      <c r="F302" s="1971" t="str">
        <f>OBRA!L641</f>
        <v>GMJ 006 C-OP/2022</v>
      </c>
      <c r="G302" s="3" t="str">
        <f>OBRA!N641</f>
        <v>"REHABILITACIÓN DE ANDADOR, MURO DE CONTECIÓN Y ALUMBRADO PÚBLICO EN ANDADOR MORELOS ENTRE C. RIVERA DEL LAGO Y MALECÓN", EN LA LOCALIDAD DE NEXTIPAC, DEL MUNICIPIO DE JOCTEPEC, JALISCO.</v>
      </c>
      <c r="H302" s="1933" t="s">
        <v>4815</v>
      </c>
      <c r="I302" s="3" t="str">
        <f>OBRA!O641</f>
        <v>NEXTIPAC</v>
      </c>
      <c r="J302" s="3" t="s">
        <v>2524</v>
      </c>
      <c r="K302" s="3" t="s">
        <v>2602</v>
      </c>
      <c r="L302" s="3" t="s">
        <v>4860</v>
      </c>
      <c r="M302" s="1972">
        <f>OBRA!P641</f>
        <v>579637.71</v>
      </c>
      <c r="N302" s="1">
        <v>7</v>
      </c>
      <c r="O302" s="1864" t="s">
        <v>1845</v>
      </c>
      <c r="P302" s="2" t="s">
        <v>4970</v>
      </c>
      <c r="Q302" s="1977" t="s">
        <v>4971</v>
      </c>
    </row>
    <row r="303" spans="1:17" ht="116.25" customHeight="1">
      <c r="A303" s="1"/>
      <c r="B303" s="1935"/>
      <c r="C303" s="1" t="str">
        <f>OBRA!BY642</f>
        <v>2021-2024</v>
      </c>
      <c r="D303" s="1">
        <f>OBRA!I642</f>
        <v>2022</v>
      </c>
      <c r="E303" s="1933" t="str">
        <f>OBRA!M642</f>
        <v>ADJUDICACIÓN DIRECTA</v>
      </c>
      <c r="F303" s="1971" t="str">
        <f>OBRA!L642</f>
        <v>GMJ 007 C-OP/2022</v>
      </c>
      <c r="G303" s="3" t="str">
        <f>OBRA!N642</f>
        <v>“CONSTRUCCIÓN DE DRENAJE SANITARIO, AGUA POTABLE Y SUPERFICIE DE RODAMIENTO EN PRIVADA GALEANA”, EN LA LOCALIDAD DE SAN JUAN COSALÁ, DEL MUNICIPIO DE JOCOTEPEC,JALISCO.</v>
      </c>
      <c r="H303" s="1933" t="s">
        <v>4810</v>
      </c>
      <c r="I303" s="3" t="str">
        <f>OBRA!O642</f>
        <v>SAN JUAN COSALÁ</v>
      </c>
      <c r="J303" s="3" t="s">
        <v>4870</v>
      </c>
      <c r="K303" s="3" t="s">
        <v>4836</v>
      </c>
      <c r="L303" s="3" t="s">
        <v>4821</v>
      </c>
      <c r="M303" s="1972">
        <f>OBRA!P642</f>
        <v>627108.43000000005</v>
      </c>
      <c r="N303" s="1">
        <f>GRAL!AE644</f>
        <v>300.95</v>
      </c>
      <c r="O303" s="1" t="str">
        <f>GRAL!AF644</f>
        <v>M2</v>
      </c>
      <c r="P303" s="1971" t="s">
        <v>4967</v>
      </c>
      <c r="Q303" s="1977" t="s">
        <v>4968</v>
      </c>
    </row>
    <row r="304" spans="1:17" ht="86.25" customHeight="1">
      <c r="A304" s="1"/>
      <c r="B304" s="1935"/>
      <c r="C304" s="1" t="str">
        <f>OBRA!BY643</f>
        <v>2021-2024</v>
      </c>
      <c r="D304" s="1">
        <f>OBRA!I643</f>
        <v>2022</v>
      </c>
      <c r="E304" s="1933" t="str">
        <f>OBRA!M643</f>
        <v>ADJUDICACIÓN DIRECTA</v>
      </c>
      <c r="F304" s="1971" t="str">
        <f>OBRA!L643</f>
        <v>GMJ 008 C-OP/2022</v>
      </c>
      <c r="G304" s="3" t="str">
        <f>OBRA!N643</f>
        <v>“REHABILITACIÓN DE LÍNEA DE DRENAJE SANITARIO  CON TUBERÍA DE 8” Y CONSTRUCCIÓN DE ANDADOR PEATONAL EN ARROYO CAMICHINES”, EN LA LOCALIDAD DE SAN JUAN COSALÁ, DEL MUNICIPIO DE JOCOTEPEC,JALISCO.</v>
      </c>
      <c r="H304" s="1933" t="s">
        <v>4801</v>
      </c>
      <c r="I304" s="3" t="str">
        <f>OBRA!O643</f>
        <v>SAN JUAN COSALÁ</v>
      </c>
      <c r="J304" s="3" t="s">
        <v>4871</v>
      </c>
      <c r="K304" s="3" t="s">
        <v>4947</v>
      </c>
      <c r="L304" s="3" t="s">
        <v>4948</v>
      </c>
      <c r="M304" s="1972">
        <f>OBRA!P643</f>
        <v>168470.35</v>
      </c>
      <c r="N304" s="1">
        <f>GRAL!AE645</f>
        <v>120</v>
      </c>
      <c r="O304" s="1" t="str">
        <f>GRAL!AF645</f>
        <v>ML</v>
      </c>
      <c r="P304" s="2" t="s">
        <v>4969</v>
      </c>
      <c r="Q304" s="1977"/>
    </row>
    <row r="305" spans="1:17" ht="74.25" customHeight="1">
      <c r="A305" s="1"/>
      <c r="B305" s="1935"/>
      <c r="C305" s="1" t="str">
        <f>OBRA!BY644</f>
        <v>2021-2024</v>
      </c>
      <c r="D305" s="1">
        <f>OBRA!I644</f>
        <v>2022</v>
      </c>
      <c r="E305" s="1933" t="str">
        <f>OBRA!M644</f>
        <v>ADJUDICACIÓN DIRECTA</v>
      </c>
      <c r="F305" s="1971" t="str">
        <f>OBRA!L644</f>
        <v>GMJ 009 C-OP/2022</v>
      </c>
      <c r="G305" s="3" t="str">
        <f>OBRA!N644</f>
        <v>“PROYECTO, SUMINISTRO E INSTALACIÓN DE ALUMBRADO PÚBLICO EN CALLE PROLONGACIÓN MORELOS”, EN LA LOCALIDAD DE CHANTEPEC, DEL MUNICIPIO DE JOCOTEPEC, JALISCO</v>
      </c>
      <c r="H305" s="1933" t="s">
        <v>4815</v>
      </c>
      <c r="I305" s="3" t="str">
        <f>OBRA!O644</f>
        <v>CHANTEPEC</v>
      </c>
      <c r="J305" s="3" t="s">
        <v>4751</v>
      </c>
      <c r="K305" s="3" t="s">
        <v>4846</v>
      </c>
      <c r="L305" s="3" t="s">
        <v>4850</v>
      </c>
      <c r="M305" s="1972">
        <f>OBRA!P644</f>
        <v>809084.8</v>
      </c>
      <c r="N305" s="1">
        <v>28</v>
      </c>
      <c r="O305" s="1864" t="s">
        <v>1761</v>
      </c>
      <c r="P305" s="2" t="s">
        <v>4966</v>
      </c>
      <c r="Q305" s="1977"/>
    </row>
    <row r="306" spans="1:17" ht="87" customHeight="1">
      <c r="A306" s="1"/>
      <c r="B306" s="1935"/>
      <c r="C306" s="1" t="str">
        <f>OBRA!BY645</f>
        <v>2021-2024</v>
      </c>
      <c r="D306" s="1">
        <f>OBRA!I645</f>
        <v>2022</v>
      </c>
      <c r="E306" s="1933" t="str">
        <f>OBRA!M645</f>
        <v>ADJUDICACIÓN DIRECTA</v>
      </c>
      <c r="F306" s="1971" t="str">
        <f>OBRA!L645</f>
        <v>GMJ 010 C-OP/2022</v>
      </c>
      <c r="G306" s="3" t="str">
        <f>OBRA!N645</f>
        <v>"PROYECTO DE CONSTRUCCIÓN DE TECHADO TIPO LONARIA EN AREA DE IMPARTICIÓN DE EDUCACIÓN FÍSICA EN LA ESCUELA CAM (CENTRO DE ATENCIÓN MULTIPLE GALLAUDET)" EN LA CABECERA MUNICIPAL DE JOCOTEPEC, JALISCO</v>
      </c>
      <c r="H306" s="1933" t="s">
        <v>4813</v>
      </c>
      <c r="I306" s="3" t="str">
        <f>OBRA!O645</f>
        <v>CABECERA MUNICIPAL</v>
      </c>
      <c r="J306" s="3" t="s">
        <v>4872</v>
      </c>
      <c r="K306" s="3" t="s">
        <v>68</v>
      </c>
      <c r="L306" s="3" t="s">
        <v>68</v>
      </c>
      <c r="M306" s="1972">
        <f>OBRA!P645</f>
        <v>1697255.04</v>
      </c>
      <c r="N306" s="1">
        <f>GRAL!AE647</f>
        <v>286.43</v>
      </c>
      <c r="O306" s="1" t="str">
        <f>GRAL!AF647</f>
        <v>M2</v>
      </c>
      <c r="P306" s="1971" t="s">
        <v>4972</v>
      </c>
      <c r="Q306" s="1977"/>
    </row>
    <row r="307" spans="1:17" ht="87" customHeight="1">
      <c r="A307" s="1"/>
      <c r="B307" s="1935"/>
      <c r="C307" s="1" t="str">
        <f>OBRA!BY646</f>
        <v>2021-2024</v>
      </c>
      <c r="D307" s="1">
        <f>OBRA!I646</f>
        <v>2022</v>
      </c>
      <c r="E307" s="1933" t="str">
        <f>OBRA!M646</f>
        <v>ADJUDICACIÓN DIRECTA</v>
      </c>
      <c r="F307" s="1971" t="str">
        <f>OBRA!L646</f>
        <v>GMJ 011 C-OP/2022</v>
      </c>
      <c r="G307" s="3" t="str">
        <f>OBRA!N646</f>
        <v>"ELEVACIÓN DE NAVE EN RASTRO MUNICIPAL COMO COMPLEMENTO DE LA OBRA; SUMINISTRO E INSTALACIÓN DE EQUIPAMIENTO PARA RASTRO MUNICIPAL", EN LA CABECERA MUNICIPAL DE JOCOTEPEC, JALISCO</v>
      </c>
      <c r="H307" s="1933" t="s">
        <v>4811</v>
      </c>
      <c r="I307" s="3" t="str">
        <f>OBRA!O646</f>
        <v>CABECERA MUNICIPAL</v>
      </c>
      <c r="J307" s="3" t="s">
        <v>4828</v>
      </c>
      <c r="K307" s="3" t="s">
        <v>2564</v>
      </c>
      <c r="L307" s="3" t="s">
        <v>4854</v>
      </c>
      <c r="M307" s="1972">
        <f>OBRA!P646</f>
        <v>1343062.53</v>
      </c>
      <c r="N307" s="239">
        <f>GRAL!AE648</f>
        <v>0</v>
      </c>
      <c r="O307" s="239" t="s">
        <v>1454</v>
      </c>
      <c r="P307" s="2" t="s">
        <v>68</v>
      </c>
      <c r="Q307" s="1977"/>
    </row>
    <row r="308" spans="1:17" ht="58.5" customHeight="1">
      <c r="A308" s="1"/>
      <c r="B308" s="1935"/>
      <c r="C308" s="1" t="str">
        <f>OBRA!BY647</f>
        <v>2021-2024</v>
      </c>
      <c r="D308" s="1">
        <f>OBRA!I647</f>
        <v>2022</v>
      </c>
      <c r="E308" s="1933" t="str">
        <f>OBRA!M647</f>
        <v>ADJUDICACIÓN DIRECTA</v>
      </c>
      <c r="F308" s="1971" t="str">
        <f>OBRA!L647</f>
        <v>GMJ 012 C-OP/2022</v>
      </c>
      <c r="G308" s="3" t="str">
        <f>OBRA!N647</f>
        <v>"REPARACIÓN DE BANQUETA PERIMETRAL EN LA PLAZA PRINCIPAL" DE LA CABECERA MUNICPAL DE JOCOTEPEC, JALISCO.</v>
      </c>
      <c r="H308" s="1933" t="s">
        <v>4802</v>
      </c>
      <c r="I308" s="3" t="str">
        <f>OBRA!O647</f>
        <v>CABECERA MUNICIPAL</v>
      </c>
      <c r="J308" s="3" t="s">
        <v>4853</v>
      </c>
      <c r="K308" s="3" t="s">
        <v>4696</v>
      </c>
      <c r="L308" s="3" t="s">
        <v>68</v>
      </c>
      <c r="M308" s="1972">
        <f>OBRA!P647</f>
        <v>85733.34</v>
      </c>
      <c r="N308" s="1">
        <f>GRAL!AE649</f>
        <v>100.4</v>
      </c>
      <c r="O308" s="1" t="str">
        <f>GRAL!AF649</f>
        <v>M2</v>
      </c>
      <c r="P308" s="2" t="s">
        <v>4973</v>
      </c>
      <c r="Q308" s="1977"/>
    </row>
    <row r="309" spans="1:17" ht="132.75" customHeight="1">
      <c r="A309" s="1"/>
      <c r="B309" s="1935"/>
      <c r="C309" s="1" t="str">
        <f>OBRA!BY648</f>
        <v>2021-2024</v>
      </c>
      <c r="D309" s="1">
        <f>OBRA!I648</f>
        <v>2022</v>
      </c>
      <c r="E309" s="1933" t="str">
        <f>OBRA!M648</f>
        <v>CONCURSO SIMPLIFICADO SUMARIO</v>
      </c>
      <c r="F309" s="1971" t="str">
        <f>OBRA!L648</f>
        <v>FAIS-RAMO/33-OP-CSS-013/2022</v>
      </c>
      <c r="G309"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933" t="s">
        <v>4810</v>
      </c>
      <c r="I309" s="3" t="str">
        <f>OBRA!O648</f>
        <v>CABECERA MUNICIPAL</v>
      </c>
      <c r="J309" s="3" t="s">
        <v>4847</v>
      </c>
      <c r="K309" s="3" t="s">
        <v>2564</v>
      </c>
      <c r="L309" s="3" t="s">
        <v>4826</v>
      </c>
      <c r="M309" s="1972">
        <f>OBRA!P648</f>
        <v>4165845.27</v>
      </c>
      <c r="N309" s="1">
        <f>GRAL!AE650</f>
        <v>2211.6</v>
      </c>
      <c r="O309" s="1" t="str">
        <f>GRAL!AF650</f>
        <v>M2</v>
      </c>
      <c r="P309" s="1971" t="s">
        <v>4974</v>
      </c>
      <c r="Q309" s="1977" t="s">
        <v>4975</v>
      </c>
    </row>
    <row r="310" spans="1:17" ht="102" customHeight="1">
      <c r="A310" s="1"/>
      <c r="B310" s="1935"/>
      <c r="C310" s="1" t="str">
        <f>OBRA!BY649</f>
        <v>2021-2024</v>
      </c>
      <c r="D310" s="1">
        <f>OBRA!I649</f>
        <v>2022</v>
      </c>
      <c r="E310" s="1933" t="str">
        <f>OBRA!M649</f>
        <v>CONCURSO SIMPLIFICADO SUMARIO</v>
      </c>
      <c r="F310" s="1971"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933" t="s">
        <v>4805</v>
      </c>
      <c r="I310" s="3" t="str">
        <f>OBRA!O649</f>
        <v>SAN JUAN COSALÁ</v>
      </c>
      <c r="J310" s="3" t="s">
        <v>4876</v>
      </c>
      <c r="K310" s="3" t="s">
        <v>2622</v>
      </c>
      <c r="L310" s="3" t="s">
        <v>4866</v>
      </c>
      <c r="M310" s="1972">
        <f>OBRA!P649</f>
        <v>4216204.78</v>
      </c>
      <c r="N310" s="1">
        <v>280</v>
      </c>
      <c r="O310" s="1" t="str">
        <f>GRAL!AF651</f>
        <v>ML</v>
      </c>
      <c r="P310" s="2" t="s">
        <v>68</v>
      </c>
      <c r="Q310" s="1977" t="s">
        <v>68</v>
      </c>
    </row>
    <row r="311" spans="1:17" ht="87" customHeight="1">
      <c r="A311" s="1"/>
      <c r="B311" s="1935"/>
      <c r="C311" s="1" t="str">
        <f>OBRA!BY650</f>
        <v>2021-2024</v>
      </c>
      <c r="D311" s="1">
        <f>OBRA!I650</f>
        <v>2022</v>
      </c>
      <c r="E311" s="1933" t="str">
        <f>OBRA!M650</f>
        <v>CONCURSO SIMPLIFICADO SUMARIO</v>
      </c>
      <c r="F311" s="1971"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933" t="s">
        <v>4805</v>
      </c>
      <c r="I311" s="3" t="str">
        <f>OBRA!O650</f>
        <v>CHANTEPEC</v>
      </c>
      <c r="J311" s="3" t="s">
        <v>2669</v>
      </c>
      <c r="K311" s="3" t="s">
        <v>4873</v>
      </c>
      <c r="L311" s="3" t="s">
        <v>4828</v>
      </c>
      <c r="M311" s="1972">
        <f>OBRA!P650</f>
        <v>3845696.93</v>
      </c>
      <c r="N311" s="1">
        <f>GRAL!AE652</f>
        <v>350</v>
      </c>
      <c r="O311" s="1" t="str">
        <f>GRAL!AF652</f>
        <v>ML</v>
      </c>
      <c r="P311" s="2" t="s">
        <v>68</v>
      </c>
      <c r="Q311" s="1977" t="s">
        <v>68</v>
      </c>
    </row>
    <row r="312" spans="1:17" ht="73.5" customHeight="1">
      <c r="A312" s="1"/>
      <c r="B312" s="1935"/>
      <c r="C312" s="1" t="str">
        <f>OBRA!BY651</f>
        <v>2021-2024</v>
      </c>
      <c r="D312" s="1">
        <f>OBRA!I651</f>
        <v>2022</v>
      </c>
      <c r="E312" s="1933" t="str">
        <f>OBRA!M651</f>
        <v>ADJUDICACIÓN DIRECTA</v>
      </c>
      <c r="F312" s="1971" t="str">
        <f>OBRA!L651</f>
        <v>GMJ 016 C-OP/2022</v>
      </c>
      <c r="G312" s="3" t="str">
        <f>OBRA!N651</f>
        <v>"REHABILITACIÓN DE REDES HIDROSANITARIAS DE CALLE RIVERA DEL LAGO DE CALLE GUAYABITOS A 130 ML A LA CALLE CHUECA", EN LA LOCALIDAD DE NEXTIPAC, DEL MUNICIPIO DE JOCOTEPEC, JALISCO.</v>
      </c>
      <c r="H312" s="1933" t="s">
        <v>4807</v>
      </c>
      <c r="I312" s="3" t="str">
        <f>OBRA!O651</f>
        <v>NEXTIPAC</v>
      </c>
      <c r="J312" s="3" t="s">
        <v>2602</v>
      </c>
      <c r="K312" s="3" t="s">
        <v>4118</v>
      </c>
      <c r="L312" s="3" t="s">
        <v>4065</v>
      </c>
      <c r="M312" s="1972">
        <f>OBRA!P651</f>
        <v>645484.5</v>
      </c>
      <c r="N312" s="1">
        <f>GRAL!AE653</f>
        <v>135.13</v>
      </c>
      <c r="O312" s="1" t="str">
        <f>GRAL!AF653</f>
        <v>ML</v>
      </c>
      <c r="P312" s="2" t="s">
        <v>4976</v>
      </c>
      <c r="Q312" s="1977"/>
    </row>
    <row r="313" spans="1:17" ht="123" customHeight="1">
      <c r="A313" s="1"/>
      <c r="B313" s="1935"/>
      <c r="C313" s="1" t="str">
        <f>OBRA!BY652</f>
        <v>2021-2024</v>
      </c>
      <c r="D313" s="1">
        <f>OBRA!I652</f>
        <v>2022</v>
      </c>
      <c r="E313" s="1933" t="str">
        <f>OBRA!M652</f>
        <v>CONCURSO SIMPLIFICADO SUMARIO</v>
      </c>
      <c r="F313" s="1971" t="str">
        <f>OBRA!L652</f>
        <v>FAIS-RAMO/33-OP-CSS-017/2022</v>
      </c>
      <c r="G313" s="3" t="str">
        <f>OBRA!N652</f>
        <v>REHABILITACIÓN DE REDES HIDROSANITARIAS Y SUPERFICIE DE RODAMIENTO DE LA CALLE INDEPENDENCIA NORTE ENTRE CALLE ITURBIDE Y CALLE ALDAMA", EN LA CABECERA MUNICIPAL DE JOCOTEPEC, JALISCO.</v>
      </c>
      <c r="H313" s="1933" t="s">
        <v>4810</v>
      </c>
      <c r="I313" s="3" t="str">
        <f>OBRA!O652</f>
        <v>CABECERA MUNICIPAL</v>
      </c>
      <c r="J313" s="3" t="s">
        <v>2636</v>
      </c>
      <c r="K313" s="3" t="s">
        <v>4824</v>
      </c>
      <c r="L313" s="3" t="s">
        <v>4874</v>
      </c>
      <c r="M313" s="1972">
        <f>OBRA!P652</f>
        <v>2479806.63</v>
      </c>
      <c r="N313" s="1">
        <f>GRAL!AE654</f>
        <v>1770.97</v>
      </c>
      <c r="O313" s="1" t="str">
        <f>GRAL!AF654</f>
        <v>M2</v>
      </c>
      <c r="P313" s="1971" t="s">
        <v>4977</v>
      </c>
      <c r="Q313" s="1977" t="s">
        <v>4978</v>
      </c>
    </row>
    <row r="314" spans="1:17" ht="108.75" customHeight="1">
      <c r="A314" s="1"/>
      <c r="B314" s="1935"/>
      <c r="C314" s="1" t="str">
        <f>OBRA!BY653</f>
        <v>2021-2024</v>
      </c>
      <c r="D314" s="1">
        <f>OBRA!I653</f>
        <v>2022</v>
      </c>
      <c r="E314" s="1933" t="str">
        <f>OBRA!M653</f>
        <v>CONCURSO SIMPLIFICADO SUMARIO</v>
      </c>
      <c r="F314" s="1971"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933" t="s">
        <v>4810</v>
      </c>
      <c r="I314" s="3" t="str">
        <f>OBRA!O653</f>
        <v>CABECERA MUNICIPAL</v>
      </c>
      <c r="J314" s="3" t="s">
        <v>4875</v>
      </c>
      <c r="K314" s="3" t="s">
        <v>4949</v>
      </c>
      <c r="L314" s="3" t="s">
        <v>4950</v>
      </c>
      <c r="M314" s="1972">
        <f>OBRA!P653</f>
        <v>2218847.77</v>
      </c>
      <c r="N314" s="1">
        <f>GRAL!AE655</f>
        <v>1566.71</v>
      </c>
      <c r="O314" s="1" t="str">
        <f>GRAL!AF655</f>
        <v>M2</v>
      </c>
      <c r="P314" s="1971" t="s">
        <v>4979</v>
      </c>
      <c r="Q314" s="1977" t="s">
        <v>4980</v>
      </c>
    </row>
    <row r="315" spans="1:17" ht="63" customHeight="1">
      <c r="A315" s="1"/>
      <c r="B315" s="1935"/>
      <c r="C315" s="1" t="str">
        <f>OBRA!BY654</f>
        <v>2021-2024</v>
      </c>
      <c r="D315" s="1">
        <f>OBRA!I654</f>
        <v>2022</v>
      </c>
      <c r="E315" s="1933" t="str">
        <f>OBRA!M654</f>
        <v>ADJUDICACIÓN DIRECTA</v>
      </c>
      <c r="F315" s="1971" t="str">
        <f>OBRA!L654</f>
        <v>GMJ 019 C-OP/2022</v>
      </c>
      <c r="G315" s="3" t="str">
        <f>OBRA!N654</f>
        <v>“CONSTRUCCIÓN DE REDES HIDROSANITARÍAS EN CALLE PRIV. JUAN PABLO II”, EN LA LOCALIDAD DE SAN JUAN COSALÁ, DEL MUNICIPIO DE JOCOTEPEC, JALISCO</v>
      </c>
      <c r="H315" s="1933" t="s">
        <v>4807</v>
      </c>
      <c r="I315" s="3" t="str">
        <f>OBRA!O654</f>
        <v>SAN JUAN COSALÁ</v>
      </c>
      <c r="J315" s="3" t="s">
        <v>4876</v>
      </c>
      <c r="K315" s="3" t="s">
        <v>2622</v>
      </c>
      <c r="L315" s="3" t="s">
        <v>4866</v>
      </c>
      <c r="M315" s="1972">
        <f>OBRA!P654</f>
        <v>762057.5</v>
      </c>
      <c r="N315" s="239">
        <f>GRAL!AE656</f>
        <v>290.17</v>
      </c>
      <c r="O315" s="1" t="str">
        <f>GRAL!AF656</f>
        <v>ML</v>
      </c>
      <c r="P315" s="560"/>
      <c r="Q315" s="1978"/>
    </row>
    <row r="316" spans="1:17" ht="22.5" hidden="1">
      <c r="A316" s="1"/>
      <c r="B316" s="1"/>
      <c r="C316" s="1" t="str">
        <f>OBRA!BY655</f>
        <v>2021-2024</v>
      </c>
      <c r="D316" s="1">
        <f>OBRA!I655</f>
        <v>2022</v>
      </c>
      <c r="E316" s="1933" t="str">
        <f>OBRA!M655</f>
        <v>CANCELADA</v>
      </c>
      <c r="F316" s="1933" t="str">
        <f>OBRA!L655</f>
        <v>GMJ 020 C-OP/2022</v>
      </c>
      <c r="G316" s="3">
        <f>OBRA!N655</f>
        <v>0</v>
      </c>
      <c r="H316" s="1"/>
      <c r="I316" s="3">
        <f>OBRA!O655</f>
        <v>0</v>
      </c>
      <c r="J316" s="3"/>
      <c r="K316" s="3"/>
      <c r="L316" s="3"/>
      <c r="M316" s="1937">
        <f>OBRA!AQ655+OBRA!AR655</f>
        <v>0</v>
      </c>
      <c r="N316" s="1">
        <f>GRAL!AE657</f>
        <v>0</v>
      </c>
      <c r="O316" s="1">
        <f>GRAL!AF657</f>
        <v>0</v>
      </c>
      <c r="P316" s="1"/>
      <c r="Q316" s="1"/>
    </row>
    <row r="317" spans="1:17" ht="60" hidden="1">
      <c r="A317" s="1"/>
      <c r="B317" s="1"/>
      <c r="C317" s="1" t="str">
        <f>OBRA!BY656</f>
        <v>2021-2024</v>
      </c>
      <c r="D317" s="1">
        <f>OBRA!I656</f>
        <v>2022</v>
      </c>
      <c r="E317" s="1933" t="str">
        <f>OBRA!M656</f>
        <v>CONVENIOS</v>
      </c>
      <c r="F317" s="1933"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937">
        <f>OBRA!AQ656+OBRA!AR656</f>
        <v>0</v>
      </c>
      <c r="N317" s="1">
        <f>GRAL!AE658</f>
        <v>0</v>
      </c>
      <c r="O317" s="1">
        <f>GRAL!AF658</f>
        <v>0</v>
      </c>
      <c r="P317" s="1"/>
      <c r="Q317" s="1"/>
    </row>
    <row r="318" spans="1:17" ht="60" hidden="1">
      <c r="A318" s="1"/>
      <c r="B318" s="1"/>
      <c r="C318" s="1" t="str">
        <f>OBRA!BY657</f>
        <v>2021-2024</v>
      </c>
      <c r="D318" s="1">
        <f>OBRA!I657</f>
        <v>2022</v>
      </c>
      <c r="E318" s="1933" t="str">
        <f>OBRA!M657</f>
        <v>CONVENIOS</v>
      </c>
      <c r="F318" s="1933"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937">
        <f>OBRA!AQ657+OBRA!AR657</f>
        <v>0</v>
      </c>
      <c r="N318" s="1">
        <f>GRAL!AE659</f>
        <v>0</v>
      </c>
      <c r="O318" s="1">
        <f>GRAL!AF659</f>
        <v>0</v>
      </c>
      <c r="P318" s="1"/>
      <c r="Q318" s="1"/>
    </row>
    <row r="319" spans="1:17" ht="45" hidden="1">
      <c r="A319" s="1"/>
      <c r="B319" s="1"/>
      <c r="C319" s="1" t="str">
        <f>OBRA!BY658</f>
        <v>2021-2024</v>
      </c>
      <c r="D319" s="1">
        <f>OBRA!I658</f>
        <v>2023</v>
      </c>
      <c r="E319" s="1933" t="str">
        <f>OBRA!M658</f>
        <v>CONVENIOS</v>
      </c>
      <c r="F319" s="1933"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937">
        <f>OBRA!AQ658+OBRA!AR658</f>
        <v>0</v>
      </c>
      <c r="N319" s="1">
        <f>GRAL!AE660</f>
        <v>0</v>
      </c>
      <c r="O319" s="1">
        <f>GRAL!AF660</f>
        <v>0</v>
      </c>
      <c r="P319" s="1"/>
      <c r="Q319" s="1"/>
    </row>
    <row r="320" spans="1:17" ht="45" hidden="1">
      <c r="A320" s="1"/>
      <c r="B320" s="1"/>
      <c r="C320" s="1" t="str">
        <f>OBRA!BY659</f>
        <v>2021-2024</v>
      </c>
      <c r="D320" s="1">
        <f>OBRA!I659</f>
        <v>2023</v>
      </c>
      <c r="E320" s="1933" t="str">
        <f>OBRA!M659</f>
        <v>CONVENIOS</v>
      </c>
      <c r="F320" s="1933"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937">
        <f>OBRA!AQ659+OBRA!AR659</f>
        <v>0</v>
      </c>
      <c r="N320" s="1">
        <f>GRAL!AE661</f>
        <v>0</v>
      </c>
      <c r="O320" s="1">
        <f>GRAL!AF661</f>
        <v>0</v>
      </c>
      <c r="P320" s="1"/>
      <c r="Q320" s="1"/>
    </row>
    <row r="321" spans="1:17" ht="45" hidden="1">
      <c r="A321" s="1"/>
      <c r="B321" s="1"/>
      <c r="C321" s="1" t="str">
        <f>OBRA!BY660</f>
        <v>2021-2024</v>
      </c>
      <c r="D321" s="1">
        <f>OBRA!I660</f>
        <v>2023</v>
      </c>
      <c r="E321" s="1933" t="str">
        <f>OBRA!M660</f>
        <v>CONVENIOS</v>
      </c>
      <c r="F321" s="1933"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937">
        <f>OBRA!AQ660+OBRA!AR660</f>
        <v>0</v>
      </c>
      <c r="N321" s="1">
        <f>GRAL!AE662</f>
        <v>0</v>
      </c>
      <c r="O321" s="1">
        <f>GRAL!AF662</f>
        <v>0</v>
      </c>
      <c r="P321" s="1"/>
      <c r="Q321" s="1"/>
    </row>
    <row r="322" spans="1:17" ht="75" hidden="1">
      <c r="A322" s="1"/>
      <c r="B322" s="1"/>
      <c r="C322" s="1" t="str">
        <f>OBRA!BY661</f>
        <v>2021-2024</v>
      </c>
      <c r="D322" s="1">
        <f>OBRA!I661</f>
        <v>2023</v>
      </c>
      <c r="E322" s="1933" t="str">
        <f>OBRA!M661</f>
        <v>SERVICIOS</v>
      </c>
      <c r="F322" s="1933"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937">
        <f>OBRA!AQ661+OBRA!AR661</f>
        <v>0</v>
      </c>
      <c r="N322" s="1">
        <f>GRAL!AE663</f>
        <v>1</v>
      </c>
      <c r="O322" s="1" t="str">
        <f>GRAL!AF663</f>
        <v>POZO</v>
      </c>
      <c r="P322" s="1"/>
      <c r="Q322" s="1"/>
    </row>
    <row r="323" spans="1:17" ht="75" hidden="1">
      <c r="A323" s="1"/>
      <c r="B323" s="1"/>
      <c r="C323" s="1" t="str">
        <f>OBRA!BY662</f>
        <v>2021-2024</v>
      </c>
      <c r="D323" s="1">
        <f>OBRA!I662</f>
        <v>2023</v>
      </c>
      <c r="E323" s="1933" t="str">
        <f>OBRA!M662</f>
        <v>SERVICIOS</v>
      </c>
      <c r="F323" s="1933"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937">
        <f>OBRA!AQ662+OBRA!AR662</f>
        <v>0</v>
      </c>
      <c r="N323" s="1">
        <f>GRAL!AE664</f>
        <v>1</v>
      </c>
      <c r="O323" s="1" t="str">
        <f>GRAL!AF664</f>
        <v>POZO</v>
      </c>
      <c r="P323" s="1"/>
      <c r="Q323" s="1"/>
    </row>
    <row r="324" spans="1:17" ht="75" hidden="1">
      <c r="A324" s="1"/>
      <c r="B324" s="1"/>
      <c r="C324" s="1" t="str">
        <f>OBRA!BY663</f>
        <v>2021-2024</v>
      </c>
      <c r="D324" s="1">
        <f>OBRA!I663</f>
        <v>2023</v>
      </c>
      <c r="E324" s="1933" t="str">
        <f>OBRA!M663</f>
        <v>SERVICIOS</v>
      </c>
      <c r="F324" s="1933"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937">
        <f>OBRA!AQ663+OBRA!AR663</f>
        <v>0</v>
      </c>
      <c r="N324" s="1">
        <f>GRAL!AE665</f>
        <v>1</v>
      </c>
      <c r="O324" s="1" t="str">
        <f>GRAL!AF665</f>
        <v>POZO</v>
      </c>
      <c r="P324" s="1"/>
      <c r="Q324" s="1"/>
    </row>
    <row r="325" spans="1:17" ht="60" hidden="1">
      <c r="A325" s="1"/>
      <c r="B325" s="1"/>
      <c r="C325" s="1" t="str">
        <f>OBRA!BY664</f>
        <v>2021-2024</v>
      </c>
      <c r="D325" s="1">
        <f>OBRA!I664</f>
        <v>2023</v>
      </c>
      <c r="E325" s="1933" t="str">
        <f>OBRA!M664</f>
        <v>SERVICIOS</v>
      </c>
      <c r="F325" s="1933"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937">
        <f>OBRA!AQ664+OBRA!AR664</f>
        <v>0</v>
      </c>
      <c r="N325" s="1">
        <f>GRAL!AE666</f>
        <v>1</v>
      </c>
      <c r="O325" s="1" t="str">
        <f>GRAL!AF666</f>
        <v>LEV</v>
      </c>
      <c r="P325" s="1"/>
      <c r="Q325" s="1"/>
    </row>
    <row r="326" spans="1:17" ht="60" hidden="1">
      <c r="A326" s="1"/>
      <c r="B326" s="1"/>
      <c r="C326" s="1" t="str">
        <f>OBRA!BY665</f>
        <v>2021-2024</v>
      </c>
      <c r="D326" s="1">
        <f>OBRA!I665</f>
        <v>2023</v>
      </c>
      <c r="E326" s="1933" t="str">
        <f>OBRA!M665</f>
        <v>SERVICIOS</v>
      </c>
      <c r="F326" s="1933"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937">
        <f>OBRA!AQ665+OBRA!AR665</f>
        <v>0</v>
      </c>
      <c r="N326" s="1">
        <f>GRAL!AE667</f>
        <v>1</v>
      </c>
      <c r="O326" s="1" t="str">
        <f>GRAL!AF667</f>
        <v>LEV</v>
      </c>
      <c r="P326" s="1"/>
      <c r="Q326" s="1"/>
    </row>
    <row r="327" spans="1:17" ht="75" hidden="1">
      <c r="A327" s="1"/>
      <c r="B327" s="1"/>
      <c r="C327" s="1" t="str">
        <f>OBRA!BY666</f>
        <v>2021-2024</v>
      </c>
      <c r="D327" s="1">
        <f>OBRA!I666</f>
        <v>2023</v>
      </c>
      <c r="E327" s="1933" t="str">
        <f>OBRA!M666</f>
        <v>SERVICIOS</v>
      </c>
      <c r="F327" s="1933"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937">
        <f>OBRA!AQ666+OBRA!AR666</f>
        <v>0</v>
      </c>
      <c r="N327" s="1">
        <f>GRAL!AE668</f>
        <v>1</v>
      </c>
      <c r="O327" s="1" t="str">
        <f>GRAL!AF668</f>
        <v>LOTE</v>
      </c>
      <c r="P327" s="1"/>
      <c r="Q327" s="1"/>
    </row>
    <row r="328" spans="1:17" ht="75" hidden="1">
      <c r="A328" s="1"/>
      <c r="B328" s="1"/>
      <c r="C328" s="1" t="str">
        <f>OBRA!BY667</f>
        <v>2021-2024</v>
      </c>
      <c r="D328" s="1">
        <f>OBRA!I667</f>
        <v>2023</v>
      </c>
      <c r="E328" s="1933" t="str">
        <f>OBRA!M667</f>
        <v>SERVICIOS</v>
      </c>
      <c r="F328" s="1933"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937">
        <f>OBRA!AQ667+OBRA!AR667</f>
        <v>0</v>
      </c>
      <c r="N328" s="1">
        <f>GRAL!AE669</f>
        <v>1</v>
      </c>
      <c r="O328" s="1" t="str">
        <f>GRAL!AF669</f>
        <v>LOTE</v>
      </c>
      <c r="P328" s="1"/>
      <c r="Q328" s="1"/>
    </row>
    <row r="329" spans="1:17" ht="105" hidden="1">
      <c r="A329" s="1"/>
      <c r="B329" s="1"/>
      <c r="C329" s="1" t="str">
        <f>OBRA!BY668</f>
        <v>2021-2024</v>
      </c>
      <c r="D329" s="1">
        <f>OBRA!I668</f>
        <v>2023</v>
      </c>
      <c r="E329" s="1933" t="str">
        <f>OBRA!M668</f>
        <v>SERVICIOS</v>
      </c>
      <c r="F329" s="1933"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937">
        <f>OBRA!AQ668+OBRA!AR668</f>
        <v>0</v>
      </c>
      <c r="N329" s="1">
        <f>GRAL!AE670</f>
        <v>1</v>
      </c>
      <c r="O329" s="1" t="str">
        <f>GRAL!AF670</f>
        <v>LOTE</v>
      </c>
      <c r="P329" s="1"/>
      <c r="Q329" s="1"/>
    </row>
    <row r="330" spans="1:17" ht="120" hidden="1">
      <c r="A330" s="1"/>
      <c r="B330" s="1"/>
      <c r="C330" s="1" t="str">
        <f>OBRA!BY669</f>
        <v>2021-2024</v>
      </c>
      <c r="D330" s="1">
        <f>OBRA!I669</f>
        <v>2023</v>
      </c>
      <c r="E330" s="1933" t="str">
        <f>OBRA!M669</f>
        <v>SERVICIOS</v>
      </c>
      <c r="F330" s="1933"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937">
        <f>OBRA!AQ669+OBRA!AR669</f>
        <v>0</v>
      </c>
      <c r="N330" s="1">
        <f>GRAL!AE671</f>
        <v>1</v>
      </c>
      <c r="O330" s="1" t="str">
        <f>GRAL!AF671</f>
        <v>LOTE</v>
      </c>
      <c r="P330" s="1"/>
      <c r="Q330" s="1"/>
    </row>
    <row r="331" spans="1:17" ht="105" hidden="1">
      <c r="A331" s="1"/>
      <c r="B331" s="1"/>
      <c r="C331" s="1" t="str">
        <f>OBRA!BY670</f>
        <v>2021-2024</v>
      </c>
      <c r="D331" s="1">
        <f>OBRA!I670</f>
        <v>2023</v>
      </c>
      <c r="E331" s="1933" t="str">
        <f>OBRA!M670</f>
        <v>SERVICIOS</v>
      </c>
      <c r="F331" s="1933"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937">
        <f>OBRA!AQ670+OBRA!AR670</f>
        <v>0</v>
      </c>
      <c r="N331" s="1">
        <f>GRAL!AE672</f>
        <v>1</v>
      </c>
      <c r="O331" s="1" t="str">
        <f>GRAL!AF672</f>
        <v>LOTE</v>
      </c>
      <c r="P331" s="1"/>
      <c r="Q331" s="1"/>
    </row>
    <row r="332" spans="1:17" ht="60" hidden="1">
      <c r="A332" s="1"/>
      <c r="B332" s="1"/>
      <c r="C332" s="1" t="str">
        <f>OBRA!BY691</f>
        <v>2021-2024</v>
      </c>
      <c r="D332" s="1">
        <f>OBRA!I691</f>
        <v>2023</v>
      </c>
      <c r="E332" s="1933" t="str">
        <f>OBRA!M691</f>
        <v>ARRENDAMIENTO</v>
      </c>
      <c r="F332" s="1933" t="str">
        <f>OBRA!L691</f>
        <v>C- OP 001/2023</v>
      </c>
      <c r="G332" s="3" t="str">
        <f>OBRA!N691</f>
        <v>RENTA DE UNA RETROEXCAVADORA JHON DEERE 310SJ 4X4, PARA SER UTILIZADAEN DIVERSOS MANTENIMIENTOS REQUERIDOS POR LA DIRECCIÓN DE OBRAS PÚBLICAS DEL GOBIERNO MUNICIPAL DE JOCOTEPEC, JALISCO.</v>
      </c>
      <c r="H332" s="1"/>
      <c r="I332" s="3" t="str">
        <f>OBRA!O691</f>
        <v>MUNICIPIO</v>
      </c>
      <c r="J332" s="3"/>
      <c r="K332" s="3"/>
      <c r="L332" s="3"/>
      <c r="M332" s="1937">
        <f>OBRA!AQ691+OBRA!AR691</f>
        <v>0</v>
      </c>
      <c r="N332" s="1">
        <f>GRAL!AE693</f>
        <v>1</v>
      </c>
      <c r="O332" s="1" t="str">
        <f>GRAL!AF693</f>
        <v>MES</v>
      </c>
      <c r="P332" s="1"/>
      <c r="Q332" s="1"/>
    </row>
    <row r="333" spans="1:17" ht="60" hidden="1">
      <c r="A333" s="1"/>
      <c r="B333" s="1"/>
      <c r="C333" s="1" t="str">
        <f>OBRA!BY692</f>
        <v>2021-2024</v>
      </c>
      <c r="D333" s="1">
        <f>OBRA!I692</f>
        <v>2023</v>
      </c>
      <c r="E333" s="1933" t="str">
        <f>OBRA!M692</f>
        <v>ARRENDAMIENTO</v>
      </c>
      <c r="F333" s="1933" t="str">
        <f>OBRA!L692</f>
        <v>C- OP 001A/2023</v>
      </c>
      <c r="G333" s="3" t="str">
        <f>OBRA!N692</f>
        <v>RENTA DE UN CAMIÓN (VOLTEO 7 M3) DODGE, MODELO 1989 CON PLACAS JL-0889, PARA SER UTILIZADO EN LAS OBRAS: MANTENIMIENTOS VARIOS EN LAS AGENCIAS, DELEGACIONES Y CABECERA MUNICIPAL DEL MUNICIPIO DE JOCOTEPEC, JALISCO.</v>
      </c>
      <c r="H333" s="1"/>
      <c r="I333" s="3" t="str">
        <f>OBRA!O692</f>
        <v>MUNICIPIO</v>
      </c>
      <c r="J333" s="3"/>
      <c r="K333" s="3"/>
      <c r="L333" s="3"/>
      <c r="M333" s="1937">
        <f>OBRA!AQ692+OBRA!AR692</f>
        <v>0</v>
      </c>
      <c r="N333" s="1">
        <f>GRAL!AE694</f>
        <v>1</v>
      </c>
      <c r="O333" s="1" t="str">
        <f>GRAL!AF694</f>
        <v>DÍA</v>
      </c>
      <c r="P333" s="1"/>
      <c r="Q333" s="1"/>
    </row>
    <row r="334" spans="1:17" ht="75" hidden="1">
      <c r="A334" s="1"/>
      <c r="B334" s="1"/>
      <c r="C334" s="1" t="str">
        <f>OBRA!BY693</f>
        <v>2021-2024</v>
      </c>
      <c r="D334" s="1">
        <f>OBRA!I693</f>
        <v>2023</v>
      </c>
      <c r="E334" s="1933" t="str">
        <f>OBRA!M693</f>
        <v>ARRENDAMIENTO</v>
      </c>
      <c r="F334" s="1933" t="str">
        <f>OBRA!L693</f>
        <v>C- OP 002/2023</v>
      </c>
      <c r="G334" s="3" t="str">
        <f>OBRA!N693</f>
        <v>RENTA DE CAMIÓN TIPO PIPA MARCA DODGE RAM 6500 MOD. 1996 PLACAS JM57075, CON CAPACIDAD DE 10,000 LITROS PARA ACARREOS DE AGUA, PARA SER UTILIZADA EN CALLES DE ZONA NORTE DE LA CABECERA MUNICIPAL DE JOCOTEPEC, JALISCO, DELEGACIONES Y AGENCIAS DEL MUNICIPIO.</v>
      </c>
      <c r="H334" s="1"/>
      <c r="I334" s="3" t="str">
        <f>OBRA!O693</f>
        <v>MUNICIPIO</v>
      </c>
      <c r="J334" s="3"/>
      <c r="K334" s="3"/>
      <c r="L334" s="3"/>
      <c r="M334" s="1937">
        <f>OBRA!AQ693+OBRA!AR693</f>
        <v>0</v>
      </c>
      <c r="N334" s="1">
        <f>GRAL!AE695</f>
        <v>1</v>
      </c>
      <c r="O334" s="1" t="str">
        <f>GRAL!AF695</f>
        <v>MES</v>
      </c>
      <c r="P334" s="1"/>
      <c r="Q334" s="1"/>
    </row>
    <row r="335" spans="1:17" ht="60" hidden="1">
      <c r="A335" s="1"/>
      <c r="B335" s="1"/>
      <c r="C335" s="1" t="str">
        <f>OBRA!BY694</f>
        <v>2021-2024</v>
      </c>
      <c r="D335" s="1">
        <f>OBRA!I694</f>
        <v>2023</v>
      </c>
      <c r="E335" s="1933" t="str">
        <f>OBRA!M694</f>
        <v>ARRENDAMIENTO</v>
      </c>
      <c r="F335" s="1933" t="str">
        <f>OBRA!L694</f>
        <v>C- OP 003/2023</v>
      </c>
      <c r="G335" s="3" t="str">
        <f>OBRA!N694</f>
        <v>RENTA DE UNA RETROEXCAVADORA JHON DEERE 310SJ 4X4, PARA SER UTILIZADA EN DIVERSOS MANTENIMIENTOS REQUERIDOS POR LA DIRECCIÓN DE OBRAS PÚBLICAS DEL GOBIERNO MUNICIPAL DE JOCOTEPEC, JALISCO.</v>
      </c>
      <c r="H335" s="1"/>
      <c r="I335" s="3" t="str">
        <f>OBRA!O694</f>
        <v>MUNICIPIO</v>
      </c>
      <c r="J335" s="3"/>
      <c r="K335" s="3"/>
      <c r="L335" s="3"/>
      <c r="M335" s="1937">
        <f>OBRA!AQ694+OBRA!AR694</f>
        <v>0</v>
      </c>
      <c r="N335" s="1">
        <f>GRAL!AE696</f>
        <v>1</v>
      </c>
      <c r="O335" s="1" t="str">
        <f>GRAL!AF696</f>
        <v>MES</v>
      </c>
      <c r="P335" s="1"/>
      <c r="Q335" s="1"/>
    </row>
    <row r="336" spans="1:17" ht="60" hidden="1">
      <c r="A336" s="1"/>
      <c r="B336" s="1"/>
      <c r="C336" s="1" t="str">
        <f>OBRA!BY695</f>
        <v>2021-2024</v>
      </c>
      <c r="D336" s="1">
        <f>OBRA!I695</f>
        <v>2023</v>
      </c>
      <c r="E336" s="1933" t="str">
        <f>OBRA!M695</f>
        <v>ARRENDAMIENTO</v>
      </c>
      <c r="F336" s="1933" t="str">
        <f>OBRA!L695</f>
        <v>C- OP 004/2023</v>
      </c>
      <c r="G336" s="3" t="str">
        <f>OBRA!N695</f>
        <v>RENTA DE UNA RETROEXCAVADORA MARCA JCB MOD. 2000 SERIE 4214E, PARA SER UTILIZADA EN LA CONSTRUCCIÓN DE BASE PARA LA COLOCACIÓN DE LETRAS MONUMENTALES DE SAN JOSE POTRERILLOS, DEL MUNICIPIO DE JOCOTEPEC, JALISCO.</v>
      </c>
      <c r="H336" s="1"/>
      <c r="I336" s="3" t="str">
        <f>OBRA!O695</f>
        <v>POTRERILLOS</v>
      </c>
      <c r="J336" s="3"/>
      <c r="K336" s="3"/>
      <c r="L336" s="3"/>
      <c r="M336" s="1937">
        <f>OBRA!AQ695+OBRA!AR695</f>
        <v>0</v>
      </c>
      <c r="N336" s="1">
        <f>GRAL!AE697</f>
        <v>1</v>
      </c>
      <c r="O336" s="1" t="str">
        <f>GRAL!AF697</f>
        <v>HORA</v>
      </c>
      <c r="P336" s="1"/>
      <c r="Q336" s="1"/>
    </row>
    <row r="337" spans="1:17" ht="60" hidden="1">
      <c r="A337" s="1"/>
      <c r="B337" s="1"/>
      <c r="C337" s="1" t="str">
        <f>OBRA!BY696</f>
        <v>2021-2024</v>
      </c>
      <c r="D337" s="1">
        <f>OBRA!I696</f>
        <v>2023</v>
      </c>
      <c r="E337" s="1933" t="str">
        <f>OBRA!M696</f>
        <v>ARRENDAMIENTO</v>
      </c>
      <c r="F337" s="1933" t="str">
        <f>OBRA!L696</f>
        <v>C- OP 005/2023</v>
      </c>
      <c r="G337" s="3" t="str">
        <f>OBRA!N696</f>
        <v>RENTA DE CAMIÓN TIPO PIPA MARCA DODGE RAM 6500 MOD. 1996 PLACAS JM57075, CON CAPACIDAD DE 10,000 LITROS PARA EL SERVICIO DE ACARREO DE AGUA EN EL MUNICIPIO DE JOCOTEPEC, JALISCO.</v>
      </c>
      <c r="H337" s="1"/>
      <c r="I337" s="3" t="str">
        <f>OBRA!O696</f>
        <v>MUNICIPIO</v>
      </c>
      <c r="J337" s="3"/>
      <c r="K337" s="3"/>
      <c r="L337" s="3"/>
      <c r="M337" s="1937">
        <f>OBRA!AQ696+OBRA!AR696</f>
        <v>0</v>
      </c>
      <c r="N337" s="1">
        <f>GRAL!AE698</f>
        <v>1</v>
      </c>
      <c r="O337" s="1" t="str">
        <f>GRAL!AF698</f>
        <v>MES</v>
      </c>
      <c r="P337" s="1"/>
      <c r="Q337" s="1"/>
    </row>
    <row r="338" spans="1:17" ht="60" hidden="1">
      <c r="A338" s="1"/>
      <c r="B338" s="1"/>
      <c r="C338" s="1" t="str">
        <f>OBRA!BY697</f>
        <v>2021-2024</v>
      </c>
      <c r="D338" s="1">
        <f>OBRA!I697</f>
        <v>2023</v>
      </c>
      <c r="E338" s="1933" t="str">
        <f>OBRA!M697</f>
        <v>ARRENDAMIENTO</v>
      </c>
      <c r="F338" s="1933" t="str">
        <f>OBRA!L697</f>
        <v>C- OP 006/2023</v>
      </c>
      <c r="G338" s="3" t="str">
        <f>OBRA!N697</f>
        <v>RENTA DE UNA RETROEXCAVADORA DEE 310SJ 4X4, PARA SER UTILIZADA EN DIVERSOS MANTENIMIENTOS REQUERIDOS POR LA DIRECCIÓN DE OBRAS PÚBLICAS DEL GOBIERNO MUNICIPAL DE JOCOTEPEC, JALISCO.</v>
      </c>
      <c r="H338" s="1"/>
      <c r="I338" s="3" t="str">
        <f>OBRA!O697</f>
        <v>MUNICIPIO</v>
      </c>
      <c r="J338" s="3"/>
      <c r="K338" s="3"/>
      <c r="L338" s="3"/>
      <c r="M338" s="1937">
        <f>OBRA!AQ697+OBRA!AR697</f>
        <v>0</v>
      </c>
      <c r="N338" s="1">
        <f>GRAL!AE699</f>
        <v>1</v>
      </c>
      <c r="O338" s="1" t="str">
        <f>GRAL!AF699</f>
        <v>MES</v>
      </c>
      <c r="P338" s="1"/>
      <c r="Q338" s="1"/>
    </row>
    <row r="339" spans="1:17" ht="75" hidden="1">
      <c r="A339" s="1"/>
      <c r="B339" s="1"/>
      <c r="C339" s="1" t="str">
        <f>OBRA!BY700</f>
        <v>2021-2024</v>
      </c>
      <c r="D339" s="1">
        <f>OBRA!I700</f>
        <v>2023</v>
      </c>
      <c r="E339" s="1933" t="str">
        <f>OBRA!M700</f>
        <v>ARRENDAMIENTO</v>
      </c>
      <c r="F339" s="1933" t="str">
        <f>OBRA!L700</f>
        <v>C- OP 007/2023</v>
      </c>
      <c r="G339" s="3" t="str">
        <f>OBRA!N700</f>
        <v>RENTA DE UN CAMIÓN VOLTEO MARCA KENWORTH COLOR AZUL PLACA JU00932 Y UN CAMIÓN VOLTEO MARCA INTERNACIONAL COLOR AMARILLO PLACA 09AF9U, PARA SER UTILIZADO EN EL ACARREO DE MATERIAL POR DESAZOLVES DE ARROYOS EN EL MUNICIPIO DE JOCOTEPEC, JALISCO.</v>
      </c>
      <c r="H339" s="1"/>
      <c r="I339" s="3" t="str">
        <f>OBRA!O700</f>
        <v>MUNICIPIO</v>
      </c>
      <c r="J339" s="3"/>
      <c r="K339" s="3"/>
      <c r="L339" s="3"/>
      <c r="M339" s="1937">
        <f>OBRA!AQ700+OBRA!AR700</f>
        <v>0</v>
      </c>
      <c r="N339" s="1">
        <f>GRAL!AE702</f>
        <v>1</v>
      </c>
      <c r="O339" s="1" t="str">
        <f>GRAL!AF702</f>
        <v>DÍA</v>
      </c>
      <c r="P339" s="1"/>
      <c r="Q339" s="1"/>
    </row>
    <row r="340" spans="1:17" ht="75" hidden="1">
      <c r="A340" s="1"/>
      <c r="B340" s="1"/>
      <c r="C340" s="1" t="str">
        <f>OBRA!BY701</f>
        <v>2021-2024</v>
      </c>
      <c r="D340" s="1">
        <f>OBRA!I701</f>
        <v>2023</v>
      </c>
      <c r="E340" s="1933" t="str">
        <f>OBRA!M701</f>
        <v>ARRENDAMIENTO</v>
      </c>
      <c r="F340" s="1933" t="str">
        <f>OBRA!L701</f>
        <v>C- OP 008/2023</v>
      </c>
      <c r="G340"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H340" s="1"/>
      <c r="I340" s="3" t="str">
        <f>OBRA!O701</f>
        <v>CABECERA MUNICIPAL</v>
      </c>
      <c r="J340" s="3"/>
      <c r="K340" s="3"/>
      <c r="L340" s="3"/>
      <c r="M340" s="1937">
        <f>OBRA!AQ701+OBRA!AR701</f>
        <v>0</v>
      </c>
      <c r="N340" s="1">
        <f>GRAL!AE703</f>
        <v>1</v>
      </c>
      <c r="O340" s="1" t="str">
        <f>GRAL!AF703</f>
        <v>DÍA</v>
      </c>
      <c r="P340" s="1"/>
      <c r="Q340" s="1"/>
    </row>
    <row r="341" spans="1:17" ht="75" hidden="1">
      <c r="A341" s="1"/>
      <c r="B341" s="1"/>
      <c r="C341" s="1" t="str">
        <f>OBRA!BY702</f>
        <v>2021-2024</v>
      </c>
      <c r="D341" s="1">
        <f>OBRA!I702</f>
        <v>2023</v>
      </c>
      <c r="E341" s="1933" t="str">
        <f>OBRA!M702</f>
        <v>ARRENDAMIENTO</v>
      </c>
      <c r="F341" s="1933" t="str">
        <f>OBRA!L702</f>
        <v>C- OP 009/2023</v>
      </c>
      <c r="G341"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H341" s="1"/>
      <c r="I341" s="3" t="str">
        <f>OBRA!O702</f>
        <v>CABECERA MUNICIPAL</v>
      </c>
      <c r="J341" s="3"/>
      <c r="K341" s="3"/>
      <c r="L341" s="3"/>
      <c r="M341" s="1937">
        <f>OBRA!AQ702+OBRA!AR702</f>
        <v>0</v>
      </c>
      <c r="N341" s="1">
        <f>GRAL!AE704</f>
        <v>1</v>
      </c>
      <c r="O341" s="1" t="str">
        <f>GRAL!AF704</f>
        <v>HORA</v>
      </c>
      <c r="P341" s="1"/>
      <c r="Q341" s="1"/>
    </row>
    <row r="342" spans="1:17" ht="75" hidden="1">
      <c r="A342" s="1"/>
      <c r="B342" s="1"/>
      <c r="C342" s="1" t="str">
        <f>OBRA!BY703</f>
        <v>2021-2024</v>
      </c>
      <c r="D342" s="1">
        <f>OBRA!I703</f>
        <v>2023</v>
      </c>
      <c r="E342" s="1933" t="str">
        <f>OBRA!M703</f>
        <v>ARRENDAMIENTO</v>
      </c>
      <c r="F342" s="1933" t="str">
        <f>OBRA!L703</f>
        <v>C- OP 010/2023</v>
      </c>
      <c r="G342" s="3" t="str">
        <f>OBRA!N703</f>
        <v>RENTA DE UNA RETRO EXCAVADORA CATERPILLAR 416E 4X4 DE 77HP, PARA SER UTILAZADO EN LA OBRA REHABILITACIÓN DE REDES HIDROSANITARIAS EN CALLE FILÓSOFOS ENTRE CALLE JOSEFA ORTIZ DE DOMINGUEZ E HIDALGO EN LA CABECERA MUNICIPAL DE JOCOTEPEC. JALISCO (DRENAJE)</v>
      </c>
      <c r="H342" s="1"/>
      <c r="I342" s="3" t="str">
        <f>OBRA!O703</f>
        <v>CABECERA MUNICIPAL</v>
      </c>
      <c r="J342" s="3"/>
      <c r="K342" s="3"/>
      <c r="L342" s="3"/>
      <c r="M342" s="1937">
        <f>OBRA!AQ703+OBRA!AR703</f>
        <v>0</v>
      </c>
      <c r="N342" s="1">
        <f>GRAL!AE705</f>
        <v>1</v>
      </c>
      <c r="O342" s="1" t="str">
        <f>GRAL!AF705</f>
        <v>HORA</v>
      </c>
      <c r="P342" s="1"/>
      <c r="Q342" s="1"/>
    </row>
    <row r="343" spans="1:17" ht="67.5" customHeight="1">
      <c r="A343" s="1"/>
      <c r="B343" s="1"/>
      <c r="C343" s="1" t="str">
        <f>OBRA!BY714</f>
        <v>2021-2024</v>
      </c>
      <c r="D343" s="1">
        <f>OBRA!I714</f>
        <v>2023</v>
      </c>
      <c r="E343" s="1933" t="str">
        <f>OBRA!M714</f>
        <v>ADMINISTRACIÓN DIRECTA</v>
      </c>
      <c r="F343" s="1933" t="str">
        <f>OBRA!L714</f>
        <v>DOP/AD/001/2023</v>
      </c>
      <c r="G343" s="3" t="str">
        <f>OBRA!N714</f>
        <v>"CONSTRUCCIÓN DE REDES HIDROSANITARIAS EN CALLE FILÓSOFOS ENTRE CALLE JOSEFA ORTÍZ DE DOMINGUEZ E HIDALGO", EN LA CABECERA MUNICIPAL DE JOCOTEPEC, JALISCO</v>
      </c>
      <c r="H343" s="1933" t="s">
        <v>4807</v>
      </c>
      <c r="I343" s="3" t="str">
        <f>OBRA!O714</f>
        <v>CABECERA MUNICIPAL</v>
      </c>
      <c r="J343" s="3" t="s">
        <v>5472</v>
      </c>
      <c r="K343" s="3" t="s">
        <v>4883</v>
      </c>
      <c r="L343" s="3" t="s">
        <v>2655</v>
      </c>
      <c r="M343" s="1937">
        <f>OBRA!AQ714+OBRA!AR714</f>
        <v>0</v>
      </c>
      <c r="N343" s="1">
        <f>GRAL!AE716</f>
        <v>0</v>
      </c>
      <c r="O343" s="1" t="str">
        <f>GRAL!AF716</f>
        <v>ML</v>
      </c>
      <c r="P343" s="1"/>
      <c r="Q343" s="2"/>
    </row>
    <row r="344" spans="1:17" ht="45" hidden="1">
      <c r="A344" s="1"/>
      <c r="B344" s="1"/>
      <c r="C344" s="1" t="str">
        <f>OBRA!BY715</f>
        <v>2021-2024</v>
      </c>
      <c r="D344" s="1">
        <f>OBRA!I715</f>
        <v>2023</v>
      </c>
      <c r="E344" s="1933" t="str">
        <f>OBRA!M715</f>
        <v>ADMINISTRACIÓN DIRECTA</v>
      </c>
      <c r="F344" s="1933" t="str">
        <f>OBRA!L715</f>
        <v>DOP/AD/002/2023</v>
      </c>
      <c r="G344" s="3" t="str">
        <f>OBRA!N715</f>
        <v>"BACHEO SUPERFICIAL AISLADO EN CALLE INDEPENDENCIA NORTE ENTRE C. MORELOS Y C. DEGOLLADO", EN LA CABECERA MUNICIPAL DE JOCOTEPEC, JALISCO.</v>
      </c>
      <c r="H344" s="1"/>
      <c r="I344" s="3" t="str">
        <f>OBRA!O715</f>
        <v>CABECERA MUNICIPAL</v>
      </c>
      <c r="J344" s="3"/>
      <c r="K344" s="3"/>
      <c r="L344" s="3"/>
      <c r="M344" s="1937">
        <f>OBRA!AQ715+OBRA!AR715</f>
        <v>0</v>
      </c>
      <c r="N344" s="1">
        <f>GRAL!AE717</f>
        <v>0</v>
      </c>
      <c r="O344" s="1" t="str">
        <f>GRAL!AF717</f>
        <v>M2</v>
      </c>
      <c r="P344" s="1"/>
      <c r="Q344" s="1"/>
    </row>
    <row r="345" spans="1:17" ht="22.5" hidden="1">
      <c r="A345" s="1"/>
      <c r="B345" s="1"/>
      <c r="C345" s="1" t="str">
        <f>OBRA!BY716</f>
        <v>2021-2024</v>
      </c>
      <c r="D345" s="1">
        <f>OBRA!I716</f>
        <v>2023</v>
      </c>
      <c r="E345" s="1933" t="str">
        <f>OBRA!M716</f>
        <v>ADMINISTRACIÓN DIRECTA</v>
      </c>
      <c r="F345" s="1933" t="str">
        <f>OBRA!L716</f>
        <v>DOP/AD/003/2023</v>
      </c>
      <c r="G345" s="3" t="str">
        <f>OBRA!N716</f>
        <v>-</v>
      </c>
      <c r="H345" s="1"/>
      <c r="I345" s="3" t="str">
        <f>OBRA!O716</f>
        <v>-</v>
      </c>
      <c r="J345" s="3"/>
      <c r="K345" s="3"/>
      <c r="L345" s="3"/>
      <c r="M345" s="1937">
        <f>OBRA!AQ716+OBRA!AR716</f>
        <v>0</v>
      </c>
      <c r="N345" s="1">
        <f>GRAL!AE718</f>
        <v>0</v>
      </c>
      <c r="O345" s="1">
        <f>GRAL!AF718</f>
        <v>0</v>
      </c>
      <c r="P345" s="1"/>
      <c r="Q345" s="1"/>
    </row>
    <row r="346" spans="1:17" ht="22.5" hidden="1">
      <c r="A346" s="1"/>
      <c r="B346" s="1"/>
      <c r="C346" s="1" t="str">
        <f>OBRA!BY717</f>
        <v>2021-2024</v>
      </c>
      <c r="D346" s="1">
        <f>OBRA!I717</f>
        <v>2023</v>
      </c>
      <c r="E346" s="1933" t="str">
        <f>OBRA!M717</f>
        <v>ADMINISTRACIÓN DIRECTA</v>
      </c>
      <c r="F346" s="1933" t="str">
        <f>OBRA!L717</f>
        <v>DOP/AD/004/2023</v>
      </c>
      <c r="G346" s="3" t="str">
        <f>OBRA!N717</f>
        <v>-</v>
      </c>
      <c r="H346" s="1"/>
      <c r="I346" s="3" t="str">
        <f>OBRA!O717</f>
        <v>-</v>
      </c>
      <c r="J346" s="3"/>
      <c r="K346" s="3"/>
      <c r="L346" s="3"/>
      <c r="M346" s="1937">
        <f>OBRA!AQ717+OBRA!AR717</f>
        <v>0</v>
      </c>
      <c r="N346" s="1">
        <f>GRAL!AE719</f>
        <v>0</v>
      </c>
      <c r="O346" s="1">
        <f>GRAL!AF719</f>
        <v>0</v>
      </c>
      <c r="P346" s="1"/>
      <c r="Q346" s="1"/>
    </row>
    <row r="347" spans="1:17" ht="60" hidden="1">
      <c r="A347" s="1"/>
      <c r="B347" s="1"/>
      <c r="C347" s="1" t="str">
        <f>OBRA!BY718</f>
        <v>2021-2024</v>
      </c>
      <c r="D347" s="1">
        <f>OBRA!I718</f>
        <v>2023</v>
      </c>
      <c r="E347" s="1933" t="str">
        <f>OBRA!M718</f>
        <v>ADMINISTRACIÓN DIRECTA</v>
      </c>
      <c r="F347" s="1933" t="str">
        <f>OBRA!L718</f>
        <v>DOP/AD/005/2023</v>
      </c>
      <c r="G347" s="3" t="str">
        <f>OBRA!N718</f>
        <v>"BACHEO SUPERFICIAL AISLADO DE MEZCLA ASFÁLTICA EN LA CALLE MORELOS ENTRE CALLE NIÑOS HÉROES YCALLE ZARAGOZA EN EL BARRIO LA CALABAZA" DE LA CABECERA MUNICIPAL DE JOCOTEPEC, MUNICIPIO DE JOCOTEPEC, JALISCO.</v>
      </c>
      <c r="H347" s="1"/>
      <c r="I347" s="3" t="str">
        <f>OBRA!O718</f>
        <v>CABECERA MUNICIPAL</v>
      </c>
      <c r="J347" s="3"/>
      <c r="K347" s="3"/>
      <c r="L347" s="3"/>
      <c r="M347" s="1937">
        <f>OBRA!AQ718+OBRA!AR718</f>
        <v>0</v>
      </c>
      <c r="N347" s="1">
        <f>GRAL!AE720</f>
        <v>0</v>
      </c>
      <c r="O347" s="1" t="str">
        <f>GRAL!AF720</f>
        <v>M2</v>
      </c>
      <c r="P347" s="1"/>
      <c r="Q347" s="1"/>
    </row>
    <row r="348" spans="1:17" hidden="1">
      <c r="A348" s="1"/>
      <c r="B348" s="1"/>
      <c r="C348" s="1" t="str">
        <f>OBRA!BY719</f>
        <v>2021-2024</v>
      </c>
      <c r="D348" s="1">
        <f>OBRA!I719</f>
        <v>2023</v>
      </c>
      <c r="E348" s="1933" t="str">
        <f>OBRA!M719</f>
        <v>CANCELADA</v>
      </c>
      <c r="F348" s="1933" t="str">
        <f>OBRA!L719</f>
        <v>DOP/AD/006/2023</v>
      </c>
      <c r="G348" s="3" t="str">
        <f>OBRA!N719</f>
        <v>-</v>
      </c>
      <c r="H348" s="1"/>
      <c r="I348" s="3" t="str">
        <f>OBRA!O719</f>
        <v>-</v>
      </c>
      <c r="J348" s="3"/>
      <c r="K348" s="3"/>
      <c r="L348" s="3"/>
      <c r="M348" s="1937">
        <f>OBRA!AQ719+OBRA!AR719</f>
        <v>0</v>
      </c>
      <c r="N348" s="1">
        <f>GRAL!AE721</f>
        <v>0</v>
      </c>
      <c r="O348" s="1">
        <f>GRAL!AF721</f>
        <v>0</v>
      </c>
      <c r="P348" s="1"/>
      <c r="Q348" s="1"/>
    </row>
    <row r="349" spans="1:17" hidden="1">
      <c r="A349" s="1"/>
      <c r="B349" s="1"/>
      <c r="C349" s="1" t="str">
        <f>OBRA!BY720</f>
        <v>2021-2024</v>
      </c>
      <c r="D349" s="1">
        <f>OBRA!I720</f>
        <v>2023</v>
      </c>
      <c r="E349" s="1933" t="str">
        <f>OBRA!M720</f>
        <v>CANCELADA</v>
      </c>
      <c r="F349" s="1933" t="str">
        <f>OBRA!L720</f>
        <v>DOP/AD/007/2023</v>
      </c>
      <c r="G349" s="3" t="str">
        <f>OBRA!N720</f>
        <v>-</v>
      </c>
      <c r="H349" s="1"/>
      <c r="I349" s="3" t="str">
        <f>OBRA!O720</f>
        <v>-</v>
      </c>
      <c r="J349" s="3"/>
      <c r="K349" s="3"/>
      <c r="L349" s="3"/>
      <c r="M349" s="1937">
        <f>OBRA!AQ720+OBRA!AR720</f>
        <v>0</v>
      </c>
      <c r="N349" s="1">
        <f>GRAL!AE722</f>
        <v>0</v>
      </c>
      <c r="O349" s="1">
        <f>GRAL!AF722</f>
        <v>0</v>
      </c>
      <c r="P349" s="1"/>
      <c r="Q349" s="1"/>
    </row>
    <row r="350" spans="1:17" hidden="1">
      <c r="A350" s="1"/>
      <c r="B350" s="1"/>
      <c r="C350" s="1" t="str">
        <f>OBRA!BY721</f>
        <v>2021-2024</v>
      </c>
      <c r="D350" s="1">
        <f>OBRA!I721</f>
        <v>2023</v>
      </c>
      <c r="E350" s="1933" t="str">
        <f>OBRA!M721</f>
        <v>CANCELADA</v>
      </c>
      <c r="F350" s="1933" t="str">
        <f>OBRA!L721</f>
        <v>DOP/AD/008/2023</v>
      </c>
      <c r="G350" s="3" t="str">
        <f>OBRA!N721</f>
        <v>-</v>
      </c>
      <c r="H350" s="1"/>
      <c r="I350" s="3" t="str">
        <f>OBRA!O721</f>
        <v>-</v>
      </c>
      <c r="J350" s="3"/>
      <c r="K350" s="3"/>
      <c r="L350" s="3"/>
      <c r="M350" s="1937">
        <f>OBRA!AQ721+OBRA!AR721</f>
        <v>0</v>
      </c>
      <c r="N350" s="1">
        <f>GRAL!AE723</f>
        <v>0</v>
      </c>
      <c r="O350" s="1">
        <f>GRAL!AF723</f>
        <v>0</v>
      </c>
      <c r="P350" s="1"/>
      <c r="Q350" s="1"/>
    </row>
    <row r="351" spans="1:17" hidden="1">
      <c r="A351" s="1"/>
      <c r="B351" s="1"/>
      <c r="C351" s="1" t="str">
        <f>OBRA!BY722</f>
        <v>2021-2024</v>
      </c>
      <c r="D351" s="1">
        <f>OBRA!I722</f>
        <v>2023</v>
      </c>
      <c r="E351" s="1933" t="str">
        <f>OBRA!M722</f>
        <v>CANCELADA</v>
      </c>
      <c r="F351" s="1933" t="str">
        <f>OBRA!L722</f>
        <v>DOP/AD/009/2023</v>
      </c>
      <c r="G351" s="3" t="str">
        <f>OBRA!N722</f>
        <v>-</v>
      </c>
      <c r="H351" s="1"/>
      <c r="I351" s="3" t="str">
        <f>OBRA!O722</f>
        <v>-</v>
      </c>
      <c r="J351" s="3"/>
      <c r="K351" s="3"/>
      <c r="L351" s="3"/>
      <c r="M351" s="1937">
        <f>OBRA!AQ722+OBRA!AR722</f>
        <v>0</v>
      </c>
      <c r="N351" s="1">
        <f>GRAL!AE724</f>
        <v>0</v>
      </c>
      <c r="O351" s="1">
        <f>GRAL!AF724</f>
        <v>0</v>
      </c>
      <c r="P351" s="1"/>
      <c r="Q351" s="1"/>
    </row>
    <row r="352" spans="1:17" hidden="1">
      <c r="A352" s="1"/>
      <c r="B352" s="1"/>
      <c r="C352" s="1" t="str">
        <f>OBRA!BY723</f>
        <v>2021-2024</v>
      </c>
      <c r="D352" s="1">
        <f>OBRA!I723</f>
        <v>2023</v>
      </c>
      <c r="E352" s="1933" t="str">
        <f>OBRA!M723</f>
        <v>CANCELADA</v>
      </c>
      <c r="F352" s="1933" t="str">
        <f>OBRA!L723</f>
        <v>DOP/AD/010/2023</v>
      </c>
      <c r="G352" s="3" t="str">
        <f>OBRA!N723</f>
        <v>-</v>
      </c>
      <c r="H352" s="1"/>
      <c r="I352" s="3" t="str">
        <f>OBRA!O723</f>
        <v>-</v>
      </c>
      <c r="J352" s="3"/>
      <c r="K352" s="3"/>
      <c r="L352" s="3"/>
      <c r="M352" s="1937">
        <f>OBRA!AQ723+OBRA!AR723</f>
        <v>0</v>
      </c>
      <c r="N352" s="1">
        <f>GRAL!AE725</f>
        <v>0</v>
      </c>
      <c r="O352" s="1">
        <f>GRAL!AF725</f>
        <v>0</v>
      </c>
      <c r="P352" s="1"/>
      <c r="Q352" s="1"/>
    </row>
    <row r="353" spans="1:17" ht="75">
      <c r="A353" s="1"/>
      <c r="B353" s="1"/>
      <c r="C353" s="1" t="str">
        <f>OBRA!BY724</f>
        <v>2021-2024</v>
      </c>
      <c r="D353" s="1">
        <f>OBRA!I724</f>
        <v>2023</v>
      </c>
      <c r="E353" s="1933" t="str">
        <f>OBRA!M724</f>
        <v>ADJUDICACIÓN DIRECTA</v>
      </c>
      <c r="F353" s="1933" t="str">
        <f>OBRA!L724</f>
        <v>GMJ 001C OP/2023</v>
      </c>
      <c r="G353" s="3" t="str">
        <f>OBRA!N724</f>
        <v>"CONSTRUCCIÓN DE LÍNEA DE DRENAJE SANITARIO, LÍNEA DE AGUA POTABLE, HUELLA DE CONCRETO Y EMPEDRADO AHOGADO EN CONCRETO EN LA CALLE JOSEFA ORTIZ DE DOMINGUEZ DE CALLE ALDAMA PONIENTE A CALLE FILÓSOFOS", EN LA CABECERA MUNICIPAL DE JOCOTEPEC, JALISCO.</v>
      </c>
      <c r="H353" s="1933" t="s">
        <v>4807</v>
      </c>
      <c r="I353" s="3" t="str">
        <f>OBRA!O724</f>
        <v>CABECERA MUNICIPAL</v>
      </c>
      <c r="J353" s="3" t="s">
        <v>5473</v>
      </c>
      <c r="K353" s="3" t="s">
        <v>4822</v>
      </c>
      <c r="L353" s="3" t="s">
        <v>4823</v>
      </c>
      <c r="M353" s="1937">
        <f>OBRA!AQ724+OBRA!AR724</f>
        <v>0</v>
      </c>
      <c r="N353" s="1">
        <f>GRAL!AE726</f>
        <v>329.32</v>
      </c>
      <c r="O353" s="1" t="str">
        <f>GRAL!AF726</f>
        <v>ML</v>
      </c>
      <c r="P353" s="1"/>
      <c r="Q353" s="2" t="s">
        <v>5478</v>
      </c>
    </row>
    <row r="354" spans="1:17" ht="60">
      <c r="A354" s="1"/>
      <c r="B354" s="1"/>
      <c r="C354" s="1" t="str">
        <f>OBRA!BY725</f>
        <v>2021-2024</v>
      </c>
      <c r="D354" s="1">
        <f>OBRA!I725</f>
        <v>2023</v>
      </c>
      <c r="E354" s="1933" t="str">
        <f>OBRA!M725</f>
        <v>ADJUDICACIÓN DIRECTA</v>
      </c>
      <c r="F354" s="1933" t="str">
        <f>OBRA!L725</f>
        <v>GMJ 002C OP/2023</v>
      </c>
      <c r="G354" s="3" t="str">
        <f>OBRA!N725</f>
        <v>"CONSTRUCCIÓN DE HUELLAS DE CONCRETO Y EMPEDRADO AHOGADO EN CEMENTO EN LA CALLE JOSEFA ORTIZ DE DOMINGUEZ DE CALLE ALDAMA PONIENTE A CALLE FILÓSOFOS", EN LA CABECERA MUNICIPAL DE JOCOTEPEC, JALISCO.</v>
      </c>
      <c r="H354" s="1933" t="s">
        <v>4806</v>
      </c>
      <c r="I354" s="3" t="str">
        <f>OBRA!O725</f>
        <v>CABECERA MUNICIPAL</v>
      </c>
      <c r="J354" s="3" t="s">
        <v>5473</v>
      </c>
      <c r="K354" s="3" t="s">
        <v>4822</v>
      </c>
      <c r="L354" s="3" t="s">
        <v>4823</v>
      </c>
      <c r="M354" s="1937">
        <f>OBRA!AQ725+OBRA!AR725</f>
        <v>0</v>
      </c>
      <c r="N354" s="1">
        <f>GRAL!AE727</f>
        <v>1209.1400000000001</v>
      </c>
      <c r="O354" s="1" t="str">
        <f>GRAL!AF727</f>
        <v>M2</v>
      </c>
      <c r="P354" s="1"/>
      <c r="Q354" s="2"/>
    </row>
    <row r="355" spans="1:17" ht="75">
      <c r="A355" s="1"/>
      <c r="B355" s="1"/>
      <c r="C355" s="1" t="str">
        <f>OBRA!BY726</f>
        <v>2021-2024</v>
      </c>
      <c r="D355" s="1">
        <f>OBRA!I726</f>
        <v>2023</v>
      </c>
      <c r="E355" s="1933" t="str">
        <f>OBRA!M726</f>
        <v>CONCURSO SIMPLIFICADO SUMARIO</v>
      </c>
      <c r="F355" s="1933" t="str">
        <f>OBRA!L726</f>
        <v>CSS-OP-CC-003/2023</v>
      </c>
      <c r="G355" s="3" t="str">
        <f>OBRA!N726</f>
        <v>“CONSTRUCCIÓN DE LINEA DE DRENAJE, LINEA DE AGUA POTABLE, HUELLA DE CONCRETO Y EMPEDRADO AHOGADO EN CONCRETO EN LA CALLE JOSEFA ORTIZ DE DOMINGUEZ DE CALLE FILÓSOFOS HASTA EL LIBRAMIENTO”, EN LA CABECERA MUNICIPAL DE JOCOTEPEC, JALISCO.</v>
      </c>
      <c r="H355" s="1933" t="s">
        <v>4810</v>
      </c>
      <c r="I355" s="3" t="str">
        <f>OBRA!O726</f>
        <v>CABECERA MUNICIPAL</v>
      </c>
      <c r="J355" s="3" t="s">
        <v>5473</v>
      </c>
      <c r="K355" s="3" t="s">
        <v>4823</v>
      </c>
      <c r="L355" s="3" t="s">
        <v>2532</v>
      </c>
      <c r="M355" s="1937">
        <f>OBRA!AQ726+OBRA!AR726</f>
        <v>4710868.9800000004</v>
      </c>
      <c r="N355" s="1">
        <f>GRAL!AE728</f>
        <v>2016</v>
      </c>
      <c r="O355" s="1" t="str">
        <f>GRAL!AF728</f>
        <v>M2</v>
      </c>
      <c r="P355" s="1"/>
      <c r="Q355" s="2"/>
    </row>
    <row r="356" spans="1:17" ht="75">
      <c r="A356" s="1"/>
      <c r="B356" s="1"/>
      <c r="C356" s="1" t="str">
        <f>OBRA!BY727</f>
        <v>2021-2024</v>
      </c>
      <c r="D356" s="1">
        <f>OBRA!I727</f>
        <v>2023</v>
      </c>
      <c r="E356" s="1933" t="str">
        <f>OBRA!M727</f>
        <v>ADJUDICACIÓN DIRECTA</v>
      </c>
      <c r="F356" s="1933" t="str">
        <f>OBRA!L727</f>
        <v>GMJ 004C OP/2023</v>
      </c>
      <c r="G356" s="3" t="str">
        <f>OBRA!N727</f>
        <v>"COMPLEMENTO DE OBRA: EQUIPAMIENTO, ELECTRIFICACIÓN, TREN DE DESCARGA, CASETA DE CLORACIÓN, CERCADO PERIMETRAL Y PUESTA EN MARCHA DEL POZO DE AGUA", EN LA LOCALIDAD DE CHANTEPEC DEL MUNICIPIO DE JOCOTEPEC, JALISCO.</v>
      </c>
      <c r="H356" s="1933" t="s">
        <v>4805</v>
      </c>
      <c r="I356" s="3" t="str">
        <f>OBRA!O727</f>
        <v>CHANTEPEC</v>
      </c>
      <c r="J356" s="3" t="s">
        <v>2669</v>
      </c>
      <c r="K356" s="3" t="s">
        <v>4828</v>
      </c>
      <c r="L356" s="3" t="s">
        <v>4955</v>
      </c>
      <c r="M356" s="1937">
        <f>OBRA!AQ727+OBRA!AR727</f>
        <v>0</v>
      </c>
      <c r="N356" s="1">
        <f>GRAL!AE729</f>
        <v>1</v>
      </c>
      <c r="O356" s="1" t="str">
        <f>GRAL!AF729</f>
        <v>POZO</v>
      </c>
      <c r="P356" s="1"/>
      <c r="Q356" s="2" t="s">
        <v>5476</v>
      </c>
    </row>
    <row r="357" spans="1:17" ht="75">
      <c r="A357" s="1"/>
      <c r="B357" s="1"/>
      <c r="C357" s="1" t="str">
        <f>OBRA!BY728</f>
        <v>2021-2024</v>
      </c>
      <c r="D357" s="1">
        <f>OBRA!I728</f>
        <v>2023</v>
      </c>
      <c r="E357" s="1933" t="str">
        <f>OBRA!M728</f>
        <v>ADJUDICACIÓN DIRECTA</v>
      </c>
      <c r="F357" s="1933" t="str">
        <f>OBRA!L728</f>
        <v>GMJ 005C OP/2023</v>
      </c>
      <c r="G357" s="3" t="str">
        <f>OBRA!N728</f>
        <v>"COMPLEMENTO DE OBRA: EQUIPAMIENTO, ELECTRIFICACIÓN, TREN DE DESCARGA, CASETA DE CLORACIÓN, CERCADO PERIMETRAL Y PUESTA EN MARCHA DEL POZO DE AGUA", EN LA LOCALIDAD DE CHANTEPEC DEL MUNICIPIO DE JOCOTEPEC, JALISCO.</v>
      </c>
      <c r="H357" s="1933" t="s">
        <v>4805</v>
      </c>
      <c r="I357" s="3" t="str">
        <f>OBRA!O728</f>
        <v>CHANTEPEC</v>
      </c>
      <c r="J357" s="3" t="s">
        <v>2669</v>
      </c>
      <c r="K357" s="3" t="s">
        <v>4828</v>
      </c>
      <c r="L357" s="3" t="s">
        <v>4955</v>
      </c>
      <c r="M357" s="1937">
        <f>OBRA!AQ728+OBRA!AR728</f>
        <v>0</v>
      </c>
      <c r="N357" s="1">
        <f>GRAL!AE730</f>
        <v>1</v>
      </c>
      <c r="O357" s="1" t="str">
        <f>GRAL!AF730</f>
        <v>POZO</v>
      </c>
      <c r="P357" s="1"/>
      <c r="Q357" s="2" t="s">
        <v>5477</v>
      </c>
    </row>
    <row r="358" spans="1:17" ht="90.75" customHeight="1">
      <c r="A358" s="1"/>
      <c r="B358" s="1"/>
      <c r="C358" s="1" t="str">
        <f>OBRA!BY729</f>
        <v>2021-2024</v>
      </c>
      <c r="D358" s="1">
        <f>OBRA!I729</f>
        <v>2023</v>
      </c>
      <c r="E358" s="1933" t="str">
        <f>OBRA!M729</f>
        <v>ADJUDICACIÓN DIRECTA</v>
      </c>
      <c r="F358" s="1933" t="str">
        <f>OBRA!L729</f>
        <v>GMJ 006C OP/2023</v>
      </c>
      <c r="G358"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H358" s="1933" t="s">
        <v>4812</v>
      </c>
      <c r="I358" s="3" t="str">
        <f>OBRA!O729</f>
        <v>CABECERA MUNICIPAL</v>
      </c>
      <c r="J358" s="3" t="s">
        <v>5377</v>
      </c>
      <c r="K358" s="3"/>
      <c r="L358" s="3"/>
      <c r="M358" s="1937">
        <f>OBRA!AQ729+OBRA!AR729</f>
        <v>0</v>
      </c>
      <c r="N358" s="1">
        <f>GRAL!AE731</f>
        <v>367</v>
      </c>
      <c r="O358" s="1" t="str">
        <f>GRAL!AF731</f>
        <v>M2</v>
      </c>
      <c r="P358" s="1"/>
      <c r="Q358" s="2"/>
    </row>
    <row r="359" spans="1:17" ht="60">
      <c r="A359" s="1"/>
      <c r="B359" s="1"/>
      <c r="C359" s="1" t="str">
        <f>OBRA!BY730</f>
        <v>2021-2024</v>
      </c>
      <c r="D359" s="1">
        <f>OBRA!I730</f>
        <v>2023</v>
      </c>
      <c r="E359" s="1933" t="str">
        <f>OBRA!M730</f>
        <v>ADJUDICACIÓN DIRECTA</v>
      </c>
      <c r="F359" s="1933" t="str">
        <f>OBRA!L730</f>
        <v>GMJ 007C OP/2023</v>
      </c>
      <c r="G359" s="3" t="str">
        <f>OBRA!N730</f>
        <v>“CONSTRUCCIÓN DE LÍNEA DE ABASTECIMIENTO DE AGUA POTABLE DE 6” EN CALLE JOSEFA ORTÍZ DE DOMINGUEZ DEL LIBRAMIENTO AL DEPÓSITO DE AGUA”, EN LA CABECERA MUNICIPAL DE JOCOTEPEC, JALISCO.</v>
      </c>
      <c r="H359" s="1933" t="s">
        <v>4799</v>
      </c>
      <c r="I359" s="3" t="str">
        <f>OBRA!O730</f>
        <v>CABECERA MUNICIPAL</v>
      </c>
      <c r="J359" s="3" t="s">
        <v>5473</v>
      </c>
      <c r="K359" s="3" t="s">
        <v>5479</v>
      </c>
      <c r="L359" s="3" t="s">
        <v>5480</v>
      </c>
      <c r="M359" s="1937">
        <f>OBRA!AQ730+OBRA!AR730</f>
        <v>383670.21</v>
      </c>
      <c r="N359" s="1">
        <f>GRAL!AE732</f>
        <v>125</v>
      </c>
      <c r="O359" s="1" t="str">
        <f>GRAL!AF732</f>
        <v>ML</v>
      </c>
      <c r="P359" s="1"/>
      <c r="Q359" s="2"/>
    </row>
    <row r="360" spans="1:17" hidden="1">
      <c r="A360" s="1"/>
      <c r="B360" s="1"/>
      <c r="C360" s="1"/>
      <c r="D360" s="1"/>
      <c r="E360" s="1"/>
      <c r="F360" s="1"/>
      <c r="G360" s="1934"/>
      <c r="H360" s="1"/>
      <c r="I360" s="1934"/>
      <c r="J360" s="1934"/>
      <c r="K360" s="1934"/>
      <c r="L360" s="1934"/>
      <c r="M360" s="1934"/>
      <c r="N360" s="1"/>
      <c r="O360" s="1"/>
      <c r="P360" s="1"/>
      <c r="Q360" s="1"/>
    </row>
    <row r="361" spans="1:17" hidden="1">
      <c r="A361" s="1"/>
      <c r="B361" s="1"/>
      <c r="C361" s="1"/>
      <c r="D361" s="1"/>
      <c r="E361" s="1"/>
      <c r="F361" s="1"/>
      <c r="G361" s="1934"/>
      <c r="H361" s="1"/>
      <c r="I361" s="1934"/>
      <c r="J361" s="1934"/>
      <c r="K361" s="1934"/>
      <c r="L361" s="1934"/>
      <c r="M361" s="1934"/>
      <c r="N361" s="1"/>
      <c r="O361" s="1"/>
      <c r="P361" s="1"/>
      <c r="Q361" s="1"/>
    </row>
    <row r="362" spans="1:17" hidden="1">
      <c r="A362" s="1"/>
      <c r="B362" s="1"/>
      <c r="C362" s="1"/>
      <c r="D362" s="1"/>
      <c r="E362" s="1"/>
      <c r="F362" s="1"/>
      <c r="G362" s="1934"/>
      <c r="H362" s="1"/>
      <c r="I362" s="1934"/>
      <c r="J362" s="1934"/>
      <c r="K362" s="1934"/>
      <c r="L362" s="1934"/>
      <c r="M362" s="1934"/>
      <c r="N362" s="1"/>
      <c r="O362" s="1"/>
      <c r="P362" s="1"/>
      <c r="Q362" s="1"/>
    </row>
    <row r="363" spans="1:17" hidden="1">
      <c r="A363" s="1"/>
      <c r="B363" s="1"/>
      <c r="C363" s="1"/>
      <c r="D363" s="1"/>
      <c r="E363" s="1"/>
      <c r="F363" s="1"/>
      <c r="G363" s="1934"/>
      <c r="H363" s="1"/>
      <c r="I363" s="1934"/>
      <c r="J363" s="1934"/>
      <c r="K363" s="1934"/>
      <c r="L363" s="1934"/>
      <c r="M363" s="1934"/>
      <c r="N363" s="1"/>
      <c r="O363" s="1"/>
      <c r="P363" s="1"/>
      <c r="Q363" s="1"/>
    </row>
    <row r="364" spans="1:17" hidden="1">
      <c r="A364" s="1"/>
      <c r="B364" s="1"/>
      <c r="C364" s="1"/>
      <c r="D364" s="1"/>
      <c r="E364" s="1"/>
      <c r="F364" s="1"/>
      <c r="G364" s="1934"/>
      <c r="H364" s="1"/>
      <c r="I364" s="1934"/>
      <c r="J364" s="1934"/>
      <c r="K364" s="1934"/>
      <c r="L364" s="1934"/>
      <c r="M364" s="1934"/>
      <c r="N364" s="1"/>
      <c r="O364" s="1"/>
      <c r="P364" s="1"/>
      <c r="Q364" s="1"/>
    </row>
    <row r="365" spans="1:17" hidden="1">
      <c r="A365" s="1"/>
      <c r="B365" s="1"/>
      <c r="C365" s="1"/>
      <c r="D365" s="1"/>
      <c r="E365" s="1"/>
      <c r="F365" s="1"/>
      <c r="G365" s="1934"/>
      <c r="H365" s="1"/>
      <c r="I365" s="1934"/>
      <c r="J365" s="1934"/>
      <c r="K365" s="1934"/>
      <c r="L365" s="1934"/>
      <c r="M365" s="1934"/>
      <c r="N365" s="1"/>
      <c r="O365" s="1"/>
      <c r="P365" s="1"/>
      <c r="Q365" s="1"/>
    </row>
    <row r="366" spans="1:17" hidden="1">
      <c r="A366" s="1"/>
      <c r="B366" s="1"/>
      <c r="C366" s="1"/>
      <c r="D366" s="1"/>
      <c r="E366" s="1"/>
      <c r="F366" s="1"/>
      <c r="G366" s="1934"/>
      <c r="H366" s="1"/>
      <c r="I366" s="1934"/>
      <c r="J366" s="1934"/>
      <c r="K366" s="1934"/>
      <c r="L366" s="1934"/>
      <c r="M366" s="1934"/>
      <c r="N366" s="1"/>
      <c r="O366" s="1"/>
      <c r="P366" s="1"/>
      <c r="Q366" s="1"/>
    </row>
    <row r="367" spans="1:17" hidden="1">
      <c r="A367" s="1"/>
      <c r="B367" s="1"/>
      <c r="C367" s="1"/>
      <c r="D367" s="1"/>
      <c r="E367" s="1"/>
      <c r="F367" s="1"/>
      <c r="G367" s="1934"/>
      <c r="H367" s="1"/>
      <c r="I367" s="1934"/>
      <c r="J367" s="1934"/>
      <c r="K367" s="1934"/>
      <c r="L367" s="1934"/>
      <c r="M367" s="1934"/>
      <c r="N367" s="1"/>
      <c r="O367" s="1"/>
      <c r="P367" s="1"/>
      <c r="Q367" s="1"/>
    </row>
    <row r="368" spans="1:17" hidden="1">
      <c r="A368" s="1"/>
      <c r="B368" s="1"/>
      <c r="C368" s="1"/>
      <c r="D368" s="1"/>
      <c r="E368" s="1"/>
      <c r="F368" s="1"/>
      <c r="G368" s="1934"/>
      <c r="H368" s="1"/>
      <c r="I368" s="1934"/>
      <c r="J368" s="1934"/>
      <c r="K368" s="1934"/>
      <c r="L368" s="1934"/>
      <c r="M368" s="1934"/>
      <c r="N368" s="1"/>
      <c r="O368" s="1"/>
      <c r="P368" s="1"/>
      <c r="Q368" s="1"/>
    </row>
    <row r="369" spans="1:17" hidden="1">
      <c r="A369" s="1"/>
      <c r="B369" s="1"/>
      <c r="C369" s="1"/>
      <c r="D369" s="1"/>
      <c r="E369" s="1"/>
      <c r="F369" s="1"/>
      <c r="G369" s="1934"/>
      <c r="H369" s="1"/>
      <c r="I369" s="1934"/>
      <c r="J369" s="1934"/>
      <c r="K369" s="1934"/>
      <c r="L369" s="1934"/>
      <c r="M369" s="1934"/>
      <c r="N369" s="1"/>
      <c r="O369" s="1"/>
      <c r="P369" s="1"/>
      <c r="Q369" s="1"/>
    </row>
    <row r="370" spans="1:17" hidden="1">
      <c r="A370" s="1"/>
      <c r="B370" s="1"/>
      <c r="C370" s="1"/>
      <c r="D370" s="1"/>
      <c r="E370" s="1"/>
      <c r="F370" s="1"/>
      <c r="G370" s="1934"/>
      <c r="H370" s="1"/>
      <c r="I370" s="1934"/>
      <c r="J370" s="1934"/>
      <c r="K370" s="1934"/>
      <c r="L370" s="1934"/>
      <c r="M370" s="1934"/>
      <c r="N370" s="1"/>
      <c r="O370" s="1"/>
      <c r="P370" s="1"/>
      <c r="Q370" s="1"/>
    </row>
    <row r="371" spans="1:17" hidden="1">
      <c r="A371" s="1"/>
      <c r="B371" s="1"/>
      <c r="C371" s="1"/>
      <c r="D371" s="1"/>
      <c r="E371" s="1"/>
      <c r="F371" s="1"/>
      <c r="G371" s="1934"/>
      <c r="H371" s="1"/>
      <c r="I371" s="1934"/>
      <c r="J371" s="1934"/>
      <c r="K371" s="1934"/>
      <c r="L371" s="1934"/>
      <c r="M371" s="1934"/>
      <c r="N371" s="1"/>
      <c r="O371" s="1"/>
      <c r="P371" s="1"/>
      <c r="Q371" s="1"/>
    </row>
    <row r="372" spans="1:17" hidden="1">
      <c r="A372" s="1"/>
      <c r="B372" s="1"/>
      <c r="C372" s="1"/>
      <c r="D372" s="1"/>
      <c r="E372" s="1"/>
      <c r="F372" s="1"/>
      <c r="G372" s="1934"/>
      <c r="H372" s="1"/>
      <c r="I372" s="1934"/>
      <c r="J372" s="1934"/>
      <c r="K372" s="1934"/>
      <c r="L372" s="1934"/>
      <c r="M372" s="1934"/>
      <c r="N372" s="1"/>
      <c r="O372" s="1"/>
      <c r="P372" s="1"/>
      <c r="Q372" s="1"/>
    </row>
    <row r="373" spans="1:17" hidden="1">
      <c r="A373" s="1"/>
      <c r="B373" s="1"/>
      <c r="C373" s="1"/>
      <c r="D373" s="1"/>
      <c r="E373" s="1"/>
      <c r="F373" s="1"/>
      <c r="G373" s="1934"/>
      <c r="H373" s="1"/>
      <c r="I373" s="1934"/>
      <c r="J373" s="1934"/>
      <c r="K373" s="1934"/>
      <c r="L373" s="1934"/>
      <c r="M373" s="1934"/>
      <c r="N373" s="1"/>
      <c r="O373" s="1"/>
      <c r="P373" s="1"/>
      <c r="Q373" s="1"/>
    </row>
    <row r="374" spans="1:17" hidden="1">
      <c r="A374" s="1"/>
      <c r="B374" s="1"/>
      <c r="C374" s="1"/>
      <c r="D374" s="1"/>
      <c r="E374" s="1"/>
      <c r="F374" s="1"/>
      <c r="G374" s="1934"/>
      <c r="H374" s="1"/>
      <c r="I374" s="1934"/>
      <c r="J374" s="1934"/>
      <c r="K374" s="1934"/>
      <c r="L374" s="1934"/>
      <c r="M374" s="1934"/>
      <c r="N374" s="1"/>
      <c r="O374" s="1"/>
      <c r="P374" s="1"/>
      <c r="Q374" s="1"/>
    </row>
    <row r="375" spans="1:17" hidden="1">
      <c r="A375" s="1"/>
      <c r="B375" s="1"/>
      <c r="C375" s="1"/>
      <c r="D375" s="1"/>
      <c r="E375" s="1"/>
      <c r="F375" s="1"/>
      <c r="G375" s="1934"/>
      <c r="H375" s="1"/>
      <c r="I375" s="1934"/>
      <c r="J375" s="1934"/>
      <c r="K375" s="1934"/>
      <c r="L375" s="1934"/>
      <c r="M375" s="1934"/>
      <c r="N375" s="1"/>
      <c r="O375" s="1"/>
      <c r="P375" s="1"/>
      <c r="Q375" s="1"/>
    </row>
    <row r="376" spans="1:17" hidden="1">
      <c r="A376" s="1"/>
      <c r="B376" s="1"/>
      <c r="C376" s="1"/>
      <c r="D376" s="1"/>
      <c r="E376" s="1"/>
      <c r="F376" s="1"/>
      <c r="G376" s="1934"/>
      <c r="H376" s="1"/>
      <c r="I376" s="1934"/>
      <c r="J376" s="1934"/>
      <c r="K376" s="1934"/>
      <c r="L376" s="1934"/>
      <c r="M376" s="1934"/>
      <c r="N376" s="1"/>
      <c r="O376" s="1"/>
      <c r="P376" s="1"/>
      <c r="Q376" s="1"/>
    </row>
    <row r="377" spans="1:17" hidden="1">
      <c r="A377" s="1"/>
      <c r="B377" s="1"/>
      <c r="C377" s="1"/>
      <c r="D377" s="1"/>
      <c r="E377" s="1"/>
      <c r="F377" s="1"/>
      <c r="G377" s="1934"/>
      <c r="H377" s="1"/>
      <c r="I377" s="1934"/>
      <c r="J377" s="1934"/>
      <c r="K377" s="1934"/>
      <c r="L377" s="1934"/>
      <c r="M377" s="1934"/>
      <c r="N377" s="1"/>
      <c r="O377" s="1"/>
      <c r="P377" s="1"/>
      <c r="Q377" s="1"/>
    </row>
    <row r="378" spans="1:17" hidden="1">
      <c r="A378" s="1"/>
      <c r="B378" s="1"/>
      <c r="C378" s="1"/>
      <c r="D378" s="1"/>
      <c r="E378" s="1"/>
      <c r="F378" s="1"/>
      <c r="G378" s="1934"/>
      <c r="H378" s="1"/>
      <c r="I378" s="1934"/>
      <c r="J378" s="1934"/>
      <c r="K378" s="1934"/>
      <c r="L378" s="1934"/>
      <c r="M378" s="1934"/>
      <c r="N378" s="1"/>
      <c r="O378" s="1"/>
      <c r="P378" s="1"/>
      <c r="Q378" s="1"/>
    </row>
    <row r="379" spans="1:17" hidden="1">
      <c r="A379" s="1"/>
      <c r="B379" s="1"/>
      <c r="C379" s="1"/>
      <c r="D379" s="1"/>
      <c r="E379" s="1"/>
      <c r="F379" s="1"/>
      <c r="G379" s="1934"/>
      <c r="H379" s="1"/>
      <c r="I379" s="1934"/>
      <c r="J379" s="1934"/>
      <c r="K379" s="1934"/>
      <c r="L379" s="1934"/>
      <c r="M379" s="1934"/>
      <c r="N379" s="1"/>
      <c r="O379" s="1"/>
      <c r="P379" s="1"/>
      <c r="Q379" s="1"/>
    </row>
    <row r="380" spans="1:17" hidden="1">
      <c r="A380" s="1"/>
      <c r="B380" s="1"/>
      <c r="C380" s="1"/>
      <c r="D380" s="1"/>
      <c r="E380" s="1"/>
      <c r="F380" s="1"/>
      <c r="G380" s="1934"/>
      <c r="H380" s="1"/>
      <c r="I380" s="1934"/>
      <c r="J380" s="1934"/>
      <c r="K380" s="1934"/>
      <c r="L380" s="1934"/>
      <c r="M380" s="1934"/>
      <c r="N380" s="1"/>
      <c r="O380" s="1"/>
      <c r="P380" s="1"/>
      <c r="Q380" s="1"/>
    </row>
    <row r="381" spans="1:17" hidden="1">
      <c r="A381" s="1"/>
      <c r="B381" s="1"/>
      <c r="C381" s="1"/>
      <c r="D381" s="1"/>
      <c r="E381" s="1"/>
      <c r="F381" s="1"/>
      <c r="G381" s="1934"/>
      <c r="H381" s="1"/>
      <c r="I381" s="1934"/>
      <c r="J381" s="1934"/>
      <c r="K381" s="1934"/>
      <c r="L381" s="1934"/>
      <c r="M381" s="1934"/>
      <c r="N381" s="1"/>
      <c r="O381" s="1"/>
      <c r="P381" s="1"/>
      <c r="Q381" s="1"/>
    </row>
    <row r="382" spans="1:17" hidden="1">
      <c r="A382" s="1"/>
      <c r="B382" s="1"/>
      <c r="C382" s="1"/>
      <c r="D382" s="1"/>
      <c r="E382" s="1"/>
      <c r="F382" s="1"/>
      <c r="G382" s="1934"/>
      <c r="H382" s="1"/>
      <c r="I382" s="1934"/>
      <c r="J382" s="1934"/>
      <c r="K382" s="1934"/>
      <c r="L382" s="1934"/>
      <c r="M382" s="1934"/>
      <c r="N382" s="1"/>
      <c r="O382" s="1"/>
      <c r="P382" s="1"/>
      <c r="Q382" s="1"/>
    </row>
    <row r="383" spans="1:17" hidden="1">
      <c r="A383" s="1"/>
      <c r="B383" s="1"/>
      <c r="C383" s="1"/>
      <c r="D383" s="1"/>
      <c r="E383" s="1"/>
      <c r="F383" s="1"/>
      <c r="G383" s="1934"/>
      <c r="H383" s="1"/>
      <c r="I383" s="1934"/>
      <c r="J383" s="1934"/>
      <c r="K383" s="1934"/>
      <c r="L383" s="1934"/>
      <c r="M383" s="1934"/>
      <c r="N383" s="1"/>
      <c r="O383" s="1"/>
      <c r="P383" s="1"/>
      <c r="Q383" s="1"/>
    </row>
    <row r="384" spans="1:17" hidden="1">
      <c r="A384" s="1"/>
      <c r="B384" s="1"/>
      <c r="C384" s="1"/>
      <c r="D384" s="1"/>
      <c r="E384" s="1"/>
      <c r="F384" s="1"/>
      <c r="G384" s="1934"/>
      <c r="H384" s="1"/>
      <c r="I384" s="1934"/>
      <c r="J384" s="1934"/>
      <c r="K384" s="1934"/>
      <c r="L384" s="1934"/>
      <c r="M384" s="1934"/>
      <c r="N384" s="1"/>
      <c r="O384" s="1"/>
      <c r="P384" s="1"/>
      <c r="Q384" s="1"/>
    </row>
    <row r="385" spans="1:17" hidden="1">
      <c r="A385" s="1"/>
      <c r="B385" s="1"/>
      <c r="C385" s="1"/>
      <c r="D385" s="1"/>
      <c r="E385" s="1"/>
      <c r="F385" s="1"/>
      <c r="G385" s="1934"/>
      <c r="H385" s="1"/>
      <c r="I385" s="1934"/>
      <c r="J385" s="1934"/>
      <c r="K385" s="1934"/>
      <c r="L385" s="1934"/>
      <c r="M385" s="1934"/>
      <c r="N385" s="1"/>
      <c r="O385" s="1"/>
      <c r="P385" s="1"/>
      <c r="Q385" s="1"/>
    </row>
    <row r="386" spans="1:17" hidden="1">
      <c r="A386" s="1"/>
      <c r="B386" s="1"/>
      <c r="C386" s="1"/>
      <c r="D386" s="1"/>
      <c r="E386" s="1"/>
      <c r="F386" s="1"/>
      <c r="G386" s="1934"/>
      <c r="H386" s="1"/>
      <c r="I386" s="1934"/>
      <c r="J386" s="1934"/>
      <c r="K386" s="1934"/>
      <c r="L386" s="1934"/>
      <c r="M386" s="1934"/>
      <c r="N386" s="1"/>
      <c r="O386" s="1"/>
      <c r="P386" s="1"/>
      <c r="Q386" s="1"/>
    </row>
    <row r="387" spans="1:17" hidden="1">
      <c r="A387" s="1"/>
      <c r="B387" s="1"/>
      <c r="C387" s="1"/>
      <c r="D387" s="1"/>
      <c r="E387" s="1"/>
      <c r="F387" s="1"/>
      <c r="G387" s="1934"/>
      <c r="H387" s="1"/>
      <c r="I387" s="1934"/>
      <c r="J387" s="1934"/>
      <c r="K387" s="1934"/>
      <c r="L387" s="1934"/>
      <c r="M387" s="1934"/>
      <c r="N387" s="1"/>
      <c r="O387" s="1"/>
      <c r="P387" s="1"/>
      <c r="Q387" s="1"/>
    </row>
    <row r="388" spans="1:17" hidden="1">
      <c r="A388" s="1"/>
      <c r="B388" s="1"/>
      <c r="C388" s="1"/>
      <c r="D388" s="1"/>
      <c r="E388" s="1"/>
      <c r="F388" s="1"/>
      <c r="G388" s="1"/>
      <c r="H388" s="1"/>
      <c r="I388" s="1934"/>
      <c r="J388" s="1934"/>
      <c r="K388" s="1934"/>
      <c r="L388" s="1934"/>
      <c r="M388" s="1934"/>
      <c r="N388" s="1"/>
      <c r="O388" s="1"/>
      <c r="P388" s="1"/>
      <c r="Q388" s="1"/>
    </row>
  </sheetData>
  <autoFilter xmlns:x14="http://schemas.microsoft.com/office/spreadsheetml/2009/9/main" ref="A6:Q388">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D806"/>
  <sheetViews>
    <sheetView tabSelected="1" view="pageBreakPreview" topLeftCell="L1" zoomScale="55" zoomScaleNormal="85" zoomScaleSheetLayoutView="55" workbookViewId="0">
      <selection activeCell="AD1" sqref="AD1:AD1048576"/>
    </sheetView>
  </sheetViews>
  <sheetFormatPr baseColWidth="10" defaultColWidth="11.42578125" defaultRowHeight="15"/>
  <cols>
    <col min="1" max="1" width="13.7109375" customWidth="1"/>
    <col min="2" max="3" width="4.28515625" customWidth="1"/>
    <col min="4" max="4" width="4.710937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hidden="1" customWidth="1"/>
    <col min="31" max="31" width="19.7109375" customWidth="1"/>
  </cols>
  <sheetData>
    <row r="1" spans="1:30" ht="35.1" customHeight="1">
      <c r="A1" s="2197" t="s">
        <v>2213</v>
      </c>
      <c r="B1" s="2197"/>
      <c r="C1" s="2197"/>
      <c r="D1" s="2197"/>
      <c r="E1" s="2197"/>
      <c r="F1" s="2197"/>
      <c r="G1" s="2197"/>
      <c r="H1" s="2197"/>
      <c r="I1" s="2197"/>
      <c r="J1" s="2197"/>
      <c r="K1" s="2197"/>
      <c r="L1" s="2197"/>
      <c r="M1" s="2197"/>
      <c r="N1" s="2197"/>
      <c r="O1" s="2197"/>
      <c r="P1" s="2197"/>
      <c r="Q1" s="2197"/>
      <c r="R1" s="2197"/>
      <c r="S1" s="2197"/>
      <c r="T1" s="1563"/>
      <c r="U1" s="1224"/>
      <c r="V1" s="1224"/>
      <c r="W1" s="1224"/>
      <c r="X1" s="1224"/>
      <c r="Y1" s="1224"/>
      <c r="Z1" s="1224"/>
      <c r="AA1" s="1224"/>
      <c r="AB1" s="1224"/>
      <c r="AC1" s="1508"/>
      <c r="AD1" s="1224"/>
    </row>
    <row r="2" spans="1:30" ht="23.25" customHeight="1" thickBot="1">
      <c r="A2" s="2198" t="str">
        <f>GRAL!A2:AW2</f>
        <v>DEL 01 DE ENERO 2023 A FECHA ACTUAL</v>
      </c>
      <c r="B2" s="2198"/>
      <c r="C2" s="2198"/>
      <c r="D2" s="2198"/>
      <c r="E2" s="2198"/>
      <c r="F2" s="2198"/>
      <c r="G2" s="2198"/>
      <c r="H2" s="2198"/>
      <c r="I2" s="2198"/>
      <c r="J2" s="2198"/>
      <c r="K2" s="2198"/>
      <c r="L2" s="2198"/>
      <c r="M2" s="2198"/>
      <c r="N2" s="2198"/>
      <c r="O2" s="2198"/>
      <c r="P2" s="2198"/>
      <c r="Q2" s="2198"/>
      <c r="R2" s="2198"/>
      <c r="S2" s="2198"/>
      <c r="T2" s="1564"/>
      <c r="U2" s="1225"/>
      <c r="V2" s="1225"/>
      <c r="W2" s="1225"/>
      <c r="X2" s="1225"/>
      <c r="Y2" s="1225"/>
      <c r="Z2" s="1225"/>
      <c r="AA2" s="1225"/>
      <c r="AB2" s="1225"/>
      <c r="AC2" s="1507"/>
      <c r="AD2" s="1225"/>
    </row>
    <row r="3" spans="1:30" ht="33" customHeight="1" thickTop="1" thickBot="1">
      <c r="A3" s="141"/>
      <c r="B3" s="141"/>
      <c r="C3" s="41"/>
      <c r="D3" s="1721"/>
      <c r="E3" s="472"/>
      <c r="F3" s="151"/>
      <c r="G3" s="151"/>
      <c r="H3" s="151"/>
      <c r="I3" s="151"/>
      <c r="J3" s="2119" t="s">
        <v>4</v>
      </c>
      <c r="K3" s="2120"/>
      <c r="L3" s="2199" t="s">
        <v>2</v>
      </c>
      <c r="M3" s="2200"/>
      <c r="N3" s="2200"/>
      <c r="O3" s="2200"/>
      <c r="P3" s="2200"/>
      <c r="Q3" s="2200"/>
      <c r="R3" s="2200"/>
      <c r="S3" s="2201"/>
      <c r="T3" s="1590"/>
      <c r="U3" s="398"/>
      <c r="V3" s="405"/>
      <c r="W3" s="400"/>
      <c r="X3" s="1149"/>
      <c r="Y3" s="2194" t="s">
        <v>2214</v>
      </c>
      <c r="Z3" s="2194"/>
      <c r="AA3" s="2195"/>
      <c r="AB3" s="2196"/>
      <c r="AC3" s="1516"/>
      <c r="AD3" s="1515"/>
    </row>
    <row r="4" spans="1:30" ht="26.1" customHeight="1">
      <c r="A4" s="145"/>
      <c r="B4" s="145"/>
      <c r="C4" s="314"/>
      <c r="D4" s="1723"/>
      <c r="E4" s="538"/>
      <c r="F4" s="537"/>
      <c r="G4" s="476" t="s">
        <v>2215</v>
      </c>
      <c r="H4" s="389" t="s">
        <v>2216</v>
      </c>
      <c r="I4" s="389" t="s">
        <v>2217</v>
      </c>
      <c r="J4" s="312" t="s">
        <v>2218</v>
      </c>
      <c r="K4" s="148"/>
      <c r="L4" s="146" t="s">
        <v>2219</v>
      </c>
      <c r="M4" s="147"/>
      <c r="N4" s="147"/>
      <c r="O4" s="147"/>
      <c r="P4" s="147" t="s">
        <v>2220</v>
      </c>
      <c r="Q4" s="147" t="s">
        <v>2221</v>
      </c>
      <c r="R4" s="147"/>
      <c r="S4" s="395" t="s">
        <v>2222</v>
      </c>
      <c r="T4" s="1591" t="s">
        <v>3858</v>
      </c>
      <c r="U4" s="394" t="s">
        <v>2223</v>
      </c>
      <c r="V4" s="485" t="s">
        <v>2224</v>
      </c>
      <c r="W4" s="401" t="s">
        <v>2225</v>
      </c>
      <c r="X4" s="1150"/>
      <c r="Y4" s="345"/>
      <c r="Z4" s="347"/>
      <c r="AA4" s="350"/>
      <c r="AB4" s="347"/>
      <c r="AC4" s="1517"/>
      <c r="AD4" s="568"/>
    </row>
    <row r="5" spans="1:30" ht="66" customHeight="1" thickBot="1">
      <c r="A5" s="142" t="s">
        <v>1421</v>
      </c>
      <c r="B5" s="313" t="s">
        <v>1410</v>
      </c>
      <c r="C5" s="313" t="s">
        <v>19</v>
      </c>
      <c r="D5" s="1724" t="s">
        <v>59</v>
      </c>
      <c r="E5" s="539" t="s">
        <v>2226</v>
      </c>
      <c r="F5" s="669" t="s">
        <v>467</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92" t="s">
        <v>3857</v>
      </c>
      <c r="U5" s="397" t="s">
        <v>2231</v>
      </c>
      <c r="V5" s="43" t="s">
        <v>63</v>
      </c>
      <c r="W5" s="402" t="s">
        <v>2232</v>
      </c>
      <c r="X5" s="1151" t="s">
        <v>2233</v>
      </c>
      <c r="Y5" s="118" t="s">
        <v>2234</v>
      </c>
      <c r="Z5" s="118" t="s">
        <v>25</v>
      </c>
      <c r="AA5" s="45" t="s">
        <v>24</v>
      </c>
      <c r="AB5" s="348" t="s">
        <v>57</v>
      </c>
      <c r="AC5" s="1518" t="s">
        <v>3706</v>
      </c>
      <c r="AD5" s="571" t="s">
        <v>1429</v>
      </c>
    </row>
    <row r="6" spans="1:30" s="833" customFormat="1" ht="15" hidden="1"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13"/>
      <c r="AD6" s="831"/>
    </row>
    <row r="7" spans="1:30" ht="60.75" hidden="1" customHeight="1" thickTop="1">
      <c r="A7" s="23" t="s">
        <v>2239</v>
      </c>
      <c r="B7" s="933" t="str">
        <f>GRAL!B8</f>
        <v>2012-2015</v>
      </c>
      <c r="C7" s="17">
        <f>OBRA!I6</f>
        <v>2013</v>
      </c>
      <c r="D7" s="1676"/>
      <c r="E7" s="18" t="str">
        <f>OBRA!K6</f>
        <v>FONDEREG</v>
      </c>
      <c r="F7" s="301"/>
      <c r="G7" s="516"/>
      <c r="H7" s="658"/>
      <c r="I7" s="390"/>
      <c r="J7" s="228" t="str">
        <f>OBRA!U6</f>
        <v>C. URIEL PALOS CUEVAS</v>
      </c>
      <c r="K7" s="256" t="str">
        <f>OBRA!V6</f>
        <v>C. DANIEL RODRIGUEZ VALENZUELA</v>
      </c>
      <c r="L7" s="20"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2">
        <f>OBRA!S6</f>
        <v>41608</v>
      </c>
      <c r="T7" s="244"/>
      <c r="U7" s="244" t="s">
        <v>1431</v>
      </c>
      <c r="V7" s="406"/>
      <c r="W7" s="403"/>
      <c r="X7" s="305">
        <f>OBRA!AP6</f>
        <v>0</v>
      </c>
      <c r="Y7" s="346"/>
      <c r="Z7" s="346"/>
      <c r="AA7" s="212"/>
      <c r="AB7" s="351">
        <f>OBRA!BT6</f>
        <v>0</v>
      </c>
      <c r="AC7" s="569"/>
      <c r="AD7" s="569"/>
    </row>
    <row r="8" spans="1:30" s="326" customFormat="1" ht="75.75" hidden="1" customHeight="1">
      <c r="A8" s="336" t="s">
        <v>2239</v>
      </c>
      <c r="B8" s="981" t="str">
        <f>GRAL!B9</f>
        <v>2012-2015</v>
      </c>
      <c r="C8" s="315">
        <f>OBRA!I7</f>
        <v>2013</v>
      </c>
      <c r="D8" s="894"/>
      <c r="E8" s="337" t="str">
        <f>OBRA!K7</f>
        <v>RAMO 33</v>
      </c>
      <c r="F8" s="536" t="s">
        <v>1431</v>
      </c>
      <c r="G8" s="391"/>
      <c r="H8" s="470"/>
      <c r="I8" s="391"/>
      <c r="J8" s="338" t="str">
        <f>OBRA!U7</f>
        <v>CONSTRUCTORA TGV, S.A. DE C.V.</v>
      </c>
      <c r="K8" s="334" t="str">
        <f>OBRA!V7</f>
        <v>C. DANIEL RODRIGUEZ VALENZUELA</v>
      </c>
      <c r="L8" s="317" t="str">
        <f>OBRA!L7</f>
        <v>GMJ 022C OP/2013</v>
      </c>
      <c r="M8" s="318" t="str">
        <f>OBRA!M7</f>
        <v>ADJUDICACIÓN DIRECTA</v>
      </c>
      <c r="N8" s="319" t="str">
        <f>OBRA!N7</f>
        <v>REHABILITACIÓN DE UNIDAD DEPORTIVA, UBICADA EN ESQUINA DE AVENIDA DEL PARQUE Y CALLE ARTE EN LA DELEGACIÓN DE HUEJOTITAN</v>
      </c>
      <c r="O8" s="319"/>
      <c r="P8" s="321">
        <f>OBRA!Q7</f>
        <v>41610</v>
      </c>
      <c r="Q8" s="320">
        <f>OBRA!P7</f>
        <v>666000</v>
      </c>
      <c r="R8" s="322">
        <f>OBRA!R7</f>
        <v>41612</v>
      </c>
      <c r="S8" s="323">
        <f>OBRA!S7</f>
        <v>41638</v>
      </c>
      <c r="T8" s="982"/>
      <c r="U8" s="982" t="s">
        <v>1431</v>
      </c>
      <c r="V8" s="407"/>
      <c r="W8" s="404"/>
      <c r="X8" s="927">
        <f>OBRA!AP7</f>
        <v>0</v>
      </c>
      <c r="Y8" s="342"/>
      <c r="Z8" s="342"/>
      <c r="AA8" s="322"/>
      <c r="AB8" s="928">
        <f>OBRA!BT7</f>
        <v>0</v>
      </c>
      <c r="AC8" s="929"/>
      <c r="AD8" s="929"/>
    </row>
    <row r="9" spans="1:30" s="326" customFormat="1" ht="60.75" hidden="1" customHeight="1">
      <c r="A9" s="336" t="s">
        <v>2239</v>
      </c>
      <c r="B9" s="981" t="str">
        <f>GRAL!B10</f>
        <v>2012-2015</v>
      </c>
      <c r="C9" s="315">
        <f>OBRA!I8</f>
        <v>2013</v>
      </c>
      <c r="D9" s="894"/>
      <c r="E9" s="337" t="str">
        <f>OBRA!K8</f>
        <v>RAMO 33</v>
      </c>
      <c r="F9" s="536" t="s">
        <v>1431</v>
      </c>
      <c r="G9" s="391"/>
      <c r="H9" s="470"/>
      <c r="I9" s="391"/>
      <c r="J9" s="338" t="str">
        <f>OBRA!U8</f>
        <v>CONSTRUCTORA TGV, S.A. DE C.V.</v>
      </c>
      <c r="K9" s="334" t="str">
        <f>OBRA!V8</f>
        <v>C. DANIEL RODRIGUEZ VALENZUELA</v>
      </c>
      <c r="L9" s="317" t="str">
        <f>OBRA!L8</f>
        <v>GMJ 023C OP/2013</v>
      </c>
      <c r="M9" s="318" t="str">
        <f>OBRA!M8</f>
        <v>ADJUDICACIÓN DIRECTA</v>
      </c>
      <c r="N9" s="319" t="str">
        <f>OBRA!N8</f>
        <v>CONSTRUCCIÓN DE MODULOS DE BAÑOS JUNTO A LA UNIDAD DEPORTIVA, EN LA AGENCIA MUNICIPAL DE EL MOLINO</v>
      </c>
      <c r="O9" s="319"/>
      <c r="P9" s="321">
        <f>OBRA!Q8</f>
        <v>41610</v>
      </c>
      <c r="Q9" s="320">
        <f>OBRA!P8</f>
        <v>160000</v>
      </c>
      <c r="R9" s="322">
        <f>OBRA!R8</f>
        <v>41617</v>
      </c>
      <c r="S9" s="323">
        <f>OBRA!S8</f>
        <v>41638</v>
      </c>
      <c r="T9" s="982"/>
      <c r="U9" s="982" t="s">
        <v>1431</v>
      </c>
      <c r="V9" s="407"/>
      <c r="W9" s="404"/>
      <c r="X9" s="927">
        <f>OBRA!AP8</f>
        <v>0</v>
      </c>
      <c r="Y9" s="342"/>
      <c r="Z9" s="342"/>
      <c r="AA9" s="322"/>
      <c r="AB9" s="928">
        <f>OBRA!BT8</f>
        <v>0</v>
      </c>
      <c r="AC9" s="929"/>
      <c r="AD9" s="929"/>
    </row>
    <row r="10" spans="1:30" ht="60.75" hidden="1" customHeight="1">
      <c r="A10" s="23" t="s">
        <v>2239</v>
      </c>
      <c r="B10" s="933" t="str">
        <f>GRAL!B11</f>
        <v>2012-2015</v>
      </c>
      <c r="C10" s="17">
        <f>OBRA!I9</f>
        <v>2013</v>
      </c>
      <c r="D10" s="1676"/>
      <c r="E10" s="18" t="str">
        <f>OBRA!K9</f>
        <v>RAMO 33</v>
      </c>
      <c r="F10" s="536" t="s">
        <v>1431</v>
      </c>
      <c r="G10" s="390"/>
      <c r="H10" s="1"/>
      <c r="I10" s="390"/>
      <c r="J10" s="228" t="str">
        <f>OBRA!U9</f>
        <v>-</v>
      </c>
      <c r="K10" s="256">
        <f>OBRA!V9</f>
        <v>0</v>
      </c>
      <c r="L10" s="20" t="str">
        <f>OBRA!L9</f>
        <v>DOP/AD/011/2013</v>
      </c>
      <c r="M10" s="2" t="str">
        <f>OBRA!M9</f>
        <v>ADMINISTRACIÓN DIRECTA</v>
      </c>
      <c r="N10" s="3" t="str">
        <f>OBRA!N9</f>
        <v>BACHEO DE EMPEDRADO NORMAL EN CALLES: ALLENE, PORFIRIO DIAZ Y MATAMOROS, EN SAN CRISTOBAL ZAPOTITLAN</v>
      </c>
      <c r="O10" s="3"/>
      <c r="P10" s="93" t="s">
        <v>68</v>
      </c>
      <c r="Q10" s="4">
        <f>OBRA!P9</f>
        <v>0</v>
      </c>
      <c r="R10" s="94" t="s">
        <v>68</v>
      </c>
      <c r="S10" s="95" t="s">
        <v>68</v>
      </c>
      <c r="T10" s="107"/>
      <c r="U10" s="248" t="s">
        <v>1431</v>
      </c>
      <c r="V10" s="408"/>
      <c r="W10" s="97"/>
      <c r="X10" s="305">
        <f>OBRA!AP9</f>
        <v>0</v>
      </c>
      <c r="Y10" s="343"/>
      <c r="Z10" s="343"/>
      <c r="AA10" s="94"/>
      <c r="AB10" s="351">
        <f>OBRA!BT9</f>
        <v>0</v>
      </c>
      <c r="AC10" s="569"/>
      <c r="AD10" s="569"/>
    </row>
    <row r="11" spans="1:30" ht="60.75" hidden="1" customHeight="1">
      <c r="A11" s="23" t="s">
        <v>2239</v>
      </c>
      <c r="B11" s="933" t="str">
        <f>GRAL!B12</f>
        <v>2012-2015</v>
      </c>
      <c r="C11" s="17">
        <f>OBRA!I10</f>
        <v>2013</v>
      </c>
      <c r="D11" s="1676"/>
      <c r="E11" s="18" t="str">
        <f>OBRA!K10</f>
        <v>RAMO 33</v>
      </c>
      <c r="F11" s="536" t="s">
        <v>1431</v>
      </c>
      <c r="G11" s="390"/>
      <c r="H11" s="1"/>
      <c r="I11" s="390"/>
      <c r="J11" s="228" t="str">
        <f>OBRA!U10</f>
        <v>-</v>
      </c>
      <c r="K11" s="256">
        <f>OBRA!V10</f>
        <v>0</v>
      </c>
      <c r="L11" s="20"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2">
        <f>OBRA!S10</f>
        <v>41486</v>
      </c>
      <c r="T11" s="54"/>
      <c r="U11" s="248" t="s">
        <v>1431</v>
      </c>
      <c r="V11" s="111"/>
      <c r="W11" s="55"/>
      <c r="X11" s="305">
        <f>OBRA!AP10</f>
        <v>0</v>
      </c>
      <c r="Y11" s="341"/>
      <c r="Z11" s="341"/>
      <c r="AA11" s="5"/>
      <c r="AB11" s="351">
        <f>OBRA!BT10</f>
        <v>0</v>
      </c>
      <c r="AC11" s="569"/>
      <c r="AD11" s="569"/>
    </row>
    <row r="12" spans="1:30" ht="60.75" hidden="1" customHeight="1">
      <c r="A12" s="23" t="s">
        <v>2239</v>
      </c>
      <c r="B12" s="933" t="str">
        <f>GRAL!B13</f>
        <v>2012-2015</v>
      </c>
      <c r="C12" s="17">
        <f>OBRA!I11</f>
        <v>2013</v>
      </c>
      <c r="D12" s="1676"/>
      <c r="E12" s="18" t="str">
        <f>OBRA!K11</f>
        <v>RAMO 33</v>
      </c>
      <c r="F12" s="536" t="s">
        <v>1431</v>
      </c>
      <c r="G12" s="390"/>
      <c r="H12" s="1"/>
      <c r="I12" s="390"/>
      <c r="J12" s="228" t="str">
        <f>OBRA!U11</f>
        <v>-</v>
      </c>
      <c r="K12" s="256">
        <f>OBRA!V11</f>
        <v>0</v>
      </c>
      <c r="L12" s="20"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2">
        <f>OBRA!S11</f>
        <v>41510</v>
      </c>
      <c r="T12" s="54"/>
      <c r="U12" s="248" t="s">
        <v>1431</v>
      </c>
      <c r="V12" s="111"/>
      <c r="W12" s="55"/>
      <c r="X12" s="305">
        <f>OBRA!AP11</f>
        <v>0</v>
      </c>
      <c r="Y12" s="341"/>
      <c r="Z12" s="341"/>
      <c r="AA12" s="5"/>
      <c r="AB12" s="351">
        <f>OBRA!BT11</f>
        <v>0</v>
      </c>
      <c r="AC12" s="569"/>
      <c r="AD12" s="569"/>
    </row>
    <row r="13" spans="1:30" ht="60.75" hidden="1" customHeight="1">
      <c r="A13" s="23" t="s">
        <v>2239</v>
      </c>
      <c r="B13" s="933" t="str">
        <f>GRAL!B14</f>
        <v>2012-2015</v>
      </c>
      <c r="C13" s="17">
        <f>OBRA!I12</f>
        <v>2013</v>
      </c>
      <c r="D13" s="1676"/>
      <c r="E13" s="18" t="str">
        <f>OBRA!K12</f>
        <v>RAMO 33</v>
      </c>
      <c r="F13" s="535" t="s">
        <v>1431</v>
      </c>
      <c r="G13" s="390"/>
      <c r="H13" s="1"/>
      <c r="I13" s="390"/>
      <c r="J13" s="228" t="str">
        <f>OBRA!U12</f>
        <v>-</v>
      </c>
      <c r="K13" s="256">
        <f>OBRA!V12</f>
        <v>0</v>
      </c>
      <c r="L13" s="20"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2">
        <f>OBRA!S12</f>
        <v>41501</v>
      </c>
      <c r="T13" s="54"/>
      <c r="U13" s="248" t="s">
        <v>1431</v>
      </c>
      <c r="V13" s="111"/>
      <c r="W13" s="55"/>
      <c r="X13" s="305">
        <f>OBRA!AP12</f>
        <v>0</v>
      </c>
      <c r="Y13" s="341"/>
      <c r="Z13" s="341"/>
      <c r="AA13" s="5"/>
      <c r="AB13" s="351">
        <f>OBRA!BT12</f>
        <v>0</v>
      </c>
      <c r="AC13" s="569"/>
      <c r="AD13" s="569"/>
    </row>
    <row r="14" spans="1:30" ht="45.75" hidden="1" customHeight="1">
      <c r="A14" s="23" t="s">
        <v>2239</v>
      </c>
      <c r="B14" s="933" t="str">
        <f>GRAL!B15</f>
        <v>2012-2015</v>
      </c>
      <c r="C14" s="17">
        <f>OBRA!I13</f>
        <v>2013</v>
      </c>
      <c r="D14" s="1676"/>
      <c r="E14" s="18" t="str">
        <f>OBRA!K13</f>
        <v>RAMO 33</v>
      </c>
      <c r="F14" s="536" t="s">
        <v>1431</v>
      </c>
      <c r="G14" s="390"/>
      <c r="H14" s="1"/>
      <c r="I14" s="390"/>
      <c r="J14" s="228" t="str">
        <f>OBRA!U13</f>
        <v>-</v>
      </c>
      <c r="K14" s="256">
        <f>OBRA!V13</f>
        <v>0</v>
      </c>
      <c r="L14" s="20"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2">
        <f>OBRA!S13</f>
        <v>41538</v>
      </c>
      <c r="T14" s="54"/>
      <c r="U14" s="248" t="s">
        <v>1431</v>
      </c>
      <c r="V14" s="111"/>
      <c r="W14" s="55"/>
      <c r="X14" s="305">
        <f>OBRA!AP13</f>
        <v>0</v>
      </c>
      <c r="Y14" s="341"/>
      <c r="Z14" s="341"/>
      <c r="AA14" s="5"/>
      <c r="AB14" s="351">
        <f>OBRA!BT13</f>
        <v>0</v>
      </c>
      <c r="AC14" s="569"/>
      <c r="AD14" s="569"/>
    </row>
    <row r="15" spans="1:30" ht="60.75" hidden="1" customHeight="1">
      <c r="A15" s="23" t="s">
        <v>2239</v>
      </c>
      <c r="B15" s="933" t="str">
        <f>GRAL!B16</f>
        <v>2012-2015</v>
      </c>
      <c r="C15" s="17">
        <f>OBRA!I14</f>
        <v>2013</v>
      </c>
      <c r="D15" s="1676"/>
      <c r="E15" s="18" t="str">
        <f>OBRA!K14</f>
        <v>RAMO 33</v>
      </c>
      <c r="F15" s="536" t="s">
        <v>1431</v>
      </c>
      <c r="G15" s="390"/>
      <c r="H15" s="1"/>
      <c r="I15" s="390"/>
      <c r="J15" s="228" t="str">
        <f>OBRA!U14</f>
        <v>-</v>
      </c>
      <c r="K15" s="256">
        <f>OBRA!V14</f>
        <v>0</v>
      </c>
      <c r="L15" s="20"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2">
        <f>OBRA!S14</f>
        <v>41493</v>
      </c>
      <c r="T15" s="54"/>
      <c r="U15" s="248" t="s">
        <v>1431</v>
      </c>
      <c r="V15" s="111"/>
      <c r="W15" s="55"/>
      <c r="X15" s="305">
        <f>OBRA!AP14</f>
        <v>0</v>
      </c>
      <c r="Y15" s="341"/>
      <c r="Z15" s="341"/>
      <c r="AA15" s="5"/>
      <c r="AB15" s="351">
        <f>OBRA!BT14</f>
        <v>0</v>
      </c>
      <c r="AC15" s="569"/>
      <c r="AD15" s="569"/>
    </row>
    <row r="16" spans="1:30" ht="45.75" hidden="1" customHeight="1">
      <c r="A16" s="23" t="s">
        <v>2239</v>
      </c>
      <c r="B16" s="933" t="str">
        <f>GRAL!B17</f>
        <v>2012-2015</v>
      </c>
      <c r="C16" s="17">
        <f>OBRA!I15</f>
        <v>2013</v>
      </c>
      <c r="D16" s="1676"/>
      <c r="E16" s="18" t="str">
        <f>OBRA!K15</f>
        <v>RAMO 33</v>
      </c>
      <c r="F16" s="536" t="s">
        <v>1431</v>
      </c>
      <c r="G16" s="390"/>
      <c r="H16" s="1"/>
      <c r="I16" s="390"/>
      <c r="J16" s="228" t="str">
        <f>OBRA!U15</f>
        <v>-</v>
      </c>
      <c r="K16" s="256">
        <f>OBRA!V15</f>
        <v>0</v>
      </c>
      <c r="L16" s="20"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2">
        <f>OBRA!S15</f>
        <v>41538</v>
      </c>
      <c r="T16" s="54"/>
      <c r="U16" s="248" t="s">
        <v>1431</v>
      </c>
      <c r="V16" s="111"/>
      <c r="W16" s="55"/>
      <c r="X16" s="305">
        <f>OBRA!AP15</f>
        <v>0</v>
      </c>
      <c r="Y16" s="341"/>
      <c r="Z16" s="341"/>
      <c r="AA16" s="5"/>
      <c r="AB16" s="351">
        <f>OBRA!BT15</f>
        <v>0</v>
      </c>
      <c r="AC16" s="569"/>
      <c r="AD16" s="569"/>
    </row>
    <row r="17" spans="1:30" ht="30.75" hidden="1" customHeight="1">
      <c r="A17" s="23" t="s">
        <v>2239</v>
      </c>
      <c r="B17" s="933" t="str">
        <f>GRAL!B18</f>
        <v>2012-2015</v>
      </c>
      <c r="C17" s="17">
        <f>OBRA!I16</f>
        <v>2013</v>
      </c>
      <c r="D17" s="1676"/>
      <c r="E17" s="18" t="str">
        <f>OBRA!K16</f>
        <v>RAMO 33</v>
      </c>
      <c r="F17" s="536" t="s">
        <v>1431</v>
      </c>
      <c r="G17" s="390"/>
      <c r="H17" s="1"/>
      <c r="I17" s="390"/>
      <c r="J17" s="228" t="str">
        <f>OBRA!U16</f>
        <v>-</v>
      </c>
      <c r="K17" s="256">
        <f>OBRA!V16</f>
        <v>0</v>
      </c>
      <c r="L17" s="20" t="str">
        <f>OBRA!L16</f>
        <v>DOP/AD/014/2013</v>
      </c>
      <c r="M17" s="2" t="str">
        <f>OBRA!M16</f>
        <v>ADMINISTRACIÓN DIRECTA</v>
      </c>
      <c r="N17" s="3" t="str">
        <f>OBRA!N16</f>
        <v>EMPEDRADO NORMAL C. 16 DE SEPTIEMBRE LA LOMA</v>
      </c>
      <c r="O17" s="3"/>
      <c r="P17" s="6">
        <f>OBRA!Q16</f>
        <v>41488</v>
      </c>
      <c r="Q17" s="4">
        <f>OBRA!P16</f>
        <v>172000</v>
      </c>
      <c r="R17" s="5">
        <f>OBRA!R16</f>
        <v>41493</v>
      </c>
      <c r="S17" s="12">
        <f>OBRA!S16</f>
        <v>41506</v>
      </c>
      <c r="T17" s="54"/>
      <c r="U17" s="248" t="s">
        <v>1431</v>
      </c>
      <c r="V17" s="111"/>
      <c r="W17" s="55"/>
      <c r="X17" s="305">
        <f>OBRA!AP16</f>
        <v>0</v>
      </c>
      <c r="Y17" s="341"/>
      <c r="Z17" s="341"/>
      <c r="AA17" s="5"/>
      <c r="AB17" s="351">
        <f>OBRA!BT16</f>
        <v>0</v>
      </c>
      <c r="AC17" s="569"/>
      <c r="AD17" s="569"/>
    </row>
    <row r="18" spans="1:30" ht="75.75" hidden="1" customHeight="1">
      <c r="A18" s="23" t="s">
        <v>2239</v>
      </c>
      <c r="B18" s="933" t="str">
        <f>GRAL!B19</f>
        <v>2012-2015</v>
      </c>
      <c r="C18" s="17">
        <f>OBRA!I17</f>
        <v>2013</v>
      </c>
      <c r="D18" s="1676"/>
      <c r="E18" s="18" t="str">
        <f>OBRA!K17</f>
        <v>RAMO 33</v>
      </c>
      <c r="F18" s="536" t="s">
        <v>1431</v>
      </c>
      <c r="G18" s="390"/>
      <c r="H18" s="1"/>
      <c r="I18" s="390"/>
      <c r="J18" s="228" t="str">
        <f>OBRA!U17</f>
        <v>EQUIPO MANTENIMIENTO Y PLANEACION ELECTRICA S.A. DE C.V.</v>
      </c>
      <c r="K18" s="256" t="str">
        <f>OBRA!V17</f>
        <v>C. DANIEL RODRIGUEZ VALENZUELA</v>
      </c>
      <c r="L18" s="20"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2">
        <f>OBRA!S17</f>
        <v>41623</v>
      </c>
      <c r="T18" s="54"/>
      <c r="U18" s="248" t="s">
        <v>1431</v>
      </c>
      <c r="V18" s="111"/>
      <c r="W18" s="55"/>
      <c r="X18" s="305">
        <f>OBRA!AP17</f>
        <v>0</v>
      </c>
      <c r="Y18" s="341"/>
      <c r="Z18" s="341"/>
      <c r="AA18" s="5"/>
      <c r="AB18" s="351">
        <f>OBRA!BT17</f>
        <v>0</v>
      </c>
      <c r="AC18" s="569"/>
      <c r="AD18" s="569"/>
    </row>
    <row r="19" spans="1:30" s="326" customFormat="1" ht="45.75" hidden="1" customHeight="1">
      <c r="A19" s="336" t="s">
        <v>2239</v>
      </c>
      <c r="B19" s="981" t="str">
        <f>GRAL!B20</f>
        <v>2012-2015</v>
      </c>
      <c r="C19" s="315">
        <f>OBRA!I18</f>
        <v>2013</v>
      </c>
      <c r="D19" s="894"/>
      <c r="E19" s="337" t="str">
        <f>OBRA!K18</f>
        <v>RAMO 33</v>
      </c>
      <c r="F19" s="536" t="s">
        <v>1431</v>
      </c>
      <c r="G19" s="391"/>
      <c r="H19" s="470"/>
      <c r="I19" s="391"/>
      <c r="J19" s="338" t="str">
        <f>OBRA!U18</f>
        <v>C. JOSE LUIS VILLALPANDO GARCIA</v>
      </c>
      <c r="K19" s="334" t="str">
        <f>OBRA!V18</f>
        <v>ING. RIGOBERTO OLMEDO RAMOS</v>
      </c>
      <c r="L19" s="317" t="str">
        <f>OBRA!L18</f>
        <v>GMJ 018C OP/2013</v>
      </c>
      <c r="M19" s="318" t="str">
        <f>OBRA!M18</f>
        <v>ADJUDICACIÓN DIRECTA</v>
      </c>
      <c r="N19" s="319" t="str">
        <f>OBRA!N18</f>
        <v>ELECTRIFICACIÓN EN BARRIO DEL RICON EN LA AGENCIA MUNICIPAL DE LAS TROJES</v>
      </c>
      <c r="O19" s="319"/>
      <c r="P19" s="321">
        <f>OBRA!Q18</f>
        <v>41501</v>
      </c>
      <c r="Q19" s="320">
        <f>OBRA!P18</f>
        <v>223854.45</v>
      </c>
      <c r="R19" s="322">
        <f>OBRA!R18</f>
        <v>41505</v>
      </c>
      <c r="S19" s="323">
        <f>OBRA!S18</f>
        <v>41547</v>
      </c>
      <c r="T19" s="982"/>
      <c r="U19" s="982" t="s">
        <v>1431</v>
      </c>
      <c r="V19" s="407"/>
      <c r="W19" s="404"/>
      <c r="X19" s="927">
        <f>OBRA!AP18</f>
        <v>0</v>
      </c>
      <c r="Y19" s="342"/>
      <c r="Z19" s="342"/>
      <c r="AA19" s="322"/>
      <c r="AB19" s="928">
        <f>OBRA!BT18</f>
        <v>0</v>
      </c>
      <c r="AC19" s="929"/>
      <c r="AD19" s="929"/>
    </row>
    <row r="20" spans="1:30" s="326" customFormat="1" ht="45.75" hidden="1" customHeight="1">
      <c r="A20" s="336" t="s">
        <v>2239</v>
      </c>
      <c r="B20" s="981" t="str">
        <f>GRAL!B21</f>
        <v>2012-2015</v>
      </c>
      <c r="C20" s="315">
        <f>OBRA!I19</f>
        <v>2013</v>
      </c>
      <c r="D20" s="894"/>
      <c r="E20" s="337" t="str">
        <f>OBRA!K19</f>
        <v>RAMO 33</v>
      </c>
      <c r="F20" s="536" t="s">
        <v>1431</v>
      </c>
      <c r="G20" s="391"/>
      <c r="H20" s="470"/>
      <c r="I20" s="391"/>
      <c r="J20" s="338" t="str">
        <f>OBRA!U19</f>
        <v>C. JOSE LUIS VILLALPANDO GARCIA</v>
      </c>
      <c r="K20" s="334" t="str">
        <f>OBRA!V19</f>
        <v>ING. RIGOBERTO OLMEDO RAMOS</v>
      </c>
      <c r="L20" s="317" t="str">
        <f>OBRA!L19</f>
        <v>GMJ 013C OP/2013</v>
      </c>
      <c r="M20" s="318" t="str">
        <f>OBRA!M19</f>
        <v>ADJUDICACIÓN DIRECTA</v>
      </c>
      <c r="N20" s="319" t="str">
        <f>OBRA!N19</f>
        <v>ELECTRIFICACIÓN EN C. CUAHUTEMOC, EN LA AGENCIA MUNICIPAL DE LAS TROJES</v>
      </c>
      <c r="O20" s="319"/>
      <c r="P20" s="321">
        <f>OBRA!Q19</f>
        <v>41501</v>
      </c>
      <c r="Q20" s="320">
        <f>OBRA!P19</f>
        <v>318371.84999999998</v>
      </c>
      <c r="R20" s="322">
        <f>OBRA!R19</f>
        <v>41519</v>
      </c>
      <c r="S20" s="323">
        <f>OBRA!S19</f>
        <v>41573</v>
      </c>
      <c r="T20" s="982"/>
      <c r="U20" s="982" t="s">
        <v>1431</v>
      </c>
      <c r="V20" s="407"/>
      <c r="W20" s="404"/>
      <c r="X20" s="927">
        <f>OBRA!AP19</f>
        <v>0</v>
      </c>
      <c r="Y20" s="342"/>
      <c r="Z20" s="342"/>
      <c r="AA20" s="322"/>
      <c r="AB20" s="928">
        <f>OBRA!BT19</f>
        <v>0</v>
      </c>
      <c r="AC20" s="929"/>
      <c r="AD20" s="929"/>
    </row>
    <row r="21" spans="1:30" ht="30.75" hidden="1" customHeight="1">
      <c r="A21" s="23" t="s">
        <v>2239</v>
      </c>
      <c r="B21" s="933" t="str">
        <f>GRAL!B22</f>
        <v>2012-2015</v>
      </c>
      <c r="C21" s="17">
        <f>OBRA!I20</f>
        <v>2013</v>
      </c>
      <c r="D21" s="1676"/>
      <c r="E21" s="18" t="str">
        <f>OBRA!K20</f>
        <v>RAMO 33</v>
      </c>
      <c r="F21" s="536" t="s">
        <v>1431</v>
      </c>
      <c r="G21" s="390"/>
      <c r="H21" s="1"/>
      <c r="I21" s="390"/>
      <c r="J21" s="228" t="str">
        <f>OBRA!U20</f>
        <v>-</v>
      </c>
      <c r="K21" s="256">
        <f>OBRA!V20</f>
        <v>0</v>
      </c>
      <c r="L21" s="20"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2">
        <f>OBRA!S20</f>
        <v>41638</v>
      </c>
      <c r="T21" s="54"/>
      <c r="U21" s="248" t="s">
        <v>1431</v>
      </c>
      <c r="V21" s="111"/>
      <c r="W21" s="55"/>
      <c r="X21" s="305">
        <f>OBRA!AP20</f>
        <v>0</v>
      </c>
      <c r="Y21" s="341"/>
      <c r="Z21" s="341"/>
      <c r="AA21" s="5"/>
      <c r="AB21" s="351">
        <f>OBRA!BT20</f>
        <v>0</v>
      </c>
      <c r="AC21" s="569"/>
      <c r="AD21" s="569"/>
    </row>
    <row r="22" spans="1:30" ht="45.75" hidden="1" customHeight="1">
      <c r="A22" s="23" t="s">
        <v>2239</v>
      </c>
      <c r="B22" s="933" t="str">
        <f>GRAL!B23</f>
        <v>2012-2015</v>
      </c>
      <c r="C22" s="17">
        <f>OBRA!I21</f>
        <v>2013</v>
      </c>
      <c r="D22" s="1676"/>
      <c r="E22" s="18" t="str">
        <f>OBRA!K21</f>
        <v>RAMO 33</v>
      </c>
      <c r="F22" s="536" t="s">
        <v>1431</v>
      </c>
      <c r="G22" s="390"/>
      <c r="H22" s="1"/>
      <c r="I22" s="390"/>
      <c r="J22" s="228" t="str">
        <f>OBRA!U21</f>
        <v>-</v>
      </c>
      <c r="K22" s="256">
        <f>OBRA!V21</f>
        <v>0</v>
      </c>
      <c r="L22" s="20" t="str">
        <f>OBRA!L21</f>
        <v>OP/AD/027/2013</v>
      </c>
      <c r="M22" s="2" t="str">
        <f>OBRA!M21</f>
        <v>ADMINISTRACIÓN DIRECTA</v>
      </c>
      <c r="N22" s="3" t="str">
        <f>OBRA!N21</f>
        <v>CASETA DE CONTROL Y CLORACION DEL POZO FRACC. MAGISTERIAL CABECERA MUNICIPAL</v>
      </c>
      <c r="O22" s="3"/>
      <c r="P22" s="93" t="s">
        <v>68</v>
      </c>
      <c r="Q22" s="4" t="str">
        <f>OBRA!P21</f>
        <v>FALTA</v>
      </c>
      <c r="R22" s="94" t="s">
        <v>68</v>
      </c>
      <c r="S22" s="95" t="s">
        <v>68</v>
      </c>
      <c r="T22" s="107"/>
      <c r="U22" s="248" t="s">
        <v>1431</v>
      </c>
      <c r="V22" s="408"/>
      <c r="W22" s="97"/>
      <c r="X22" s="305">
        <f>OBRA!AP21</f>
        <v>0</v>
      </c>
      <c r="Y22" s="343"/>
      <c r="Z22" s="343"/>
      <c r="AA22" s="94"/>
      <c r="AB22" s="351">
        <f>OBRA!BT21</f>
        <v>0</v>
      </c>
      <c r="AC22" s="569"/>
      <c r="AD22" s="569"/>
    </row>
    <row r="23" spans="1:30" s="326" customFormat="1" ht="60.75" hidden="1" customHeight="1">
      <c r="A23" s="336" t="s">
        <v>2239</v>
      </c>
      <c r="B23" s="981" t="str">
        <f>GRAL!B24</f>
        <v>2012-2015</v>
      </c>
      <c r="C23" s="315">
        <f>OBRA!I22</f>
        <v>2013</v>
      </c>
      <c r="D23" s="894"/>
      <c r="E23" s="337" t="str">
        <f>OBRA!K22</f>
        <v>RAMO 33</v>
      </c>
      <c r="F23" s="536" t="s">
        <v>1431</v>
      </c>
      <c r="G23" s="391"/>
      <c r="H23" s="470"/>
      <c r="I23" s="391"/>
      <c r="J23" s="338" t="str">
        <f>OBRA!U22</f>
        <v>C. JUAN MANUEL PALOS VACA</v>
      </c>
      <c r="K23" s="334" t="str">
        <f>OBRA!V22</f>
        <v>ING. ISER RANGEL REVILLA</v>
      </c>
      <c r="L23" s="317" t="str">
        <f>OBRA!L22</f>
        <v>GMJ 020C OP/2013</v>
      </c>
      <c r="M23" s="318" t="str">
        <f>OBRA!M22</f>
        <v>ADJUDICACIÓN DIRECTA</v>
      </c>
      <c r="N23" s="319" t="str">
        <f>OBRA!N22</f>
        <v xml:space="preserve">RENOVACION DE RED DE DRENAJE EN LA CALLE RAMON CORONA ENTRE MORELOS Y LOPEZ COTILLA EN LA DELEGACION DE POTRERILLOS </v>
      </c>
      <c r="O23" s="319"/>
      <c r="P23" s="321">
        <f>OBRA!Q22</f>
        <v>41547</v>
      </c>
      <c r="Q23" s="320">
        <f>OBRA!P22</f>
        <v>99364.64</v>
      </c>
      <c r="R23" s="322">
        <f>OBRA!R22</f>
        <v>41548</v>
      </c>
      <c r="S23" s="323">
        <f>OBRA!S22</f>
        <v>41580</v>
      </c>
      <c r="T23" s="982"/>
      <c r="U23" s="982" t="s">
        <v>1431</v>
      </c>
      <c r="V23" s="407"/>
      <c r="W23" s="404"/>
      <c r="X23" s="927">
        <f>OBRA!AP22</f>
        <v>0</v>
      </c>
      <c r="Y23" s="342"/>
      <c r="Z23" s="342"/>
      <c r="AA23" s="322"/>
      <c r="AB23" s="928">
        <f>OBRA!BT22</f>
        <v>0</v>
      </c>
      <c r="AC23" s="929"/>
      <c r="AD23" s="929"/>
    </row>
    <row r="24" spans="1:30" s="326" customFormat="1" ht="75.75" hidden="1" customHeight="1">
      <c r="A24" s="336" t="s">
        <v>2239</v>
      </c>
      <c r="B24" s="981" t="str">
        <f>GRAL!B25</f>
        <v>2012-2015</v>
      </c>
      <c r="C24" s="315">
        <f>OBRA!I23</f>
        <v>2013</v>
      </c>
      <c r="D24" s="894"/>
      <c r="E24" s="337" t="str">
        <f>OBRA!K23</f>
        <v>RAMO 33</v>
      </c>
      <c r="F24" s="536" t="s">
        <v>1431</v>
      </c>
      <c r="G24" s="391"/>
      <c r="H24" s="470"/>
      <c r="I24" s="391"/>
      <c r="J24" s="338" t="str">
        <f>OBRA!U23</f>
        <v>C. JUAN MANUEL PALOS VACA</v>
      </c>
      <c r="K24" s="334" t="str">
        <f>OBRA!V23</f>
        <v>ING. ISER RANGEL REVILLA</v>
      </c>
      <c r="L24" s="317" t="str">
        <f>OBRA!L23</f>
        <v>GMJ 019C OP/2013</v>
      </c>
      <c r="M24" s="318" t="str">
        <f>OBRA!M23</f>
        <v>ADJUDICACIÓN DIRECTA</v>
      </c>
      <c r="N24" s="319" t="str">
        <f>OBRA!N23</f>
        <v xml:space="preserve">PAVIMENTO DE EMPEDRADO AHOGADO EN CEMENTO EN LA CALLE RAMON CORONA ENTRE MORELOS Y LOPEZ COTILLAEN LA DELEGACION DE POTRERILLOS </v>
      </c>
      <c r="O24" s="319"/>
      <c r="P24" s="321">
        <f>OBRA!Q23</f>
        <v>41547</v>
      </c>
      <c r="Q24" s="320">
        <f>OBRA!P23</f>
        <v>363453.99</v>
      </c>
      <c r="R24" s="322">
        <f>OBRA!R23</f>
        <v>41548</v>
      </c>
      <c r="S24" s="323">
        <f>OBRA!S23</f>
        <v>41580</v>
      </c>
      <c r="T24" s="982"/>
      <c r="U24" s="982" t="s">
        <v>1431</v>
      </c>
      <c r="V24" s="407"/>
      <c r="W24" s="404"/>
      <c r="X24" s="927">
        <f>OBRA!AP23</f>
        <v>0</v>
      </c>
      <c r="Y24" s="342"/>
      <c r="Z24" s="342"/>
      <c r="AA24" s="322"/>
      <c r="AB24" s="928">
        <f>OBRA!BT23</f>
        <v>0</v>
      </c>
      <c r="AC24" s="929"/>
      <c r="AD24" s="929"/>
    </row>
    <row r="25" spans="1:30" ht="45.75" hidden="1" customHeight="1">
      <c r="A25" s="23" t="s">
        <v>2239</v>
      </c>
      <c r="B25" s="933" t="str">
        <f>GRAL!B26</f>
        <v>2012-2015</v>
      </c>
      <c r="C25" s="17">
        <f>OBRA!I24</f>
        <v>2013</v>
      </c>
      <c r="D25" s="1676"/>
      <c r="E25" s="18" t="str">
        <f>OBRA!K24</f>
        <v>RAMO 33</v>
      </c>
      <c r="F25" s="535" t="s">
        <v>1431</v>
      </c>
      <c r="G25" s="390"/>
      <c r="H25" s="1"/>
      <c r="I25" s="390"/>
      <c r="J25" s="228" t="str">
        <f>OBRA!U24</f>
        <v>-</v>
      </c>
      <c r="K25" s="256">
        <f>OBRA!V24</f>
        <v>0</v>
      </c>
      <c r="L25" s="20"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2">
        <f>OBRA!S24</f>
        <v>41623</v>
      </c>
      <c r="T25" s="54"/>
      <c r="U25" s="248" t="s">
        <v>1431</v>
      </c>
      <c r="V25" s="111"/>
      <c r="W25" s="55"/>
      <c r="X25" s="305">
        <f>OBRA!AP24</f>
        <v>0</v>
      </c>
      <c r="Y25" s="341"/>
      <c r="Z25" s="341"/>
      <c r="AA25" s="5"/>
      <c r="AB25" s="351">
        <f>OBRA!BT24</f>
        <v>0</v>
      </c>
      <c r="AC25" s="569"/>
      <c r="AD25" s="569"/>
    </row>
    <row r="26" spans="1:30" ht="45.75" hidden="1" customHeight="1">
      <c r="A26" s="23" t="s">
        <v>2239</v>
      </c>
      <c r="B26" s="933" t="str">
        <f>GRAL!B27</f>
        <v>2012-2015</v>
      </c>
      <c r="C26" s="17">
        <f>OBRA!I25</f>
        <v>2013</v>
      </c>
      <c r="D26" s="1676"/>
      <c r="E26" s="18" t="str">
        <f>OBRA!K25</f>
        <v>RAMO 33</v>
      </c>
      <c r="F26" s="536" t="s">
        <v>1431</v>
      </c>
      <c r="G26" s="390"/>
      <c r="H26" s="1"/>
      <c r="I26" s="390"/>
      <c r="J26" s="228" t="str">
        <f>OBRA!U25</f>
        <v>-</v>
      </c>
      <c r="K26" s="256">
        <f>OBRA!V25</f>
        <v>0</v>
      </c>
      <c r="L26" s="20"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2">
        <f>OBRA!S25</f>
        <v>41610</v>
      </c>
      <c r="T26" s="54"/>
      <c r="U26" s="248" t="s">
        <v>1431</v>
      </c>
      <c r="V26" s="111"/>
      <c r="W26" s="55"/>
      <c r="X26" s="305">
        <f>OBRA!AP25</f>
        <v>0</v>
      </c>
      <c r="Y26" s="341"/>
      <c r="Z26" s="341"/>
      <c r="AA26" s="5"/>
      <c r="AB26" s="351">
        <f>OBRA!BT25</f>
        <v>0</v>
      </c>
      <c r="AC26" s="569"/>
      <c r="AD26" s="569"/>
    </row>
    <row r="27" spans="1:30" ht="45.75" hidden="1" customHeight="1">
      <c r="A27" s="23" t="s">
        <v>2239</v>
      </c>
      <c r="B27" s="933" t="str">
        <f>GRAL!B28</f>
        <v>2012-2015</v>
      </c>
      <c r="C27" s="17">
        <f>OBRA!I26</f>
        <v>2013</v>
      </c>
      <c r="D27" s="1676"/>
      <c r="E27" s="18" t="str">
        <f>OBRA!K26</f>
        <v>RAMO 33</v>
      </c>
      <c r="F27" s="536" t="s">
        <v>1431</v>
      </c>
      <c r="G27" s="390"/>
      <c r="H27" s="1"/>
      <c r="I27" s="390"/>
      <c r="J27" s="228" t="str">
        <f>OBRA!U26</f>
        <v>-</v>
      </c>
      <c r="K27" s="256">
        <f>OBRA!V26</f>
        <v>0</v>
      </c>
      <c r="L27" s="20"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2">
        <f>OBRA!S26</f>
        <v>41610</v>
      </c>
      <c r="T27" s="54"/>
      <c r="U27" s="248" t="s">
        <v>1431</v>
      </c>
      <c r="V27" s="111"/>
      <c r="W27" s="55"/>
      <c r="X27" s="305">
        <f>OBRA!AP26</f>
        <v>0</v>
      </c>
      <c r="Y27" s="341"/>
      <c r="Z27" s="341"/>
      <c r="AA27" s="5"/>
      <c r="AB27" s="351">
        <f>OBRA!BT26</f>
        <v>0</v>
      </c>
      <c r="AC27" s="569"/>
      <c r="AD27" s="569"/>
    </row>
    <row r="28" spans="1:30" ht="75.75" hidden="1" customHeight="1">
      <c r="A28" s="23" t="s">
        <v>2239</v>
      </c>
      <c r="B28" s="933" t="str">
        <f>GRAL!B29</f>
        <v>2012-2015</v>
      </c>
      <c r="C28" s="17">
        <f>OBRA!I27</f>
        <v>2013</v>
      </c>
      <c r="D28" s="1676"/>
      <c r="E28" s="18" t="str">
        <f>OBRA!K27</f>
        <v>RAMO 33</v>
      </c>
      <c r="F28" s="536" t="s">
        <v>1431</v>
      </c>
      <c r="G28" s="390"/>
      <c r="H28" s="1"/>
      <c r="I28" s="390"/>
      <c r="J28" s="228" t="str">
        <f>OBRA!U27</f>
        <v>-</v>
      </c>
      <c r="K28" s="256">
        <f>OBRA!V27</f>
        <v>0</v>
      </c>
      <c r="L28" s="20"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2">
        <f>OBRA!S27</f>
        <v>41608</v>
      </c>
      <c r="T28" s="54"/>
      <c r="U28" s="248" t="s">
        <v>1431</v>
      </c>
      <c r="V28" s="111"/>
      <c r="W28" s="55"/>
      <c r="X28" s="305">
        <f>OBRA!AP27</f>
        <v>0</v>
      </c>
      <c r="Y28" s="341"/>
      <c r="Z28" s="341"/>
      <c r="AA28" s="5"/>
      <c r="AB28" s="351">
        <f>OBRA!BT27</f>
        <v>0</v>
      </c>
      <c r="AC28" s="569"/>
      <c r="AD28" s="569"/>
    </row>
    <row r="29" spans="1:30" ht="45.75" hidden="1" customHeight="1">
      <c r="A29" s="23" t="s">
        <v>2239</v>
      </c>
      <c r="B29" s="933" t="str">
        <f>GRAL!B30</f>
        <v>2012-2015</v>
      </c>
      <c r="C29" s="17">
        <f>OBRA!I28</f>
        <v>2013</v>
      </c>
      <c r="D29" s="1676"/>
      <c r="E29" s="18" t="str">
        <f>OBRA!K28</f>
        <v>RAMO 33</v>
      </c>
      <c r="F29" s="536" t="s">
        <v>1431</v>
      </c>
      <c r="G29" s="390"/>
      <c r="H29" s="1"/>
      <c r="I29" s="390"/>
      <c r="J29" s="228" t="str">
        <f>OBRA!U28</f>
        <v>-</v>
      </c>
      <c r="K29" s="256">
        <f>OBRA!V28</f>
        <v>0</v>
      </c>
      <c r="L29" s="20"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2">
        <f>OBRA!S28</f>
        <v>41545</v>
      </c>
      <c r="T29" s="54"/>
      <c r="U29" s="248" t="s">
        <v>1431</v>
      </c>
      <c r="V29" s="111"/>
      <c r="W29" s="55"/>
      <c r="X29" s="305">
        <f>OBRA!AP28</f>
        <v>0</v>
      </c>
      <c r="Y29" s="341"/>
      <c r="Z29" s="341"/>
      <c r="AA29" s="5"/>
      <c r="AB29" s="351">
        <f>OBRA!BT28</f>
        <v>0</v>
      </c>
      <c r="AC29" s="569"/>
      <c r="AD29" s="569"/>
    </row>
    <row r="30" spans="1:30" ht="60.75" hidden="1" customHeight="1">
      <c r="A30" s="23" t="s">
        <v>2239</v>
      </c>
      <c r="B30" s="933" t="str">
        <f>GRAL!B31</f>
        <v>2012-2015</v>
      </c>
      <c r="C30" s="17">
        <f>OBRA!I29</f>
        <v>2013</v>
      </c>
      <c r="D30" s="1676"/>
      <c r="E30" s="18" t="str">
        <f>OBRA!K29</f>
        <v>RAMO 33</v>
      </c>
      <c r="F30" s="536" t="s">
        <v>1431</v>
      </c>
      <c r="G30" s="390"/>
      <c r="H30" s="1"/>
      <c r="I30" s="390"/>
      <c r="J30" s="228" t="str">
        <f>OBRA!U29</f>
        <v>-</v>
      </c>
      <c r="K30" s="256">
        <f>OBRA!V29</f>
        <v>0</v>
      </c>
      <c r="L30" s="20"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2">
        <f>OBRA!S29</f>
        <v>41638</v>
      </c>
      <c r="T30" s="54"/>
      <c r="U30" s="248" t="s">
        <v>1431</v>
      </c>
      <c r="V30" s="111"/>
      <c r="W30" s="55"/>
      <c r="X30" s="305">
        <f>OBRA!AP29</f>
        <v>0</v>
      </c>
      <c r="Y30" s="341"/>
      <c r="Z30" s="341"/>
      <c r="AA30" s="5"/>
      <c r="AB30" s="351">
        <f>OBRA!BT29</f>
        <v>0</v>
      </c>
      <c r="AC30" s="569"/>
      <c r="AD30" s="569"/>
    </row>
    <row r="31" spans="1:30" ht="75.75" hidden="1" customHeight="1">
      <c r="A31" s="23" t="s">
        <v>2239</v>
      </c>
      <c r="B31" s="933" t="str">
        <f>GRAL!B32</f>
        <v>2012-2015</v>
      </c>
      <c r="C31" s="17">
        <f>OBRA!I30</f>
        <v>2013</v>
      </c>
      <c r="D31" s="1676"/>
      <c r="E31" s="18" t="str">
        <f>OBRA!K30</f>
        <v>RAMO 33</v>
      </c>
      <c r="F31" s="536" t="s">
        <v>1431</v>
      </c>
      <c r="G31" s="390"/>
      <c r="H31" s="1"/>
      <c r="I31" s="390"/>
      <c r="J31" s="228" t="str">
        <f>OBRA!U30</f>
        <v>-</v>
      </c>
      <c r="K31" s="256">
        <f>OBRA!V30</f>
        <v>0</v>
      </c>
      <c r="L31" s="20"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2">
        <f>OBRA!S30</f>
        <v>41638</v>
      </c>
      <c r="T31" s="54"/>
      <c r="U31" s="248" t="s">
        <v>1431</v>
      </c>
      <c r="V31" s="111"/>
      <c r="W31" s="55"/>
      <c r="X31" s="305">
        <f>OBRA!AP30</f>
        <v>0</v>
      </c>
      <c r="Y31" s="341"/>
      <c r="Z31" s="341"/>
      <c r="AA31" s="5"/>
      <c r="AB31" s="351">
        <f>OBRA!BT30</f>
        <v>0</v>
      </c>
      <c r="AC31" s="569"/>
      <c r="AD31" s="569"/>
    </row>
    <row r="32" spans="1:30" ht="60.75" hidden="1" customHeight="1">
      <c r="A32" s="23" t="s">
        <v>2239</v>
      </c>
      <c r="B32" s="933" t="str">
        <f>GRAL!B33</f>
        <v>2012-2015</v>
      </c>
      <c r="C32" s="17">
        <f>OBRA!I31</f>
        <v>2013</v>
      </c>
      <c r="D32" s="1676"/>
      <c r="E32" s="18" t="str">
        <f>OBRA!K31</f>
        <v>RAMO 33</v>
      </c>
      <c r="F32" s="536" t="s">
        <v>1431</v>
      </c>
      <c r="G32" s="390"/>
      <c r="H32" s="1"/>
      <c r="I32" s="390"/>
      <c r="J32" s="228" t="str">
        <f>OBRA!U31</f>
        <v>-</v>
      </c>
      <c r="K32" s="256">
        <f>OBRA!V31</f>
        <v>0</v>
      </c>
      <c r="L32" s="20"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2">
        <f>OBRA!S31</f>
        <v>41638</v>
      </c>
      <c r="T32" s="54"/>
      <c r="U32" s="248" t="s">
        <v>1431</v>
      </c>
      <c r="V32" s="111"/>
      <c r="W32" s="55"/>
      <c r="X32" s="305">
        <f>OBRA!AP31</f>
        <v>0</v>
      </c>
      <c r="Y32" s="341"/>
      <c r="Z32" s="341"/>
      <c r="AA32" s="5"/>
      <c r="AB32" s="351">
        <f>OBRA!BT31</f>
        <v>0</v>
      </c>
      <c r="AC32" s="569"/>
      <c r="AD32" s="569"/>
    </row>
    <row r="33" spans="1:30" ht="45.75" hidden="1" customHeight="1">
      <c r="A33" s="23" t="s">
        <v>2239</v>
      </c>
      <c r="B33" s="933" t="str">
        <f>GRAL!B34</f>
        <v>2012-2015</v>
      </c>
      <c r="C33" s="17">
        <f>OBRA!I32</f>
        <v>2013</v>
      </c>
      <c r="D33" s="1676"/>
      <c r="E33" s="18" t="str">
        <f>OBRA!K32</f>
        <v>RAMO 33</v>
      </c>
      <c r="F33" s="535" t="s">
        <v>1431</v>
      </c>
      <c r="G33" s="390"/>
      <c r="H33" s="1"/>
      <c r="I33" s="390"/>
      <c r="J33" s="228" t="str">
        <f>OBRA!U32</f>
        <v>-</v>
      </c>
      <c r="K33" s="256">
        <f>OBRA!V32</f>
        <v>0</v>
      </c>
      <c r="L33" s="20"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2">
        <f>OBRA!S32</f>
        <v>41608</v>
      </c>
      <c r="T33" s="54"/>
      <c r="U33" s="248" t="s">
        <v>1431</v>
      </c>
      <c r="V33" s="111"/>
      <c r="W33" s="55"/>
      <c r="X33" s="305">
        <f>OBRA!AP32</f>
        <v>0</v>
      </c>
      <c r="Y33" s="341"/>
      <c r="Z33" s="341"/>
      <c r="AA33" s="5"/>
      <c r="AB33" s="351">
        <f>OBRA!BT32</f>
        <v>0</v>
      </c>
      <c r="AC33" s="569"/>
      <c r="AD33" s="569"/>
    </row>
    <row r="34" spans="1:30" s="326" customFormat="1" ht="60.75" hidden="1" customHeight="1">
      <c r="A34" s="336" t="s">
        <v>2239</v>
      </c>
      <c r="B34" s="981" t="str">
        <f>GRAL!B35</f>
        <v>2012-2015</v>
      </c>
      <c r="C34" s="315">
        <f>OBRA!I33</f>
        <v>2013</v>
      </c>
      <c r="D34" s="894"/>
      <c r="E34" s="337" t="str">
        <f>OBRA!K33</f>
        <v>Resc Esp Pub</v>
      </c>
      <c r="F34" s="536"/>
      <c r="G34" s="391"/>
      <c r="H34" s="470"/>
      <c r="I34" s="391"/>
      <c r="J34" s="338" t="str">
        <f>OBRA!U33</f>
        <v>KARLAY S.A. DE S.V.</v>
      </c>
      <c r="K34" s="334" t="str">
        <f>OBRA!V33</f>
        <v>C. DANIEL RODRIGUEZ VALENZUELA</v>
      </c>
      <c r="L34" s="317" t="str">
        <f>OBRA!L33</f>
        <v>GMJ 021C OP/2013</v>
      </c>
      <c r="M34" s="318" t="str">
        <f>OBRA!M33</f>
        <v>ADJUDICACIÓN DIRECTA</v>
      </c>
      <c r="N34" s="319" t="str">
        <f>OBRA!N33</f>
        <v>RESCATE DE LA UNIDAD DEPORTIVA ZARAGOZA, EN LA CABECERA MUNICIPAL, DEL MUNICIPIO DE JOCOTEPEC, JALISCO</v>
      </c>
      <c r="O34" s="319"/>
      <c r="P34" s="321">
        <f>OBRA!Q33</f>
        <v>41547</v>
      </c>
      <c r="Q34" s="320">
        <f>OBRA!P33</f>
        <v>1299999</v>
      </c>
      <c r="R34" s="322">
        <f>OBRA!R33</f>
        <v>41547</v>
      </c>
      <c r="S34" s="323">
        <f>OBRA!S33</f>
        <v>41608</v>
      </c>
      <c r="T34" s="982"/>
      <c r="U34" s="982" t="s">
        <v>1431</v>
      </c>
      <c r="V34" s="407"/>
      <c r="W34" s="404"/>
      <c r="X34" s="927">
        <f>OBRA!AP33</f>
        <v>0</v>
      </c>
      <c r="Y34" s="342"/>
      <c r="Z34" s="342"/>
      <c r="AA34" s="322"/>
      <c r="AB34" s="928">
        <f>OBRA!BT33</f>
        <v>0</v>
      </c>
      <c r="AC34" s="929"/>
      <c r="AD34" s="929"/>
    </row>
    <row r="35" spans="1:30" ht="75.75" hidden="1" customHeight="1">
      <c r="A35" s="23" t="s">
        <v>2239</v>
      </c>
      <c r="B35" s="933" t="str">
        <f>GRAL!B36</f>
        <v>2012-2015</v>
      </c>
      <c r="C35" s="17">
        <f>OBRA!I34</f>
        <v>2013</v>
      </c>
      <c r="D35" s="1676"/>
      <c r="E35" s="18" t="str">
        <f>OBRA!K34</f>
        <v>3X1 PARA MIGRANTES</v>
      </c>
      <c r="F35" s="525"/>
      <c r="G35" s="390"/>
      <c r="H35" s="1"/>
      <c r="I35" s="390"/>
      <c r="J35" s="228" t="str">
        <f>OBRA!U34</f>
        <v>-</v>
      </c>
      <c r="K35" s="256">
        <f>OBRA!V34</f>
        <v>0</v>
      </c>
      <c r="L35" s="20"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2">
        <f>OBRA!S34</f>
        <v>41638</v>
      </c>
      <c r="T35" s="54"/>
      <c r="U35" s="248" t="s">
        <v>1431</v>
      </c>
      <c r="V35" s="111"/>
      <c r="W35" s="55"/>
      <c r="X35" s="305">
        <f>OBRA!AP34</f>
        <v>0</v>
      </c>
      <c r="Y35" s="341"/>
      <c r="Z35" s="341"/>
      <c r="AA35" s="5"/>
      <c r="AB35" s="351">
        <f>OBRA!BT34</f>
        <v>0</v>
      </c>
      <c r="AC35" s="569"/>
      <c r="AD35" s="569"/>
    </row>
    <row r="36" spans="1:30" ht="75.75" hidden="1" customHeight="1">
      <c r="A36" s="23" t="s">
        <v>2239</v>
      </c>
      <c r="B36" s="933" t="str">
        <f>GRAL!B37</f>
        <v>2012-2015</v>
      </c>
      <c r="C36" s="17">
        <f>OBRA!I35</f>
        <v>2013</v>
      </c>
      <c r="D36" s="1676"/>
      <c r="E36" s="18" t="str">
        <f>OBRA!K35</f>
        <v>CUENTA CORRIENTE</v>
      </c>
      <c r="F36" s="525" t="s">
        <v>1431</v>
      </c>
      <c r="G36" s="390"/>
      <c r="H36" s="1"/>
      <c r="I36" s="390"/>
      <c r="J36" s="228" t="str">
        <f>OBRA!U35</f>
        <v>-</v>
      </c>
      <c r="K36" s="256">
        <f>OBRA!V35</f>
        <v>0</v>
      </c>
      <c r="L36" s="20"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2">
        <f>OBRA!S35</f>
        <v>41460</v>
      </c>
      <c r="T36" s="54"/>
      <c r="U36" s="248" t="s">
        <v>1431</v>
      </c>
      <c r="V36" s="111"/>
      <c r="W36" s="55"/>
      <c r="X36" s="305">
        <f>OBRA!AP35</f>
        <v>0</v>
      </c>
      <c r="Y36" s="341"/>
      <c r="Z36" s="341"/>
      <c r="AA36" s="5"/>
      <c r="AB36" s="351">
        <f>OBRA!BT35</f>
        <v>0</v>
      </c>
      <c r="AC36" s="569"/>
      <c r="AD36" s="569"/>
    </row>
    <row r="37" spans="1:30" ht="75.75" hidden="1" customHeight="1">
      <c r="A37" s="23" t="s">
        <v>2239</v>
      </c>
      <c r="B37" s="933" t="str">
        <f>GRAL!B38</f>
        <v>2012-2015</v>
      </c>
      <c r="C37" s="17">
        <f>OBRA!I36</f>
        <v>2013</v>
      </c>
      <c r="D37" s="1676"/>
      <c r="E37" s="18" t="str">
        <f>OBRA!K36</f>
        <v>CUENTA CORRIENTE</v>
      </c>
      <c r="F37" s="525" t="s">
        <v>1431</v>
      </c>
      <c r="G37" s="390"/>
      <c r="H37" s="1"/>
      <c r="I37" s="390"/>
      <c r="J37" s="228" t="str">
        <f>OBRA!U36</f>
        <v>-</v>
      </c>
      <c r="K37" s="256">
        <f>OBRA!V36</f>
        <v>0</v>
      </c>
      <c r="L37" s="20"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2">
        <f>OBRA!S36</f>
        <v>41453</v>
      </c>
      <c r="T37" s="54"/>
      <c r="U37" s="248" t="s">
        <v>1431</v>
      </c>
      <c r="V37" s="111"/>
      <c r="W37" s="55"/>
      <c r="X37" s="305">
        <f>OBRA!AP36</f>
        <v>0</v>
      </c>
      <c r="Y37" s="341"/>
      <c r="Z37" s="341"/>
      <c r="AA37" s="5"/>
      <c r="AB37" s="351">
        <f>OBRA!BT36</f>
        <v>0</v>
      </c>
      <c r="AC37" s="569"/>
      <c r="AD37" s="569"/>
    </row>
    <row r="38" spans="1:30" ht="45.75" hidden="1" customHeight="1">
      <c r="A38" s="23" t="s">
        <v>2239</v>
      </c>
      <c r="B38" s="933" t="str">
        <f>GRAL!B39</f>
        <v>2012-2015</v>
      </c>
      <c r="C38" s="17">
        <f>OBRA!I37</f>
        <v>2013</v>
      </c>
      <c r="D38" s="1676"/>
      <c r="E38" s="18" t="str">
        <f>OBRA!K37</f>
        <v>CUENTA CORRIENTE</v>
      </c>
      <c r="F38" s="525" t="s">
        <v>1431</v>
      </c>
      <c r="G38" s="390"/>
      <c r="H38" s="1"/>
      <c r="I38" s="390"/>
      <c r="J38" s="228" t="str">
        <f>OBRA!U37</f>
        <v>-</v>
      </c>
      <c r="K38" s="256">
        <f>OBRA!V37</f>
        <v>0</v>
      </c>
      <c r="L38" s="20"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2">
        <f>OBRA!S37</f>
        <v>41460</v>
      </c>
      <c r="T38" s="54"/>
      <c r="U38" s="248" t="s">
        <v>1431</v>
      </c>
      <c r="V38" s="111"/>
      <c r="W38" s="55"/>
      <c r="X38" s="305">
        <f>OBRA!AP37</f>
        <v>0</v>
      </c>
      <c r="Y38" s="341"/>
      <c r="Z38" s="341"/>
      <c r="AA38" s="5"/>
      <c r="AB38" s="351">
        <f>OBRA!BT37</f>
        <v>0</v>
      </c>
      <c r="AC38" s="569"/>
      <c r="AD38" s="569"/>
    </row>
    <row r="39" spans="1:30" ht="45.75" hidden="1" customHeight="1">
      <c r="A39" s="23" t="s">
        <v>2239</v>
      </c>
      <c r="B39" s="933" t="str">
        <f>GRAL!B40</f>
        <v>2012-2015</v>
      </c>
      <c r="C39" s="17">
        <f>OBRA!I38</f>
        <v>2013</v>
      </c>
      <c r="D39" s="1676"/>
      <c r="E39" s="18" t="str">
        <f>OBRA!K38</f>
        <v>CUENTA CORRIENTE</v>
      </c>
      <c r="F39" s="525" t="s">
        <v>1431</v>
      </c>
      <c r="G39" s="390"/>
      <c r="H39" s="1"/>
      <c r="I39" s="390"/>
      <c r="J39" s="228" t="str">
        <f>OBRA!U38</f>
        <v>-</v>
      </c>
      <c r="K39" s="256">
        <f>OBRA!V38</f>
        <v>0</v>
      </c>
      <c r="L39" s="20"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2">
        <f>OBRA!S38</f>
        <v>41517</v>
      </c>
      <c r="T39" s="54"/>
      <c r="U39" s="248" t="s">
        <v>1431</v>
      </c>
      <c r="V39" s="111"/>
      <c r="W39" s="55"/>
      <c r="X39" s="305">
        <f>OBRA!AP38</f>
        <v>0</v>
      </c>
      <c r="Y39" s="341"/>
      <c r="Z39" s="341"/>
      <c r="AA39" s="5"/>
      <c r="AB39" s="351">
        <f>OBRA!BT38</f>
        <v>0</v>
      </c>
      <c r="AC39" s="569"/>
      <c r="AD39" s="569"/>
    </row>
    <row r="40" spans="1:30" ht="45.75" hidden="1" customHeight="1">
      <c r="A40" s="23" t="s">
        <v>2239</v>
      </c>
      <c r="B40" s="933" t="str">
        <f>GRAL!B41</f>
        <v>2012-2015</v>
      </c>
      <c r="C40" s="17">
        <f>OBRA!I39</f>
        <v>2013</v>
      </c>
      <c r="D40" s="1676"/>
      <c r="E40" s="18" t="str">
        <f>OBRA!K39</f>
        <v>CUENTA CORRIENTE</v>
      </c>
      <c r="F40" s="525" t="s">
        <v>1431</v>
      </c>
      <c r="G40" s="390"/>
      <c r="H40" s="1"/>
      <c r="I40" s="390"/>
      <c r="J40" s="228" t="str">
        <f>OBRA!U39</f>
        <v>-</v>
      </c>
      <c r="K40" s="256">
        <f>OBRA!V39</f>
        <v>0</v>
      </c>
      <c r="L40" s="20" t="str">
        <f>OBRA!L39</f>
        <v>DOP/AD/012/2013</v>
      </c>
      <c r="M40" s="2" t="str">
        <f>OBRA!M39</f>
        <v>ADMINISTRACIÓN DIRECTA</v>
      </c>
      <c r="N40" s="3" t="str">
        <f>OBRA!N39</f>
        <v>REMODELACION DE FACHADA EN ZONA CENTRO 1ª ETAPA, EN LA  CABECERA MUNICIPAL</v>
      </c>
      <c r="O40" s="3"/>
      <c r="P40" s="93" t="s">
        <v>68</v>
      </c>
      <c r="Q40" s="4">
        <f>OBRA!P39</f>
        <v>0</v>
      </c>
      <c r="R40" s="94" t="s">
        <v>68</v>
      </c>
      <c r="S40" s="95" t="s">
        <v>68</v>
      </c>
      <c r="T40" s="107"/>
      <c r="U40" s="248" t="s">
        <v>1431</v>
      </c>
      <c r="V40" s="408"/>
      <c r="W40" s="97"/>
      <c r="X40" s="305">
        <f>OBRA!AP39</f>
        <v>0</v>
      </c>
      <c r="Y40" s="343"/>
      <c r="Z40" s="343"/>
      <c r="AA40" s="94"/>
      <c r="AB40" s="351">
        <f>OBRA!BT39</f>
        <v>0</v>
      </c>
      <c r="AC40" s="569"/>
      <c r="AD40" s="569"/>
    </row>
    <row r="41" spans="1:30" ht="30.75" hidden="1" customHeight="1">
      <c r="A41" s="23" t="s">
        <v>2239</v>
      </c>
      <c r="B41" s="933" t="str">
        <f>GRAL!B42</f>
        <v>2012-2015</v>
      </c>
      <c r="C41" s="17">
        <f>OBRA!I40</f>
        <v>2013</v>
      </c>
      <c r="D41" s="1676"/>
      <c r="E41" s="18" t="str">
        <f>OBRA!K40</f>
        <v>CUENTA CORRIENTE</v>
      </c>
      <c r="F41" s="525" t="s">
        <v>1431</v>
      </c>
      <c r="G41" s="390"/>
      <c r="H41" s="1"/>
      <c r="I41" s="390"/>
      <c r="J41" s="228" t="str">
        <f>OBRA!U40</f>
        <v>-</v>
      </c>
      <c r="K41" s="256">
        <f>OBRA!V40</f>
        <v>0</v>
      </c>
      <c r="L41" s="20" t="str">
        <f>OBRA!L40</f>
        <v>DOP/AD/013/2013</v>
      </c>
      <c r="M41" s="2" t="str">
        <f>OBRA!M40</f>
        <v>ADMINISTRACIÓN DIRECTA</v>
      </c>
      <c r="N41" s="3" t="str">
        <f>OBRA!N40</f>
        <v>CONST. DE LOCAL COMERCIAL MALECON CABECERA MUNICIPAL</v>
      </c>
      <c r="O41" s="3"/>
      <c r="P41" s="6">
        <f>OBRA!Q40</f>
        <v>41463</v>
      </c>
      <c r="Q41" s="4">
        <f>OBRA!P40</f>
        <v>60000</v>
      </c>
      <c r="R41" s="5">
        <f>OBRA!R40</f>
        <v>41433</v>
      </c>
      <c r="S41" s="12">
        <f>OBRA!S40</f>
        <v>41501</v>
      </c>
      <c r="T41" s="54"/>
      <c r="U41" s="248" t="s">
        <v>1431</v>
      </c>
      <c r="V41" s="111"/>
      <c r="W41" s="55"/>
      <c r="X41" s="305">
        <f>OBRA!AP40</f>
        <v>0</v>
      </c>
      <c r="Y41" s="341"/>
      <c r="Z41" s="341"/>
      <c r="AA41" s="5"/>
      <c r="AB41" s="351">
        <f>OBRA!BT40</f>
        <v>0</v>
      </c>
      <c r="AC41" s="569"/>
      <c r="AD41" s="569"/>
    </row>
    <row r="42" spans="1:30" ht="30.75" hidden="1" customHeight="1">
      <c r="A42" s="23" t="s">
        <v>2239</v>
      </c>
      <c r="B42" s="933" t="str">
        <f>GRAL!B43</f>
        <v>2012-2015</v>
      </c>
      <c r="C42" s="17">
        <f>OBRA!I41</f>
        <v>2013</v>
      </c>
      <c r="D42" s="1676"/>
      <c r="E42" s="18" t="str">
        <f>OBRA!K41</f>
        <v>CUENTA CORRIENTE</v>
      </c>
      <c r="F42" s="525" t="s">
        <v>1431</v>
      </c>
      <c r="G42" s="390"/>
      <c r="H42" s="1"/>
      <c r="I42" s="390"/>
      <c r="J42" s="228" t="str">
        <f>OBRA!U41</f>
        <v>-</v>
      </c>
      <c r="K42" s="256">
        <f>OBRA!V41</f>
        <v>0</v>
      </c>
      <c r="L42" s="20"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2">
        <f>OBRA!S41</f>
        <v>41638</v>
      </c>
      <c r="T42" s="54"/>
      <c r="U42" s="248" t="s">
        <v>1431</v>
      </c>
      <c r="V42" s="111"/>
      <c r="W42" s="55"/>
      <c r="X42" s="305">
        <f>OBRA!AP41</f>
        <v>0</v>
      </c>
      <c r="Y42" s="341"/>
      <c r="Z42" s="341"/>
      <c r="AA42" s="5"/>
      <c r="AB42" s="351">
        <f>OBRA!BT41</f>
        <v>0</v>
      </c>
      <c r="AC42" s="569"/>
      <c r="AD42" s="569"/>
    </row>
    <row r="43" spans="1:30" ht="45.75" hidden="1" customHeight="1">
      <c r="A43" s="23" t="s">
        <v>2239</v>
      </c>
      <c r="B43" s="933" t="str">
        <f>GRAL!B44</f>
        <v>2012-2015</v>
      </c>
      <c r="C43" s="17">
        <f>OBRA!I42</f>
        <v>2013</v>
      </c>
      <c r="D43" s="1676"/>
      <c r="E43" s="18" t="str">
        <f>OBRA!K42</f>
        <v>CUENTA CORRIENTE</v>
      </c>
      <c r="F43" s="525" t="s">
        <v>1431</v>
      </c>
      <c r="G43" s="390"/>
      <c r="H43" s="1"/>
      <c r="I43" s="390"/>
      <c r="J43" s="228" t="str">
        <f>OBRA!U42</f>
        <v>BRAILOGA CONSTRUCTORES S.A. DE C.V.</v>
      </c>
      <c r="K43" s="256" t="str">
        <f>OBRA!V42</f>
        <v>ING. RIGOBERTO OLMEDO RAMOS</v>
      </c>
      <c r="L43" s="20" t="str">
        <f>OBRA!L42</f>
        <v>GMJ 001C OP/2013</v>
      </c>
      <c r="M43" s="2" t="str">
        <f>OBRA!M42</f>
        <v>INVITACIÓN</v>
      </c>
      <c r="N43" s="3" t="str">
        <f>OBRA!N42</f>
        <v>TERMINACION DEL CENTRO DE SALUD, EN LA POBLACION LAS TROJES</v>
      </c>
      <c r="O43" s="3"/>
      <c r="P43" s="6">
        <f>OBRA!Q42</f>
        <v>41278</v>
      </c>
      <c r="Q43" s="4">
        <f>OBRA!P42</f>
        <v>977397.28</v>
      </c>
      <c r="R43" s="5">
        <f>OBRA!R42</f>
        <v>41316</v>
      </c>
      <c r="S43" s="12">
        <f>OBRA!S42</f>
        <v>41394</v>
      </c>
      <c r="T43" s="54"/>
      <c r="U43" s="248" t="s">
        <v>1431</v>
      </c>
      <c r="V43" s="111"/>
      <c r="W43" s="55"/>
      <c r="X43" s="305">
        <f>OBRA!AP42</f>
        <v>0</v>
      </c>
      <c r="Y43" s="341"/>
      <c r="Z43" s="341"/>
      <c r="AA43" s="5"/>
      <c r="AB43" s="351">
        <f>OBRA!BT42</f>
        <v>0</v>
      </c>
      <c r="AC43" s="569"/>
      <c r="AD43" s="569"/>
    </row>
    <row r="44" spans="1:30" s="326" customFormat="1" ht="75.75" hidden="1" customHeight="1">
      <c r="A44" s="336" t="s">
        <v>2239</v>
      </c>
      <c r="B44" s="981" t="str">
        <f>GRAL!B45</f>
        <v>2012-2015</v>
      </c>
      <c r="C44" s="315">
        <f>OBRA!I43</f>
        <v>2013</v>
      </c>
      <c r="D44" s="894"/>
      <c r="E44" s="337" t="str">
        <f>OBRA!K43</f>
        <v>CUENTA CORRIENTE</v>
      </c>
      <c r="F44" s="535" t="s">
        <v>1431</v>
      </c>
      <c r="G44" s="391"/>
      <c r="H44" s="470"/>
      <c r="I44" s="391"/>
      <c r="J44" s="338" t="str">
        <f>OBRA!U43</f>
        <v>BRAILOGA CONSTRUCTORES S.A. DE C.V.</v>
      </c>
      <c r="K44" s="334" t="str">
        <f>OBRA!V43</f>
        <v>ING. LUIS JOEL HUERTA LOMA</v>
      </c>
      <c r="L44" s="317" t="str">
        <f>OBRA!L43</f>
        <v>GMJ 003C OP/2013</v>
      </c>
      <c r="M44" s="318" t="str">
        <f>OBRA!M43</f>
        <v>ADJUDICACIÓN DIRECTA</v>
      </c>
      <c r="N44" s="319" t="str">
        <f>OBRA!N43</f>
        <v>ELABORACION DE TOPES EN CARRETERA A CHAPALA Y BACHEO EN ASFALTO C. MORELOS ENTRE INDEPENDENCIA Y ALLENDE EN LA POBLACION DE LA CABECERA</v>
      </c>
      <c r="O44" s="319"/>
      <c r="P44" s="321">
        <f>OBRA!Q43</f>
        <v>41278</v>
      </c>
      <c r="Q44" s="320">
        <f>OBRA!P43</f>
        <v>253692.08</v>
      </c>
      <c r="R44" s="322">
        <f>OBRA!R43</f>
        <v>41281</v>
      </c>
      <c r="S44" s="323">
        <f>OBRA!S43</f>
        <v>41286</v>
      </c>
      <c r="T44" s="982"/>
      <c r="U44" s="982" t="s">
        <v>1431</v>
      </c>
      <c r="V44" s="407"/>
      <c r="W44" s="404"/>
      <c r="X44" s="927">
        <f>OBRA!AP43</f>
        <v>0</v>
      </c>
      <c r="Y44" s="342"/>
      <c r="Z44" s="342"/>
      <c r="AA44" s="322"/>
      <c r="AB44" s="928">
        <f>OBRA!BT43</f>
        <v>0</v>
      </c>
      <c r="AC44" s="929"/>
      <c r="AD44" s="929"/>
    </row>
    <row r="45" spans="1:30" s="326" customFormat="1" ht="45.75" hidden="1" customHeight="1">
      <c r="A45" s="336" t="s">
        <v>2239</v>
      </c>
      <c r="B45" s="981" t="str">
        <f>GRAL!B46</f>
        <v>2012-2015</v>
      </c>
      <c r="C45" s="315">
        <f>OBRA!I44</f>
        <v>2013</v>
      </c>
      <c r="D45" s="894"/>
      <c r="E45" s="337" t="str">
        <f>OBRA!K44</f>
        <v>CUENTA CORRIENTE</v>
      </c>
      <c r="F45" s="536" t="s">
        <v>1431</v>
      </c>
      <c r="G45" s="391"/>
      <c r="H45" s="470"/>
      <c r="I45" s="391"/>
      <c r="J45" s="338" t="str">
        <f>OBRA!U44</f>
        <v>BRAILOGA CONSTRUCTORES S.A. DE C.V.</v>
      </c>
      <c r="K45" s="334" t="str">
        <f>OBRA!V44</f>
        <v>ING. LUIS JOEL HUERTA LOMA</v>
      </c>
      <c r="L45" s="317" t="str">
        <f>OBRA!L44</f>
        <v>GMJ 004C OP/2013</v>
      </c>
      <c r="M45" s="318" t="str">
        <f>OBRA!M44</f>
        <v>ADJUDICACIÓN DIRECTA</v>
      </c>
      <c r="N45" s="319" t="str">
        <f>OBRA!N44</f>
        <v>BACHEO EN ASFALTO EN C. MORELOS ENTRE ALLENDE Y PEDRO MORENO EN LA POBLACION DE LA CABECERA</v>
      </c>
      <c r="O45" s="319"/>
      <c r="P45" s="321">
        <f>OBRA!Q44</f>
        <v>41278</v>
      </c>
      <c r="Q45" s="320">
        <f>OBRA!P44</f>
        <v>213963.7</v>
      </c>
      <c r="R45" s="322">
        <f>OBRA!R44</f>
        <v>41281</v>
      </c>
      <c r="S45" s="323">
        <f>OBRA!S44</f>
        <v>41286</v>
      </c>
      <c r="T45" s="982"/>
      <c r="U45" s="982" t="s">
        <v>1431</v>
      </c>
      <c r="V45" s="407"/>
      <c r="W45" s="404"/>
      <c r="X45" s="927">
        <f>OBRA!AP44</f>
        <v>0</v>
      </c>
      <c r="Y45" s="342"/>
      <c r="Z45" s="342"/>
      <c r="AA45" s="322"/>
      <c r="AB45" s="928">
        <f>OBRA!BT44</f>
        <v>0</v>
      </c>
      <c r="AC45" s="929"/>
      <c r="AD45" s="929"/>
    </row>
    <row r="46" spans="1:30" s="326" customFormat="1" ht="210.75" hidden="1" customHeight="1">
      <c r="A46" s="336" t="s">
        <v>2239</v>
      </c>
      <c r="B46" s="981" t="str">
        <f>GRAL!B47</f>
        <v>2012-2015</v>
      </c>
      <c r="C46" s="315">
        <f>OBRA!I45</f>
        <v>2013</v>
      </c>
      <c r="D46" s="894"/>
      <c r="E46" s="337" t="str">
        <f>OBRA!K45</f>
        <v>CUENTA CORRIENTE</v>
      </c>
      <c r="F46" s="536" t="s">
        <v>1431</v>
      </c>
      <c r="G46" s="391"/>
      <c r="H46" s="470"/>
      <c r="I46" s="391"/>
      <c r="J46" s="338" t="str">
        <f>OBRA!U45</f>
        <v>C. JOSÉ MIGUEL GARCIA VALLE</v>
      </c>
      <c r="K46" s="334" t="str">
        <f>OBRA!V45</f>
        <v>ING. ISER RANGEL REVILLA</v>
      </c>
      <c r="L46" s="317" t="str">
        <f>OBRA!L45</f>
        <v>GMJ 005C OP/2013</v>
      </c>
      <c r="M46" s="318" t="str">
        <f>OBRA!M45</f>
        <v>ADJUDICACIÓN DIRECTA</v>
      </c>
      <c r="N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OBRA!Q45</f>
        <v>41324</v>
      </c>
      <c r="Q46" s="320">
        <f>OBRA!P45</f>
        <v>318104.90999999997</v>
      </c>
      <c r="R46" s="322">
        <f>OBRA!R45</f>
        <v>41324</v>
      </c>
      <c r="S46" s="323">
        <f>OBRA!S45</f>
        <v>41344</v>
      </c>
      <c r="T46" s="982"/>
      <c r="U46" s="982" t="s">
        <v>1431</v>
      </c>
      <c r="V46" s="407"/>
      <c r="W46" s="404"/>
      <c r="X46" s="927">
        <f>OBRA!AP45</f>
        <v>0</v>
      </c>
      <c r="Y46" s="342"/>
      <c r="Z46" s="342"/>
      <c r="AA46" s="322"/>
      <c r="AB46" s="928">
        <f>OBRA!BT45</f>
        <v>0</v>
      </c>
      <c r="AC46" s="929"/>
      <c r="AD46" s="929"/>
    </row>
    <row r="47" spans="1:30" ht="75.75" hidden="1" customHeight="1">
      <c r="A47" s="23" t="s">
        <v>2239</v>
      </c>
      <c r="B47" s="933" t="str">
        <f>GRAL!B48</f>
        <v>2012-2015</v>
      </c>
      <c r="C47" s="17">
        <f>OBRA!I46</f>
        <v>2013</v>
      </c>
      <c r="D47" s="1676"/>
      <c r="E47" s="18" t="str">
        <f>OBRA!K46</f>
        <v>CUENTA CORRIENTE</v>
      </c>
      <c r="F47" s="525" t="s">
        <v>1431</v>
      </c>
      <c r="G47" s="390"/>
      <c r="H47" s="1"/>
      <c r="I47" s="390"/>
      <c r="J47" s="228" t="str">
        <f>OBRA!U46</f>
        <v>BRAILOGA CONSTRUCTORES S.A. DE C.V.</v>
      </c>
      <c r="K47" s="256" t="str">
        <f>OBRA!V46</f>
        <v>ING. LUIS JOEL HUERTA LOMA</v>
      </c>
      <c r="L47" s="20"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2">
        <f>OBRA!S46</f>
        <v>41337</v>
      </c>
      <c r="T47" s="54"/>
      <c r="U47" s="248" t="s">
        <v>1431</v>
      </c>
      <c r="V47" s="111"/>
      <c r="W47" s="55"/>
      <c r="X47" s="305">
        <f>OBRA!AP46</f>
        <v>0</v>
      </c>
      <c r="Y47" s="341"/>
      <c r="Z47" s="341"/>
      <c r="AA47" s="5"/>
      <c r="AB47" s="351">
        <f>OBRA!BT46</f>
        <v>0</v>
      </c>
      <c r="AC47" s="569"/>
      <c r="AD47" s="569"/>
    </row>
    <row r="48" spans="1:30" s="326" customFormat="1" ht="75.75" hidden="1" customHeight="1">
      <c r="A48" s="336" t="s">
        <v>2239</v>
      </c>
      <c r="B48" s="981" t="str">
        <f>GRAL!B49</f>
        <v>2012-2015</v>
      </c>
      <c r="C48" s="315">
        <f>OBRA!I47</f>
        <v>2013</v>
      </c>
      <c r="D48" s="894"/>
      <c r="E48" s="337" t="str">
        <f>OBRA!K47</f>
        <v>CUENTA CORRIENTE</v>
      </c>
      <c r="F48" s="535" t="s">
        <v>1431</v>
      </c>
      <c r="G48" s="391"/>
      <c r="H48" s="470"/>
      <c r="I48" s="391"/>
      <c r="J48" s="338" t="str">
        <f>OBRA!U47</f>
        <v>C. JOSÉ MIGUEL GARCIA VALLE</v>
      </c>
      <c r="K48" s="334" t="str">
        <f>OBRA!V47</f>
        <v>ING. ISER RANGEL REVILLA</v>
      </c>
      <c r="L48" s="317" t="str">
        <f>OBRA!L47</f>
        <v>GMJ 007C OP/2013</v>
      </c>
      <c r="M48" s="318" t="str">
        <f>OBRA!M47</f>
        <v>ADJUDICACIÓN DIRECTA</v>
      </c>
      <c r="N48" s="319" t="str">
        <f>OBRA!N47</f>
        <v>BACHEO CON ASFALTO EN C. XOCHILT ENTRE CARRETERA CHAPALA-JOCOTEPEC Y CALLE CUAHUTEMOC, EN LA POBLACION CHANTEPEC EN EL MUNICIPIO DE JOCOTEPEC, JALISCO</v>
      </c>
      <c r="O48" s="319"/>
      <c r="P48" s="321">
        <f>OBRA!Q47</f>
        <v>41353</v>
      </c>
      <c r="Q48" s="320">
        <f>OBRA!P47</f>
        <v>224365</v>
      </c>
      <c r="R48" s="322">
        <f>OBRA!R47</f>
        <v>41358</v>
      </c>
      <c r="S48" s="323">
        <f>OBRA!S47</f>
        <v>41378</v>
      </c>
      <c r="T48" s="982"/>
      <c r="U48" s="982" t="s">
        <v>1431</v>
      </c>
      <c r="V48" s="407"/>
      <c r="W48" s="404"/>
      <c r="X48" s="927">
        <f>OBRA!AP47</f>
        <v>0</v>
      </c>
      <c r="Y48" s="342"/>
      <c r="Z48" s="342"/>
      <c r="AA48" s="322"/>
      <c r="AB48" s="928">
        <f>OBRA!BT47</f>
        <v>0</v>
      </c>
      <c r="AC48" s="929"/>
      <c r="AD48" s="929"/>
    </row>
    <row r="49" spans="1:30" ht="60.75" hidden="1" customHeight="1">
      <c r="A49" s="23" t="s">
        <v>2239</v>
      </c>
      <c r="B49" s="933" t="str">
        <f>GRAL!B50</f>
        <v>2012-2015</v>
      </c>
      <c r="C49" s="17">
        <f>OBRA!I48</f>
        <v>2013</v>
      </c>
      <c r="D49" s="1676"/>
      <c r="E49" s="18" t="str">
        <f>OBRA!K48</f>
        <v>FOPEDEM</v>
      </c>
      <c r="F49" s="525"/>
      <c r="G49" s="390"/>
      <c r="H49" s="1"/>
      <c r="I49" s="390"/>
      <c r="J49" s="228" t="str">
        <f>OBRA!U48</f>
        <v>C. MIGUEL RAFAEL RODRIGUEZ ALLENDE</v>
      </c>
      <c r="K49" s="256" t="str">
        <f>OBRA!V48</f>
        <v>ARQ. JAIME CONDE GOMEZ</v>
      </c>
      <c r="L49" s="20"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2">
        <f>OBRA!S48</f>
        <v>41468</v>
      </c>
      <c r="T49" s="54"/>
      <c r="U49" s="248" t="s">
        <v>1431</v>
      </c>
      <c r="V49" s="111"/>
      <c r="W49" s="55"/>
      <c r="X49" s="305">
        <f>OBRA!AP48</f>
        <v>0</v>
      </c>
      <c r="Y49" s="341"/>
      <c r="Z49" s="341"/>
      <c r="AA49" s="5"/>
      <c r="AB49" s="351">
        <f>OBRA!BT48</f>
        <v>0</v>
      </c>
      <c r="AC49" s="569"/>
      <c r="AD49" s="569"/>
    </row>
    <row r="50" spans="1:30" s="326" customFormat="1" ht="240.75" hidden="1" customHeight="1">
      <c r="A50" s="336" t="s">
        <v>2239</v>
      </c>
      <c r="B50" s="981" t="str">
        <f>GRAL!B51</f>
        <v>2012-2015</v>
      </c>
      <c r="C50" s="315">
        <f>OBRA!I49</f>
        <v>2013</v>
      </c>
      <c r="D50" s="894"/>
      <c r="E50" s="337" t="str">
        <f>OBRA!K49</f>
        <v>CUENTA CORRIENTE</v>
      </c>
      <c r="F50" s="536" t="s">
        <v>1431</v>
      </c>
      <c r="G50" s="391"/>
      <c r="H50" s="470"/>
      <c r="I50" s="391"/>
      <c r="J50" s="338" t="str">
        <f>OBRA!U49</f>
        <v>C. JOSÉ MIGUEL GARCIA VALLE</v>
      </c>
      <c r="K50" s="334" t="str">
        <f>OBRA!V49</f>
        <v>ING. LUIS JOEL HUERTA LOMA</v>
      </c>
      <c r="L50" s="317" t="str">
        <f>OBRA!L49</f>
        <v>GMJ 009C OP/2013</v>
      </c>
      <c r="M50" s="318" t="str">
        <f>OBRA!M49</f>
        <v>ADJUDICACIÓN DIRECTA</v>
      </c>
      <c r="N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OBRA!Q49</f>
        <v>41402</v>
      </c>
      <c r="Q50" s="320">
        <f>OBRA!P49</f>
        <v>572707.94999999995</v>
      </c>
      <c r="R50" s="322">
        <f>OBRA!R49</f>
        <v>41404</v>
      </c>
      <c r="S50" s="323">
        <f>OBRA!S49</f>
        <v>41424</v>
      </c>
      <c r="T50" s="982"/>
      <c r="U50" s="982" t="s">
        <v>1431</v>
      </c>
      <c r="V50" s="407"/>
      <c r="W50" s="404"/>
      <c r="X50" s="927">
        <f>OBRA!AP49</f>
        <v>0</v>
      </c>
      <c r="Y50" s="342"/>
      <c r="Z50" s="342"/>
      <c r="AA50" s="322"/>
      <c r="AB50" s="928">
        <f>OBRA!BT49</f>
        <v>0</v>
      </c>
      <c r="AC50" s="929"/>
      <c r="AD50" s="929"/>
    </row>
    <row r="51" spans="1:30" ht="60.75" hidden="1" customHeight="1">
      <c r="A51" s="23" t="s">
        <v>2239</v>
      </c>
      <c r="B51" s="933" t="str">
        <f>GRAL!B52</f>
        <v>2012-2015</v>
      </c>
      <c r="C51" s="17">
        <f>OBRA!I50</f>
        <v>2013</v>
      </c>
      <c r="D51" s="1676"/>
      <c r="E51" s="18" t="str">
        <f>OBRA!K50</f>
        <v>CUENTA CORRIENTE</v>
      </c>
      <c r="F51" s="536" t="s">
        <v>1431</v>
      </c>
      <c r="G51" s="390"/>
      <c r="H51" s="1"/>
      <c r="I51" s="390"/>
      <c r="J51" s="228" t="str">
        <f>OBRA!U50</f>
        <v>RAMPER DRILLINGS S.A. DE C.V.</v>
      </c>
      <c r="K51" s="256" t="str">
        <f>OBRA!V50</f>
        <v>C. DANIEL RODRIGUEZ VALENZUELA</v>
      </c>
      <c r="L51" s="20"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2">
        <f>OBRA!S50</f>
        <v>41466</v>
      </c>
      <c r="T51" s="54"/>
      <c r="U51" s="248" t="s">
        <v>1431</v>
      </c>
      <c r="V51" s="111"/>
      <c r="W51" s="55"/>
      <c r="X51" s="305">
        <f>OBRA!AP50</f>
        <v>0</v>
      </c>
      <c r="Y51" s="341"/>
      <c r="Z51" s="341"/>
      <c r="AA51" s="5"/>
      <c r="AB51" s="351">
        <f>OBRA!BT50</f>
        <v>0</v>
      </c>
      <c r="AC51" s="569"/>
      <c r="AD51" s="569"/>
    </row>
    <row r="52" spans="1:30" s="326" customFormat="1" ht="45.75" hidden="1" customHeight="1">
      <c r="A52" s="336" t="s">
        <v>2239</v>
      </c>
      <c r="B52" s="981" t="str">
        <f>GRAL!B53</f>
        <v>2012-2015</v>
      </c>
      <c r="C52" s="315">
        <f>OBRA!I51</f>
        <v>2013</v>
      </c>
      <c r="D52" s="894"/>
      <c r="E52" s="337" t="str">
        <f>OBRA!K51</f>
        <v>CUENTA CORRIENTE</v>
      </c>
      <c r="F52" s="535" t="s">
        <v>1431</v>
      </c>
      <c r="G52" s="391"/>
      <c r="H52" s="470"/>
      <c r="I52" s="391"/>
      <c r="J52" s="338" t="str">
        <f>OBRA!U51</f>
        <v>C. URIEL PALOS CUEVAS</v>
      </c>
      <c r="K52" s="334" t="str">
        <f>OBRA!V51</f>
        <v>C. DANIEL RODRIGUEZ VALENZUELA</v>
      </c>
      <c r="L52" s="317" t="str">
        <f>OBRA!L51</f>
        <v>GMJ 011C OP/2013</v>
      </c>
      <c r="M52" s="318" t="str">
        <f>OBRA!M51</f>
        <v>ADJUDICACIÓN DIRECTA</v>
      </c>
      <c r="N52" s="319" t="str">
        <f>OBRA!N51</f>
        <v>EMPEDRADO AHOGADO EN CEMENTO PRIVADA FRANCISCO I. MADERO, EN LA DELEGACION SAN JUAN COSALA</v>
      </c>
      <c r="O52" s="319"/>
      <c r="P52" s="321">
        <f>OBRA!Q51</f>
        <v>41404</v>
      </c>
      <c r="Q52" s="320">
        <f>OBRA!P51</f>
        <v>97904</v>
      </c>
      <c r="R52" s="322">
        <f>OBRA!R51</f>
        <v>41407</v>
      </c>
      <c r="S52" s="323">
        <f>OBRA!S51</f>
        <v>41412</v>
      </c>
      <c r="T52" s="982"/>
      <c r="U52" s="982" t="s">
        <v>1431</v>
      </c>
      <c r="V52" s="407"/>
      <c r="W52" s="404"/>
      <c r="X52" s="927">
        <f>OBRA!AP51</f>
        <v>0</v>
      </c>
      <c r="Y52" s="342"/>
      <c r="Z52" s="342"/>
      <c r="AA52" s="322"/>
      <c r="AB52" s="928">
        <f>OBRA!BT51</f>
        <v>0</v>
      </c>
      <c r="AC52" s="929"/>
      <c r="AD52" s="929"/>
    </row>
    <row r="53" spans="1:30" s="326" customFormat="1" ht="60.75" hidden="1" customHeight="1">
      <c r="A53" s="336" t="s">
        <v>2239</v>
      </c>
      <c r="B53" s="981" t="str">
        <f>GRAL!B54</f>
        <v>2012-2015</v>
      </c>
      <c r="C53" s="315">
        <f>OBRA!I52</f>
        <v>2013</v>
      </c>
      <c r="D53" s="894"/>
      <c r="E53" s="337" t="str">
        <f>OBRA!K52</f>
        <v>CUENTA CORRIENTE</v>
      </c>
      <c r="F53" s="536" t="s">
        <v>1431</v>
      </c>
      <c r="G53" s="391"/>
      <c r="H53" s="470"/>
      <c r="I53" s="391"/>
      <c r="J53" s="338" t="str">
        <f>OBRA!U52</f>
        <v>C. MIGUEL RAFAEL RODRIGUEZ ALLENDE</v>
      </c>
      <c r="K53" s="334" t="str">
        <f>OBRA!V52</f>
        <v>ARQ. JAIME CONDE GOMEZ</v>
      </c>
      <c r="L53" s="317" t="str">
        <f>OBRA!L52</f>
        <v>GMJ 012C OP/2013</v>
      </c>
      <c r="M53" s="318" t="str">
        <f>OBRA!M52</f>
        <v>ADJUDICACIÓN DIRECTA</v>
      </c>
      <c r="N53" s="319" t="str">
        <f>OBRA!N52</f>
        <v>COLOCACIÓN DE CARPETA ASFALTICA EN C. JUAREZ ENTRE C. ZARAAGOZA Y C. NIÑOS HEROES, EN LA CABECERA MUNICIPAL</v>
      </c>
      <c r="O53" s="319"/>
      <c r="P53" s="321">
        <f>OBRA!Q52</f>
        <v>41435</v>
      </c>
      <c r="Q53" s="320">
        <f>OBRA!P52</f>
        <v>427449.56</v>
      </c>
      <c r="R53" s="322">
        <f>OBRA!R52</f>
        <v>41435</v>
      </c>
      <c r="S53" s="323">
        <f>OBRA!S52</f>
        <v>41453</v>
      </c>
      <c r="T53" s="982"/>
      <c r="U53" s="982" t="s">
        <v>1431</v>
      </c>
      <c r="V53" s="407"/>
      <c r="W53" s="404"/>
      <c r="X53" s="927">
        <f>OBRA!AP52</f>
        <v>0</v>
      </c>
      <c r="Y53" s="342"/>
      <c r="Z53" s="342"/>
      <c r="AA53" s="322"/>
      <c r="AB53" s="928">
        <f>OBRA!BT52</f>
        <v>0</v>
      </c>
      <c r="AC53" s="929"/>
      <c r="AD53" s="929"/>
    </row>
    <row r="54" spans="1:30" s="326" customFormat="1" ht="270.75" hidden="1" customHeight="1">
      <c r="A54" s="336" t="s">
        <v>2239</v>
      </c>
      <c r="B54" s="981" t="str">
        <f>GRAL!B55</f>
        <v>2012-2015</v>
      </c>
      <c r="C54" s="315">
        <f>OBRA!I53</f>
        <v>2013</v>
      </c>
      <c r="D54" s="894"/>
      <c r="E54" s="337" t="str">
        <f>OBRA!K53</f>
        <v>CUENTA CORRIENTE</v>
      </c>
      <c r="F54" s="536" t="s">
        <v>1431</v>
      </c>
      <c r="G54" s="391"/>
      <c r="H54" s="470"/>
      <c r="I54" s="391"/>
      <c r="J54" s="338" t="str">
        <f>OBRA!U53</f>
        <v>BRAILOGA CONSTRUCTORES S.A. DE C.V.</v>
      </c>
      <c r="K54" s="334" t="str">
        <f>OBRA!V53</f>
        <v>ING. ISER RANGEL REVILLA</v>
      </c>
      <c r="L54" s="317" t="str">
        <f>OBRA!L53</f>
        <v>GMJ 016C OP/2013</v>
      </c>
      <c r="M54" s="318" t="str">
        <f>OBRA!M53</f>
        <v>ADJUDICACIÓN DIRECTA</v>
      </c>
      <c r="N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OBRA!Q53</f>
        <v>41516</v>
      </c>
      <c r="Q54" s="320">
        <f>OBRA!P53</f>
        <v>418619.7</v>
      </c>
      <c r="R54" s="322">
        <f>OBRA!R53</f>
        <v>41519</v>
      </c>
      <c r="S54" s="323">
        <f>OBRA!S53</f>
        <v>41530</v>
      </c>
      <c r="T54" s="982"/>
      <c r="U54" s="982" t="s">
        <v>1431</v>
      </c>
      <c r="V54" s="407"/>
      <c r="W54" s="404"/>
      <c r="X54" s="927">
        <f>OBRA!AP53</f>
        <v>0</v>
      </c>
      <c r="Y54" s="342"/>
      <c r="Z54" s="342"/>
      <c r="AA54" s="322"/>
      <c r="AB54" s="928">
        <f>OBRA!BT53</f>
        <v>0</v>
      </c>
      <c r="AC54" s="929"/>
      <c r="AD54" s="929"/>
    </row>
    <row r="55" spans="1:30" ht="60.75" hidden="1" customHeight="1">
      <c r="A55" s="23" t="s">
        <v>2239</v>
      </c>
      <c r="B55" s="933" t="str">
        <f>GRAL!B56</f>
        <v>2012-2015</v>
      </c>
      <c r="C55" s="17">
        <f>OBRA!I54</f>
        <v>2013</v>
      </c>
      <c r="D55" s="1676"/>
      <c r="E55" s="18" t="str">
        <f>OBRA!K54</f>
        <v>CUENTA CORRIENTE</v>
      </c>
      <c r="F55" s="536" t="s">
        <v>1431</v>
      </c>
      <c r="G55" s="390"/>
      <c r="H55" s="1"/>
      <c r="I55" s="390"/>
      <c r="J55" s="228" t="str">
        <f>OBRA!U54</f>
        <v>-</v>
      </c>
      <c r="K55" s="256">
        <f>OBRA!V54</f>
        <v>0</v>
      </c>
      <c r="L55" s="20"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2">
        <f>OBRA!S54</f>
        <v>41479</v>
      </c>
      <c r="T55" s="54"/>
      <c r="U55" s="248" t="s">
        <v>1431</v>
      </c>
      <c r="V55" s="111"/>
      <c r="W55" s="55"/>
      <c r="X55" s="305">
        <f>OBRA!AP54</f>
        <v>0</v>
      </c>
      <c r="Y55" s="341"/>
      <c r="Z55" s="341"/>
      <c r="AA55" s="5"/>
      <c r="AB55" s="351">
        <f>OBRA!BT54</f>
        <v>0</v>
      </c>
      <c r="AC55" s="569"/>
      <c r="AD55" s="569"/>
    </row>
    <row r="56" spans="1:30" ht="75.75" hidden="1" customHeight="1">
      <c r="A56" s="23" t="s">
        <v>2239</v>
      </c>
      <c r="B56" s="933" t="str">
        <f>GRAL!B57</f>
        <v>2012-2015</v>
      </c>
      <c r="C56" s="17">
        <f>OBRA!I55</f>
        <v>2013</v>
      </c>
      <c r="D56" s="1676"/>
      <c r="E56" s="18" t="str">
        <f>OBRA!K55</f>
        <v>3X1 PARA MIGRANTES</v>
      </c>
      <c r="F56" s="14"/>
      <c r="G56" s="390"/>
      <c r="H56" s="1"/>
      <c r="I56" s="390"/>
      <c r="J56" s="228" t="str">
        <f>OBRA!U55</f>
        <v>-</v>
      </c>
      <c r="K56" s="256">
        <f>OBRA!V55</f>
        <v>0</v>
      </c>
      <c r="L56" s="20"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2">
        <f>OBRA!S55</f>
        <v>41635</v>
      </c>
      <c r="T56" s="54"/>
      <c r="U56" s="248" t="s">
        <v>1431</v>
      </c>
      <c r="V56" s="111"/>
      <c r="W56" s="55"/>
      <c r="X56" s="305">
        <f>OBRA!AP55</f>
        <v>0</v>
      </c>
      <c r="Y56" s="341"/>
      <c r="Z56" s="341"/>
      <c r="AA56" s="5"/>
      <c r="AB56" s="351">
        <f>OBRA!BT55</f>
        <v>0</v>
      </c>
      <c r="AC56" s="569"/>
      <c r="AD56" s="569"/>
    </row>
    <row r="57" spans="1:30" ht="105.75" hidden="1" customHeight="1">
      <c r="A57" s="23" t="s">
        <v>2239</v>
      </c>
      <c r="B57" s="933" t="str">
        <f>GRAL!B58</f>
        <v>2012-2015</v>
      </c>
      <c r="C57" s="17">
        <f>OBRA!I56</f>
        <v>2013</v>
      </c>
      <c r="D57" s="1676"/>
      <c r="E57" s="18" t="str">
        <f>OBRA!K56</f>
        <v>3X1 PARA MIGRANTES</v>
      </c>
      <c r="F57" s="525"/>
      <c r="G57" s="390"/>
      <c r="H57" s="1"/>
      <c r="I57" s="390"/>
      <c r="J57" s="228" t="str">
        <f>OBRA!U56</f>
        <v>-</v>
      </c>
      <c r="K57" s="256">
        <f>OBRA!V56</f>
        <v>0</v>
      </c>
      <c r="L57" s="20"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2">
        <f>OBRA!S56</f>
        <v>41638</v>
      </c>
      <c r="T57" s="54"/>
      <c r="U57" s="248" t="s">
        <v>1431</v>
      </c>
      <c r="V57" s="111"/>
      <c r="W57" s="55"/>
      <c r="X57" s="305">
        <f>OBRA!AP56</f>
        <v>0</v>
      </c>
      <c r="Y57" s="341"/>
      <c r="Z57" s="341"/>
      <c r="AA57" s="5"/>
      <c r="AB57" s="351">
        <f>OBRA!BT56</f>
        <v>0</v>
      </c>
      <c r="AC57" s="569"/>
      <c r="AD57" s="569"/>
    </row>
    <row r="58" spans="1:30" s="326" customFormat="1" ht="75.75" hidden="1" customHeight="1">
      <c r="A58" s="336" t="s">
        <v>2239</v>
      </c>
      <c r="B58" s="981" t="str">
        <f>GRAL!B59</f>
        <v>2012-2015</v>
      </c>
      <c r="C58" s="315">
        <f>OBRA!I57</f>
        <v>2013</v>
      </c>
      <c r="D58" s="894"/>
      <c r="E58" s="337" t="str">
        <f>OBRA!K57</f>
        <v>FISE</v>
      </c>
      <c r="F58" s="536"/>
      <c r="G58" s="391"/>
      <c r="H58" s="470"/>
      <c r="I58" s="391"/>
      <c r="J58" s="338" t="str">
        <f>OBRA!U57</f>
        <v>EQUIPO MANTENIMIENTO Y PLANEACION ELECTRICA S.A. DE C.V.</v>
      </c>
      <c r="K58" s="334">
        <f>OBRA!V57</f>
        <v>0</v>
      </c>
      <c r="L58" s="317" t="str">
        <f>OBRA!L57</f>
        <v>GMJ 024 OP/2013</v>
      </c>
      <c r="M58" s="318" t="str">
        <f>OBRA!M57</f>
        <v>ADJUDICACIÓN DIRECTA</v>
      </c>
      <c r="N58" s="319" t="str">
        <f>OBRA!N57</f>
        <v>PERFORACIÓN DE POZO PROFUNDO, EN EL PREDIO NO. 10 AL FINAL DE LA CALLE ALLENDE EN LA LOCALIDAD DE LAS TROJES</v>
      </c>
      <c r="O58" s="319"/>
      <c r="P58" s="321">
        <f>OBRA!Q57</f>
        <v>41516</v>
      </c>
      <c r="Q58" s="320">
        <f>OBRA!P57</f>
        <v>667000</v>
      </c>
      <c r="R58" s="322">
        <f>OBRA!R57</f>
        <v>41638</v>
      </c>
      <c r="S58" s="323">
        <f>OBRA!S57</f>
        <v>41691</v>
      </c>
      <c r="T58" s="982"/>
      <c r="U58" s="982" t="s">
        <v>1431</v>
      </c>
      <c r="V58" s="407"/>
      <c r="W58" s="404"/>
      <c r="X58" s="927">
        <f>OBRA!AP57</f>
        <v>0</v>
      </c>
      <c r="Y58" s="342"/>
      <c r="Z58" s="342"/>
      <c r="AA58" s="322"/>
      <c r="AB58" s="928">
        <f>OBRA!BT57</f>
        <v>0</v>
      </c>
      <c r="AC58" s="929"/>
      <c r="AD58" s="929"/>
    </row>
    <row r="59" spans="1:30" s="110" customFormat="1" ht="90.75" hidden="1" customHeight="1">
      <c r="A59" s="87" t="s">
        <v>251</v>
      </c>
      <c r="B59" s="933" t="str">
        <f>GRAL!B60</f>
        <v>2012-2015</v>
      </c>
      <c r="C59" s="88">
        <f>OBRA!I58</f>
        <v>2013</v>
      </c>
      <c r="D59" s="893"/>
      <c r="E59" s="103" t="str">
        <f>OBRA!K58</f>
        <v>FODIM</v>
      </c>
      <c r="F59" s="526"/>
      <c r="G59" s="392"/>
      <c r="H59" s="102"/>
      <c r="I59" s="392"/>
      <c r="J59" s="303">
        <f>OBRA!U58</f>
        <v>0</v>
      </c>
      <c r="K59" s="304">
        <f>OBRA!V58</f>
        <v>0</v>
      </c>
      <c r="L59" s="90">
        <f>OBRA!L58</f>
        <v>0</v>
      </c>
      <c r="M59" s="91" t="str">
        <f>OBRA!M58</f>
        <v>CANCELADA</v>
      </c>
      <c r="N59" s="132" t="str">
        <f>OBRA!N58</f>
        <v>FABRICACIÓN DE LOZA DE CONCRETO HIDRAULICO CON RENOVACIÓN DE REDES DE AGUA POTABLE Y RED DE DRENAJE EN CALLE MORELOS ENTRE C. NICOLAS BRAVO Y NIÑOS HEROES 1ERA ETAPA</v>
      </c>
      <c r="O59" s="132"/>
      <c r="P59" s="93" t="s">
        <v>68</v>
      </c>
      <c r="Q59" s="4">
        <f>OBRA!P58</f>
        <v>0</v>
      </c>
      <c r="R59" s="94" t="s">
        <v>68</v>
      </c>
      <c r="S59" s="95" t="s">
        <v>68</v>
      </c>
      <c r="T59" s="107"/>
      <c r="U59" s="248" t="s">
        <v>1431</v>
      </c>
      <c r="V59" s="408"/>
      <c r="W59" s="97"/>
      <c r="X59" s="305">
        <f>OBRA!AP58</f>
        <v>0</v>
      </c>
      <c r="Y59" s="343"/>
      <c r="Z59" s="343"/>
      <c r="AA59" s="94"/>
      <c r="AB59" s="351">
        <f>OBRA!BT58</f>
        <v>0</v>
      </c>
      <c r="AC59" s="569"/>
      <c r="AD59" s="569"/>
    </row>
    <row r="60" spans="1:30" ht="105.75" hidden="1" customHeight="1">
      <c r="A60" s="23" t="s">
        <v>2239</v>
      </c>
      <c r="B60" s="933" t="str">
        <f>GRAL!B61</f>
        <v>2012-2015</v>
      </c>
      <c r="C60" s="17">
        <f>OBRA!I59</f>
        <v>2014</v>
      </c>
      <c r="D60" s="1676"/>
      <c r="E60" s="18" t="str">
        <f>OBRA!K59</f>
        <v>R33 - FODIM</v>
      </c>
      <c r="F60" s="525"/>
      <c r="G60" s="390"/>
      <c r="H60" s="1"/>
      <c r="I60" s="390"/>
      <c r="J60" s="228" t="str">
        <f>OBRA!U59</f>
        <v>JOSE LUIS RANGEL GALVEZ</v>
      </c>
      <c r="K60" s="256" t="str">
        <f>OBRA!V59</f>
        <v>C. DANIEL RODRIGUEZ VALENZUELA</v>
      </c>
      <c r="L60" s="20"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2">
        <f>OBRA!S59</f>
        <v>41783</v>
      </c>
      <c r="T60" s="54"/>
      <c r="U60" s="248" t="s">
        <v>1431</v>
      </c>
      <c r="V60" s="111"/>
      <c r="W60" s="55"/>
      <c r="X60" s="305">
        <f>OBRA!AP59</f>
        <v>0</v>
      </c>
      <c r="Y60" s="341"/>
      <c r="Z60" s="341"/>
      <c r="AA60" s="5"/>
      <c r="AB60" s="351">
        <f>OBRA!BT59</f>
        <v>0</v>
      </c>
      <c r="AC60" s="569"/>
      <c r="AD60" s="569"/>
    </row>
    <row r="61" spans="1:30" ht="60.75" hidden="1" customHeight="1">
      <c r="A61" s="23" t="s">
        <v>2239</v>
      </c>
      <c r="B61" s="933" t="str">
        <f>GRAL!B62</f>
        <v>2012-2015</v>
      </c>
      <c r="C61" s="17">
        <f>OBRA!I60</f>
        <v>2014</v>
      </c>
      <c r="D61" s="1676"/>
      <c r="E61" s="18" t="str">
        <f>OBRA!K60</f>
        <v>RAMO 33</v>
      </c>
      <c r="F61" s="525" t="s">
        <v>1431</v>
      </c>
      <c r="G61" s="390"/>
      <c r="H61" s="1"/>
      <c r="I61" s="390"/>
      <c r="J61" s="228" t="str">
        <f>OBRA!U60</f>
        <v>HIDRAULICOS TRUJILLO S.A. DE C.V.</v>
      </c>
      <c r="K61" s="256" t="str">
        <f>OBRA!V60</f>
        <v>C. DANIEL RODRIGUEZ VALENZUELA</v>
      </c>
      <c r="L61" s="20"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2">
        <f>OBRA!S60</f>
        <v>41734</v>
      </c>
      <c r="T61" s="54"/>
      <c r="U61" s="248" t="s">
        <v>1431</v>
      </c>
      <c r="V61" s="111"/>
      <c r="W61" s="55"/>
      <c r="X61" s="305">
        <f>OBRA!AP60</f>
        <v>0</v>
      </c>
      <c r="Y61" s="341"/>
      <c r="Z61" s="341"/>
      <c r="AA61" s="5"/>
      <c r="AB61" s="351">
        <f>OBRA!BT60</f>
        <v>0</v>
      </c>
      <c r="AC61" s="569"/>
      <c r="AD61" s="569"/>
    </row>
    <row r="62" spans="1:30" ht="30.75" hidden="1" customHeight="1">
      <c r="A62" s="23" t="s">
        <v>2239</v>
      </c>
      <c r="B62" s="933" t="str">
        <f>GRAL!B63</f>
        <v>2012-2015</v>
      </c>
      <c r="C62" s="17">
        <f>OBRA!I61</f>
        <v>2014</v>
      </c>
      <c r="D62" s="1676"/>
      <c r="E62" s="18" t="str">
        <f>OBRA!K61</f>
        <v>POA</v>
      </c>
      <c r="F62" s="525"/>
      <c r="G62" s="390"/>
      <c r="H62" s="1"/>
      <c r="I62" s="390"/>
      <c r="J62" s="228" t="str">
        <f>OBRA!U61</f>
        <v>-</v>
      </c>
      <c r="K62" s="256" t="str">
        <f>OBRA!V61</f>
        <v>ARQ. JAIME CONDE GOMEZ</v>
      </c>
      <c r="L62" s="20" t="str">
        <f>OBRA!L61</f>
        <v>DOP/AD/004/2014</v>
      </c>
      <c r="M62" s="2" t="str">
        <f>OBRA!M61</f>
        <v>ADMINISTRACIÓN DIRECTA</v>
      </c>
      <c r="N62" s="3" t="str">
        <f>OBRA!N61</f>
        <v>REHABILITACIÓN DE AUDITORIO ANTONIA PALOMARES</v>
      </c>
      <c r="O62" s="3"/>
      <c r="P62" s="6">
        <f>OBRA!Q61</f>
        <v>41781</v>
      </c>
      <c r="Q62" s="4">
        <f>OBRA!P61</f>
        <v>450000</v>
      </c>
      <c r="R62" s="5">
        <f>OBRA!R61</f>
        <v>41705</v>
      </c>
      <c r="S62" s="12">
        <f>OBRA!S61</f>
        <v>41789</v>
      </c>
      <c r="T62" s="54"/>
      <c r="U62" s="248" t="s">
        <v>1431</v>
      </c>
      <c r="V62" s="111"/>
      <c r="W62" s="55"/>
      <c r="X62" s="305">
        <f>OBRA!AP61</f>
        <v>0</v>
      </c>
      <c r="Y62" s="341"/>
      <c r="Z62" s="341"/>
      <c r="AA62" s="5"/>
      <c r="AB62" s="351">
        <f>OBRA!BT61</f>
        <v>0</v>
      </c>
      <c r="AC62" s="569"/>
      <c r="AD62" s="569"/>
    </row>
    <row r="63" spans="1:30" ht="30.75" hidden="1" customHeight="1">
      <c r="A63" s="23" t="s">
        <v>2239</v>
      </c>
      <c r="B63" s="933" t="str">
        <f>GRAL!B64</f>
        <v>2012-2015</v>
      </c>
      <c r="C63" s="17">
        <f>OBRA!I62</f>
        <v>2014</v>
      </c>
      <c r="D63" s="1676"/>
      <c r="E63" s="18" t="str">
        <f>OBRA!K62</f>
        <v>POA</v>
      </c>
      <c r="F63" s="525"/>
      <c r="G63" s="390"/>
      <c r="H63" s="1"/>
      <c r="I63" s="390"/>
      <c r="J63" s="228" t="str">
        <f>OBRA!U62</f>
        <v>-</v>
      </c>
      <c r="K63" s="256" t="str">
        <f>OBRA!V62</f>
        <v>ARQ. JAIME CONDE GOMEZ</v>
      </c>
      <c r="L63" s="20"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2">
        <f>OBRA!S62</f>
        <v>41822</v>
      </c>
      <c r="T63" s="54"/>
      <c r="U63" s="248" t="s">
        <v>1431</v>
      </c>
      <c r="V63" s="111"/>
      <c r="W63" s="55"/>
      <c r="X63" s="305">
        <f>OBRA!AP62</f>
        <v>0</v>
      </c>
      <c r="Y63" s="341"/>
      <c r="Z63" s="341"/>
      <c r="AA63" s="5"/>
      <c r="AB63" s="351">
        <f>OBRA!BT62</f>
        <v>0</v>
      </c>
      <c r="AC63" s="569"/>
      <c r="AD63" s="569"/>
    </row>
    <row r="64" spans="1:30" ht="45.75" hidden="1" customHeight="1">
      <c r="A64" s="23" t="s">
        <v>2239</v>
      </c>
      <c r="B64" s="933" t="str">
        <f>GRAL!B65</f>
        <v>2012-2015</v>
      </c>
      <c r="C64" s="17">
        <f>OBRA!I63</f>
        <v>2014</v>
      </c>
      <c r="D64" s="1676"/>
      <c r="E64" s="18" t="str">
        <f>OBRA!K63</f>
        <v>CUENTA CORRIENTE</v>
      </c>
      <c r="F64" s="525" t="s">
        <v>1431</v>
      </c>
      <c r="G64" s="390"/>
      <c r="H64" s="1"/>
      <c r="I64" s="390"/>
      <c r="J64" s="228" t="str">
        <f>OBRA!U63</f>
        <v>-</v>
      </c>
      <c r="K64" s="256" t="str">
        <f>OBRA!V63</f>
        <v>ARQ. JAIME CONDE GOMEZ</v>
      </c>
      <c r="L64" s="20"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2">
        <f>OBRA!S63</f>
        <v>41789</v>
      </c>
      <c r="T64" s="54"/>
      <c r="U64" s="248" t="s">
        <v>1431</v>
      </c>
      <c r="V64" s="111"/>
      <c r="W64" s="55"/>
      <c r="X64" s="305">
        <f>OBRA!AP63</f>
        <v>0</v>
      </c>
      <c r="Y64" s="341"/>
      <c r="Z64" s="341"/>
      <c r="AA64" s="5"/>
      <c r="AB64" s="351">
        <f>OBRA!BT63</f>
        <v>0</v>
      </c>
      <c r="AC64" s="569"/>
      <c r="AD64" s="569"/>
    </row>
    <row r="65" spans="1:30" s="110" customFormat="1" ht="90.75" hidden="1" customHeight="1">
      <c r="A65" s="87" t="s">
        <v>2239</v>
      </c>
      <c r="B65" s="946" t="str">
        <f>GRAL!B66</f>
        <v>2012-2015</v>
      </c>
      <c r="C65" s="88">
        <f>OBRA!I64</f>
        <v>2014</v>
      </c>
      <c r="D65" s="893"/>
      <c r="E65" s="103" t="str">
        <f>OBRA!K64</f>
        <v>RAMO 33</v>
      </c>
      <c r="F65" s="108" t="s">
        <v>1431</v>
      </c>
      <c r="G65" s="392"/>
      <c r="H65" s="102"/>
      <c r="I65" s="392"/>
      <c r="J65" s="303" t="str">
        <f>OBRA!U64</f>
        <v>-</v>
      </c>
      <c r="K65" s="304" t="str">
        <f>OBRA!V64</f>
        <v>ING. RIGOBERTO OLMEDO RAMOS</v>
      </c>
      <c r="L65" s="955" t="str">
        <f>OBRA!L64</f>
        <v>DOP/AD/009/2014</v>
      </c>
      <c r="M65" s="203" t="str">
        <f>OBRA!M64</f>
        <v>CANCELADA</v>
      </c>
      <c r="N65" s="112" t="str">
        <f>OBRA!N64</f>
        <v>REHABILITACIÓN DE RED DE AGUA POTABLE EN C. NIÑOS HEROES DE C. HIDALGO HASTA LA ESCUELA TELESECUNDARIA NIÑOS HEROES, EN LA AGENCIA MUNICIPAL DE "EL MOLINO"</v>
      </c>
      <c r="O65" s="132"/>
      <c r="P65" s="93">
        <f>OBRA!Q64</f>
        <v>41859</v>
      </c>
      <c r="Q65" s="92">
        <f>OBRA!P64</f>
        <v>48856.42</v>
      </c>
      <c r="R65" s="94">
        <f>OBRA!R64</f>
        <v>41862</v>
      </c>
      <c r="S65" s="95">
        <f>OBRA!S64</f>
        <v>41874</v>
      </c>
      <c r="T65" s="107"/>
      <c r="U65" s="107" t="s">
        <v>1431</v>
      </c>
      <c r="V65" s="408"/>
      <c r="W65" s="97"/>
      <c r="X65" s="947">
        <f>OBRA!AP64</f>
        <v>0</v>
      </c>
      <c r="Y65" s="343"/>
      <c r="Z65" s="343"/>
      <c r="AA65" s="94"/>
      <c r="AB65" s="511">
        <f>OBRA!BT64</f>
        <v>0</v>
      </c>
      <c r="AC65" s="570"/>
      <c r="AD65" s="570"/>
    </row>
    <row r="66" spans="1:30" s="110" customFormat="1" ht="75.75" hidden="1" customHeight="1">
      <c r="A66" s="87" t="s">
        <v>2239</v>
      </c>
      <c r="B66" s="946" t="str">
        <f>GRAL!B67</f>
        <v>2012-2015</v>
      </c>
      <c r="C66" s="88">
        <f>OBRA!I65</f>
        <v>2014</v>
      </c>
      <c r="D66" s="893"/>
      <c r="E66" s="103" t="str">
        <f>OBRA!K65</f>
        <v>RAMO 33</v>
      </c>
      <c r="F66" s="526" t="s">
        <v>1431</v>
      </c>
      <c r="G66" s="392"/>
      <c r="H66" s="102"/>
      <c r="I66" s="392"/>
      <c r="J66" s="303" t="str">
        <f>OBRA!U65</f>
        <v>-</v>
      </c>
      <c r="K66" s="304" t="str">
        <f>OBRA!V65</f>
        <v>ING. RIGOBERTO OLMEDO RAMOS</v>
      </c>
      <c r="L66" s="955" t="str">
        <f>OBRA!L65</f>
        <v>DOP/AD/006/2014</v>
      </c>
      <c r="M66" s="203" t="str">
        <f>OBRA!M65</f>
        <v>CANCELADA</v>
      </c>
      <c r="N66" s="112" t="str">
        <f>OBRA!N65</f>
        <v>REHABILITACIÓN DE RED DE AGUA POTABLE EN C. HIDALGO DE C. NIÑOS HEROES HASTA ESCUELA J. VICENTE NEGRETE, EN LA AGENCIA MUNICIPAL DE "EL MOLINO"</v>
      </c>
      <c r="O66" s="132"/>
      <c r="P66" s="93">
        <f>OBRA!Q65</f>
        <v>41831</v>
      </c>
      <c r="Q66" s="92">
        <f>OBRA!P65</f>
        <v>75328.27</v>
      </c>
      <c r="R66" s="94">
        <f>OBRA!R65</f>
        <v>41834</v>
      </c>
      <c r="S66" s="95">
        <f>OBRA!S65</f>
        <v>41846</v>
      </c>
      <c r="T66" s="107"/>
      <c r="U66" s="107" t="s">
        <v>1431</v>
      </c>
      <c r="V66" s="408"/>
      <c r="W66" s="97"/>
      <c r="X66" s="947">
        <f>OBRA!AP65</f>
        <v>0</v>
      </c>
      <c r="Y66" s="343"/>
      <c r="Z66" s="343"/>
      <c r="AA66" s="94"/>
      <c r="AB66" s="511">
        <f>OBRA!BT65</f>
        <v>0</v>
      </c>
      <c r="AC66" s="570"/>
      <c r="AD66" s="570"/>
    </row>
    <row r="67" spans="1:30" s="110" customFormat="1" ht="75.75" hidden="1" customHeight="1">
      <c r="A67" s="87" t="s">
        <v>2239</v>
      </c>
      <c r="B67" s="946" t="str">
        <f>GRAL!B68</f>
        <v>2012-2015</v>
      </c>
      <c r="C67" s="88">
        <f>OBRA!I66</f>
        <v>2014</v>
      </c>
      <c r="D67" s="893"/>
      <c r="E67" s="103" t="str">
        <f>OBRA!K66</f>
        <v>RAMO 33</v>
      </c>
      <c r="F67" s="526" t="s">
        <v>1431</v>
      </c>
      <c r="G67" s="392"/>
      <c r="H67" s="102"/>
      <c r="I67" s="392"/>
      <c r="J67" s="303" t="str">
        <f>OBRA!U66</f>
        <v>-</v>
      </c>
      <c r="K67" s="304" t="str">
        <f>OBRA!V66</f>
        <v>ING. RIGOBERTO OLMEDO RAMOS</v>
      </c>
      <c r="L67" s="955" t="str">
        <f>OBRA!L66</f>
        <v>DOP/AD/005/2014</v>
      </c>
      <c r="M67" s="203" t="str">
        <f>OBRA!M66</f>
        <v>CANCELADA</v>
      </c>
      <c r="N67" s="112" t="str">
        <f>OBRA!N66</f>
        <v>REHABILITACIÓN DE RED DE DRENAJE EN C. HIDALGO DE C. NIÑOS HEROES HASTA ESCUELA J. VICENTE NEGRETE, EN LA AGENCIA MUNICIPAL DE "EL MOLINO"</v>
      </c>
      <c r="O67" s="132"/>
      <c r="P67" s="93">
        <f>OBRA!Q66</f>
        <v>41817</v>
      </c>
      <c r="Q67" s="92">
        <f>OBRA!P66</f>
        <v>109593.60000000001</v>
      </c>
      <c r="R67" s="94">
        <f>OBRA!R66</f>
        <v>41821</v>
      </c>
      <c r="S67" s="95">
        <f>OBRA!S66</f>
        <v>41834</v>
      </c>
      <c r="T67" s="107"/>
      <c r="U67" s="107" t="s">
        <v>1431</v>
      </c>
      <c r="V67" s="408"/>
      <c r="W67" s="97"/>
      <c r="X67" s="947">
        <f>OBRA!AP66</f>
        <v>0</v>
      </c>
      <c r="Y67" s="343"/>
      <c r="Z67" s="343"/>
      <c r="AA67" s="94"/>
      <c r="AB67" s="511">
        <f>OBRA!BT66</f>
        <v>0</v>
      </c>
      <c r="AC67" s="570"/>
      <c r="AD67" s="570"/>
    </row>
    <row r="68" spans="1:30" s="110" customFormat="1" ht="75.75" hidden="1" customHeight="1">
      <c r="A68" s="87" t="s">
        <v>2239</v>
      </c>
      <c r="B68" s="946" t="str">
        <f>GRAL!B69</f>
        <v>2012-2015</v>
      </c>
      <c r="C68" s="88">
        <f>OBRA!I67</f>
        <v>2014</v>
      </c>
      <c r="D68" s="893"/>
      <c r="E68" s="103" t="str">
        <f>OBRA!K67</f>
        <v>RAMO 33</v>
      </c>
      <c r="F68" s="526" t="s">
        <v>1431</v>
      </c>
      <c r="G68" s="392"/>
      <c r="H68" s="102"/>
      <c r="I68" s="392"/>
      <c r="J68" s="303" t="str">
        <f>OBRA!U67</f>
        <v>-</v>
      </c>
      <c r="K68" s="304" t="str">
        <f>OBRA!V67</f>
        <v>ING. RIGOBERTO OLMEDO RAMOS</v>
      </c>
      <c r="L68" s="955" t="str">
        <f>OBRA!L67</f>
        <v>DOP/AD/008/2014</v>
      </c>
      <c r="M68" s="203" t="str">
        <f>OBRA!M67</f>
        <v>CANCELADA</v>
      </c>
      <c r="N68" s="112" t="str">
        <f>OBRA!N67</f>
        <v>REHABILITACIÓN DE RED DE DRENAJE EN C. NIÑOS HEROES DE C. HIDALGO HASTA LA ESCUELA TELESECUNDARIA NIÑOS HEROES, EN LA AGENCIA MUNICIPAL DE "EL MOLINO"</v>
      </c>
      <c r="O68" s="132"/>
      <c r="P68" s="93">
        <f>OBRA!Q67</f>
        <v>41845</v>
      </c>
      <c r="Q68" s="92">
        <f>OBRA!P67</f>
        <v>56400.28</v>
      </c>
      <c r="R68" s="94">
        <f>OBRA!R67</f>
        <v>41848</v>
      </c>
      <c r="S68" s="95">
        <f>OBRA!S67</f>
        <v>41860</v>
      </c>
      <c r="T68" s="107"/>
      <c r="U68" s="107" t="s">
        <v>1431</v>
      </c>
      <c r="V68" s="408"/>
      <c r="W68" s="97"/>
      <c r="X68" s="947">
        <f>OBRA!AP67</f>
        <v>0</v>
      </c>
      <c r="Y68" s="343"/>
      <c r="Z68" s="343"/>
      <c r="AA68" s="94"/>
      <c r="AB68" s="511">
        <f>OBRA!BT67</f>
        <v>0</v>
      </c>
      <c r="AC68" s="570"/>
      <c r="AD68" s="570"/>
    </row>
    <row r="69" spans="1:30" s="110" customFormat="1" ht="75.75" hidden="1" customHeight="1">
      <c r="A69" s="87" t="s">
        <v>2239</v>
      </c>
      <c r="B69" s="946" t="str">
        <f>GRAL!B70</f>
        <v>2012-2015</v>
      </c>
      <c r="C69" s="88">
        <f>OBRA!I68</f>
        <v>2014</v>
      </c>
      <c r="D69" s="893"/>
      <c r="E69" s="103" t="str">
        <f>OBRA!K68</f>
        <v>RAMO 33</v>
      </c>
      <c r="F69" s="526" t="s">
        <v>1431</v>
      </c>
      <c r="G69" s="392"/>
      <c r="H69" s="102"/>
      <c r="I69" s="392"/>
      <c r="J69" s="303" t="str">
        <f>OBRA!U68</f>
        <v>-</v>
      </c>
      <c r="K69" s="304" t="str">
        <f>OBRA!V68</f>
        <v>ING. RIGOBERTO OLMEDO RAMOS</v>
      </c>
      <c r="L69" s="955" t="str">
        <f>OBRA!L68</f>
        <v>DOP/AD/007/2014</v>
      </c>
      <c r="M69" s="203" t="str">
        <f>OBRA!M68</f>
        <v>CANCELADA</v>
      </c>
      <c r="N69" s="112" t="str">
        <f>OBRA!N68</f>
        <v>EMPEDRADO AHOGADO EN CEMENTO C. HIDALGO DE C. NIÑOS HEROES HASTA ESCUELA J. VICENTE NEGRETE, EN LA AGENCIA MUNICIPAL DE "EL MOLINO"</v>
      </c>
      <c r="O69" s="132"/>
      <c r="P69" s="93">
        <f>OBRA!Q68</f>
        <v>41831</v>
      </c>
      <c r="Q69" s="92">
        <f>OBRA!P68</f>
        <v>592587.04</v>
      </c>
      <c r="R69" s="94">
        <f>OBRA!R68</f>
        <v>41848</v>
      </c>
      <c r="S69" s="95">
        <f>OBRA!S68</f>
        <v>41874</v>
      </c>
      <c r="T69" s="107"/>
      <c r="U69" s="107" t="s">
        <v>1431</v>
      </c>
      <c r="V69" s="408"/>
      <c r="W69" s="97"/>
      <c r="X69" s="947">
        <f>OBRA!AP68</f>
        <v>0</v>
      </c>
      <c r="Y69" s="343"/>
      <c r="Z69" s="343"/>
      <c r="AA69" s="94"/>
      <c r="AB69" s="511">
        <f>OBRA!BT68</f>
        <v>0</v>
      </c>
      <c r="AC69" s="570"/>
      <c r="AD69" s="570"/>
    </row>
    <row r="70" spans="1:30" s="110" customFormat="1" ht="75.75" hidden="1" customHeight="1">
      <c r="A70" s="87" t="s">
        <v>2239</v>
      </c>
      <c r="B70" s="946" t="str">
        <f>GRAL!B71</f>
        <v>2012-2015</v>
      </c>
      <c r="C70" s="88">
        <f>OBRA!I69</f>
        <v>2014</v>
      </c>
      <c r="D70" s="893"/>
      <c r="E70" s="103" t="str">
        <f>OBRA!K69</f>
        <v>RAMO 33</v>
      </c>
      <c r="F70" s="526" t="s">
        <v>1431</v>
      </c>
      <c r="G70" s="392"/>
      <c r="H70" s="102"/>
      <c r="I70" s="392"/>
      <c r="J70" s="303" t="str">
        <f>OBRA!U69</f>
        <v>-</v>
      </c>
      <c r="K70" s="304" t="str">
        <f>OBRA!V69</f>
        <v>ING. RIGOBERTO OLMEDO RAMOS</v>
      </c>
      <c r="L70" s="955" t="str">
        <f>OBRA!L69</f>
        <v>DOP/AD/010/2014</v>
      </c>
      <c r="M70" s="203" t="str">
        <f>OBRA!M69</f>
        <v>CANCELADA</v>
      </c>
      <c r="N70" s="112" t="str">
        <f>OBRA!N69</f>
        <v>EMPEDRADO AHOGADO EN CEMENTO C. NIÑOS HEROES DE C. HIDALGO HASTA LA ESCUELA TELESECUNDARIA NIÑOS HEROES, EN LA AGENCIA MUNICIPAL DE "EL MOLINO"</v>
      </c>
      <c r="O70" s="132"/>
      <c r="P70" s="93">
        <f>OBRA!Q69</f>
        <v>41873</v>
      </c>
      <c r="Q70" s="92">
        <f>OBRA!P69</f>
        <v>346618.19</v>
      </c>
      <c r="R70" s="94">
        <f>OBRA!R69</f>
        <v>41876</v>
      </c>
      <c r="S70" s="95">
        <f>OBRA!S69</f>
        <v>41902</v>
      </c>
      <c r="T70" s="107"/>
      <c r="U70" s="107" t="s">
        <v>1431</v>
      </c>
      <c r="V70" s="408"/>
      <c r="W70" s="97"/>
      <c r="X70" s="947">
        <f>OBRA!AP69</f>
        <v>0</v>
      </c>
      <c r="Y70" s="343"/>
      <c r="Z70" s="343"/>
      <c r="AA70" s="94"/>
      <c r="AB70" s="511">
        <f>OBRA!BT69</f>
        <v>0</v>
      </c>
      <c r="AC70" s="570"/>
      <c r="AD70" s="570"/>
    </row>
    <row r="71" spans="1:30" s="110" customFormat="1" ht="75.75" hidden="1" customHeight="1">
      <c r="A71" s="87" t="s">
        <v>2239</v>
      </c>
      <c r="B71" s="946" t="str">
        <f>GRAL!B72</f>
        <v>2012-2015</v>
      </c>
      <c r="C71" s="88">
        <f>OBRA!I70</f>
        <v>2014</v>
      </c>
      <c r="D71" s="893"/>
      <c r="E71" s="103" t="str">
        <f>OBRA!K70</f>
        <v>RAMO 33</v>
      </c>
      <c r="F71" s="526" t="s">
        <v>1431</v>
      </c>
      <c r="G71" s="392"/>
      <c r="H71" s="102"/>
      <c r="I71" s="392"/>
      <c r="J71" s="303" t="str">
        <f>OBRA!U70</f>
        <v>-</v>
      </c>
      <c r="K71" s="304" t="str">
        <f>OBRA!V70</f>
        <v>ING. RIGOBERTO OLMEDO RAMOS</v>
      </c>
      <c r="L71" s="955" t="str">
        <f>OBRA!L70</f>
        <v>DOP/AD/012/2014</v>
      </c>
      <c r="M71" s="203" t="str">
        <f>OBRA!M70</f>
        <v>CANCELADA</v>
      </c>
      <c r="N71" s="112" t="str">
        <f>OBRA!N70</f>
        <v>REHABILITACIÓN DE RED DE AGUA POTABLE EN C. VICENTE SUAREZ ENTRE C. INDEPENDENCIA Y NIÑOS HEROES, EN LA AGENCIA MUNICIPAL DE "EL MOLINO"</v>
      </c>
      <c r="O71" s="132"/>
      <c r="P71" s="93">
        <f>OBRA!Q70</f>
        <v>41887</v>
      </c>
      <c r="Q71" s="92">
        <f>OBRA!P70</f>
        <v>100696.44</v>
      </c>
      <c r="R71" s="94">
        <f>OBRA!R70</f>
        <v>41890</v>
      </c>
      <c r="S71" s="95">
        <f>OBRA!S70</f>
        <v>41902</v>
      </c>
      <c r="T71" s="107"/>
      <c r="U71" s="107" t="s">
        <v>1431</v>
      </c>
      <c r="V71" s="408"/>
      <c r="W71" s="97"/>
      <c r="X71" s="947">
        <f>OBRA!AP70</f>
        <v>0</v>
      </c>
      <c r="Y71" s="343"/>
      <c r="Z71" s="343"/>
      <c r="AA71" s="94"/>
      <c r="AB71" s="511">
        <f>OBRA!BT70</f>
        <v>0</v>
      </c>
      <c r="AC71" s="570"/>
      <c r="AD71" s="570"/>
    </row>
    <row r="72" spans="1:30" s="110" customFormat="1" ht="75.75" hidden="1" customHeight="1">
      <c r="A72" s="87" t="s">
        <v>2239</v>
      </c>
      <c r="B72" s="946" t="str">
        <f>GRAL!B73</f>
        <v>2012-2015</v>
      </c>
      <c r="C72" s="88">
        <f>OBRA!I71</f>
        <v>2014</v>
      </c>
      <c r="D72" s="893"/>
      <c r="E72" s="103" t="str">
        <f>OBRA!K71</f>
        <v>RAMO 33</v>
      </c>
      <c r="F72" s="108" t="s">
        <v>1431</v>
      </c>
      <c r="G72" s="392"/>
      <c r="H72" s="102"/>
      <c r="I72" s="392"/>
      <c r="J72" s="303" t="str">
        <f>OBRA!U71</f>
        <v>-</v>
      </c>
      <c r="K72" s="304" t="str">
        <f>OBRA!V71</f>
        <v>ING. RIGOBERTO OLMEDO RAMOS</v>
      </c>
      <c r="L72" s="955" t="str">
        <f>OBRA!L71</f>
        <v>DOP/AD/011/2014</v>
      </c>
      <c r="M72" s="203" t="str">
        <f>OBRA!M71</f>
        <v>CANCELADA</v>
      </c>
      <c r="N72" s="112" t="str">
        <f>OBRA!N71</f>
        <v>REHABILITACIÓN DE RED DE DRENAJE EN C. VICENTE SUAREZ ENTRE C. INDEPENDENCIA Y NIÑOS HEROES, EN LA AGENCIA MUNICIPAL DE "EL MOLINO"</v>
      </c>
      <c r="O72" s="132"/>
      <c r="P72" s="93">
        <f>OBRA!Q71</f>
        <v>41873</v>
      </c>
      <c r="Q72" s="92">
        <f>OBRA!P71</f>
        <v>129939.7</v>
      </c>
      <c r="R72" s="94">
        <f>OBRA!R71</f>
        <v>41876</v>
      </c>
      <c r="S72" s="95">
        <f>OBRA!S71</f>
        <v>41888</v>
      </c>
      <c r="T72" s="107"/>
      <c r="U72" s="107" t="s">
        <v>1431</v>
      </c>
      <c r="V72" s="408"/>
      <c r="W72" s="97"/>
      <c r="X72" s="947">
        <f>OBRA!AP71</f>
        <v>0</v>
      </c>
      <c r="Y72" s="343"/>
      <c r="Z72" s="343"/>
      <c r="AA72" s="94"/>
      <c r="AB72" s="511">
        <f>OBRA!BT71</f>
        <v>0</v>
      </c>
      <c r="AC72" s="570"/>
      <c r="AD72" s="570"/>
    </row>
    <row r="73" spans="1:30" s="110" customFormat="1" ht="75.75" hidden="1" customHeight="1">
      <c r="A73" s="87" t="s">
        <v>2239</v>
      </c>
      <c r="B73" s="946" t="str">
        <f>GRAL!B74</f>
        <v>2012-2015</v>
      </c>
      <c r="C73" s="88">
        <f>OBRA!I72</f>
        <v>2014</v>
      </c>
      <c r="D73" s="893"/>
      <c r="E73" s="103" t="str">
        <f>OBRA!K72</f>
        <v>RAMO 33</v>
      </c>
      <c r="F73" s="526" t="s">
        <v>1431</v>
      </c>
      <c r="G73" s="392"/>
      <c r="H73" s="102"/>
      <c r="I73" s="392"/>
      <c r="J73" s="303" t="str">
        <f>OBRA!U72</f>
        <v>-</v>
      </c>
      <c r="K73" s="304" t="str">
        <f>OBRA!V72</f>
        <v>ING. RIGOBERTO OLMEDO RAMOS</v>
      </c>
      <c r="L73" s="955" t="str">
        <f>OBRA!L72</f>
        <v>DOP/AD/013/2014</v>
      </c>
      <c r="M73" s="203" t="str">
        <f>OBRA!M72</f>
        <v>CANCELADA</v>
      </c>
      <c r="N73" s="112" t="str">
        <f>OBRA!N72</f>
        <v>EMPEDRADO AHOGADO EN CEMENTO C. VICENTE SUAREZ ENTRE C. INDEPENDENCIA Y NIÑOS HEROES, EN LA AGENCIA MUNICIPAL DE "EL MOLINO"</v>
      </c>
      <c r="O73" s="132"/>
      <c r="P73" s="93">
        <f>OBRA!Q72</f>
        <v>41901</v>
      </c>
      <c r="Q73" s="92">
        <f>OBRA!P72</f>
        <v>659302.69999999995</v>
      </c>
      <c r="R73" s="94">
        <f>OBRA!R72</f>
        <v>41904</v>
      </c>
      <c r="S73" s="95">
        <f>OBRA!S72</f>
        <v>41930</v>
      </c>
      <c r="T73" s="107"/>
      <c r="U73" s="107" t="s">
        <v>1431</v>
      </c>
      <c r="V73" s="408"/>
      <c r="W73" s="97"/>
      <c r="X73" s="947">
        <f>OBRA!AP72</f>
        <v>0</v>
      </c>
      <c r="Y73" s="343"/>
      <c r="Z73" s="343"/>
      <c r="AA73" s="94"/>
      <c r="AB73" s="511">
        <f>OBRA!BT72</f>
        <v>0</v>
      </c>
      <c r="AC73" s="570"/>
      <c r="AD73" s="570"/>
    </row>
    <row r="74" spans="1:30" ht="105.75" hidden="1" customHeight="1">
      <c r="A74" s="23" t="s">
        <v>2239</v>
      </c>
      <c r="B74" s="933" t="str">
        <f>GRAL!B75</f>
        <v>2012-2015</v>
      </c>
      <c r="C74" s="17">
        <f>OBRA!I73</f>
        <v>2014</v>
      </c>
      <c r="D74" s="1676"/>
      <c r="E74" s="18" t="str">
        <f>OBRA!K73</f>
        <v>FONDEREG</v>
      </c>
      <c r="F74" s="525"/>
      <c r="G74" s="390"/>
      <c r="H74" s="1"/>
      <c r="I74" s="390"/>
      <c r="J74" s="228" t="str">
        <f>OBRA!U73</f>
        <v>C. URIEL PALOS CUEVAS</v>
      </c>
      <c r="K74" s="256" t="str">
        <f>OBRA!V73</f>
        <v>C. DANIEL RODRIGUEZ VALENZUELA</v>
      </c>
      <c r="L74" s="20"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2">
        <f>OBRA!S73</f>
        <v>41884</v>
      </c>
      <c r="T74" s="54"/>
      <c r="U74" s="248" t="s">
        <v>1431</v>
      </c>
      <c r="V74" s="111"/>
      <c r="W74" s="55"/>
      <c r="X74" s="305">
        <f>OBRA!AP73</f>
        <v>0</v>
      </c>
      <c r="Y74" s="341"/>
      <c r="Z74" s="341"/>
      <c r="AA74" s="5"/>
      <c r="AB74" s="351">
        <f>OBRA!BT73</f>
        <v>0</v>
      </c>
      <c r="AC74" s="569"/>
      <c r="AD74" s="569"/>
    </row>
    <row r="75" spans="1:30" ht="75.75" hidden="1" customHeight="1">
      <c r="A75" s="23" t="s">
        <v>2239</v>
      </c>
      <c r="B75" s="933" t="str">
        <f>GRAL!B76</f>
        <v>2012-2015</v>
      </c>
      <c r="C75" s="17">
        <f>OBRA!I74</f>
        <v>2014</v>
      </c>
      <c r="D75" s="1676"/>
      <c r="E75" s="18" t="str">
        <f>OBRA!K74</f>
        <v>CUENTA CORRIENTE</v>
      </c>
      <c r="F75" s="525" t="s">
        <v>1431</v>
      </c>
      <c r="G75" s="390"/>
      <c r="H75" s="1"/>
      <c r="I75" s="390"/>
      <c r="J75" s="228" t="str">
        <f>OBRA!U74</f>
        <v>-</v>
      </c>
      <c r="K75" s="256" t="str">
        <f>OBRA!V74</f>
        <v>C. DANIEL RODRIGUEZ VALENZUELA</v>
      </c>
      <c r="L75" s="20"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2">
        <f>OBRA!S74</f>
        <v>41907</v>
      </c>
      <c r="T75" s="54"/>
      <c r="U75" s="248" t="s">
        <v>1431</v>
      </c>
      <c r="V75" s="111"/>
      <c r="W75" s="55"/>
      <c r="X75" s="305">
        <f>OBRA!AP74</f>
        <v>0</v>
      </c>
      <c r="Y75" s="341"/>
      <c r="Z75" s="341"/>
      <c r="AA75" s="5"/>
      <c r="AB75" s="351">
        <f>OBRA!BT74</f>
        <v>0</v>
      </c>
      <c r="AC75" s="569"/>
      <c r="AD75" s="569"/>
    </row>
    <row r="76" spans="1:30" ht="75.75" hidden="1" customHeight="1">
      <c r="A76" s="23" t="s">
        <v>2239</v>
      </c>
      <c r="B76" s="933" t="str">
        <f>GRAL!B77</f>
        <v>2012-2015</v>
      </c>
      <c r="C76" s="17">
        <f>OBRA!I75</f>
        <v>2014</v>
      </c>
      <c r="D76" s="1676"/>
      <c r="E76" s="18" t="str">
        <f>OBRA!K75</f>
        <v>RAMO 33</v>
      </c>
      <c r="F76" s="525" t="s">
        <v>1431</v>
      </c>
      <c r="G76" s="390"/>
      <c r="H76" s="1"/>
      <c r="I76" s="390"/>
      <c r="J76" s="228" t="str">
        <f>OBRA!U75</f>
        <v>-</v>
      </c>
      <c r="K76" s="256" t="str">
        <f>OBRA!V75</f>
        <v>ING. RIGOBERTO OLMEDO RAMOS</v>
      </c>
      <c r="L76" s="20"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2">
        <f>OBRA!S75</f>
        <v>41912</v>
      </c>
      <c r="T76" s="54"/>
      <c r="U76" s="248" t="s">
        <v>1431</v>
      </c>
      <c r="V76" s="111"/>
      <c r="W76" s="55"/>
      <c r="X76" s="305">
        <f>OBRA!AP75</f>
        <v>0</v>
      </c>
      <c r="Y76" s="341"/>
      <c r="Z76" s="341"/>
      <c r="AA76" s="5"/>
      <c r="AB76" s="351">
        <f>OBRA!BT75</f>
        <v>0</v>
      </c>
      <c r="AC76" s="569"/>
      <c r="AD76" s="569"/>
    </row>
    <row r="77" spans="1:30" ht="165.75" hidden="1" customHeight="1">
      <c r="A77" s="23" t="s">
        <v>2239</v>
      </c>
      <c r="B77" s="933" t="str">
        <f>GRAL!B78</f>
        <v>2012-2015</v>
      </c>
      <c r="C77" s="17">
        <f>OBRA!I76</f>
        <v>2014</v>
      </c>
      <c r="D77" s="1676"/>
      <c r="E77" s="18" t="str">
        <f>OBRA!K76</f>
        <v>CUENTA CORRIENTE</v>
      </c>
      <c r="F77" s="525" t="s">
        <v>1431</v>
      </c>
      <c r="G77" s="390"/>
      <c r="H77" s="1"/>
      <c r="I77" s="390"/>
      <c r="J77" s="228" t="str">
        <f>OBRA!U76</f>
        <v>-</v>
      </c>
      <c r="K77" s="256" t="str">
        <f>OBRA!V76</f>
        <v>ARQ. JUAN MANUEL PIRUL CORTÉS</v>
      </c>
      <c r="L77" s="20"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2">
        <f>OBRA!S76</f>
        <v>41897</v>
      </c>
      <c r="T77" s="54"/>
      <c r="U77" s="248" t="s">
        <v>1431</v>
      </c>
      <c r="V77" s="111"/>
      <c r="W77" s="55"/>
      <c r="X77" s="305">
        <f>OBRA!AP76</f>
        <v>0</v>
      </c>
      <c r="Y77" s="341"/>
      <c r="Z77" s="341"/>
      <c r="AA77" s="5"/>
      <c r="AB77" s="351">
        <f>OBRA!BT76</f>
        <v>0</v>
      </c>
      <c r="AC77" s="569"/>
      <c r="AD77" s="569"/>
    </row>
    <row r="78" spans="1:30" ht="30.75" hidden="1" customHeight="1">
      <c r="A78" s="23" t="s">
        <v>2239</v>
      </c>
      <c r="B78" s="933" t="str">
        <f>GRAL!B79</f>
        <v>2012-2015</v>
      </c>
      <c r="C78" s="17">
        <f>OBRA!I77</f>
        <v>2014</v>
      </c>
      <c r="D78" s="1676"/>
      <c r="E78" s="18" t="str">
        <f>OBRA!K77</f>
        <v>PET</v>
      </c>
      <c r="F78" s="525"/>
      <c r="G78" s="390"/>
      <c r="H78" s="1"/>
      <c r="I78" s="390"/>
      <c r="J78" s="228" t="str">
        <f>OBRA!U77</f>
        <v>-</v>
      </c>
      <c r="K78" s="256" t="str">
        <f>OBRA!V77</f>
        <v>DANIEL RODRIGUEZ</v>
      </c>
      <c r="L78" s="20"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2">
        <f>OBRA!S77</f>
        <v>41988</v>
      </c>
      <c r="T78" s="54"/>
      <c r="U78" s="248" t="s">
        <v>1431</v>
      </c>
      <c r="V78" s="111"/>
      <c r="W78" s="55"/>
      <c r="X78" s="305">
        <f>OBRA!AP77</f>
        <v>0</v>
      </c>
      <c r="Y78" s="341"/>
      <c r="Z78" s="341"/>
      <c r="AA78" s="5"/>
      <c r="AB78" s="351">
        <f>OBRA!BT77</f>
        <v>0</v>
      </c>
      <c r="AC78" s="569"/>
      <c r="AD78" s="569"/>
    </row>
    <row r="79" spans="1:30" ht="30.75" hidden="1" customHeight="1">
      <c r="A79" s="23" t="s">
        <v>2239</v>
      </c>
      <c r="B79" s="933" t="str">
        <f>GRAL!B80</f>
        <v>2012-2015</v>
      </c>
      <c r="C79" s="17">
        <f>OBRA!I78</f>
        <v>2014</v>
      </c>
      <c r="D79" s="1676"/>
      <c r="E79" s="18" t="str">
        <f>OBRA!K78</f>
        <v>PET</v>
      </c>
      <c r="F79" s="525"/>
      <c r="G79" s="390"/>
      <c r="H79" s="1"/>
      <c r="I79" s="390"/>
      <c r="J79" s="228" t="str">
        <f>OBRA!U78</f>
        <v>-</v>
      </c>
      <c r="K79" s="256" t="str">
        <f>OBRA!V78</f>
        <v>DANIEL RODRIGUEZ</v>
      </c>
      <c r="L79" s="20"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2">
        <f>OBRA!S78</f>
        <v>41988</v>
      </c>
      <c r="T79" s="54"/>
      <c r="U79" s="248" t="s">
        <v>1431</v>
      </c>
      <c r="V79" s="111"/>
      <c r="W79" s="55"/>
      <c r="X79" s="305">
        <f>OBRA!AP78</f>
        <v>0</v>
      </c>
      <c r="Y79" s="341"/>
      <c r="Z79" s="341"/>
      <c r="AA79" s="5"/>
      <c r="AB79" s="351">
        <f>OBRA!BT78</f>
        <v>0</v>
      </c>
      <c r="AC79" s="569"/>
      <c r="AD79" s="569"/>
    </row>
    <row r="80" spans="1:30" ht="60.75" hidden="1" customHeight="1">
      <c r="A80" s="23" t="s">
        <v>2239</v>
      </c>
      <c r="B80" s="933" t="str">
        <f>GRAL!B81</f>
        <v>2012-2015</v>
      </c>
      <c r="C80" s="17">
        <f>OBRA!I79</f>
        <v>2014</v>
      </c>
      <c r="D80" s="1676"/>
      <c r="E80" s="18">
        <f>OBRA!K79</f>
        <v>0</v>
      </c>
      <c r="F80" s="525"/>
      <c r="G80" s="390"/>
      <c r="H80" s="1"/>
      <c r="I80" s="390"/>
      <c r="J80" s="228" t="str">
        <f>OBRA!U79</f>
        <v>-</v>
      </c>
      <c r="K80" s="256" t="str">
        <f>OBRA!V79</f>
        <v>ARQ. JAIME CONDE GOMEZ</v>
      </c>
      <c r="L80" s="20"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2">
        <f>OBRA!S79</f>
        <v>41954</v>
      </c>
      <c r="T80" s="54"/>
      <c r="U80" s="248" t="s">
        <v>1431</v>
      </c>
      <c r="V80" s="111"/>
      <c r="W80" s="55"/>
      <c r="X80" s="305">
        <f>OBRA!AP79</f>
        <v>0</v>
      </c>
      <c r="Y80" s="341"/>
      <c r="Z80" s="341"/>
      <c r="AA80" s="5"/>
      <c r="AB80" s="351">
        <f>OBRA!BT79</f>
        <v>0</v>
      </c>
      <c r="AC80" s="569"/>
      <c r="AD80" s="569"/>
    </row>
    <row r="81" spans="1:30" ht="45.75" hidden="1" customHeight="1">
      <c r="A81" s="23" t="s">
        <v>2239</v>
      </c>
      <c r="B81" s="933" t="str">
        <f>GRAL!B82</f>
        <v>2012-2015</v>
      </c>
      <c r="C81" s="17">
        <f>OBRA!I80</f>
        <v>2014</v>
      </c>
      <c r="D81" s="1676"/>
      <c r="E81" s="18" t="str">
        <f>OBRA!K80</f>
        <v>3X1 PARA MIGRANTES</v>
      </c>
      <c r="F81" s="525"/>
      <c r="G81" s="24"/>
      <c r="H81" s="1"/>
      <c r="I81" s="390"/>
      <c r="J81" s="228" t="str">
        <f>OBRA!U80</f>
        <v>ESTUDIO CASA Y CIUDAD SA DE CV</v>
      </c>
      <c r="K81" s="256" t="str">
        <f>OBRA!V80</f>
        <v>C. DANIEL RODRIGUEZ VALENZUELA</v>
      </c>
      <c r="L81" s="20"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2">
        <f>OBRA!S80</f>
        <v>41975</v>
      </c>
      <c r="T81" s="54"/>
      <c r="U81" s="248" t="s">
        <v>1431</v>
      </c>
      <c r="V81" s="111"/>
      <c r="W81" s="55"/>
      <c r="X81" s="305">
        <f>OBRA!AP80</f>
        <v>0</v>
      </c>
      <c r="Y81" s="341"/>
      <c r="Z81" s="341"/>
      <c r="AA81" s="5"/>
      <c r="AB81" s="351">
        <f>OBRA!BT80</f>
        <v>0</v>
      </c>
      <c r="AC81" s="569"/>
      <c r="AD81" s="569"/>
    </row>
    <row r="82" spans="1:30" s="326" customFormat="1" ht="132.75" hidden="1" customHeight="1">
      <c r="A82" s="336" t="s">
        <v>2239</v>
      </c>
      <c r="B82" s="981" t="str">
        <f>GRAL!B83</f>
        <v>2012-2015</v>
      </c>
      <c r="C82" s="315">
        <f>OBRA!I81</f>
        <v>2014</v>
      </c>
      <c r="D82" s="894"/>
      <c r="E82" s="533" t="str">
        <f>OBRA!K81</f>
        <v>RAMO 33</v>
      </c>
      <c r="F82" s="535" t="s">
        <v>1431</v>
      </c>
      <c r="G82" s="540" t="s">
        <v>2240</v>
      </c>
      <c r="H82" s="496" t="s">
        <v>2241</v>
      </c>
      <c r="I82" s="497" t="s">
        <v>2242</v>
      </c>
      <c r="J82" s="338" t="str">
        <f>OBRA!U81</f>
        <v>PROYECTO DISEÑO Y CONSTRUCCION</v>
      </c>
      <c r="K82" s="334" t="str">
        <f>OBRA!V81</f>
        <v>C. DANIEL RODRIGUEZ VALENZUELA</v>
      </c>
      <c r="L82" s="481" t="str">
        <f>OBRA!L81</f>
        <v>GMJ 005C OP/2014</v>
      </c>
      <c r="M82" s="318" t="str">
        <f>OBRA!M81</f>
        <v>ADJUDICACIÓN DIRECTA</v>
      </c>
      <c r="N82" s="319" t="str">
        <f>OBRA!N81</f>
        <v>ALUMBRADO PUBLICO EN AV. DEL TRABAJO, EN LA DELEGACIÓN DE ZAPOTITAN DE HIDALGO, DEL MUNICIPIO DE JOCOTEPEC, JALISCO</v>
      </c>
      <c r="O82" s="509" t="s">
        <v>2243</v>
      </c>
      <c r="P82" s="321">
        <f>OBRA!Q81</f>
        <v>41901</v>
      </c>
      <c r="Q82" s="320">
        <f>OBRA!P81</f>
        <v>887908.66</v>
      </c>
      <c r="R82" s="322">
        <f>OBRA!R81</f>
        <v>41911</v>
      </c>
      <c r="S82" s="323">
        <f>OBRA!S81</f>
        <v>41954</v>
      </c>
      <c r="T82" s="404"/>
      <c r="U82" s="926" t="s">
        <v>1431</v>
      </c>
      <c r="V82" s="498" t="s">
        <v>2244</v>
      </c>
      <c r="W82" s="499" t="s">
        <v>2245</v>
      </c>
      <c r="X82" s="488">
        <f>88790.87*2</f>
        <v>177581.74</v>
      </c>
      <c r="Y82" s="342"/>
      <c r="Z82" s="342"/>
      <c r="AA82" s="322"/>
      <c r="AB82" s="928">
        <f>OBRA!BT81</f>
        <v>0</v>
      </c>
      <c r="AC82" s="929"/>
      <c r="AD82" s="929" t="s">
        <v>551</v>
      </c>
    </row>
    <row r="83" spans="1:30" ht="90.75" hidden="1" customHeight="1">
      <c r="A83" s="23" t="s">
        <v>2239</v>
      </c>
      <c r="B83" s="933" t="str">
        <f>GRAL!B84</f>
        <v>2012-2015</v>
      </c>
      <c r="C83" s="17">
        <f>OBRA!I82</f>
        <v>2014</v>
      </c>
      <c r="D83" s="1676"/>
      <c r="E83" s="18" t="str">
        <f>OBRA!K82</f>
        <v>RAMO 33</v>
      </c>
      <c r="F83" s="477" t="s">
        <v>1431</v>
      </c>
      <c r="G83" s="541"/>
      <c r="H83" s="482"/>
      <c r="I83" s="483"/>
      <c r="J83" s="228" t="str">
        <f>OBRA!U82</f>
        <v>-</v>
      </c>
      <c r="K83" s="256" t="str">
        <f>OBRA!V82</f>
        <v>ING. RIGOBERTO OLMEDO RAMOS</v>
      </c>
      <c r="L83" s="48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80"/>
      <c r="P83" s="6">
        <f>OBRA!Q82</f>
        <v>41823</v>
      </c>
      <c r="Q83" s="4">
        <f>OBRA!P82</f>
        <v>295674.09999999998</v>
      </c>
      <c r="R83" s="5">
        <f>OBRA!R82</f>
        <v>41823</v>
      </c>
      <c r="S83" s="12">
        <f>OBRA!S82</f>
        <v>41850</v>
      </c>
      <c r="T83" s="54"/>
      <c r="U83" s="248" t="s">
        <v>1431</v>
      </c>
      <c r="V83" s="480"/>
      <c r="W83" s="484"/>
      <c r="X83" s="305">
        <f>OBRA!AP82</f>
        <v>0</v>
      </c>
      <c r="Y83" s="341"/>
      <c r="Z83" s="341"/>
      <c r="AA83" s="5"/>
      <c r="AB83" s="351">
        <f>OBRA!BT82</f>
        <v>0</v>
      </c>
      <c r="AC83" s="569"/>
      <c r="AD83" s="569"/>
    </row>
    <row r="84" spans="1:30" ht="90.75" hidden="1" customHeight="1">
      <c r="A84" s="23" t="s">
        <v>2239</v>
      </c>
      <c r="B84" s="933" t="str">
        <f>GRAL!B85</f>
        <v>2012-2015</v>
      </c>
      <c r="C84" s="17">
        <f>OBRA!I83</f>
        <v>2014</v>
      </c>
      <c r="D84" s="1676"/>
      <c r="E84" s="18" t="str">
        <f>OBRA!K83</f>
        <v>RAMO 33</v>
      </c>
      <c r="F84" s="477" t="s">
        <v>1431</v>
      </c>
      <c r="G84" s="541"/>
      <c r="H84" s="482"/>
      <c r="I84" s="483"/>
      <c r="J84" s="228" t="str">
        <f>OBRA!U83</f>
        <v>-</v>
      </c>
      <c r="K84" s="256" t="str">
        <f>OBRA!V83</f>
        <v>ING. RIGOBERTO OLMEDO RAMOS</v>
      </c>
      <c r="L84" s="48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80"/>
      <c r="P84" s="6">
        <f>OBRA!Q83</f>
        <v>41823</v>
      </c>
      <c r="Q84" s="4">
        <f>OBRA!P83</f>
        <v>220909.46</v>
      </c>
      <c r="R84" s="5">
        <f>OBRA!R83</f>
        <v>41841</v>
      </c>
      <c r="S84" s="12">
        <f>OBRA!S83</f>
        <v>41881</v>
      </c>
      <c r="T84" s="54"/>
      <c r="U84" s="248" t="s">
        <v>1431</v>
      </c>
      <c r="V84" s="480"/>
      <c r="W84" s="484"/>
      <c r="X84" s="305">
        <f>OBRA!AP83</f>
        <v>0</v>
      </c>
      <c r="Y84" s="341"/>
      <c r="Z84" s="341"/>
      <c r="AA84" s="5"/>
      <c r="AB84" s="351">
        <f>OBRA!BT83</f>
        <v>0</v>
      </c>
      <c r="AC84" s="569"/>
      <c r="AD84" s="569"/>
    </row>
    <row r="85" spans="1:30" ht="105.75" hidden="1" customHeight="1">
      <c r="A85" s="23" t="s">
        <v>2239</v>
      </c>
      <c r="B85" s="933" t="str">
        <f>GRAL!B86</f>
        <v>2012-2015</v>
      </c>
      <c r="C85" s="17">
        <f>OBRA!I84</f>
        <v>2014</v>
      </c>
      <c r="D85" s="1676"/>
      <c r="E85" s="18" t="str">
        <f>OBRA!K84</f>
        <v>RAMO 33</v>
      </c>
      <c r="F85" s="477" t="s">
        <v>1431</v>
      </c>
      <c r="G85" s="541"/>
      <c r="H85" s="482"/>
      <c r="I85" s="483"/>
      <c r="J85" s="228" t="str">
        <f>OBRA!U84</f>
        <v>-</v>
      </c>
      <c r="K85" s="256" t="str">
        <f>OBRA!V84</f>
        <v>ING. RIGOBERTO OLMEDO RAMOS</v>
      </c>
      <c r="L85" s="48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80"/>
      <c r="P85" s="6">
        <f>OBRA!Q84</f>
        <v>41823</v>
      </c>
      <c r="Q85" s="4">
        <f>OBRA!P84</f>
        <v>200492.77</v>
      </c>
      <c r="R85" s="5">
        <f>OBRA!R84</f>
        <v>41827</v>
      </c>
      <c r="S85" s="12">
        <f>OBRA!S84</f>
        <v>41881</v>
      </c>
      <c r="T85" s="54"/>
      <c r="U85" s="248" t="s">
        <v>1431</v>
      </c>
      <c r="V85" s="480"/>
      <c r="W85" s="484"/>
      <c r="X85" s="305">
        <f>OBRA!AP84</f>
        <v>0</v>
      </c>
      <c r="Y85" s="341"/>
      <c r="Z85" s="341"/>
      <c r="AA85" s="5"/>
      <c r="AB85" s="351">
        <f>OBRA!BT84</f>
        <v>0</v>
      </c>
      <c r="AC85" s="569"/>
      <c r="AD85" s="569"/>
    </row>
    <row r="86" spans="1:30" ht="105.75" hidden="1" customHeight="1">
      <c r="A86" s="23" t="s">
        <v>2239</v>
      </c>
      <c r="B86" s="933" t="str">
        <f>GRAL!B87</f>
        <v>2012-2015</v>
      </c>
      <c r="C86" s="17">
        <f>OBRA!I85</f>
        <v>2014</v>
      </c>
      <c r="D86" s="1676"/>
      <c r="E86" s="18" t="str">
        <f>OBRA!K85</f>
        <v>RAMO 33</v>
      </c>
      <c r="F86" s="477" t="s">
        <v>1431</v>
      </c>
      <c r="G86" s="541"/>
      <c r="H86" s="482"/>
      <c r="I86" s="483"/>
      <c r="J86" s="228" t="str">
        <f>OBRA!U85</f>
        <v>-</v>
      </c>
      <c r="K86" s="256" t="str">
        <f>OBRA!V85</f>
        <v>ING. RIGOBERTO OLMEDO RAMOS</v>
      </c>
      <c r="L86" s="48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80"/>
      <c r="P86" s="6">
        <f>OBRA!Q85</f>
        <v>41823</v>
      </c>
      <c r="Q86" s="4">
        <f>OBRA!P85</f>
        <v>191497.02</v>
      </c>
      <c r="R86" s="5">
        <f>OBRA!R85</f>
        <v>41865</v>
      </c>
      <c r="S86" s="12">
        <f>OBRA!S85</f>
        <v>41881</v>
      </c>
      <c r="T86" s="54"/>
      <c r="U86" s="248" t="s">
        <v>1431</v>
      </c>
      <c r="V86" s="480"/>
      <c r="W86" s="484"/>
      <c r="X86" s="305">
        <f>OBRA!AP85</f>
        <v>0</v>
      </c>
      <c r="Y86" s="341"/>
      <c r="Z86" s="341"/>
      <c r="AA86" s="5"/>
      <c r="AB86" s="351">
        <f>OBRA!BT85</f>
        <v>0</v>
      </c>
      <c r="AC86" s="569"/>
      <c r="AD86" s="569"/>
    </row>
    <row r="87" spans="1:30" ht="90.75" hidden="1" customHeight="1">
      <c r="A87" s="23" t="s">
        <v>2239</v>
      </c>
      <c r="B87" s="933" t="str">
        <f>GRAL!B88</f>
        <v>2012-2015</v>
      </c>
      <c r="C87" s="17">
        <f>OBRA!I86</f>
        <v>2014</v>
      </c>
      <c r="D87" s="1676"/>
      <c r="E87" s="18" t="str">
        <f>OBRA!K86</f>
        <v>RAMO 33</v>
      </c>
      <c r="F87" s="477" t="s">
        <v>1431</v>
      </c>
      <c r="G87" s="541"/>
      <c r="H87" s="482"/>
      <c r="I87" s="483"/>
      <c r="J87" s="228" t="str">
        <f>OBRA!U86</f>
        <v>-</v>
      </c>
      <c r="K87" s="256" t="str">
        <f>OBRA!V86</f>
        <v>ING. RIGOBERTO OLMEDO RAMOS</v>
      </c>
      <c r="L87" s="48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80"/>
      <c r="P87" s="6">
        <f>OBRA!Q86</f>
        <v>41823</v>
      </c>
      <c r="Q87" s="4">
        <f>OBRA!P86</f>
        <v>278434.27</v>
      </c>
      <c r="R87" s="5">
        <f>OBRA!R86</f>
        <v>41848</v>
      </c>
      <c r="S87" s="12">
        <f>OBRA!S86</f>
        <v>41912</v>
      </c>
      <c r="T87" s="54"/>
      <c r="U87" s="248" t="s">
        <v>1431</v>
      </c>
      <c r="V87" s="480"/>
      <c r="W87" s="484"/>
      <c r="X87" s="305">
        <f>OBRA!AP86</f>
        <v>0</v>
      </c>
      <c r="Y87" s="341"/>
      <c r="Z87" s="341"/>
      <c r="AA87" s="5"/>
      <c r="AB87" s="351">
        <f>OBRA!BT86</f>
        <v>0</v>
      </c>
      <c r="AC87" s="569"/>
      <c r="AD87" s="569"/>
    </row>
    <row r="88" spans="1:30" ht="90.75" hidden="1" customHeight="1">
      <c r="A88" s="23" t="s">
        <v>2239</v>
      </c>
      <c r="B88" s="933" t="str">
        <f>GRAL!B89</f>
        <v>2012-2015</v>
      </c>
      <c r="C88" s="17">
        <f>OBRA!I87</f>
        <v>2014</v>
      </c>
      <c r="D88" s="1676"/>
      <c r="E88" s="18" t="str">
        <f>OBRA!K87</f>
        <v>RAMO 33</v>
      </c>
      <c r="F88" s="477" t="s">
        <v>1431</v>
      </c>
      <c r="G88" s="541"/>
      <c r="H88" s="482"/>
      <c r="I88" s="483"/>
      <c r="J88" s="228" t="str">
        <f>OBRA!U87</f>
        <v>-</v>
      </c>
      <c r="K88" s="256" t="str">
        <f>OBRA!V87</f>
        <v>ING. RIGOBERTO OLMEDO RAMOS</v>
      </c>
      <c r="L88" s="48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80"/>
      <c r="P88" s="6">
        <f>OBRA!Q87</f>
        <v>41823</v>
      </c>
      <c r="Q88" s="4">
        <f>OBRA!P87</f>
        <v>231798.06</v>
      </c>
      <c r="R88" s="5">
        <f>OBRA!R87</f>
        <v>41862</v>
      </c>
      <c r="S88" s="12">
        <f>OBRA!S87</f>
        <v>41912</v>
      </c>
      <c r="T88" s="54"/>
      <c r="U88" s="248" t="s">
        <v>1431</v>
      </c>
      <c r="V88" s="480"/>
      <c r="W88" s="484"/>
      <c r="X88" s="305">
        <f>OBRA!AP87</f>
        <v>0</v>
      </c>
      <c r="Y88" s="341"/>
      <c r="Z88" s="341"/>
      <c r="AA88" s="5"/>
      <c r="AB88" s="351">
        <f>OBRA!BT87</f>
        <v>0</v>
      </c>
      <c r="AC88" s="569"/>
      <c r="AD88" s="569"/>
    </row>
    <row r="89" spans="1:30" s="326" customFormat="1" ht="204.75" hidden="1" customHeight="1">
      <c r="A89" s="336" t="s">
        <v>2239</v>
      </c>
      <c r="B89" s="981" t="str">
        <f>GRAL!B90</f>
        <v>2012-2015</v>
      </c>
      <c r="C89" s="315">
        <f>OBRA!I88</f>
        <v>2014</v>
      </c>
      <c r="D89" s="894"/>
      <c r="E89" s="533" t="str">
        <f>OBRA!K88</f>
        <v>CUENTA CORRIENTE</v>
      </c>
      <c r="F89" s="535" t="s">
        <v>1431</v>
      </c>
      <c r="G89" s="540" t="s">
        <v>2246</v>
      </c>
      <c r="H89" s="496" t="s">
        <v>2247</v>
      </c>
      <c r="I89" s="497" t="s">
        <v>2248</v>
      </c>
      <c r="J89" s="338" t="str">
        <f>OBRA!U88</f>
        <v>JOSE LUIS RANGEL GALVEZ</v>
      </c>
      <c r="K89" s="334" t="str">
        <f>OBRA!V88</f>
        <v>C. DANIEL RODRIGUEZ VALENZUELA</v>
      </c>
      <c r="L89" s="481" t="str">
        <f>OBRA!L88</f>
        <v>GMJ 006C OP/2014</v>
      </c>
      <c r="M89" s="318" t="str">
        <f>OBRA!M88</f>
        <v>ADJUDICACIÓN DIRECTA</v>
      </c>
      <c r="N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OBRA!Q88</f>
        <v>41901</v>
      </c>
      <c r="Q89" s="320">
        <f>OBRA!P88</f>
        <v>425152.03</v>
      </c>
      <c r="R89" s="322">
        <f>OBRA!R88</f>
        <v>41904</v>
      </c>
      <c r="S89" s="323">
        <f>OBRA!S88</f>
        <v>41941</v>
      </c>
      <c r="T89" s="404"/>
      <c r="U89" s="926" t="s">
        <v>1431</v>
      </c>
      <c r="V89" s="918" t="s">
        <v>2250</v>
      </c>
      <c r="W89" s="918" t="s">
        <v>2250</v>
      </c>
      <c r="X89" s="918" t="s">
        <v>2251</v>
      </c>
      <c r="Y89" s="342"/>
      <c r="Z89" s="342"/>
      <c r="AA89" s="322"/>
      <c r="AB89" s="928">
        <f>OBRA!BT88</f>
        <v>0</v>
      </c>
      <c r="AC89" s="929"/>
      <c r="AD89" s="929" t="s">
        <v>551</v>
      </c>
    </row>
    <row r="90" spans="1:30" ht="60.75" hidden="1" customHeight="1">
      <c r="A90" s="23" t="s">
        <v>2239</v>
      </c>
      <c r="B90" s="933" t="str">
        <f>GRAL!B91</f>
        <v>2012-2015</v>
      </c>
      <c r="C90" s="17">
        <f>OBRA!I89</f>
        <v>2014</v>
      </c>
      <c r="D90" s="1676"/>
      <c r="E90" s="18" t="str">
        <f>OBRA!K89</f>
        <v>CUENTA CORRIENTE</v>
      </c>
      <c r="F90" s="477" t="s">
        <v>1431</v>
      </c>
      <c r="G90" s="541"/>
      <c r="H90" s="482"/>
      <c r="I90" s="483"/>
      <c r="J90" s="228" t="str">
        <f>OBRA!U89</f>
        <v>-</v>
      </c>
      <c r="K90" s="256" t="str">
        <f>OBRA!V89</f>
        <v>C. DANIEL RODRIGUEZ VALENZUELA</v>
      </c>
      <c r="L90" s="481" t="str">
        <f>OBRA!L89</f>
        <v>DOP/AD/039/2014</v>
      </c>
      <c r="M90" s="2" t="str">
        <f>OBRA!M89</f>
        <v>ADMINISTRACIÓN DIRECTA</v>
      </c>
      <c r="N90" s="3" t="str">
        <f>OBRA!N89</f>
        <v>CONSTRUCCION DE PLAZOLETA EN CALLE HIDALGO, EN LA DELEGACION DE SAN PERO TESISTAN, DEL MUNICIPIO DE JOCOTEPEC, JALISCO</v>
      </c>
      <c r="O90" s="480"/>
      <c r="P90" s="6">
        <f>OBRA!Q89</f>
        <v>41974</v>
      </c>
      <c r="Q90" s="4">
        <f>OBRA!P89</f>
        <v>40000</v>
      </c>
      <c r="R90" s="5">
        <f>OBRA!R89</f>
        <v>41976</v>
      </c>
      <c r="S90" s="12">
        <f>OBRA!S89</f>
        <v>41997</v>
      </c>
      <c r="T90" s="54"/>
      <c r="U90" s="248" t="s">
        <v>1431</v>
      </c>
      <c r="V90" s="480"/>
      <c r="W90" s="484"/>
      <c r="X90" s="305">
        <f>OBRA!AP89</f>
        <v>0</v>
      </c>
      <c r="Y90" s="341"/>
      <c r="Z90" s="341"/>
      <c r="AA90" s="5"/>
      <c r="AB90" s="351">
        <f>OBRA!BT89</f>
        <v>0</v>
      </c>
      <c r="AC90" s="569"/>
      <c r="AD90" s="569"/>
    </row>
    <row r="91" spans="1:30" ht="30.75" hidden="1" customHeight="1">
      <c r="A91" s="23" t="s">
        <v>2239</v>
      </c>
      <c r="B91" s="933" t="str">
        <f>GRAL!B92</f>
        <v>2012-2015</v>
      </c>
      <c r="C91" s="17">
        <f>OBRA!I90</f>
        <v>2014</v>
      </c>
      <c r="D91" s="1676"/>
      <c r="E91" s="18" t="str">
        <f>OBRA!K90</f>
        <v>CUENTA CORRIENTE</v>
      </c>
      <c r="F91" s="477" t="s">
        <v>1431</v>
      </c>
      <c r="G91" s="541"/>
      <c r="H91" s="482"/>
      <c r="I91" s="483"/>
      <c r="J91" s="228" t="str">
        <f>OBRA!U90</f>
        <v>-</v>
      </c>
      <c r="K91" s="256">
        <f>OBRA!V90</f>
        <v>0</v>
      </c>
      <c r="L91" s="481" t="str">
        <f>OBRA!L90</f>
        <v>DOP/AD/040/2014</v>
      </c>
      <c r="M91" s="2" t="str">
        <f>OBRA!M90</f>
        <v>ADMINISTRACIÓN DIRECTA</v>
      </c>
      <c r="N91" s="3" t="str">
        <f>OBRA!N90</f>
        <v>APOYO PARA LA CONSTRUCCION DE ESCATOPISTAS EN EL MALECON</v>
      </c>
      <c r="O91" s="480"/>
      <c r="P91" s="6">
        <f>OBRA!Q90</f>
        <v>41974</v>
      </c>
      <c r="Q91" s="4">
        <f>OBRA!P90</f>
        <v>15000</v>
      </c>
      <c r="R91" s="5">
        <f>OBRA!R90</f>
        <v>41981</v>
      </c>
      <c r="S91" s="12">
        <f>OBRA!S90</f>
        <v>41995</v>
      </c>
      <c r="T91" s="54"/>
      <c r="U91" s="248" t="s">
        <v>1431</v>
      </c>
      <c r="V91" s="480"/>
      <c r="W91" s="484"/>
      <c r="X91" s="305">
        <f>OBRA!AP90</f>
        <v>0</v>
      </c>
      <c r="Y91" s="341"/>
      <c r="Z91" s="341"/>
      <c r="AA91" s="5"/>
      <c r="AB91" s="351">
        <f>OBRA!BT90</f>
        <v>0</v>
      </c>
      <c r="AC91" s="569"/>
      <c r="AD91" s="569"/>
    </row>
    <row r="92" spans="1:30" ht="75.75" hidden="1" customHeight="1">
      <c r="A92" s="23" t="s">
        <v>2239</v>
      </c>
      <c r="B92" s="933" t="str">
        <f>GRAL!B93</f>
        <v>2012-2015</v>
      </c>
      <c r="C92" s="17">
        <f>OBRA!I91</f>
        <v>2014</v>
      </c>
      <c r="D92" s="1676"/>
      <c r="E92" s="18" t="str">
        <f>OBRA!K91</f>
        <v>CUENTA CORRIENTE</v>
      </c>
      <c r="F92" s="477" t="s">
        <v>1431</v>
      </c>
      <c r="G92" s="541"/>
      <c r="H92" s="482"/>
      <c r="I92" s="483"/>
      <c r="J92" s="228" t="str">
        <f>OBRA!U91</f>
        <v>-</v>
      </c>
      <c r="K92" s="256">
        <f>OBRA!V91</f>
        <v>0</v>
      </c>
      <c r="L92" s="481" t="str">
        <f>OBRA!L91</f>
        <v>DOP/AD/041/2014</v>
      </c>
      <c r="M92" s="2" t="str">
        <f>OBRA!M91</f>
        <v>ADMINISTRACIÓN DIRECTA</v>
      </c>
      <c r="N92" s="3" t="str">
        <f>OBRA!N91</f>
        <v>DEMOLICION Y REUBICACION DE NICHO DE IMAGEN RELIGIOSA EN PRIVADA ALLENDE ESQUINA MORELOS, EN AGENCIA DE CHANTEPEC</v>
      </c>
      <c r="O92" s="480"/>
      <c r="P92" s="6">
        <f>OBRA!Q91</f>
        <v>41974</v>
      </c>
      <c r="Q92" s="4">
        <f>OBRA!P91</f>
        <v>15000</v>
      </c>
      <c r="R92" s="5">
        <f>OBRA!R91</f>
        <v>41981</v>
      </c>
      <c r="S92" s="12">
        <f>OBRA!S91</f>
        <v>41988</v>
      </c>
      <c r="T92" s="54"/>
      <c r="U92" s="248" t="s">
        <v>1431</v>
      </c>
      <c r="V92" s="480"/>
      <c r="W92" s="484"/>
      <c r="X92" s="305">
        <f>OBRA!AP91</f>
        <v>0</v>
      </c>
      <c r="Y92" s="341"/>
      <c r="Z92" s="341"/>
      <c r="AA92" s="5"/>
      <c r="AB92" s="351">
        <f>OBRA!BT91</f>
        <v>0</v>
      </c>
      <c r="AC92" s="569"/>
      <c r="AD92" s="569"/>
    </row>
    <row r="93" spans="1:30" ht="60.75" hidden="1" customHeight="1">
      <c r="A93" s="23" t="s">
        <v>2239</v>
      </c>
      <c r="B93" s="933" t="str">
        <f>GRAL!B94</f>
        <v>2012-2015</v>
      </c>
      <c r="C93" s="17">
        <f>OBRA!I92</f>
        <v>2014</v>
      </c>
      <c r="D93" s="1676"/>
      <c r="E93" s="18" t="str">
        <f>OBRA!K92</f>
        <v>FISE</v>
      </c>
      <c r="F93" s="14"/>
      <c r="G93" s="541"/>
      <c r="H93" s="482"/>
      <c r="I93" s="483"/>
      <c r="J93" s="228" t="str">
        <f>OBRA!U92</f>
        <v>SIOP</v>
      </c>
      <c r="K93" s="256" t="str">
        <f>OBRA!V92</f>
        <v>SIOP</v>
      </c>
      <c r="L93" s="481" t="str">
        <f>OBRA!L92</f>
        <v>CONT X ESTADO</v>
      </c>
      <c r="M93" s="2" t="str">
        <f>OBRA!M92</f>
        <v>CONT X ESTADO</v>
      </c>
      <c r="N93" s="3" t="str">
        <f>OBRA!N92</f>
        <v>CONSTRUCCION DE RED DE AGUA POTABLE, DRENAJE SANITARIO Y/O ELECTRIFICACIÓN EN AV. TULE, ZAPOTITAN DE HIDALGO</v>
      </c>
      <c r="O93" s="480"/>
      <c r="P93" s="6" t="str">
        <f>OBRA!Q92</f>
        <v>-</v>
      </c>
      <c r="Q93" s="4" t="str">
        <f>OBRA!P92</f>
        <v>-</v>
      </c>
      <c r="R93" s="5" t="str">
        <f>OBRA!R92</f>
        <v>-</v>
      </c>
      <c r="S93" s="12" t="str">
        <f>OBRA!S92</f>
        <v>-</v>
      </c>
      <c r="T93" s="54"/>
      <c r="U93" s="248" t="s">
        <v>1431</v>
      </c>
      <c r="V93" s="480"/>
      <c r="W93" s="484"/>
      <c r="X93" s="305">
        <f>OBRA!AP92</f>
        <v>0</v>
      </c>
      <c r="Y93" s="341"/>
      <c r="Z93" s="341"/>
      <c r="AA93" s="5"/>
      <c r="AB93" s="351">
        <f>OBRA!BT92</f>
        <v>0</v>
      </c>
      <c r="AC93" s="569"/>
      <c r="AD93" s="569"/>
    </row>
    <row r="94" spans="1:30" ht="60.75" hidden="1" customHeight="1">
      <c r="A94" s="23" t="s">
        <v>2239</v>
      </c>
      <c r="B94" s="933" t="str">
        <f>GRAL!B95</f>
        <v>2012-2015</v>
      </c>
      <c r="C94" s="17">
        <f>OBRA!I93</f>
        <v>2014</v>
      </c>
      <c r="D94" s="1676"/>
      <c r="E94" s="18" t="str">
        <f>OBRA!K93</f>
        <v>FISE</v>
      </c>
      <c r="F94" s="525"/>
      <c r="G94" s="541"/>
      <c r="H94" s="482"/>
      <c r="I94" s="483"/>
      <c r="J94" s="228" t="str">
        <f>OBRA!U93</f>
        <v>SIOP</v>
      </c>
      <c r="K94" s="256" t="str">
        <f>OBRA!V93</f>
        <v>SIOP</v>
      </c>
      <c r="L94" s="481" t="str">
        <f>OBRA!L93</f>
        <v>CONT X ESTADO</v>
      </c>
      <c r="M94" s="2" t="str">
        <f>OBRA!M93</f>
        <v>CONT X ESTADO</v>
      </c>
      <c r="N94" s="3" t="str">
        <f>OBRA!N93</f>
        <v>CONSTRUCCION DE RED DE AGUA POTABLE, DRENAJE SANITARIO Y/O ELECTRIFICACIÓN EN AV. TULE 2, ZAPOTITAN DE HIDALGO</v>
      </c>
      <c r="O94" s="480"/>
      <c r="P94" s="6" t="str">
        <f>OBRA!Q93</f>
        <v>-</v>
      </c>
      <c r="Q94" s="4" t="str">
        <f>OBRA!P93</f>
        <v>-</v>
      </c>
      <c r="R94" s="5" t="str">
        <f>OBRA!R93</f>
        <v>-</v>
      </c>
      <c r="S94" s="12" t="str">
        <f>OBRA!S93</f>
        <v>-</v>
      </c>
      <c r="T94" s="54"/>
      <c r="U94" s="248" t="s">
        <v>1431</v>
      </c>
      <c r="V94" s="480"/>
      <c r="W94" s="484"/>
      <c r="X94" s="305">
        <f>OBRA!AP93</f>
        <v>0</v>
      </c>
      <c r="Y94" s="341"/>
      <c r="Z94" s="341"/>
      <c r="AA94" s="5"/>
      <c r="AB94" s="351">
        <f>OBRA!BT93</f>
        <v>0</v>
      </c>
      <c r="AC94" s="569"/>
      <c r="AD94" s="569"/>
    </row>
    <row r="95" spans="1:30" ht="75.75" hidden="1" customHeight="1">
      <c r="A95" s="23" t="s">
        <v>2239</v>
      </c>
      <c r="B95" s="933" t="str">
        <f>GRAL!B96</f>
        <v>2012-2015</v>
      </c>
      <c r="C95" s="17">
        <f>OBRA!I94</f>
        <v>2014</v>
      </c>
      <c r="D95" s="1676"/>
      <c r="E95" s="18" t="str">
        <f>OBRA!K94</f>
        <v>FISE</v>
      </c>
      <c r="F95" s="525"/>
      <c r="G95" s="541"/>
      <c r="H95" s="482"/>
      <c r="I95" s="483"/>
      <c r="J95" s="228" t="str">
        <f>OBRA!U94</f>
        <v>SIOP</v>
      </c>
      <c r="K95" s="256" t="str">
        <f>OBRA!V94</f>
        <v>SIOP</v>
      </c>
      <c r="L95" s="481" t="str">
        <f>OBRA!L94</f>
        <v>CONT X ESTADO</v>
      </c>
      <c r="M95" s="2" t="str">
        <f>OBRA!M94</f>
        <v>CONT X ESTADO</v>
      </c>
      <c r="N95" s="3" t="str">
        <f>OBRA!N94</f>
        <v>CONSTRUCCION DE RED DE AGUA POTABLE, DRENAJE SANITARIO Y/O ELECTRIFICACIÓN EN C. FRATERNIDAD, ZAPOTITAN DE HIDALGO</v>
      </c>
      <c r="O95" s="480"/>
      <c r="P95" s="6" t="str">
        <f>OBRA!Q94</f>
        <v>-</v>
      </c>
      <c r="Q95" s="4" t="str">
        <f>OBRA!P94</f>
        <v>-</v>
      </c>
      <c r="R95" s="5" t="str">
        <f>OBRA!R94</f>
        <v>-</v>
      </c>
      <c r="S95" s="12" t="str">
        <f>OBRA!S94</f>
        <v>-</v>
      </c>
      <c r="T95" s="54"/>
      <c r="U95" s="248" t="s">
        <v>1431</v>
      </c>
      <c r="V95" s="480"/>
      <c r="W95" s="484"/>
      <c r="X95" s="305">
        <f>OBRA!AP94</f>
        <v>0</v>
      </c>
      <c r="Y95" s="341"/>
      <c r="Z95" s="341"/>
      <c r="AA95" s="5"/>
      <c r="AB95" s="351">
        <f>OBRA!BT94</f>
        <v>0</v>
      </c>
      <c r="AC95" s="569"/>
      <c r="AD95" s="569"/>
    </row>
    <row r="96" spans="1:30" s="326" customFormat="1" ht="77.25" hidden="1" customHeight="1">
      <c r="A96" s="336" t="s">
        <v>2239</v>
      </c>
      <c r="B96" s="981" t="str">
        <f>GRAL!B97</f>
        <v>2012-2015</v>
      </c>
      <c r="C96" s="315">
        <f>OBRA!I95</f>
        <v>2015</v>
      </c>
      <c r="D96" s="894"/>
      <c r="E96" s="337" t="str">
        <f>OBRA!K95</f>
        <v>RAMO 33</v>
      </c>
      <c r="F96" s="534" t="s">
        <v>1431</v>
      </c>
      <c r="G96" s="540" t="s">
        <v>2252</v>
      </c>
      <c r="H96" s="918" t="s">
        <v>2250</v>
      </c>
      <c r="I96" s="497" t="s">
        <v>2253</v>
      </c>
      <c r="J96" s="338" t="str">
        <f>OBRA!U95</f>
        <v>C. EFRAIN GONZALEZ CRUZ</v>
      </c>
      <c r="K96" s="334" t="str">
        <f>OBRA!V95</f>
        <v>ING. RIGOBERTO OLMEDO RAMOS</v>
      </c>
      <c r="L96" s="481" t="str">
        <f>OBRA!L95</f>
        <v>GMJ 001C OP/2015</v>
      </c>
      <c r="M96" s="318" t="str">
        <f>OBRA!M95</f>
        <v>ADJUDICACIÓN DIRECTA</v>
      </c>
      <c r="N96" s="319" t="str">
        <f>OBRA!N95</f>
        <v>ELECTRIFICACIÓN DE MEDIA Y BAJA TENSION EN EL BARRIO "LA BECERRERA", EN LA AGENCIA DE EL MOLINO</v>
      </c>
      <c r="O96" s="480" t="s">
        <v>1444</v>
      </c>
      <c r="P96" s="321">
        <f>OBRA!Q95</f>
        <v>42010</v>
      </c>
      <c r="Q96" s="320">
        <f>OBRA!P95</f>
        <v>265913.18</v>
      </c>
      <c r="R96" s="322">
        <f>OBRA!R95</f>
        <v>42016</v>
      </c>
      <c r="S96" s="323">
        <f>OBRA!S95</f>
        <v>42030</v>
      </c>
      <c r="T96" s="404"/>
      <c r="U96" s="926" t="s">
        <v>1431</v>
      </c>
      <c r="V96" s="498" t="s">
        <v>1448</v>
      </c>
      <c r="W96" s="499" t="s">
        <v>2254</v>
      </c>
      <c r="X96" s="927">
        <f>OBRA!AP95</f>
        <v>26591.360000000001</v>
      </c>
      <c r="Y96" s="342"/>
      <c r="Z96" s="342"/>
      <c r="AA96" s="322"/>
      <c r="AB96" s="928">
        <f>OBRA!BT95</f>
        <v>0</v>
      </c>
      <c r="AC96" s="929"/>
      <c r="AD96" s="929" t="s">
        <v>551</v>
      </c>
    </row>
    <row r="97" spans="1:30" s="326" customFormat="1" ht="101.25" hidden="1" customHeight="1">
      <c r="A97" s="336" t="s">
        <v>2239</v>
      </c>
      <c r="B97" s="981" t="str">
        <f>GRAL!B98</f>
        <v>2012-2015</v>
      </c>
      <c r="C97" s="315">
        <f>OBRA!I96</f>
        <v>2015</v>
      </c>
      <c r="D97" s="894"/>
      <c r="E97" s="337" t="str">
        <f>OBRA!K96</f>
        <v>CUENTA CORRIENTE</v>
      </c>
      <c r="F97" s="534" t="s">
        <v>1431</v>
      </c>
      <c r="G97" s="540" t="s">
        <v>2255</v>
      </c>
      <c r="H97" s="918" t="s">
        <v>2250</v>
      </c>
      <c r="I97" s="497" t="s">
        <v>2256</v>
      </c>
      <c r="J97" s="338" t="str">
        <f>OBRA!U96</f>
        <v>HIDRAULICOS TRUJILLO S.A. DE C.V.</v>
      </c>
      <c r="K97" s="334" t="str">
        <f>OBRA!V96</f>
        <v>ING. RIGOBERTO OLMEDO RAMOS</v>
      </c>
      <c r="L97" s="481" t="str">
        <f>OBRA!L96</f>
        <v>GMJ 002C OP/2015</v>
      </c>
      <c r="M97" s="318" t="str">
        <f>OBRA!M96</f>
        <v>ADJUDICACIÓN DIRECTA</v>
      </c>
      <c r="N97" s="319" t="str">
        <f>OBRA!N96</f>
        <v>CONEXIÓN DE DRENAJE A PLANTA DE TRATAMIENTO PARALELO A CARRETERA CHAPALA-JOCOTEPEC, EN LA LOCALIDD DE: SAN JUAN COSALA</v>
      </c>
      <c r="O97" s="509" t="s">
        <v>1451</v>
      </c>
      <c r="P97" s="321">
        <f>OBRA!Q96</f>
        <v>42006</v>
      </c>
      <c r="Q97" s="320">
        <f>OBRA!P96</f>
        <v>95412.78</v>
      </c>
      <c r="R97" s="322">
        <f>OBRA!R96</f>
        <v>42006</v>
      </c>
      <c r="S97" s="323">
        <f>OBRA!S96</f>
        <v>42015</v>
      </c>
      <c r="T97" s="404"/>
      <c r="U97" s="926" t="s">
        <v>1431</v>
      </c>
      <c r="V97" s="498" t="s">
        <v>1456</v>
      </c>
      <c r="W97" s="499" t="s">
        <v>2257</v>
      </c>
      <c r="X97" s="927">
        <f>OBRA!AP96</f>
        <v>19082.560000000001</v>
      </c>
      <c r="Y97" s="342"/>
      <c r="Z97" s="342"/>
      <c r="AA97" s="322"/>
      <c r="AB97" s="928">
        <f>OBRA!BT96</f>
        <v>0</v>
      </c>
      <c r="AC97" s="929"/>
      <c r="AD97" s="929" t="s">
        <v>551</v>
      </c>
    </row>
    <row r="98" spans="1:30" ht="90.75" hidden="1" customHeight="1">
      <c r="A98" s="23" t="s">
        <v>2239</v>
      </c>
      <c r="B98" s="933" t="str">
        <f>GRAL!B99</f>
        <v>2012-2015</v>
      </c>
      <c r="C98" s="17">
        <f>OBRA!I97</f>
        <v>2015</v>
      </c>
      <c r="D98" s="1676"/>
      <c r="E98" s="18" t="str">
        <f>OBRA!K97</f>
        <v>RAMO 33</v>
      </c>
      <c r="F98" s="534" t="s">
        <v>1431</v>
      </c>
      <c r="G98" s="541"/>
      <c r="H98" s="482"/>
      <c r="I98" s="483"/>
      <c r="J98" s="228" t="str">
        <f>OBRA!U97</f>
        <v>G I LANDING S.A. DE C.V.</v>
      </c>
      <c r="K98" s="256" t="str">
        <f>OBRA!V97</f>
        <v>C. DANIEL RODRIGUEZ VALENZUELA</v>
      </c>
      <c r="L98" s="481" t="str">
        <f>OBRA!L97</f>
        <v>GMJ 003C OP/2015</v>
      </c>
      <c r="M98" s="2" t="str">
        <f>OBRA!M97</f>
        <v>INVITACIÓN</v>
      </c>
      <c r="N98" s="3" t="str">
        <f>OBRA!N97</f>
        <v>PERFORACIÓN, ADEME, AFORO, ELECTRIFICACIÓN Y EQUIPAMIENTO DE POZO PROFUNDO Y CONSTRUCCION DE CASETA DE CONTROL EN LA AGENCIA DE SAN LUCIANO</v>
      </c>
      <c r="O98" s="480"/>
      <c r="P98" s="6">
        <f>OBRA!Q97</f>
        <v>42046</v>
      </c>
      <c r="Q98" s="4">
        <f>OBRA!P97</f>
        <v>2359096.67</v>
      </c>
      <c r="R98" s="5">
        <f>OBRA!R97</f>
        <v>42051</v>
      </c>
      <c r="S98" s="12">
        <f>OBRA!S97</f>
        <v>42080</v>
      </c>
      <c r="T98" s="54"/>
      <c r="U98" s="248" t="s">
        <v>1431</v>
      </c>
      <c r="V98" s="480"/>
      <c r="W98" s="484"/>
      <c r="X98" s="305">
        <f>OBRA!AP97</f>
        <v>0</v>
      </c>
      <c r="Y98" s="341"/>
      <c r="Z98" s="341"/>
      <c r="AA98" s="5"/>
      <c r="AB98" s="351">
        <f>OBRA!BT97</f>
        <v>0</v>
      </c>
      <c r="AC98" s="569"/>
      <c r="AD98" s="569"/>
    </row>
    <row r="99" spans="1:30" s="326" customFormat="1" ht="61.5" hidden="1" customHeight="1">
      <c r="A99" s="336" t="s">
        <v>2239</v>
      </c>
      <c r="B99" s="981" t="str">
        <f>GRAL!B100</f>
        <v>2012-2015</v>
      </c>
      <c r="C99" s="315">
        <f>OBRA!I98</f>
        <v>2015</v>
      </c>
      <c r="D99" s="894"/>
      <c r="E99" s="337" t="str">
        <f>OBRA!K98</f>
        <v>RAMO 33</v>
      </c>
      <c r="F99" s="534" t="s">
        <v>1431</v>
      </c>
      <c r="G99" s="540" t="s">
        <v>2258</v>
      </c>
      <c r="H99" s="496" t="s">
        <v>1467</v>
      </c>
      <c r="I99" s="497" t="s">
        <v>2259</v>
      </c>
      <c r="J99" s="338" t="str">
        <f>OBRA!U98</f>
        <v>GECLAN, S.A. DE C.V.</v>
      </c>
      <c r="K99" s="334" t="str">
        <f>OBRA!V98</f>
        <v>C. DANIEL RODRIGUEZ VALENZUELA</v>
      </c>
      <c r="L99" s="481" t="str">
        <f>OBRA!L98</f>
        <v>GMJ 004C OP/2015</v>
      </c>
      <c r="M99" s="318" t="str">
        <f>OBRA!M98</f>
        <v>ADJUDICACIÓN DIRECTA</v>
      </c>
      <c r="N99" s="319" t="str">
        <f>OBRA!N98</f>
        <v>ELECTRIFICACIÓN DE POZO PROFUNDO  EN LA AGENCIA DE SAN LUCIANO</v>
      </c>
      <c r="O99" s="509" t="s">
        <v>1465</v>
      </c>
      <c r="P99" s="321">
        <f>OBRA!Q98</f>
        <v>42209</v>
      </c>
      <c r="Q99" s="320">
        <f>OBRA!P98</f>
        <v>260536.84</v>
      </c>
      <c r="R99" s="322">
        <f>OBRA!R98</f>
        <v>42212</v>
      </c>
      <c r="S99" s="323">
        <f>OBRA!S98</f>
        <v>42225</v>
      </c>
      <c r="T99" s="404"/>
      <c r="U99" s="926" t="s">
        <v>1431</v>
      </c>
      <c r="V99" s="498" t="s">
        <v>1468</v>
      </c>
      <c r="W99" s="499" t="s">
        <v>2260</v>
      </c>
      <c r="X99" s="927">
        <f>OBRA!AP98</f>
        <v>26053.68</v>
      </c>
      <c r="Y99" s="342"/>
      <c r="Z99" s="342"/>
      <c r="AA99" s="322"/>
      <c r="AB99" s="928">
        <f>OBRA!BT98</f>
        <v>0</v>
      </c>
      <c r="AC99" s="929"/>
      <c r="AD99" s="929" t="s">
        <v>551</v>
      </c>
    </row>
    <row r="100" spans="1:30" s="326" customFormat="1" ht="99" hidden="1" customHeight="1">
      <c r="A100" s="336" t="s">
        <v>2239</v>
      </c>
      <c r="B100" s="981" t="str">
        <f>GRAL!B101</f>
        <v>2012-2015</v>
      </c>
      <c r="C100" s="315">
        <f>OBRA!I99</f>
        <v>2015</v>
      </c>
      <c r="D100" s="894"/>
      <c r="E100" s="337" t="str">
        <f>OBRA!K99</f>
        <v>RAMO 33</v>
      </c>
      <c r="F100" s="534" t="s">
        <v>1431</v>
      </c>
      <c r="G100" s="540" t="s">
        <v>2261</v>
      </c>
      <c r="H100" s="496" t="s">
        <v>1472</v>
      </c>
      <c r="I100" s="497" t="s">
        <v>2262</v>
      </c>
      <c r="J100" s="338" t="str">
        <f>OBRA!U99</f>
        <v>C. EFRAIN GONZALEZ CRUZ</v>
      </c>
      <c r="K100" s="334" t="str">
        <f>OBRA!V99</f>
        <v>ING. RIGOBERTO OLMEDO RAMOS</v>
      </c>
      <c r="L100" s="481" t="str">
        <f>OBRA!L99</f>
        <v>GMJ 005C OP/2015</v>
      </c>
      <c r="M100" s="318" t="str">
        <f>OBRA!M99</f>
        <v>ADJUDICACIÓN DIRECTA</v>
      </c>
      <c r="N100" s="319" t="str">
        <f>OBRA!N99</f>
        <v>ELECTRIFICACIÓN DE MEDIA Y BAJA TENSION EN CALLES RAMÓN CORONA Y 12 DE OCTUBRE (BARRIO MEZQUITITO 1ER. ETAPA) EN LA DELEGACIÓN DE POTRERILLOS</v>
      </c>
      <c r="O100" s="509" t="s">
        <v>1470</v>
      </c>
      <c r="P100" s="321">
        <f>OBRA!Q99</f>
        <v>42047</v>
      </c>
      <c r="Q100" s="320">
        <f>OBRA!P99</f>
        <v>307899.96000000002</v>
      </c>
      <c r="R100" s="322">
        <f>OBRA!R99</f>
        <v>42051</v>
      </c>
      <c r="S100" s="323">
        <f>OBRA!S99</f>
        <v>42065</v>
      </c>
      <c r="T100" s="404"/>
      <c r="U100" s="926" t="s">
        <v>1431</v>
      </c>
      <c r="V100" s="498" t="s">
        <v>1473</v>
      </c>
      <c r="W100" s="499" t="s">
        <v>2263</v>
      </c>
      <c r="X100" s="927">
        <f>OBRA!AP99</f>
        <v>36948</v>
      </c>
      <c r="Y100" s="342"/>
      <c r="Z100" s="342"/>
      <c r="AA100" s="322"/>
      <c r="AB100" s="928">
        <f>OBRA!BT99</f>
        <v>0</v>
      </c>
      <c r="AC100" s="929"/>
      <c r="AD100" s="929" t="s">
        <v>551</v>
      </c>
    </row>
    <row r="101" spans="1:30" s="326" customFormat="1" ht="74.25" hidden="1" customHeight="1">
      <c r="A101" s="336" t="s">
        <v>2239</v>
      </c>
      <c r="B101" s="981" t="str">
        <f>GRAL!B102</f>
        <v>2012-2015</v>
      </c>
      <c r="C101" s="315">
        <f>OBRA!I100</f>
        <v>2015</v>
      </c>
      <c r="D101" s="894"/>
      <c r="E101" s="337" t="str">
        <f>OBRA!K100</f>
        <v>RAMO 33</v>
      </c>
      <c r="F101" s="534" t="s">
        <v>1431</v>
      </c>
      <c r="G101" s="540" t="s">
        <v>2264</v>
      </c>
      <c r="H101" s="496" t="s">
        <v>1475</v>
      </c>
      <c r="I101" s="497" t="s">
        <v>2265</v>
      </c>
      <c r="J101" s="338" t="str">
        <f>OBRA!U100</f>
        <v>C. EFRAIN GONZALEZ CRUZ</v>
      </c>
      <c r="K101" s="334" t="str">
        <f>OBRA!V100</f>
        <v>ING. RIGOBERTO OLMEDO RAMOS</v>
      </c>
      <c r="L101" s="481" t="str">
        <f>OBRA!L100</f>
        <v>GMJ 006C OP/2015</v>
      </c>
      <c r="M101" s="318" t="str">
        <f>OBRA!M100</f>
        <v>ADJUDICACIÓN DIRECTA</v>
      </c>
      <c r="N101" s="319" t="str">
        <f>OBRA!N100</f>
        <v>ELECTRIFICACIÓN DE MEDIA Y BAJA TENSION EN EL BARRIO "LA BECERRERA" 2DA ETAPA, EN LA AGENCIA DE EL MOLINO</v>
      </c>
      <c r="O101" s="509" t="s">
        <v>1474</v>
      </c>
      <c r="P101" s="321">
        <f>OBRA!Q100</f>
        <v>42109</v>
      </c>
      <c r="Q101" s="320">
        <f>OBRA!P100</f>
        <v>422690.66</v>
      </c>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c r="AD101" s="929" t="s">
        <v>551</v>
      </c>
    </row>
    <row r="102" spans="1:30" s="326" customFormat="1" ht="63.75" hidden="1" customHeight="1">
      <c r="A102" s="336" t="s">
        <v>2239</v>
      </c>
      <c r="B102" s="981" t="str">
        <f>GRAL!B103</f>
        <v>2012-2015</v>
      </c>
      <c r="C102" s="315">
        <f>OBRA!I101</f>
        <v>2015</v>
      </c>
      <c r="D102" s="894"/>
      <c r="E102" s="337" t="str">
        <f>OBRA!K101</f>
        <v>RAMO 33</v>
      </c>
      <c r="F102" s="534" t="s">
        <v>1431</v>
      </c>
      <c r="G102" s="540" t="s">
        <v>2267</v>
      </c>
      <c r="H102" s="496" t="s">
        <v>1480</v>
      </c>
      <c r="I102" s="497" t="s">
        <v>2268</v>
      </c>
      <c r="J102" s="338" t="str">
        <f>OBRA!U101</f>
        <v>C. EFRAIN GONZALEZ CRUZ</v>
      </c>
      <c r="K102" s="334" t="str">
        <f>OBRA!V101</f>
        <v>ING. RIGOBERTO OLMEDO RAMOS</v>
      </c>
      <c r="L102" s="481" t="str">
        <f>OBRA!L101</f>
        <v>GMJ 011C OP/2015</v>
      </c>
      <c r="M102" s="318" t="str">
        <f>OBRA!M101</f>
        <v>ADJUDICACIÓN DIRECTA</v>
      </c>
      <c r="N102" s="319" t="str">
        <f>OBRA!N101</f>
        <v>ALUMBRADO PUBLICO AL INGRESO DEL POBLADO DE HUEJOTITAN</v>
      </c>
      <c r="O102" s="509" t="s">
        <v>1479</v>
      </c>
      <c r="P102" s="321">
        <f>OBRA!Q101</f>
        <v>42209</v>
      </c>
      <c r="Q102" s="320">
        <f>OBRA!P101</f>
        <v>1182630</v>
      </c>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c r="AD102" s="929" t="s">
        <v>551</v>
      </c>
    </row>
    <row r="103" spans="1:30" s="110" customFormat="1" ht="45.75" hidden="1" customHeight="1">
      <c r="A103" s="87" t="s">
        <v>2239</v>
      </c>
      <c r="B103" s="946" t="str">
        <f>GRAL!B104</f>
        <v>2012-2015</v>
      </c>
      <c r="C103" s="88">
        <f>OBRA!I102</f>
        <v>2015</v>
      </c>
      <c r="D103" s="893"/>
      <c r="E103" s="103" t="str">
        <f>OBRA!K102</f>
        <v>CUENTA CORRIENTE</v>
      </c>
      <c r="F103" s="392" t="s">
        <v>1431</v>
      </c>
      <c r="G103" s="948"/>
      <c r="H103" s="949"/>
      <c r="I103" s="950"/>
      <c r="J103" s="303" t="str">
        <f>OBRA!U102</f>
        <v>-</v>
      </c>
      <c r="K103" s="304">
        <f>OBRA!V102</f>
        <v>0</v>
      </c>
      <c r="L103" s="340" t="str">
        <f>OBRA!L102</f>
        <v>GMJ 011C OP/2015</v>
      </c>
      <c r="M103" s="203" t="str">
        <f>OBRA!M102</f>
        <v>CANCELADA</v>
      </c>
      <c r="N103" s="112" t="str">
        <f>OBRA!N102</f>
        <v>AMPLIACIÓN DE ELECTRIFICACION EN BARRIO EL TORIL DE ZAPOTITAN DE HIDALGO</v>
      </c>
      <c r="O103" s="938"/>
      <c r="P103" s="93" t="s">
        <v>68</v>
      </c>
      <c r="Q103" s="92">
        <f>OBRA!P102</f>
        <v>0</v>
      </c>
      <c r="R103" s="94" t="s">
        <v>68</v>
      </c>
      <c r="S103" s="95" t="s">
        <v>68</v>
      </c>
      <c r="T103" s="107"/>
      <c r="U103" s="107" t="s">
        <v>1431</v>
      </c>
      <c r="V103" s="938"/>
      <c r="W103" s="942"/>
      <c r="X103" s="947">
        <f>OBRA!AP102</f>
        <v>0</v>
      </c>
      <c r="Y103" s="343"/>
      <c r="Z103" s="343"/>
      <c r="AA103" s="94"/>
      <c r="AB103" s="511" t="str">
        <f>OBRA!BT102</f>
        <v>SE HIZO POR MANTENIMIENTO</v>
      </c>
      <c r="AC103" s="570"/>
      <c r="AD103" s="570"/>
    </row>
    <row r="104" spans="1:30" ht="75.75" hidden="1" customHeight="1">
      <c r="A104" s="23" t="s">
        <v>2239</v>
      </c>
      <c r="B104" s="933" t="str">
        <f>GRAL!B105</f>
        <v>2012-2015</v>
      </c>
      <c r="C104" s="17">
        <f>OBRA!I103</f>
        <v>2015</v>
      </c>
      <c r="D104" s="1676"/>
      <c r="E104" s="18" t="str">
        <f>OBRA!K103</f>
        <v>CUENTA CORRIENTE</v>
      </c>
      <c r="F104" s="14" t="s">
        <v>1431</v>
      </c>
      <c r="G104" s="541"/>
      <c r="H104" s="482"/>
      <c r="I104" s="483"/>
      <c r="J104" s="228" t="str">
        <f>OBRA!U103</f>
        <v>-</v>
      </c>
      <c r="K104" s="256" t="str">
        <f>OBRA!V103</f>
        <v>ING. RIGOBERTO OLMEDO RAMOS</v>
      </c>
      <c r="L104" s="481" t="str">
        <f>OBRA!L103</f>
        <v>DOP/AD/001/2015</v>
      </c>
      <c r="M104" s="2" t="str">
        <f>OBRA!M103</f>
        <v>ADMINISTRACIÓN DIRECTA</v>
      </c>
      <c r="N104" s="3" t="str">
        <f>OBRA!N103</f>
        <v>BACHEO CON MEZCLA ASFALTICA CALIENTE EN LAS CALLES ALLENDE, JUAREZ, HIDALGO Y PERO MORENO, EN LA DELEGCION DE ZAPOTITAN DE HIDALGO</v>
      </c>
      <c r="O104" s="480"/>
      <c r="P104" s="6">
        <f>OBRA!Q103</f>
        <v>42128</v>
      </c>
      <c r="Q104" s="4">
        <f>OBRA!P103</f>
        <v>92000</v>
      </c>
      <c r="R104" s="5">
        <f>OBRA!R103</f>
        <v>42128</v>
      </c>
      <c r="S104" s="12">
        <f>OBRA!S103</f>
        <v>42133</v>
      </c>
      <c r="T104" s="54"/>
      <c r="U104" s="248" t="s">
        <v>1431</v>
      </c>
      <c r="V104" s="480"/>
      <c r="W104" s="484"/>
      <c r="X104" s="305">
        <f>OBRA!AP103</f>
        <v>0</v>
      </c>
      <c r="Y104" s="341"/>
      <c r="Z104" s="341"/>
      <c r="AA104" s="5"/>
      <c r="AB104" s="351">
        <f>OBRA!BT103</f>
        <v>0</v>
      </c>
      <c r="AC104" s="569"/>
      <c r="AD104" s="569"/>
    </row>
    <row r="105" spans="1:30" ht="75.75" hidden="1" customHeight="1">
      <c r="A105" s="23" t="s">
        <v>2239</v>
      </c>
      <c r="B105" s="933" t="str">
        <f>GRAL!B106</f>
        <v>2012-2015</v>
      </c>
      <c r="C105" s="17">
        <f>OBRA!I104</f>
        <v>2015</v>
      </c>
      <c r="D105" s="1676"/>
      <c r="E105" s="18" t="str">
        <f>OBRA!K104</f>
        <v>CUENTA CORRIENTE</v>
      </c>
      <c r="F105" s="525" t="s">
        <v>1431</v>
      </c>
      <c r="G105" s="541"/>
      <c r="H105" s="482"/>
      <c r="I105" s="483"/>
      <c r="J105" s="228" t="str">
        <f>OBRA!U104</f>
        <v>-</v>
      </c>
      <c r="K105" s="256" t="str">
        <f>OBRA!V104</f>
        <v>JUAN CARLOS NAVARRO ROSALES</v>
      </c>
      <c r="L105" s="481" t="str">
        <f>OBRA!L104</f>
        <v>DOP/AD/002/2015</v>
      </c>
      <c r="M105" s="2" t="str">
        <f>OBRA!M104</f>
        <v>ADMINISTRACIÓN DIRECTA</v>
      </c>
      <c r="N105" s="3" t="str">
        <f>OBRA!N104</f>
        <v>CONSTRUCCION DE RED DE DRENAJE EN C. ZARAGOZA DE PRIVADA ZARAGOZA A AVENIDA DEL TRABAJO, EN LA DELEGACION DE SAN CRISTOBAL ZAPOTITLAN</v>
      </c>
      <c r="O105" s="480"/>
      <c r="P105" s="6">
        <f>OBRA!Q104</f>
        <v>42186</v>
      </c>
      <c r="Q105" s="4">
        <f>OBRA!P104</f>
        <v>180484.7</v>
      </c>
      <c r="R105" s="5">
        <f>OBRA!R104</f>
        <v>42186</v>
      </c>
      <c r="S105" s="12">
        <f>OBRA!S104</f>
        <v>42195</v>
      </c>
      <c r="T105" s="54"/>
      <c r="U105" s="248" t="s">
        <v>1431</v>
      </c>
      <c r="V105" s="480"/>
      <c r="W105" s="484"/>
      <c r="X105" s="305">
        <f>OBRA!AP104</f>
        <v>0</v>
      </c>
      <c r="Y105" s="341"/>
      <c r="Z105" s="341"/>
      <c r="AA105" s="5"/>
      <c r="AB105" s="351">
        <f>OBRA!BT104</f>
        <v>0</v>
      </c>
      <c r="AC105" s="569"/>
      <c r="AD105" s="569"/>
    </row>
    <row r="106" spans="1:30" ht="90.75" hidden="1" customHeight="1">
      <c r="A106" s="23" t="s">
        <v>2239</v>
      </c>
      <c r="B106" s="933" t="str">
        <f>GRAL!B107</f>
        <v>2012-2015</v>
      </c>
      <c r="C106" s="17">
        <f>OBRA!I105</f>
        <v>2015</v>
      </c>
      <c r="D106" s="1676"/>
      <c r="E106" s="18" t="str">
        <f>OBRA!K105</f>
        <v>CUENTA CORRIENTE</v>
      </c>
      <c r="F106" s="525" t="s">
        <v>1431</v>
      </c>
      <c r="G106" s="541"/>
      <c r="H106" s="482"/>
      <c r="I106" s="483"/>
      <c r="J106" s="228" t="str">
        <f>OBRA!U105</f>
        <v>-</v>
      </c>
      <c r="K106" s="256" t="str">
        <f>OBRA!V105</f>
        <v>JUAN CARLOS NAVARRO ROSALES</v>
      </c>
      <c r="L106" s="48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80"/>
      <c r="P106" s="6">
        <f>OBRA!Q105</f>
        <v>42186</v>
      </c>
      <c r="Q106" s="4">
        <f>OBRA!P105</f>
        <v>117631.84</v>
      </c>
      <c r="R106" s="5">
        <f>OBRA!R105</f>
        <v>42186</v>
      </c>
      <c r="S106" s="12">
        <f>OBRA!S105</f>
        <v>42195</v>
      </c>
      <c r="T106" s="54"/>
      <c r="U106" s="248" t="s">
        <v>1431</v>
      </c>
      <c r="V106" s="480"/>
      <c r="W106" s="484"/>
      <c r="X106" s="305">
        <f>OBRA!AP105</f>
        <v>0</v>
      </c>
      <c r="Y106" s="341"/>
      <c r="Z106" s="341"/>
      <c r="AA106" s="5"/>
      <c r="AB106" s="351">
        <f>OBRA!BT105</f>
        <v>0</v>
      </c>
      <c r="AC106" s="569"/>
      <c r="AD106" s="569"/>
    </row>
    <row r="107" spans="1:30" ht="75.75" hidden="1" customHeight="1">
      <c r="A107" s="23" t="s">
        <v>2239</v>
      </c>
      <c r="B107" s="933" t="str">
        <f>GRAL!B108</f>
        <v>2012-2015</v>
      </c>
      <c r="C107" s="17">
        <f>OBRA!I106</f>
        <v>2015</v>
      </c>
      <c r="D107" s="1676"/>
      <c r="E107" s="18" t="str">
        <f>OBRA!K106</f>
        <v>RAMO 33</v>
      </c>
      <c r="F107" s="525" t="s">
        <v>1431</v>
      </c>
      <c r="G107" s="541"/>
      <c r="H107" s="482"/>
      <c r="I107" s="483"/>
      <c r="J107" s="228" t="str">
        <f>OBRA!U106</f>
        <v>-</v>
      </c>
      <c r="K107" s="256" t="str">
        <f>OBRA!V106</f>
        <v>JUAN CARLOS NAVARRO ROSALES</v>
      </c>
      <c r="L107" s="481" t="str">
        <f>OBRA!L106</f>
        <v>DOP/AD/004/2015</v>
      </c>
      <c r="M107" s="2" t="str">
        <f>OBRA!M106</f>
        <v>ADMINISTRACIÓN DIRECTA</v>
      </c>
      <c r="N107" s="3" t="str">
        <f>OBRA!N106</f>
        <v>CONSTRUCCION DE RED DE DRENAJE EN C. VENUSTIANO CARRANZA Y JAVIER MINA DE C. ITURBIDE  A FRANCISCO VILLA, EN LA CABECERA MUNICIPAL</v>
      </c>
      <c r="O107" s="480"/>
      <c r="P107" s="6">
        <f>OBRA!Q106</f>
        <v>42193</v>
      </c>
      <c r="Q107" s="4">
        <f>OBRA!P106</f>
        <v>315420.59999999998</v>
      </c>
      <c r="R107" s="5">
        <f>OBRA!R106</f>
        <v>42193</v>
      </c>
      <c r="S107" s="12">
        <f>OBRA!S106</f>
        <v>42200</v>
      </c>
      <c r="T107" s="54"/>
      <c r="U107" s="248" t="s">
        <v>1431</v>
      </c>
      <c r="V107" s="480"/>
      <c r="W107" s="484"/>
      <c r="X107" s="305">
        <f>OBRA!AP106</f>
        <v>0</v>
      </c>
      <c r="Y107" s="341"/>
      <c r="Z107" s="341"/>
      <c r="AA107" s="5"/>
      <c r="AB107" s="351">
        <f>OBRA!BT106</f>
        <v>0</v>
      </c>
      <c r="AC107" s="569"/>
      <c r="AD107" s="569"/>
    </row>
    <row r="108" spans="1:30" ht="60.75" hidden="1" customHeight="1">
      <c r="A108" s="23" t="s">
        <v>2239</v>
      </c>
      <c r="B108" s="933" t="str">
        <f>GRAL!B109</f>
        <v>2012-2015</v>
      </c>
      <c r="C108" s="17">
        <f>OBRA!I107</f>
        <v>2015</v>
      </c>
      <c r="D108" s="1676"/>
      <c r="E108" s="18" t="str">
        <f>OBRA!K107</f>
        <v>RAMO 33</v>
      </c>
      <c r="F108" s="525" t="s">
        <v>1431</v>
      </c>
      <c r="G108" s="541"/>
      <c r="H108" s="482"/>
      <c r="I108" s="483"/>
      <c r="J108" s="228" t="str">
        <f>OBRA!U107</f>
        <v>-</v>
      </c>
      <c r="K108" s="256" t="str">
        <f>OBRA!V107</f>
        <v>JUAN CARLOS NAVARRO ROSALES</v>
      </c>
      <c r="L108" s="481" t="str">
        <f>OBRA!L107</f>
        <v>DOP/AD/005/2015</v>
      </c>
      <c r="M108" s="2" t="str">
        <f>OBRA!M107</f>
        <v>ADMINISTRACIÓN DIRECTA</v>
      </c>
      <c r="N108" s="3" t="str">
        <f>OBRA!N107</f>
        <v>CONSTRUCCION DE RED DE DRENAJE EN C. 21 DE MARZO E ITURBIDE DE C. VERANO A 20 DE NOVIEMBRE, EN LA CABECERA MUNICIPAL</v>
      </c>
      <c r="O108" s="480"/>
      <c r="P108" s="6">
        <f>OBRA!Q107</f>
        <v>42201</v>
      </c>
      <c r="Q108" s="4">
        <f>OBRA!P107</f>
        <v>144879.81</v>
      </c>
      <c r="R108" s="5">
        <f>OBRA!R107</f>
        <v>42201</v>
      </c>
      <c r="S108" s="12">
        <f>OBRA!S107</f>
        <v>42216</v>
      </c>
      <c r="T108" s="54"/>
      <c r="U108" s="248" t="s">
        <v>1431</v>
      </c>
      <c r="V108" s="480"/>
      <c r="W108" s="484"/>
      <c r="X108" s="305">
        <f>OBRA!AP107</f>
        <v>0</v>
      </c>
      <c r="Y108" s="341"/>
      <c r="Z108" s="341"/>
      <c r="AA108" s="5"/>
      <c r="AB108" s="351">
        <f>OBRA!BT107</f>
        <v>0</v>
      </c>
      <c r="AC108" s="569"/>
      <c r="AD108" s="569"/>
    </row>
    <row r="109" spans="1:30" ht="45.75" hidden="1" customHeight="1">
      <c r="A109" s="23" t="s">
        <v>2239</v>
      </c>
      <c r="B109" s="933" t="str">
        <f>GRAL!B110</f>
        <v>2012-2015</v>
      </c>
      <c r="C109" s="17">
        <f>OBRA!I108</f>
        <v>2015</v>
      </c>
      <c r="D109" s="1676"/>
      <c r="E109" s="18" t="str">
        <f>OBRA!K108</f>
        <v>RAMO 33</v>
      </c>
      <c r="F109" s="527" t="s">
        <v>1431</v>
      </c>
      <c r="G109" s="541"/>
      <c r="H109" s="482"/>
      <c r="I109" s="483"/>
      <c r="J109" s="228" t="str">
        <f>OBRA!U108</f>
        <v>-</v>
      </c>
      <c r="K109" s="256" t="str">
        <f>OBRA!V108</f>
        <v>JUAN CARLOS NAVARRO ROSALES</v>
      </c>
      <c r="L109" s="481" t="str">
        <f>OBRA!L108</f>
        <v>DOP/AD/006/2015</v>
      </c>
      <c r="M109" s="2" t="str">
        <f>OBRA!M108</f>
        <v>ADMINISTRACIÓN DIRECTA</v>
      </c>
      <c r="N109" s="3" t="str">
        <f>OBRA!N108</f>
        <v>CONSTRUCCION DE RED DE DRENAJE EN LA PRIVADA VERANO, EN LA CABECERA MUNICIPAL</v>
      </c>
      <c r="O109" s="480"/>
      <c r="P109" s="6">
        <f>OBRA!Q108</f>
        <v>42201</v>
      </c>
      <c r="Q109" s="4">
        <f>OBRA!P108</f>
        <v>74934.460000000006</v>
      </c>
      <c r="R109" s="5">
        <f>OBRA!R108</f>
        <v>42201</v>
      </c>
      <c r="S109" s="12">
        <f>OBRA!S108</f>
        <v>42216</v>
      </c>
      <c r="T109" s="54"/>
      <c r="U109" s="248" t="s">
        <v>1431</v>
      </c>
      <c r="V109" s="480"/>
      <c r="W109" s="484"/>
      <c r="X109" s="305">
        <f>OBRA!AP108</f>
        <v>0</v>
      </c>
      <c r="Y109" s="341"/>
      <c r="Z109" s="341"/>
      <c r="AA109" s="5"/>
      <c r="AB109" s="351">
        <f>OBRA!BT108</f>
        <v>0</v>
      </c>
      <c r="AC109" s="569"/>
      <c r="AD109" s="569"/>
    </row>
    <row r="110" spans="1:30" ht="60.75" hidden="1" customHeight="1">
      <c r="A110" s="23" t="s">
        <v>2239</v>
      </c>
      <c r="B110" s="933" t="str">
        <f>GRAL!B111</f>
        <v>2012-2015</v>
      </c>
      <c r="C110" s="17">
        <f>OBRA!I109</f>
        <v>2015</v>
      </c>
      <c r="D110" s="1676"/>
      <c r="E110" s="18" t="str">
        <f>OBRA!K109</f>
        <v>RAMO 33</v>
      </c>
      <c r="F110" s="528" t="s">
        <v>1431</v>
      </c>
      <c r="G110" s="541"/>
      <c r="H110" s="482"/>
      <c r="I110" s="483"/>
      <c r="J110" s="228" t="str">
        <f>OBRA!U109</f>
        <v>-</v>
      </c>
      <c r="K110" s="256" t="str">
        <f>OBRA!V109</f>
        <v>JUAN CARLOS NAVARRO ROSALES</v>
      </c>
      <c r="L110" s="481" t="str">
        <f>OBRA!L109</f>
        <v>DOP/AD/007/2015</v>
      </c>
      <c r="M110" s="2" t="str">
        <f>OBRA!M109</f>
        <v>ADMINISTRACIÓN DIRECTA</v>
      </c>
      <c r="N110" s="3" t="str">
        <f>OBRA!N109</f>
        <v>CONSTRUCCION DE RED DE AGUA POTABL EEN LA CALLE PRIVADA VERANO, EN LA CABECERA MUNICIPAL</v>
      </c>
      <c r="O110" s="480"/>
      <c r="P110" s="6">
        <f>OBRA!Q109</f>
        <v>42219</v>
      </c>
      <c r="Q110" s="4">
        <f>OBRA!P109</f>
        <v>116511.12</v>
      </c>
      <c r="R110" s="5">
        <f>OBRA!R109</f>
        <v>42219</v>
      </c>
      <c r="S110" s="12">
        <f>OBRA!S109</f>
        <v>42226</v>
      </c>
      <c r="T110" s="54"/>
      <c r="U110" s="248" t="s">
        <v>1431</v>
      </c>
      <c r="V110" s="480"/>
      <c r="W110" s="484"/>
      <c r="X110" s="305">
        <f>OBRA!AP109</f>
        <v>0</v>
      </c>
      <c r="Y110" s="341"/>
      <c r="Z110" s="341"/>
      <c r="AA110" s="5"/>
      <c r="AB110" s="351">
        <f>OBRA!BT109</f>
        <v>0</v>
      </c>
      <c r="AC110" s="569"/>
      <c r="AD110" s="569"/>
    </row>
    <row r="111" spans="1:30" ht="60.75" hidden="1" customHeight="1">
      <c r="A111" s="23" t="s">
        <v>2239</v>
      </c>
      <c r="B111" s="933" t="str">
        <f>GRAL!B112</f>
        <v>2012-2015</v>
      </c>
      <c r="C111" s="17">
        <f>OBRA!I110</f>
        <v>2015</v>
      </c>
      <c r="D111" s="1676"/>
      <c r="E111" s="18" t="str">
        <f>OBRA!K110</f>
        <v>RAMO 33</v>
      </c>
      <c r="F111" s="528" t="s">
        <v>1431</v>
      </c>
      <c r="G111" s="541"/>
      <c r="H111" s="482"/>
      <c r="I111" s="483"/>
      <c r="J111" s="228" t="str">
        <f>OBRA!U110</f>
        <v>-</v>
      </c>
      <c r="K111" s="256" t="str">
        <f>OBRA!V110</f>
        <v>JUAN CARLOS NAVARRO ROSALES</v>
      </c>
      <c r="L111" s="481" t="str">
        <f>OBRA!L110</f>
        <v>DOP/AD/008/2015</v>
      </c>
      <c r="M111" s="2" t="str">
        <f>OBRA!M110</f>
        <v>ADMINISTRACIÓN DIRECTA</v>
      </c>
      <c r="N111" s="3" t="str">
        <f>OBRA!N110</f>
        <v>CONSTRUCCION DE RED DE DRENAJE EN LA C. VERANO DE C. LOPEZ RAYON A NIÑOS HEROES, EN LA CABECERA MUNICIPAL</v>
      </c>
      <c r="O111" s="480"/>
      <c r="P111" s="6">
        <f>OBRA!Q110</f>
        <v>42201</v>
      </c>
      <c r="Q111" s="4">
        <f>OBRA!P110</f>
        <v>256635.81</v>
      </c>
      <c r="R111" s="5">
        <f>OBRA!R110</f>
        <v>42201</v>
      </c>
      <c r="S111" s="12">
        <f>OBRA!S110</f>
        <v>42216</v>
      </c>
      <c r="T111" s="54"/>
      <c r="U111" s="248" t="s">
        <v>1431</v>
      </c>
      <c r="V111" s="480"/>
      <c r="W111" s="484"/>
      <c r="X111" s="305">
        <f>OBRA!AP110</f>
        <v>0</v>
      </c>
      <c r="Y111" s="341"/>
      <c r="Z111" s="341"/>
      <c r="AA111" s="5"/>
      <c r="AB111" s="351">
        <f>OBRA!BT110</f>
        <v>0</v>
      </c>
      <c r="AC111" s="569"/>
      <c r="AD111" s="569"/>
    </row>
    <row r="112" spans="1:30" ht="45.75" hidden="1" customHeight="1">
      <c r="A112" s="23" t="s">
        <v>2239</v>
      </c>
      <c r="B112" s="933" t="str">
        <f>GRAL!B113</f>
        <v>2012-2015</v>
      </c>
      <c r="C112" s="17">
        <f>OBRA!I111</f>
        <v>2015</v>
      </c>
      <c r="D112" s="1676"/>
      <c r="E112" s="18" t="str">
        <f>OBRA!K111</f>
        <v>RAMO 33</v>
      </c>
      <c r="F112" s="528" t="s">
        <v>1431</v>
      </c>
      <c r="G112" s="541"/>
      <c r="H112" s="482"/>
      <c r="I112" s="483"/>
      <c r="J112" s="228" t="str">
        <f>OBRA!U111</f>
        <v>-</v>
      </c>
      <c r="K112" s="256" t="str">
        <f>OBRA!V111</f>
        <v>JUAN CARLOS NAVARRO ROSALES</v>
      </c>
      <c r="L112" s="481" t="str">
        <f>OBRA!L111</f>
        <v>DOP/AD/009/2015</v>
      </c>
      <c r="M112" s="2" t="str">
        <f>OBRA!M111</f>
        <v>ADMINISTRACIÓN DIRECTA</v>
      </c>
      <c r="N112" s="3" t="str">
        <f>OBRA!N111</f>
        <v>CONSTRUCCION DE RED DE AGUA POTABLE EN C. VERANO DE C. LOPEZ RAYON A NIÑOS HEROES</v>
      </c>
      <c r="O112" s="480"/>
      <c r="P112" s="6">
        <f>OBRA!Q111</f>
        <v>42188</v>
      </c>
      <c r="Q112" s="4">
        <f>OBRA!P111</f>
        <v>186751.07</v>
      </c>
      <c r="R112" s="5">
        <f>OBRA!R111</f>
        <v>42191</v>
      </c>
      <c r="S112" s="12">
        <f>OBRA!S111</f>
        <v>42210</v>
      </c>
      <c r="T112" s="54"/>
      <c r="U112" s="248" t="s">
        <v>1431</v>
      </c>
      <c r="V112" s="480"/>
      <c r="W112" s="484"/>
      <c r="X112" s="305">
        <f>OBRA!AP111</f>
        <v>0</v>
      </c>
      <c r="Y112" s="341"/>
      <c r="Z112" s="341"/>
      <c r="AA112" s="5"/>
      <c r="AB112" s="351">
        <f>OBRA!BT111</f>
        <v>0</v>
      </c>
      <c r="AC112" s="569"/>
      <c r="AD112" s="569"/>
    </row>
    <row r="113" spans="1:30" ht="60.75" hidden="1" customHeight="1">
      <c r="A113" s="23" t="s">
        <v>2239</v>
      </c>
      <c r="B113" s="933" t="str">
        <f>GRAL!B114</f>
        <v>2012-2015</v>
      </c>
      <c r="C113" s="17">
        <f>OBRA!I112</f>
        <v>2015</v>
      </c>
      <c r="D113" s="1676"/>
      <c r="E113" s="18" t="str">
        <f>OBRA!K112</f>
        <v>RAMO 33</v>
      </c>
      <c r="F113" s="528" t="s">
        <v>1431</v>
      </c>
      <c r="G113" s="541"/>
      <c r="H113" s="482"/>
      <c r="I113" s="483"/>
      <c r="J113" s="228" t="str">
        <f>OBRA!U112</f>
        <v>-</v>
      </c>
      <c r="K113" s="256" t="str">
        <f>OBRA!V112</f>
        <v>JUAN CARLOS NAVARRO ROSALES</v>
      </c>
      <c r="L113" s="481" t="str">
        <f>OBRA!L112</f>
        <v>DOP/AD/010/2015</v>
      </c>
      <c r="M113" s="2" t="str">
        <f>OBRA!M112</f>
        <v>ADMINISTRACIÓN DIRECTA</v>
      </c>
      <c r="N113" s="3" t="str">
        <f>OBRA!N112</f>
        <v>CONSTRUCCION DE RED DE DRENAJE EN LA C. LOPEZ RAYON ENTRE PRIVADA INDEPENDENCIA A OTOÑO, EN LA CABECERA MUNICIPAL</v>
      </c>
      <c r="O113" s="480"/>
      <c r="P113" s="6">
        <f>OBRA!Q112</f>
        <v>42210</v>
      </c>
      <c r="Q113" s="4">
        <f>OBRA!P112</f>
        <v>359833.1</v>
      </c>
      <c r="R113" s="5">
        <f>OBRA!R112</f>
        <v>42210</v>
      </c>
      <c r="S113" s="12">
        <f>OBRA!S112</f>
        <v>42226</v>
      </c>
      <c r="T113" s="54"/>
      <c r="U113" s="248" t="s">
        <v>1431</v>
      </c>
      <c r="V113" s="480"/>
      <c r="W113" s="484"/>
      <c r="X113" s="305">
        <f>OBRA!AP112</f>
        <v>0</v>
      </c>
      <c r="Y113" s="341"/>
      <c r="Z113" s="341"/>
      <c r="AA113" s="5"/>
      <c r="AB113" s="351">
        <f>OBRA!BT112</f>
        <v>0</v>
      </c>
      <c r="AC113" s="569"/>
      <c r="AD113" s="569"/>
    </row>
    <row r="114" spans="1:30" ht="60.75" hidden="1" customHeight="1">
      <c r="A114" s="23" t="s">
        <v>2239</v>
      </c>
      <c r="B114" s="933" t="str">
        <f>GRAL!B115</f>
        <v>2012-2015</v>
      </c>
      <c r="C114" s="17">
        <f>OBRA!I113</f>
        <v>2015</v>
      </c>
      <c r="D114" s="1676"/>
      <c r="E114" s="18" t="str">
        <f>OBRA!K113</f>
        <v>RAMO 33</v>
      </c>
      <c r="F114" s="528" t="s">
        <v>1431</v>
      </c>
      <c r="G114" s="541"/>
      <c r="H114" s="482"/>
      <c r="I114" s="483"/>
      <c r="J114" s="228" t="str">
        <f>OBRA!U113</f>
        <v>-</v>
      </c>
      <c r="K114" s="256" t="str">
        <f>OBRA!V113</f>
        <v>JUAN CARLOS NAVARRO ROSALES</v>
      </c>
      <c r="L114" s="481" t="str">
        <f>OBRA!L113</f>
        <v>DOP/AD/011/2015</v>
      </c>
      <c r="M114" s="2" t="str">
        <f>OBRA!M113</f>
        <v>ADMINISTRACIÓN DIRECTA</v>
      </c>
      <c r="N114" s="3" t="str">
        <f>OBRA!N113</f>
        <v>CONSTRUCCION DE RED DE AGUA POTABLE EN C. LOPEZ RAYON ENTRE PRIVADA INDEPENDENCIA Y OTOÑO, EN LA CABECERA MUNICIPAL</v>
      </c>
      <c r="O114" s="480"/>
      <c r="P114" s="6">
        <f>OBRA!Q113</f>
        <v>42226</v>
      </c>
      <c r="Q114" s="4">
        <f>OBRA!P113</f>
        <v>225508.89</v>
      </c>
      <c r="R114" s="5">
        <f>OBRA!R113</f>
        <v>42226</v>
      </c>
      <c r="S114" s="12">
        <f>OBRA!S113</f>
        <v>42238</v>
      </c>
      <c r="T114" s="54"/>
      <c r="U114" s="248" t="s">
        <v>1431</v>
      </c>
      <c r="V114" s="480"/>
      <c r="W114" s="484"/>
      <c r="X114" s="305">
        <f>OBRA!AP113</f>
        <v>0</v>
      </c>
      <c r="Y114" s="341"/>
      <c r="Z114" s="341"/>
      <c r="AA114" s="5"/>
      <c r="AB114" s="351">
        <f>OBRA!BT113</f>
        <v>0</v>
      </c>
      <c r="AC114" s="569"/>
      <c r="AD114" s="569"/>
    </row>
    <row r="115" spans="1:30" ht="75.75" hidden="1" customHeight="1">
      <c r="A115" s="23" t="s">
        <v>2239</v>
      </c>
      <c r="B115" s="933" t="str">
        <f>GRAL!B116</f>
        <v>2012-2015</v>
      </c>
      <c r="C115" s="17">
        <f>OBRA!I114</f>
        <v>2015</v>
      </c>
      <c r="D115" s="1676"/>
      <c r="E115" s="18" t="str">
        <f>OBRA!K114</f>
        <v>RAMO 33</v>
      </c>
      <c r="F115" s="528" t="s">
        <v>1431</v>
      </c>
      <c r="G115" s="541"/>
      <c r="H115" s="482"/>
      <c r="I115" s="483"/>
      <c r="J115" s="228" t="str">
        <f>OBRA!U114</f>
        <v>-</v>
      </c>
      <c r="K115" s="256" t="str">
        <f>OBRA!V114</f>
        <v>JUAN CARLOS NAVARRO ROSALES</v>
      </c>
      <c r="L115" s="481" t="str">
        <f>OBRA!L114</f>
        <v>DOP/AD/012/2015</v>
      </c>
      <c r="M115" s="2" t="str">
        <f>OBRA!M114</f>
        <v>ADMINISTRACIÓN DIRECTA</v>
      </c>
      <c r="N115" s="3" t="str">
        <f>OBRA!N114</f>
        <v>CONSTRUCCIÓN DE RED DE AGUA POTABLE EN C. CARDENAL DE CARRETERA CHAPALA-JOCOTEPEC HASTA FINAL, EN LA DELEGACIÓN DE SAN JUAN COSALA</v>
      </c>
      <c r="O115" s="480"/>
      <c r="P115" s="6">
        <f>OBRA!Q114</f>
        <v>42188</v>
      </c>
      <c r="Q115" s="4">
        <f>OBRA!P114</f>
        <v>373029.23</v>
      </c>
      <c r="R115" s="5">
        <f>OBRA!R114</f>
        <v>42191</v>
      </c>
      <c r="S115" s="12">
        <f>OBRA!S114</f>
        <v>42210</v>
      </c>
      <c r="T115" s="54"/>
      <c r="U115" s="248" t="s">
        <v>1431</v>
      </c>
      <c r="V115" s="480"/>
      <c r="W115" s="484"/>
      <c r="X115" s="305">
        <f>OBRA!AP114</f>
        <v>0</v>
      </c>
      <c r="Y115" s="341"/>
      <c r="Z115" s="341"/>
      <c r="AA115" s="5"/>
      <c r="AB115" s="351">
        <f>OBRA!BT114</f>
        <v>0</v>
      </c>
      <c r="AC115" s="569"/>
      <c r="AD115" s="569"/>
    </row>
    <row r="116" spans="1:30" ht="60.75" hidden="1" customHeight="1">
      <c r="A116" s="23" t="s">
        <v>2239</v>
      </c>
      <c r="B116" s="933" t="str">
        <f>GRAL!B117</f>
        <v>2012-2015</v>
      </c>
      <c r="C116" s="17">
        <f>OBRA!I115</f>
        <v>2015</v>
      </c>
      <c r="D116" s="1676"/>
      <c r="E116" s="18" t="str">
        <f>OBRA!K115</f>
        <v>RAMO 33</v>
      </c>
      <c r="F116" s="528" t="s">
        <v>1431</v>
      </c>
      <c r="G116" s="541"/>
      <c r="H116" s="482"/>
      <c r="I116" s="483"/>
      <c r="J116" s="228" t="str">
        <f>OBRA!U115</f>
        <v>-</v>
      </c>
      <c r="K116" s="256" t="str">
        <f>OBRA!V115</f>
        <v>JUAN CARLOS NAVARRO ROSALES</v>
      </c>
      <c r="L116" s="481" t="str">
        <f>OBRA!L115</f>
        <v>DOP/AD/013/2015</v>
      </c>
      <c r="M116" s="2" t="str">
        <f>OBRA!M115</f>
        <v>ADMINISTRACIÓN DIRECTA</v>
      </c>
      <c r="N116" s="3" t="str">
        <f>OBRA!N115</f>
        <v>CONSTRUCCION DE RED DE DRENAJE EN LA C. 20 DE NOVIEMBRE DE ANIMA SOLA A INVIERNO, EN LA CABECERA MUNICIPAL</v>
      </c>
      <c r="O116" s="480"/>
      <c r="P116" s="6">
        <f>OBRA!Q115</f>
        <v>42219</v>
      </c>
      <c r="Q116" s="4">
        <f>OBRA!P115</f>
        <v>847454.56</v>
      </c>
      <c r="R116" s="5">
        <f>OBRA!R115</f>
        <v>42219</v>
      </c>
      <c r="S116" s="12">
        <f>OBRA!S115</f>
        <v>42231</v>
      </c>
      <c r="T116" s="54"/>
      <c r="U116" s="248" t="s">
        <v>1431</v>
      </c>
      <c r="V116" s="480"/>
      <c r="W116" s="484"/>
      <c r="X116" s="305">
        <f>OBRA!AP115</f>
        <v>0</v>
      </c>
      <c r="Y116" s="341"/>
      <c r="Z116" s="341"/>
      <c r="AA116" s="5"/>
      <c r="AB116" s="351">
        <f>OBRA!BT115</f>
        <v>0</v>
      </c>
      <c r="AC116" s="569"/>
      <c r="AD116" s="569"/>
    </row>
    <row r="117" spans="1:30" ht="60.75" hidden="1" customHeight="1">
      <c r="A117" s="23" t="s">
        <v>2239</v>
      </c>
      <c r="B117" s="933" t="str">
        <f>GRAL!B118</f>
        <v>2012-2015</v>
      </c>
      <c r="C117" s="17">
        <f>OBRA!I116</f>
        <v>2015</v>
      </c>
      <c r="D117" s="1676"/>
      <c r="E117" s="18" t="str">
        <f>OBRA!K116</f>
        <v>RAMO 33</v>
      </c>
      <c r="F117" s="528" t="s">
        <v>1431</v>
      </c>
      <c r="G117" s="541"/>
      <c r="H117" s="482"/>
      <c r="I117" s="483"/>
      <c r="J117" s="228" t="str">
        <f>OBRA!U116</f>
        <v>-</v>
      </c>
      <c r="K117" s="256" t="str">
        <f>OBRA!V116</f>
        <v>JUAN CARLOS NAVARRO ROSALES</v>
      </c>
      <c r="L117" s="481" t="str">
        <f>OBRA!L116</f>
        <v>DOP/AD/014/2015</v>
      </c>
      <c r="M117" s="2" t="str">
        <f>OBRA!M116</f>
        <v>ADMINISTRACIÓN DIRECTA</v>
      </c>
      <c r="N117" s="3" t="str">
        <f>OBRA!N116</f>
        <v>CONSTRUCION DE RED DE AGUA POTABLE EN LA C. 20 DE NOVIEMBRE DE ANIMA SOLA A INVIERNO, EN LA CABECERA MUNICIPAL</v>
      </c>
      <c r="O117" s="480"/>
      <c r="P117" s="6">
        <f>OBRA!Q116</f>
        <v>42186</v>
      </c>
      <c r="Q117" s="4">
        <f>OBRA!P116</f>
        <v>510072.99</v>
      </c>
      <c r="R117" s="5">
        <f>OBRA!R116</f>
        <v>42233</v>
      </c>
      <c r="S117" s="12">
        <f>OBRA!S116</f>
        <v>42247</v>
      </c>
      <c r="T117" s="54"/>
      <c r="U117" s="248" t="s">
        <v>1431</v>
      </c>
      <c r="V117" s="480"/>
      <c r="W117" s="484"/>
      <c r="X117" s="305">
        <f>OBRA!AP116</f>
        <v>0</v>
      </c>
      <c r="Y117" s="341"/>
      <c r="Z117" s="341"/>
      <c r="AA117" s="5"/>
      <c r="AB117" s="351">
        <f>OBRA!BT116</f>
        <v>0</v>
      </c>
      <c r="AC117" s="569"/>
      <c r="AD117" s="569"/>
    </row>
    <row r="118" spans="1:30" ht="75.75" hidden="1" customHeight="1">
      <c r="A118" s="23" t="s">
        <v>2239</v>
      </c>
      <c r="B118" s="933" t="str">
        <f>GRAL!B119</f>
        <v>2012-2015</v>
      </c>
      <c r="C118" s="17">
        <f>OBRA!I117</f>
        <v>2015</v>
      </c>
      <c r="D118" s="1676"/>
      <c r="E118" s="18" t="str">
        <f>OBRA!K117</f>
        <v>RAMO 33</v>
      </c>
      <c r="F118" s="528" t="s">
        <v>1431</v>
      </c>
      <c r="G118" s="541"/>
      <c r="H118" s="482"/>
      <c r="I118" s="483"/>
      <c r="J118" s="228" t="str">
        <f>OBRA!U117</f>
        <v>-</v>
      </c>
      <c r="K118" s="256" t="str">
        <f>OBRA!V117</f>
        <v>JUAN CARLOS NAVARRO ROSALES</v>
      </c>
      <c r="L118" s="481" t="str">
        <f>OBRA!L117</f>
        <v>DOP/AD/015/2015</v>
      </c>
      <c r="M118" s="2" t="str">
        <f>OBRA!M117</f>
        <v>ADMINISTRACIÓN DIRECTA</v>
      </c>
      <c r="N118" s="3" t="str">
        <f>OBRA!N117</f>
        <v>CONSTRUCCION DE RED DE DRENAJE EN C. JAVIER MINA DE C. 20 DE NOVIEMBRE A VENUSTIANO CARRANZA, EN LA CABECERA MUNICIPAL</v>
      </c>
      <c r="O118" s="480"/>
      <c r="P118" s="6">
        <f>OBRA!Q117</f>
        <v>42219</v>
      </c>
      <c r="Q118" s="4">
        <f>OBRA!P117</f>
        <v>125552.88</v>
      </c>
      <c r="R118" s="5">
        <f>OBRA!R117</f>
        <v>42219</v>
      </c>
      <c r="S118" s="12">
        <f>OBRA!S117</f>
        <v>42231</v>
      </c>
      <c r="T118" s="54"/>
      <c r="U118" s="248" t="s">
        <v>1431</v>
      </c>
      <c r="V118" s="480"/>
      <c r="W118" s="484"/>
      <c r="X118" s="305">
        <f>OBRA!AP117</f>
        <v>0</v>
      </c>
      <c r="Y118" s="341"/>
      <c r="Z118" s="341"/>
      <c r="AA118" s="5"/>
      <c r="AB118" s="351">
        <f>OBRA!BT117</f>
        <v>0</v>
      </c>
      <c r="AC118" s="569"/>
      <c r="AD118" s="569"/>
    </row>
    <row r="119" spans="1:30" ht="60.75" hidden="1" customHeight="1">
      <c r="A119" s="23" t="s">
        <v>2239</v>
      </c>
      <c r="B119" s="933" t="str">
        <f>GRAL!B120</f>
        <v>2012-2015</v>
      </c>
      <c r="C119" s="17">
        <f>OBRA!I118</f>
        <v>2015</v>
      </c>
      <c r="D119" s="1676"/>
      <c r="E119" s="18" t="str">
        <f>OBRA!K118</f>
        <v>RAMO 33</v>
      </c>
      <c r="F119" s="528" t="s">
        <v>1431</v>
      </c>
      <c r="G119" s="541"/>
      <c r="H119" s="482"/>
      <c r="I119" s="483"/>
      <c r="J119" s="228" t="str">
        <f>OBRA!U118</f>
        <v>-</v>
      </c>
      <c r="K119" s="256" t="str">
        <f>OBRA!V118</f>
        <v>JUAN CARLOS NAVARRO ROSALES</v>
      </c>
      <c r="L119" s="481" t="str">
        <f>OBRA!L118</f>
        <v>DOP/AD/016/2015</v>
      </c>
      <c r="M119" s="2" t="str">
        <f>OBRA!M118</f>
        <v>ADMINISTRACIÓN DIRECTA</v>
      </c>
      <c r="N119" s="3" t="str">
        <f>OBRA!N118</f>
        <v>CONSTRUCCION DE RED DE AGUA POTABLE EN LA C. JAVIER MINA DE C. 20 E NOVIEMBRE A FRANCISCO VILLA, EN LA CABECERA MUNICIPAL</v>
      </c>
      <c r="O119" s="480"/>
      <c r="P119" s="6">
        <f>OBRA!Q118</f>
        <v>42225</v>
      </c>
      <c r="Q119" s="4">
        <f>OBRA!P118</f>
        <v>152209.54999999999</v>
      </c>
      <c r="R119" s="5">
        <f>OBRA!R118</f>
        <v>42225</v>
      </c>
      <c r="S119" s="12">
        <f>OBRA!S118</f>
        <v>42247</v>
      </c>
      <c r="T119" s="54"/>
      <c r="U119" s="248" t="s">
        <v>1431</v>
      </c>
      <c r="V119" s="480"/>
      <c r="W119" s="484"/>
      <c r="X119" s="305">
        <f>OBRA!AP118</f>
        <v>0</v>
      </c>
      <c r="Y119" s="341"/>
      <c r="Z119" s="341"/>
      <c r="AA119" s="5"/>
      <c r="AB119" s="351">
        <f>OBRA!BT118</f>
        <v>0</v>
      </c>
      <c r="AC119" s="569"/>
      <c r="AD119" s="569"/>
    </row>
    <row r="120" spans="1:30" s="326" customFormat="1" ht="81" hidden="1" customHeight="1">
      <c r="A120" s="336" t="s">
        <v>2239</v>
      </c>
      <c r="B120" s="981" t="str">
        <f>GRAL!B121</f>
        <v>2012-2015</v>
      </c>
      <c r="C120" s="315">
        <f>OBRA!I119</f>
        <v>2015</v>
      </c>
      <c r="D120" s="894"/>
      <c r="E120" s="533" t="str">
        <f>OBRA!K119</f>
        <v>RAMO 33</v>
      </c>
      <c r="F120" s="535" t="s">
        <v>1431</v>
      </c>
      <c r="G120" s="540" t="s">
        <v>2270</v>
      </c>
      <c r="H120" s="496" t="s">
        <v>1530</v>
      </c>
      <c r="I120" s="497" t="s">
        <v>2271</v>
      </c>
      <c r="J120" s="338" t="str">
        <f>OBRA!U119</f>
        <v>HIDROLOGIAA PERFORACION Y GESTION DEL AGUA SA DE CV</v>
      </c>
      <c r="K120" s="334" t="str">
        <f>OBRA!V119</f>
        <v>ING. RIGOBERTO OLMEDO RAMOS</v>
      </c>
      <c r="L120" s="481" t="str">
        <f>OBRA!L119</f>
        <v>GMJ 007C OP/2015</v>
      </c>
      <c r="M120" s="318" t="str">
        <f>OBRA!M119</f>
        <v>ADJUDICACIÓN DIRECTA</v>
      </c>
      <c r="N120" s="319" t="str">
        <f>OBRA!N119</f>
        <v>PERFORACIÓN DE POZO PROFUNDO EN FRACCIONAMIENTO PASEO EL CARDENAL, EN LA DELEGACION DE SAN JUAN COSALA</v>
      </c>
      <c r="O120" s="509" t="s">
        <v>1527</v>
      </c>
      <c r="P120" s="321">
        <f>OBRA!Q119</f>
        <v>42208</v>
      </c>
      <c r="Q120" s="320">
        <f>OBRA!P119</f>
        <v>1093156.1599999999</v>
      </c>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c r="AD120" s="929" t="s">
        <v>551</v>
      </c>
    </row>
    <row r="121" spans="1:30" ht="60.75" hidden="1" customHeight="1">
      <c r="A121" s="23" t="s">
        <v>2239</v>
      </c>
      <c r="B121" s="933" t="str">
        <f>GRAL!B122</f>
        <v>2012-2015</v>
      </c>
      <c r="C121" s="17">
        <f>OBRA!I120</f>
        <v>2015</v>
      </c>
      <c r="D121" s="1676"/>
      <c r="E121" s="18" t="str">
        <f>OBRA!K120</f>
        <v>RAMO 33</v>
      </c>
      <c r="F121" s="528" t="s">
        <v>1431</v>
      </c>
      <c r="G121" s="390"/>
      <c r="H121" s="1"/>
      <c r="I121" s="390"/>
      <c r="J121" s="228" t="str">
        <f>OBRA!U120</f>
        <v>-</v>
      </c>
      <c r="K121" s="256" t="str">
        <f>OBRA!V120</f>
        <v>JUAN CARLOS NAVARRO ROSALES</v>
      </c>
      <c r="L121" s="20"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2">
        <f>OBRA!S120</f>
        <v>42231</v>
      </c>
      <c r="T121" s="54"/>
      <c r="U121" s="248" t="s">
        <v>1431</v>
      </c>
      <c r="V121" s="111"/>
      <c r="W121" s="55"/>
      <c r="X121" s="305">
        <f>OBRA!AP120</f>
        <v>0</v>
      </c>
      <c r="Y121" s="341"/>
      <c r="Z121" s="341"/>
      <c r="AA121" s="5"/>
      <c r="AB121" s="351">
        <f>OBRA!BT120</f>
        <v>0</v>
      </c>
      <c r="AC121" s="569"/>
      <c r="AD121" s="569"/>
    </row>
    <row r="122" spans="1:30" ht="60.75" hidden="1" customHeight="1">
      <c r="A122" s="23" t="s">
        <v>2239</v>
      </c>
      <c r="B122" s="933" t="str">
        <f>GRAL!B123</f>
        <v>2012-2015</v>
      </c>
      <c r="C122" s="17">
        <f>OBRA!I121</f>
        <v>2015</v>
      </c>
      <c r="D122" s="1676"/>
      <c r="E122" s="18" t="str">
        <f>OBRA!K121</f>
        <v>RAMO 33</v>
      </c>
      <c r="F122" s="528" t="s">
        <v>1431</v>
      </c>
      <c r="G122" s="390"/>
      <c r="H122" s="1"/>
      <c r="I122" s="390"/>
      <c r="J122" s="228" t="str">
        <f>OBRA!U121</f>
        <v>-</v>
      </c>
      <c r="K122" s="256" t="str">
        <f>OBRA!V121</f>
        <v>JUAN CARLOS NAVARRO ROSALES</v>
      </c>
      <c r="L122" s="20"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2">
        <f>OBRA!S121</f>
        <v>42195</v>
      </c>
      <c r="T122" s="54"/>
      <c r="U122" s="248" t="s">
        <v>1431</v>
      </c>
      <c r="V122" s="111"/>
      <c r="W122" s="55"/>
      <c r="X122" s="305">
        <f>OBRA!AP121</f>
        <v>0</v>
      </c>
      <c r="Y122" s="341"/>
      <c r="Z122" s="341"/>
      <c r="AA122" s="5"/>
      <c r="AB122" s="351">
        <f>OBRA!BT121</f>
        <v>0</v>
      </c>
      <c r="AC122" s="569"/>
      <c r="AD122" s="569"/>
    </row>
    <row r="123" spans="1:30" ht="60.75" hidden="1" customHeight="1">
      <c r="A123" s="23" t="s">
        <v>2239</v>
      </c>
      <c r="B123" s="933" t="str">
        <f>GRAL!B124</f>
        <v>2012-2015</v>
      </c>
      <c r="C123" s="17">
        <f>OBRA!I122</f>
        <v>2015</v>
      </c>
      <c r="D123" s="1676"/>
      <c r="E123" s="18" t="str">
        <f>OBRA!K122</f>
        <v>RAMO 33</v>
      </c>
      <c r="F123" s="528" t="s">
        <v>1431</v>
      </c>
      <c r="G123" s="390"/>
      <c r="H123" s="1"/>
      <c r="I123" s="390"/>
      <c r="J123" s="228" t="str">
        <f>OBRA!U122</f>
        <v>-</v>
      </c>
      <c r="K123" s="256" t="str">
        <f>OBRA!V122</f>
        <v>JUAN CARLOS NAVARRO ROSALES</v>
      </c>
      <c r="L123" s="20"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2">
        <f>OBRA!S122</f>
        <v>42231</v>
      </c>
      <c r="T123" s="54"/>
      <c r="U123" s="248" t="s">
        <v>1431</v>
      </c>
      <c r="V123" s="111"/>
      <c r="W123" s="55"/>
      <c r="X123" s="305">
        <f>OBRA!AP122</f>
        <v>0</v>
      </c>
      <c r="Y123" s="341"/>
      <c r="Z123" s="341"/>
      <c r="AA123" s="5"/>
      <c r="AB123" s="351">
        <f>OBRA!BT122</f>
        <v>0</v>
      </c>
      <c r="AC123" s="569"/>
      <c r="AD123" s="569"/>
    </row>
    <row r="124" spans="1:30" ht="75.75" hidden="1" customHeight="1">
      <c r="A124" s="23" t="s">
        <v>2239</v>
      </c>
      <c r="B124" s="933" t="str">
        <f>GRAL!B125</f>
        <v>2012-2015</v>
      </c>
      <c r="C124" s="17">
        <f>OBRA!I123</f>
        <v>2015</v>
      </c>
      <c r="D124" s="1676"/>
      <c r="E124" s="18" t="str">
        <f>OBRA!K123</f>
        <v>RAMO 33</v>
      </c>
      <c r="F124" s="528" t="s">
        <v>1431</v>
      </c>
      <c r="G124" s="390"/>
      <c r="H124" s="1"/>
      <c r="I124" s="390"/>
      <c r="J124" s="228" t="str">
        <f>OBRA!U123</f>
        <v>-</v>
      </c>
      <c r="K124" s="256" t="str">
        <f>OBRA!V123</f>
        <v>JUAN CARLOS NAVARRO ROSALES</v>
      </c>
      <c r="L124" s="20"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2">
        <f>OBRA!S123</f>
        <v>42247</v>
      </c>
      <c r="T124" s="54"/>
      <c r="U124" s="248" t="s">
        <v>1431</v>
      </c>
      <c r="V124" s="111"/>
      <c r="W124" s="55"/>
      <c r="X124" s="305">
        <f>OBRA!AP123</f>
        <v>0</v>
      </c>
      <c r="Y124" s="341"/>
      <c r="Z124" s="341"/>
      <c r="AA124" s="5"/>
      <c r="AB124" s="351">
        <f>OBRA!BT123</f>
        <v>0</v>
      </c>
      <c r="AC124" s="569"/>
      <c r="AD124" s="569"/>
    </row>
    <row r="125" spans="1:30" ht="75.75" hidden="1" customHeight="1">
      <c r="A125" s="23" t="s">
        <v>2239</v>
      </c>
      <c r="B125" s="933" t="str">
        <f>GRAL!B126</f>
        <v>2012-2015</v>
      </c>
      <c r="C125" s="17">
        <f>OBRA!I124</f>
        <v>2015</v>
      </c>
      <c r="D125" s="1676"/>
      <c r="E125" s="18" t="str">
        <f>OBRA!K124</f>
        <v>RAMO 33</v>
      </c>
      <c r="F125" s="14" t="s">
        <v>1431</v>
      </c>
      <c r="G125" s="390"/>
      <c r="H125" s="1"/>
      <c r="I125" s="390"/>
      <c r="J125" s="228" t="str">
        <f>OBRA!U124</f>
        <v>-</v>
      </c>
      <c r="K125" s="256" t="str">
        <f>OBRA!V124</f>
        <v>JUAN CARLOS NAVARRO ROSALES</v>
      </c>
      <c r="L125" s="20"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2">
        <f>OBRA!S124</f>
        <v>42245</v>
      </c>
      <c r="T125" s="54"/>
      <c r="U125" s="248" t="s">
        <v>1431</v>
      </c>
      <c r="V125" s="111"/>
      <c r="W125" s="55"/>
      <c r="X125" s="305">
        <f>OBRA!AP124</f>
        <v>0</v>
      </c>
      <c r="Y125" s="341"/>
      <c r="Z125" s="341"/>
      <c r="AA125" s="5"/>
      <c r="AB125" s="351">
        <f>OBRA!BT124</f>
        <v>0</v>
      </c>
      <c r="AC125" s="569"/>
      <c r="AD125" s="569"/>
    </row>
    <row r="126" spans="1:30" ht="60.75" hidden="1" customHeight="1">
      <c r="A126" s="23" t="s">
        <v>2239</v>
      </c>
      <c r="B126" s="933" t="str">
        <f>GRAL!B127</f>
        <v>2012-2015</v>
      </c>
      <c r="C126" s="17">
        <f>OBRA!I125</f>
        <v>2015</v>
      </c>
      <c r="D126" s="1676"/>
      <c r="E126" s="18" t="str">
        <f>OBRA!K125</f>
        <v>RAMO 33</v>
      </c>
      <c r="F126" s="525" t="s">
        <v>1431</v>
      </c>
      <c r="G126" s="390"/>
      <c r="H126" s="1"/>
      <c r="I126" s="390"/>
      <c r="J126" s="228" t="str">
        <f>OBRA!U125</f>
        <v>-</v>
      </c>
      <c r="K126" s="256" t="str">
        <f>OBRA!V125</f>
        <v>JUAN CARLOS NAVARRO ROSALES</v>
      </c>
      <c r="L126" s="20"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2">
        <f>OBRA!S125</f>
        <v>42247</v>
      </c>
      <c r="T126" s="54"/>
      <c r="U126" s="248" t="s">
        <v>1431</v>
      </c>
      <c r="V126" s="111"/>
      <c r="W126" s="55"/>
      <c r="X126" s="305">
        <f>OBRA!AP125</f>
        <v>0</v>
      </c>
      <c r="Y126" s="341"/>
      <c r="Z126" s="341"/>
      <c r="AA126" s="5"/>
      <c r="AB126" s="351">
        <f>OBRA!BT125</f>
        <v>0</v>
      </c>
      <c r="AC126" s="569"/>
      <c r="AD126" s="569"/>
    </row>
    <row r="127" spans="1:30" s="110" customFormat="1" ht="30.75" hidden="1" customHeight="1">
      <c r="A127" s="87" t="s">
        <v>251</v>
      </c>
      <c r="B127" s="933" t="str">
        <f>GRAL!B128</f>
        <v>2012-2015</v>
      </c>
      <c r="C127" s="88">
        <f>OBRA!I126</f>
        <v>2015</v>
      </c>
      <c r="D127" s="893"/>
      <c r="E127" s="103" t="str">
        <f>OBRA!K126</f>
        <v>CUENTA CORRIENTE</v>
      </c>
      <c r="F127" s="526"/>
      <c r="G127" s="392"/>
      <c r="H127" s="102"/>
      <c r="I127" s="392"/>
      <c r="J127" s="303" t="str">
        <f>OBRA!U126</f>
        <v>-</v>
      </c>
      <c r="K127" s="304" t="str">
        <f>OBRA!V126</f>
        <v>ING. RIGOBERTO OLMEDO RAMOS</v>
      </c>
      <c r="L127" s="90" t="str">
        <f>OBRA!L126</f>
        <v>DOP/AD/023/2015</v>
      </c>
      <c r="M127" s="91" t="str">
        <f>OBRA!M126</f>
        <v>ADMINISTRACIÓN DIRECTA</v>
      </c>
      <c r="N127" s="132" t="str">
        <f>OBRA!N126</f>
        <v>REMODELACIÓN DE BANQUETAS EN CALLE MORELOS ENTRE CALLES HIDALGO Y JOSEFA ORTIZ DE DOMINGUEZ (LADO NORTE), EN LA CABECERA MUNICIPAL DE JOCOTEPEC, JALISCO</v>
      </c>
      <c r="O127" s="132"/>
      <c r="P127" s="93" t="s">
        <v>68</v>
      </c>
      <c r="Q127" s="4">
        <f>OBRA!P126</f>
        <v>425150</v>
      </c>
      <c r="R127" s="94" t="s">
        <v>68</v>
      </c>
      <c r="S127" s="95" t="s">
        <v>68</v>
      </c>
      <c r="T127" s="107"/>
      <c r="U127" s="248" t="s">
        <v>1431</v>
      </c>
      <c r="V127" s="408"/>
      <c r="W127" s="97"/>
      <c r="X127" s="305">
        <f>OBRA!AP126</f>
        <v>0</v>
      </c>
      <c r="Y127" s="343"/>
      <c r="Z127" s="343"/>
      <c r="AA127" s="94"/>
      <c r="AB127" s="351">
        <f>OBRA!BT126</f>
        <v>0</v>
      </c>
      <c r="AC127" s="569"/>
      <c r="AD127" s="569"/>
    </row>
    <row r="128" spans="1:30" ht="45.75" hidden="1" customHeight="1">
      <c r="A128" s="23" t="s">
        <v>2239</v>
      </c>
      <c r="B128" s="933" t="str">
        <f>GRAL!B129</f>
        <v>2012-2015</v>
      </c>
      <c r="C128" s="17">
        <f>OBRA!I127</f>
        <v>2015</v>
      </c>
      <c r="D128" s="1676"/>
      <c r="E128" s="18" t="str">
        <f>OBRA!K127</f>
        <v>RAMO 33</v>
      </c>
      <c r="F128" s="525" t="s">
        <v>1431</v>
      </c>
      <c r="G128" s="390"/>
      <c r="H128" s="1"/>
      <c r="I128" s="390"/>
      <c r="J128" s="228" t="str">
        <f>OBRA!U127</f>
        <v>-</v>
      </c>
      <c r="K128" s="256" t="str">
        <f>OBRA!V127</f>
        <v>ING. RIGOBERTO OLMEDO RAMOS</v>
      </c>
      <c r="L128" s="20"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2">
        <f>OBRA!S127</f>
        <v>42210</v>
      </c>
      <c r="T128" s="54"/>
      <c r="U128" s="248" t="s">
        <v>1431</v>
      </c>
      <c r="V128" s="111"/>
      <c r="W128" s="55"/>
      <c r="X128" s="305">
        <f>OBRA!AP127</f>
        <v>0</v>
      </c>
      <c r="Y128" s="341"/>
      <c r="Z128" s="341"/>
      <c r="AA128" s="5"/>
      <c r="AB128" s="351">
        <f>OBRA!BT127</f>
        <v>0</v>
      </c>
      <c r="AC128" s="569"/>
      <c r="AD128" s="569"/>
    </row>
    <row r="129" spans="1:30" ht="60.75" hidden="1" customHeight="1">
      <c r="A129" s="23" t="s">
        <v>2239</v>
      </c>
      <c r="B129" s="933" t="str">
        <f>GRAL!B130</f>
        <v>2012-2015</v>
      </c>
      <c r="C129" s="17">
        <f>OBRA!I128</f>
        <v>2015</v>
      </c>
      <c r="D129" s="1676"/>
      <c r="E129" s="18" t="str">
        <f>OBRA!K128</f>
        <v>RAMO 33</v>
      </c>
      <c r="F129" s="525" t="s">
        <v>1431</v>
      </c>
      <c r="G129" s="390"/>
      <c r="H129" s="1"/>
      <c r="I129" s="390"/>
      <c r="J129" s="228" t="str">
        <f>OBRA!U128</f>
        <v>-</v>
      </c>
      <c r="K129" s="256" t="str">
        <f>OBRA!V128</f>
        <v>JUAN CARLOS NAVARRO ROSALES</v>
      </c>
      <c r="L129" s="20"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2">
        <f>OBRA!S128</f>
        <v>42272</v>
      </c>
      <c r="T129" s="54"/>
      <c r="U129" s="248" t="s">
        <v>1431</v>
      </c>
      <c r="V129" s="111"/>
      <c r="W129" s="55"/>
      <c r="X129" s="305">
        <f>OBRA!AP128</f>
        <v>0</v>
      </c>
      <c r="Y129" s="341"/>
      <c r="Z129" s="341"/>
      <c r="AA129" s="5"/>
      <c r="AB129" s="351">
        <f>OBRA!BT128</f>
        <v>0</v>
      </c>
      <c r="AC129" s="569"/>
      <c r="AD129" s="569"/>
    </row>
    <row r="130" spans="1:30" ht="90.75" hidden="1" customHeight="1">
      <c r="A130" s="23" t="s">
        <v>2239</v>
      </c>
      <c r="B130" s="933" t="str">
        <f>GRAL!B131</f>
        <v>2012-2015</v>
      </c>
      <c r="C130" s="17">
        <f>OBRA!I129</f>
        <v>2015</v>
      </c>
      <c r="D130" s="1676"/>
      <c r="E130" s="18" t="str">
        <f>OBRA!K129</f>
        <v>RAMO 33</v>
      </c>
      <c r="F130" s="525" t="s">
        <v>1431</v>
      </c>
      <c r="G130" s="390"/>
      <c r="H130" s="1"/>
      <c r="I130" s="390"/>
      <c r="J130" s="56" t="str">
        <f>OBRA!U129</f>
        <v>-</v>
      </c>
      <c r="K130" s="57" t="str">
        <f>OBRA!V129</f>
        <v>ING. J. GUADALUPE IBARRA RAMIREZ</v>
      </c>
      <c r="L130" s="20"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D130" s="569"/>
    </row>
    <row r="131" spans="1:30" ht="90.75" hidden="1" customHeight="1">
      <c r="A131" s="23" t="s">
        <v>2239</v>
      </c>
      <c r="B131" s="933" t="str">
        <f>GRAL!B132</f>
        <v>2012-2015</v>
      </c>
      <c r="C131" s="17">
        <f>OBRA!I130</f>
        <v>2015</v>
      </c>
      <c r="D131" s="1676"/>
      <c r="E131" s="18" t="str">
        <f>OBRA!K130</f>
        <v>CUENTA CORRIENTE</v>
      </c>
      <c r="F131" s="525" t="s">
        <v>1431</v>
      </c>
      <c r="G131" s="390"/>
      <c r="H131" s="1"/>
      <c r="I131" s="390"/>
      <c r="J131" s="56" t="str">
        <f>OBRA!U130</f>
        <v>-</v>
      </c>
      <c r="K131" s="57" t="str">
        <f>OBRA!V130</f>
        <v>ING. J. GUADALUPE IBARRA RAMIREZ</v>
      </c>
      <c r="L131" s="20"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2">
        <f>OBRA!S130</f>
        <v>42338</v>
      </c>
      <c r="T131" s="54"/>
      <c r="U131" s="248" t="s">
        <v>1431</v>
      </c>
      <c r="V131" s="111"/>
      <c r="W131" s="55"/>
      <c r="X131" s="305">
        <f>OBRA!AP130</f>
        <v>0</v>
      </c>
      <c r="Y131" s="341"/>
      <c r="Z131" s="341"/>
      <c r="AA131" s="5"/>
      <c r="AB131" s="351">
        <f>OBRA!BT130</f>
        <v>0</v>
      </c>
      <c r="AC131" s="569"/>
      <c r="AD131" s="569"/>
    </row>
    <row r="132" spans="1:30" ht="90.75" hidden="1" customHeight="1">
      <c r="A132" s="23" t="s">
        <v>2239</v>
      </c>
      <c r="B132" s="933" t="str">
        <f>GRAL!B133</f>
        <v>2015-2018</v>
      </c>
      <c r="C132" s="17">
        <f>OBRA!I131</f>
        <v>2015</v>
      </c>
      <c r="D132" s="1676"/>
      <c r="E132" s="18" t="str">
        <f>OBRA!K131</f>
        <v>R33 - FONDEREG</v>
      </c>
      <c r="F132" s="525"/>
      <c r="G132" s="390"/>
      <c r="H132" s="1"/>
      <c r="I132" s="390"/>
      <c r="J132" s="56" t="str">
        <f>OBRA!U131</f>
        <v>-</v>
      </c>
      <c r="K132" s="57" t="str">
        <f>OBRA!V131</f>
        <v>ING. J. GUADALUPE IBARRA RAMIREZ</v>
      </c>
      <c r="L132" s="20"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D132" s="569"/>
    </row>
    <row r="133" spans="1:30" ht="90.75" hidden="1" customHeight="1">
      <c r="A133" s="23" t="s">
        <v>2239</v>
      </c>
      <c r="B133" s="933" t="str">
        <f>GRAL!B134</f>
        <v>2015-2018</v>
      </c>
      <c r="C133" s="17">
        <f>OBRA!I132</f>
        <v>2015</v>
      </c>
      <c r="D133" s="1676"/>
      <c r="E133" s="18" t="str">
        <f>OBRA!K132</f>
        <v>FONDEREG</v>
      </c>
      <c r="F133" s="525"/>
      <c r="G133" s="390"/>
      <c r="H133" s="1"/>
      <c r="I133" s="390"/>
      <c r="J133" s="56" t="str">
        <f>OBRA!U132</f>
        <v>-</v>
      </c>
      <c r="K133" s="57" t="str">
        <f>OBRA!V132</f>
        <v>ING. J. GUADALUPE IBARRA RAMIREZ</v>
      </c>
      <c r="L133" s="20"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D133" s="569"/>
    </row>
    <row r="134" spans="1:30" ht="60.75" hidden="1" customHeight="1">
      <c r="A134" s="23" t="s">
        <v>2239</v>
      </c>
      <c r="B134" s="933" t="str">
        <f>GRAL!B135</f>
        <v>2015-2018</v>
      </c>
      <c r="C134" s="17">
        <f>OBRA!I133</f>
        <v>2015</v>
      </c>
      <c r="D134" s="1676"/>
      <c r="E134" s="18" t="str">
        <f>OBRA!K133</f>
        <v>FOREMODA</v>
      </c>
      <c r="F134" s="525"/>
      <c r="G134" s="24"/>
      <c r="H134" s="1"/>
      <c r="I134" s="390"/>
      <c r="J134" s="56" t="str">
        <f>OBRA!U133</f>
        <v>-</v>
      </c>
      <c r="K134" s="57" t="str">
        <f>OBRA!V133</f>
        <v>-</v>
      </c>
      <c r="L134" s="20"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2">
        <f>OBRA!S133</f>
        <v>42696</v>
      </c>
      <c r="T134" s="54"/>
      <c r="U134" s="248" t="s">
        <v>1431</v>
      </c>
      <c r="V134" s="111"/>
      <c r="W134" s="55"/>
      <c r="X134" s="305">
        <f>OBRA!AP133</f>
        <v>0</v>
      </c>
      <c r="Y134" s="341"/>
      <c r="Z134" s="341"/>
      <c r="AA134" s="5"/>
      <c r="AB134" s="351">
        <f>OBRA!BT133</f>
        <v>0</v>
      </c>
      <c r="AC134" s="569"/>
      <c r="AD134" s="569"/>
    </row>
    <row r="135" spans="1:30" s="197" customFormat="1" ht="96" hidden="1" customHeight="1">
      <c r="A135" s="335" t="s">
        <v>2239</v>
      </c>
      <c r="B135" s="933" t="str">
        <f>GRAL!B136</f>
        <v>2015-2018</v>
      </c>
      <c r="C135" s="327">
        <f>OBRA!I134</f>
        <v>2015</v>
      </c>
      <c r="D135" s="1679"/>
      <c r="E135" s="532" t="str">
        <f>OBRA!K134</f>
        <v>FOREMODA</v>
      </c>
      <c r="F135" s="530" t="s">
        <v>1571</v>
      </c>
      <c r="G135" s="542" t="s">
        <v>2273</v>
      </c>
      <c r="H135" s="545" t="s">
        <v>1578</v>
      </c>
      <c r="I135" s="546" t="s">
        <v>2274</v>
      </c>
      <c r="J135" s="339" t="str">
        <f>OBRA!U134</f>
        <v>ARGUELLES ARQUITECTOS S.A. DE C.V.</v>
      </c>
      <c r="K135" s="172" t="str">
        <f>OBRA!V134</f>
        <v>ARQ. FRANCISCO SALAZAR</v>
      </c>
      <c r="L135" s="180" t="str">
        <f>OBRA!L134</f>
        <v>GMJC001OP-2015</v>
      </c>
      <c r="M135" s="202" t="str">
        <f>OBRA!M134</f>
        <v>ADJUDICACIÓN DIRECTA</v>
      </c>
      <c r="N135" s="328" t="str">
        <f>OBRA!N134</f>
        <v>TRABAJOS DE RESTAURACION DE LA PARROQUIA DEL SEÑOR DEL MONTE, UBICADO EN CALLE MIGUEL ARANA Nº 76 EN JOCOTEPEC, JAL</v>
      </c>
      <c r="O135" s="510" t="s">
        <v>1574</v>
      </c>
      <c r="P135" s="69">
        <f>OBRA!Q134</f>
        <v>42339</v>
      </c>
      <c r="Q135" s="4">
        <f>OBRA!P134</f>
        <v>1500000</v>
      </c>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c r="AD135" s="569" t="s">
        <v>551</v>
      </c>
    </row>
    <row r="136" spans="1:30" s="110" customFormat="1" ht="75.75" hidden="1" customHeight="1">
      <c r="A136" s="87" t="s">
        <v>2239</v>
      </c>
      <c r="B136" s="946" t="str">
        <f>GRAL!B137</f>
        <v>2012-2015</v>
      </c>
      <c r="C136" s="88">
        <f>OBRA!I135</f>
        <v>2015</v>
      </c>
      <c r="D136" s="893"/>
      <c r="E136" s="103" t="str">
        <f>OBRA!K135</f>
        <v>RAMO 33</v>
      </c>
      <c r="F136" s="531" t="s">
        <v>1431</v>
      </c>
      <c r="G136" s="392"/>
      <c r="H136" s="102"/>
      <c r="I136" s="392"/>
      <c r="J136" s="159" t="str">
        <f>OBRA!U135</f>
        <v>CONSTRUCCIONES VIKBRAK, S.A. DE C.V.</v>
      </c>
      <c r="K136" s="160" t="str">
        <f>OBRA!V135</f>
        <v xml:space="preserve">LIC. SALVADOR CONTRERAS </v>
      </c>
      <c r="L136" s="340" t="str">
        <f>OBRA!L135</f>
        <v>GMJ 003C OP/2015</v>
      </c>
      <c r="M136" s="203" t="str">
        <f>OBRA!M135</f>
        <v>CANCELADA</v>
      </c>
      <c r="N136" s="112" t="str">
        <f>OBRA!N135</f>
        <v>1 ER ETAPA DE REHABILITACION, RED DE DRENAJE Y REPOCISION DE EMPEDRADO AHOGADO EN CEMENTO EN LA CALLE ANIMA SOLA DE LA CABECERA MUNICIPAL DE JOCOTEPEC</v>
      </c>
      <c r="O136" s="512" t="s">
        <v>627</v>
      </c>
      <c r="P136" s="93">
        <f>OBRA!Q135</f>
        <v>42593</v>
      </c>
      <c r="Q136" s="92">
        <f>OBRA!P135</f>
        <v>369433.09</v>
      </c>
      <c r="R136" s="94">
        <f>OBRA!R135</f>
        <v>42597</v>
      </c>
      <c r="S136" s="95">
        <f>OBRA!S135</f>
        <v>42704</v>
      </c>
      <c r="T136" s="107"/>
      <c r="U136" s="107" t="s">
        <v>1431</v>
      </c>
      <c r="V136" s="106"/>
      <c r="W136" s="97"/>
      <c r="X136" s="947">
        <f>OBRA!AP135</f>
        <v>0</v>
      </c>
      <c r="Y136" s="343"/>
      <c r="Z136" s="343"/>
      <c r="AA136" s="94"/>
      <c r="AB136" s="511">
        <f>OBRA!BT135</f>
        <v>0</v>
      </c>
      <c r="AC136" s="570"/>
      <c r="AD136" s="570"/>
    </row>
    <row r="137" spans="1:30" ht="105.75" hidden="1" customHeight="1">
      <c r="A137" s="23" t="s">
        <v>2239</v>
      </c>
      <c r="B137" s="933" t="str">
        <f>GRAL!B138</f>
        <v>2015-2018</v>
      </c>
      <c r="C137" s="17">
        <f>OBRA!I136</f>
        <v>2016</v>
      </c>
      <c r="D137" s="1676"/>
      <c r="E137" s="18" t="str">
        <f>OBRA!K136</f>
        <v>CUENTA CORRIENTE</v>
      </c>
      <c r="F137" s="528" t="s">
        <v>1431</v>
      </c>
      <c r="G137" s="390"/>
      <c r="H137" s="1"/>
      <c r="I137" s="390"/>
      <c r="J137" s="56" t="str">
        <f>OBRA!U136</f>
        <v>-</v>
      </c>
      <c r="K137" s="57" t="str">
        <f>OBRA!V136</f>
        <v>ING. J. GUADALUPE IBARRA RAMIREZ</v>
      </c>
      <c r="L137" s="20"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2">
        <f>OBRA!S136</f>
        <v>42441</v>
      </c>
      <c r="T137" s="54"/>
      <c r="U137" s="248" t="s">
        <v>1431</v>
      </c>
      <c r="V137" s="111"/>
      <c r="W137" s="55"/>
      <c r="X137" s="305">
        <f>OBRA!AP136</f>
        <v>0</v>
      </c>
      <c r="Y137" s="341"/>
      <c r="Z137" s="341"/>
      <c r="AA137" s="5"/>
      <c r="AB137" s="351">
        <f>OBRA!BT136</f>
        <v>0</v>
      </c>
      <c r="AC137" s="569"/>
      <c r="AD137" s="569"/>
    </row>
    <row r="138" spans="1:30" ht="63.75" hidden="1" customHeight="1">
      <c r="A138" s="23" t="s">
        <v>2239</v>
      </c>
      <c r="B138" s="933" t="str">
        <f>GRAL!B139</f>
        <v>2015-2018</v>
      </c>
      <c r="C138" s="17">
        <f>OBRA!I137</f>
        <v>2016</v>
      </c>
      <c r="D138" s="1676"/>
      <c r="E138" s="18" t="str">
        <f>OBRA!K137</f>
        <v>CUENTA CORRIENTE</v>
      </c>
      <c r="F138" s="528" t="s">
        <v>1431</v>
      </c>
      <c r="G138" s="390"/>
      <c r="H138" s="1"/>
      <c r="I138" s="390"/>
      <c r="J138" s="56" t="str">
        <f>OBRA!U137</f>
        <v>-</v>
      </c>
      <c r="K138" s="57" t="str">
        <f>OBRA!V137</f>
        <v>ING. J. GUADALUPE IBARRA RAMIREZ</v>
      </c>
      <c r="L138" s="20"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2">
        <f>OBRA!S137</f>
        <v>42439</v>
      </c>
      <c r="T138" s="54"/>
      <c r="U138" s="248" t="s">
        <v>1431</v>
      </c>
      <c r="V138" s="111"/>
      <c r="W138" s="55"/>
      <c r="X138" s="305">
        <f>OBRA!AP137</f>
        <v>0</v>
      </c>
      <c r="Y138" s="341"/>
      <c r="Z138" s="341"/>
      <c r="AA138" s="5"/>
      <c r="AB138" s="351">
        <f>OBRA!BT137</f>
        <v>0</v>
      </c>
      <c r="AC138" s="569"/>
      <c r="AD138" s="569"/>
    </row>
    <row r="139" spans="1:30" ht="60.75" hidden="1" customHeight="1">
      <c r="A139" s="23" t="s">
        <v>2239</v>
      </c>
      <c r="B139" s="933" t="str">
        <f>GRAL!B140</f>
        <v>2015-2018</v>
      </c>
      <c r="C139" s="17">
        <f>OBRA!I138</f>
        <v>2016</v>
      </c>
      <c r="D139" s="1676"/>
      <c r="E139" s="18" t="str">
        <f>OBRA!K138</f>
        <v>CUENTA CORRIENTE</v>
      </c>
      <c r="F139" s="14" t="s">
        <v>1431</v>
      </c>
      <c r="G139" s="390"/>
      <c r="H139" s="1"/>
      <c r="I139" s="390"/>
      <c r="J139" s="56" t="str">
        <f>OBRA!U138</f>
        <v>-</v>
      </c>
      <c r="K139" s="57" t="str">
        <f>OBRA!V138</f>
        <v>ING. J. GUADALUPE IBARRA RAMIREZ</v>
      </c>
      <c r="L139" s="20"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2">
        <f>OBRA!S138</f>
        <v>42560</v>
      </c>
      <c r="T139" s="54"/>
      <c r="U139" s="248" t="s">
        <v>1431</v>
      </c>
      <c r="V139" s="111"/>
      <c r="W139" s="55"/>
      <c r="X139" s="305">
        <f>OBRA!AP138</f>
        <v>0</v>
      </c>
      <c r="Y139" s="341"/>
      <c r="Z139" s="341"/>
      <c r="AA139" s="5"/>
      <c r="AB139" s="351">
        <f>OBRA!BT138</f>
        <v>0</v>
      </c>
      <c r="AC139" s="569"/>
      <c r="AD139" s="569"/>
    </row>
    <row r="140" spans="1:30" ht="60.75" hidden="1" customHeight="1">
      <c r="A140" s="23" t="s">
        <v>2239</v>
      </c>
      <c r="B140" s="933" t="str">
        <f>GRAL!B141</f>
        <v>2015-2018</v>
      </c>
      <c r="C140" s="17">
        <f>OBRA!I139</f>
        <v>2016</v>
      </c>
      <c r="D140" s="1676"/>
      <c r="E140" s="18" t="str">
        <f>OBRA!K139</f>
        <v>FORTALECE</v>
      </c>
      <c r="F140" s="525"/>
      <c r="G140" s="390"/>
      <c r="H140" s="1"/>
      <c r="I140" s="390"/>
      <c r="J140" s="56" t="str">
        <f>OBRA!U139</f>
        <v>-</v>
      </c>
      <c r="K140" s="57" t="str">
        <f>OBRA!V139</f>
        <v>ING. J. GUADALUPE IBARRA RAMIREZ</v>
      </c>
      <c r="L140" s="20"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2">
        <f>OBRA!S139</f>
        <v>42578</v>
      </c>
      <c r="T140" s="54"/>
      <c r="U140" s="248" t="s">
        <v>1431</v>
      </c>
      <c r="V140" s="111"/>
      <c r="W140" s="55"/>
      <c r="X140" s="305">
        <f>OBRA!AP139</f>
        <v>0</v>
      </c>
      <c r="Y140" s="341"/>
      <c r="Z140" s="341"/>
      <c r="AA140" s="5"/>
      <c r="AB140" s="351">
        <f>OBRA!BT139</f>
        <v>0</v>
      </c>
      <c r="AC140" s="569"/>
      <c r="AD140" s="569"/>
    </row>
    <row r="141" spans="1:30" ht="90.75" hidden="1" customHeight="1">
      <c r="A141" s="23" t="s">
        <v>2239</v>
      </c>
      <c r="B141" s="933" t="str">
        <f>GRAL!B142</f>
        <v>2015-2018</v>
      </c>
      <c r="C141" s="17">
        <f>OBRA!I140</f>
        <v>2016</v>
      </c>
      <c r="D141" s="1676"/>
      <c r="E141" s="18" t="str">
        <f>OBRA!K140</f>
        <v>FORTALECE</v>
      </c>
      <c r="F141" s="525"/>
      <c r="G141" s="390"/>
      <c r="H141" s="1"/>
      <c r="I141" s="390"/>
      <c r="J141" s="56" t="str">
        <f>OBRA!U140</f>
        <v>-</v>
      </c>
      <c r="K141" s="57" t="str">
        <f>OBRA!V140</f>
        <v>ING. J. GUADALUPE IBARRA RAMIREZ</v>
      </c>
      <c r="L141" s="20"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2">
        <f>OBRA!S140</f>
        <v>42710</v>
      </c>
      <c r="T141" s="54"/>
      <c r="U141" s="248" t="s">
        <v>1431</v>
      </c>
      <c r="V141" s="111"/>
      <c r="W141" s="55"/>
      <c r="X141" s="305">
        <f>OBRA!AP140</f>
        <v>0</v>
      </c>
      <c r="Y141" s="341"/>
      <c r="Z141" s="341"/>
      <c r="AA141" s="5"/>
      <c r="AB141" s="351">
        <f>OBRA!BT140</f>
        <v>0</v>
      </c>
      <c r="AC141" s="569"/>
      <c r="AD141" s="569"/>
    </row>
    <row r="142" spans="1:30" ht="60.75" hidden="1" customHeight="1">
      <c r="A142" s="23" t="s">
        <v>2239</v>
      </c>
      <c r="B142" s="933" t="str">
        <f>GRAL!B143</f>
        <v>2015-2018</v>
      </c>
      <c r="C142" s="17">
        <f>OBRA!I141</f>
        <v>2016</v>
      </c>
      <c r="D142" s="1676"/>
      <c r="E142" s="18" t="str">
        <f>OBRA!K141</f>
        <v>RAMO 33</v>
      </c>
      <c r="F142" s="525" t="s">
        <v>1431</v>
      </c>
      <c r="G142" s="390"/>
      <c r="H142" s="1"/>
      <c r="I142" s="390"/>
      <c r="J142" s="56" t="str">
        <f>OBRA!U141</f>
        <v>-</v>
      </c>
      <c r="K142" s="57" t="str">
        <f>OBRA!V141</f>
        <v>ING. J. GUADALUPE IBARRA RAMIREZ</v>
      </c>
      <c r="L142" s="20"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2">
        <f>OBRA!S141</f>
        <v>42665</v>
      </c>
      <c r="T142" s="54"/>
      <c r="U142" s="248" t="s">
        <v>1431</v>
      </c>
      <c r="V142" s="111"/>
      <c r="W142" s="55"/>
      <c r="X142" s="305">
        <f>OBRA!AP141</f>
        <v>0</v>
      </c>
      <c r="Y142" s="341"/>
      <c r="Z142" s="341"/>
      <c r="AA142" s="5"/>
      <c r="AB142" s="351">
        <f>OBRA!BT141</f>
        <v>0</v>
      </c>
      <c r="AC142" s="569"/>
      <c r="AD142" s="569"/>
    </row>
    <row r="143" spans="1:30" ht="60.75" hidden="1" customHeight="1">
      <c r="A143" s="23" t="s">
        <v>2239</v>
      </c>
      <c r="B143" s="933" t="str">
        <f>GRAL!B144</f>
        <v>2015-2018</v>
      </c>
      <c r="C143" s="17">
        <f>OBRA!I142</f>
        <v>2016</v>
      </c>
      <c r="D143" s="1676"/>
      <c r="E143" s="18" t="str">
        <f>OBRA!K142</f>
        <v>CUENTA CORRIENTE</v>
      </c>
      <c r="F143" s="525" t="s">
        <v>1431</v>
      </c>
      <c r="G143" s="390"/>
      <c r="H143" s="1"/>
      <c r="I143" s="390"/>
      <c r="J143" s="56" t="str">
        <f>OBRA!U142</f>
        <v>-</v>
      </c>
      <c r="K143" s="57" t="str">
        <f>OBRA!V142</f>
        <v>ING. RIGOBERTO OLMEDO RAMOS</v>
      </c>
      <c r="L143" s="20"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2">
        <f>OBRA!S142</f>
        <v>42581</v>
      </c>
      <c r="T143" s="54"/>
      <c r="U143" s="248" t="s">
        <v>1431</v>
      </c>
      <c r="V143" s="111"/>
      <c r="W143" s="55"/>
      <c r="X143" s="305">
        <f>OBRA!AP142</f>
        <v>0</v>
      </c>
      <c r="Y143" s="341"/>
      <c r="Z143" s="341"/>
      <c r="AA143" s="5"/>
      <c r="AB143" s="351">
        <f>OBRA!BT142</f>
        <v>0</v>
      </c>
      <c r="AC143" s="569"/>
      <c r="AD143" s="569"/>
    </row>
    <row r="144" spans="1:30" ht="75.75" hidden="1" customHeight="1">
      <c r="A144" s="23" t="s">
        <v>2239</v>
      </c>
      <c r="B144" s="933" t="str">
        <f>GRAL!B145</f>
        <v>2015-2018</v>
      </c>
      <c r="C144" s="17">
        <f>OBRA!I143</f>
        <v>2016</v>
      </c>
      <c r="D144" s="1676"/>
      <c r="E144" s="18" t="str">
        <f>OBRA!K143</f>
        <v>RAMO 33</v>
      </c>
      <c r="F144" s="525" t="s">
        <v>1431</v>
      </c>
      <c r="G144" s="390"/>
      <c r="H144" s="1"/>
      <c r="I144" s="390"/>
      <c r="J144" s="56" t="str">
        <f>OBRA!U143</f>
        <v>-</v>
      </c>
      <c r="K144" s="57" t="str">
        <f>OBRA!V143</f>
        <v>ING. J. GUADALUPE IBARRA RAMIREZ</v>
      </c>
      <c r="L144" s="20"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2">
        <f>OBRA!S143</f>
        <v>42546</v>
      </c>
      <c r="T144" s="54"/>
      <c r="U144" s="248" t="s">
        <v>1431</v>
      </c>
      <c r="V144" s="111"/>
      <c r="W144" s="55"/>
      <c r="X144" s="305">
        <f>OBRA!AP143</f>
        <v>0</v>
      </c>
      <c r="Y144" s="341"/>
      <c r="Z144" s="341"/>
      <c r="AA144" s="5"/>
      <c r="AB144" s="351">
        <f>OBRA!BT143</f>
        <v>0</v>
      </c>
      <c r="AC144" s="569"/>
      <c r="AD144" s="569"/>
    </row>
    <row r="145" spans="1:30" ht="75.75" hidden="1" customHeight="1">
      <c r="A145" s="23" t="s">
        <v>2239</v>
      </c>
      <c r="B145" s="933" t="str">
        <f>GRAL!B146</f>
        <v>2015-2018</v>
      </c>
      <c r="C145" s="17">
        <f>OBRA!I144</f>
        <v>2016</v>
      </c>
      <c r="D145" s="1676"/>
      <c r="E145" s="18" t="str">
        <f>OBRA!K144</f>
        <v>RAMO 33</v>
      </c>
      <c r="F145" s="525" t="s">
        <v>1431</v>
      </c>
      <c r="G145" s="390"/>
      <c r="H145" s="1"/>
      <c r="I145" s="390"/>
      <c r="J145" s="56" t="str">
        <f>OBRA!U144</f>
        <v>-</v>
      </c>
      <c r="K145" s="57" t="str">
        <f>OBRA!V144</f>
        <v>ING. J. GUADALUPE IBARRA RAMIREZ</v>
      </c>
      <c r="L145" s="20"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2">
        <f>OBRA!S144</f>
        <v>42665</v>
      </c>
      <c r="T145" s="54"/>
      <c r="U145" s="248" t="s">
        <v>1431</v>
      </c>
      <c r="V145" s="111"/>
      <c r="W145" s="55"/>
      <c r="X145" s="305">
        <f>OBRA!AP144</f>
        <v>0</v>
      </c>
      <c r="Y145" s="341"/>
      <c r="Z145" s="341"/>
      <c r="AA145" s="5"/>
      <c r="AB145" s="351">
        <f>OBRA!BT144</f>
        <v>0</v>
      </c>
      <c r="AC145" s="569"/>
      <c r="AD145" s="569"/>
    </row>
    <row r="146" spans="1:30" ht="75.75" hidden="1" customHeight="1">
      <c r="A146" s="23" t="s">
        <v>2239</v>
      </c>
      <c r="B146" s="933" t="str">
        <f>GRAL!B147</f>
        <v>2015-2018</v>
      </c>
      <c r="C146" s="17">
        <f>OBRA!I145</f>
        <v>2016</v>
      </c>
      <c r="D146" s="1676"/>
      <c r="E146" s="18" t="str">
        <f>OBRA!K145</f>
        <v>RAMO 33</v>
      </c>
      <c r="F146" s="525" t="s">
        <v>1431</v>
      </c>
      <c r="G146" s="390"/>
      <c r="H146" s="1"/>
      <c r="I146" s="390"/>
      <c r="J146" s="56" t="str">
        <f>OBRA!U145</f>
        <v>-</v>
      </c>
      <c r="K146" s="57" t="str">
        <f>OBRA!V145</f>
        <v>ING. J. GUADALUPE IBARRA RAMIREZ</v>
      </c>
      <c r="L146" s="20"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2">
        <f>OBRA!S145</f>
        <v>42586</v>
      </c>
      <c r="T146" s="54"/>
      <c r="U146" s="248" t="s">
        <v>1431</v>
      </c>
      <c r="V146" s="111"/>
      <c r="W146" s="55"/>
      <c r="X146" s="305">
        <f>OBRA!AP145</f>
        <v>0</v>
      </c>
      <c r="Y146" s="341"/>
      <c r="Z146" s="341"/>
      <c r="AA146" s="5"/>
      <c r="AB146" s="351">
        <f>OBRA!BT145</f>
        <v>0</v>
      </c>
      <c r="AC146" s="569"/>
      <c r="AD146" s="569"/>
    </row>
    <row r="147" spans="1:30" ht="135.75" hidden="1" customHeight="1">
      <c r="A147" s="23" t="s">
        <v>2239</v>
      </c>
      <c r="B147" s="933" t="str">
        <f>GRAL!B148</f>
        <v>2015-2018</v>
      </c>
      <c r="C147" s="17">
        <f>OBRA!I146</f>
        <v>2016</v>
      </c>
      <c r="D147" s="1676"/>
      <c r="E147" s="18" t="str">
        <f>OBRA!K146</f>
        <v>CUENTA CORRIENTE</v>
      </c>
      <c r="F147" s="14" t="s">
        <v>1431</v>
      </c>
      <c r="G147" s="390"/>
      <c r="H147" s="1"/>
      <c r="I147" s="390"/>
      <c r="J147" s="56" t="str">
        <f>OBRA!U146</f>
        <v>-</v>
      </c>
      <c r="K147" s="57" t="str">
        <f>OBRA!V146</f>
        <v>ING. J. GUADALUPE IBARRA RAMIREZ</v>
      </c>
      <c r="L147" s="20"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2">
        <f>OBRA!S146</f>
        <v>42582</v>
      </c>
      <c r="T147" s="54"/>
      <c r="U147" s="248" t="s">
        <v>1431</v>
      </c>
      <c r="V147" s="111"/>
      <c r="W147" s="55"/>
      <c r="X147" s="305">
        <f>OBRA!AP146</f>
        <v>0</v>
      </c>
      <c r="Y147" s="341"/>
      <c r="Z147" s="341"/>
      <c r="AA147" s="5"/>
      <c r="AB147" s="351">
        <f>OBRA!BT146</f>
        <v>0</v>
      </c>
      <c r="AC147" s="569"/>
      <c r="AD147" s="569"/>
    </row>
    <row r="148" spans="1:30" ht="120.75" hidden="1" customHeight="1">
      <c r="A148" s="23" t="s">
        <v>2239</v>
      </c>
      <c r="B148" s="933" t="str">
        <f>GRAL!B149</f>
        <v>2015-2018</v>
      </c>
      <c r="C148" s="17">
        <f>OBRA!I147</f>
        <v>2016</v>
      </c>
      <c r="D148" s="1676"/>
      <c r="E148" s="18" t="str">
        <f>OBRA!K147</f>
        <v>FONDEREG</v>
      </c>
      <c r="F148" s="525"/>
      <c r="G148" s="390"/>
      <c r="H148" s="1"/>
      <c r="I148" s="390"/>
      <c r="J148" s="56" t="str">
        <f>OBRA!U147</f>
        <v>-</v>
      </c>
      <c r="K148" s="57" t="str">
        <f>OBRA!V147</f>
        <v>ING. RIGOBERTO OLMEDO RAMOS</v>
      </c>
      <c r="L148" s="20"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2">
        <f>OBRA!S147</f>
        <v>42643</v>
      </c>
      <c r="T148" s="54"/>
      <c r="U148" s="248" t="s">
        <v>1431</v>
      </c>
      <c r="V148" s="111"/>
      <c r="W148" s="55"/>
      <c r="X148" s="305">
        <f>OBRA!AP147</f>
        <v>0</v>
      </c>
      <c r="Y148" s="341"/>
      <c r="Z148" s="341"/>
      <c r="AA148" s="5"/>
      <c r="AB148" s="351">
        <f>OBRA!BT147</f>
        <v>0</v>
      </c>
      <c r="AC148" s="569"/>
      <c r="AD148" s="569"/>
    </row>
    <row r="149" spans="1:30" ht="105.75" hidden="1" customHeight="1">
      <c r="A149" s="23" t="s">
        <v>2239</v>
      </c>
      <c r="B149" s="933" t="str">
        <f>GRAL!B150</f>
        <v>2015-2018</v>
      </c>
      <c r="C149" s="17">
        <f>OBRA!I148</f>
        <v>2016</v>
      </c>
      <c r="D149" s="1676"/>
      <c r="E149" s="18" t="str">
        <f>OBRA!K148</f>
        <v>FONDEREG</v>
      </c>
      <c r="F149" s="525"/>
      <c r="G149" s="390"/>
      <c r="H149" s="1"/>
      <c r="I149" s="390"/>
      <c r="J149" s="56" t="str">
        <f>OBRA!U148</f>
        <v>-</v>
      </c>
      <c r="K149" s="57" t="str">
        <f>OBRA!V148</f>
        <v>ING. RIGOBERTO OLMEDO RAMOS</v>
      </c>
      <c r="L149" s="20"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2">
        <f>OBRA!S148</f>
        <v>42651</v>
      </c>
      <c r="T149" s="54"/>
      <c r="U149" s="248" t="s">
        <v>1431</v>
      </c>
      <c r="V149" s="111"/>
      <c r="W149" s="55"/>
      <c r="X149" s="305">
        <f>OBRA!AP148</f>
        <v>0</v>
      </c>
      <c r="Y149" s="341"/>
      <c r="Z149" s="341"/>
      <c r="AA149" s="5"/>
      <c r="AB149" s="351">
        <f>OBRA!BT148</f>
        <v>0</v>
      </c>
      <c r="AC149" s="569"/>
      <c r="AD149" s="569"/>
    </row>
    <row r="150" spans="1:30" ht="75.75" hidden="1" customHeight="1">
      <c r="A150" s="23" t="s">
        <v>2239</v>
      </c>
      <c r="B150" s="933" t="str">
        <f>GRAL!B151</f>
        <v>2015-2018</v>
      </c>
      <c r="C150" s="17">
        <f>OBRA!I149</f>
        <v>2016</v>
      </c>
      <c r="D150" s="1676"/>
      <c r="E150" s="18" t="str">
        <f>OBRA!K149</f>
        <v>FONDEREG</v>
      </c>
      <c r="F150" s="525"/>
      <c r="G150" s="390"/>
      <c r="H150" s="1"/>
      <c r="I150" s="390"/>
      <c r="J150" s="56" t="str">
        <f>OBRA!U149</f>
        <v>-</v>
      </c>
      <c r="K150" s="57" t="str">
        <f>OBRA!V149</f>
        <v>ING. RIGOBERTO OLMEDO RAMOS</v>
      </c>
      <c r="L150" s="20"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2">
        <f>OBRA!S149</f>
        <v>42719</v>
      </c>
      <c r="T150" s="54"/>
      <c r="U150" s="248" t="s">
        <v>1431</v>
      </c>
      <c r="V150" s="111"/>
      <c r="W150" s="55"/>
      <c r="X150" s="305">
        <f>OBRA!AP149</f>
        <v>0</v>
      </c>
      <c r="Y150" s="341"/>
      <c r="Z150" s="341"/>
      <c r="AA150" s="5"/>
      <c r="AB150" s="351">
        <f>OBRA!BT149</f>
        <v>0</v>
      </c>
      <c r="AC150" s="569"/>
      <c r="AD150" s="569"/>
    </row>
    <row r="151" spans="1:30" ht="93" hidden="1" customHeight="1">
      <c r="A151" s="23" t="s">
        <v>2239</v>
      </c>
      <c r="B151" s="933" t="str">
        <f>GRAL!B152</f>
        <v>2015-2018</v>
      </c>
      <c r="C151" s="17">
        <f>OBRA!I150</f>
        <v>2016</v>
      </c>
      <c r="D151" s="1676"/>
      <c r="E151" s="18" t="str">
        <f>OBRA!K150</f>
        <v>CUENTA CORRIENTE</v>
      </c>
      <c r="F151" s="14" t="s">
        <v>1431</v>
      </c>
      <c r="G151" s="390"/>
      <c r="H151" s="1"/>
      <c r="I151" s="390"/>
      <c r="J151" s="56" t="str">
        <f>OBRA!U150</f>
        <v>-</v>
      </c>
      <c r="K151" s="57" t="str">
        <f>OBRA!V150</f>
        <v>ING. J. GUADALUPE IBARRA RAMIREZ</v>
      </c>
      <c r="L151" s="20"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2">
        <f>OBRA!S150</f>
        <v>42622</v>
      </c>
      <c r="T151" s="54"/>
      <c r="U151" s="248" t="s">
        <v>1431</v>
      </c>
      <c r="V151" s="111"/>
      <c r="W151" s="55"/>
      <c r="X151" s="305">
        <f>OBRA!AP150</f>
        <v>0</v>
      </c>
      <c r="Y151" s="341"/>
      <c r="Z151" s="341"/>
      <c r="AA151" s="5"/>
      <c r="AB151" s="351">
        <f>OBRA!BT150</f>
        <v>0</v>
      </c>
      <c r="AC151" s="569"/>
      <c r="AD151" s="569"/>
    </row>
    <row r="152" spans="1:30" ht="45.75" hidden="1" customHeight="1">
      <c r="A152" s="23" t="s">
        <v>2239</v>
      </c>
      <c r="B152" s="933" t="str">
        <f>GRAL!B153</f>
        <v>2015-2018</v>
      </c>
      <c r="C152" s="17">
        <f>OBRA!I151</f>
        <v>2016</v>
      </c>
      <c r="D152" s="1676"/>
      <c r="E152" s="18" t="str">
        <f>OBRA!K151</f>
        <v>CUENTA CORRIENTE</v>
      </c>
      <c r="F152" s="525" t="s">
        <v>1431</v>
      </c>
      <c r="G152" s="390"/>
      <c r="H152" s="1"/>
      <c r="I152" s="390"/>
      <c r="J152" s="56" t="str">
        <f>OBRA!U151</f>
        <v>-</v>
      </c>
      <c r="K152" s="57" t="str">
        <f>OBRA!V151</f>
        <v>ING. J. GUADALUPE IBARRA RAMIREZ</v>
      </c>
      <c r="L152" s="20"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2">
        <f>OBRA!S151</f>
        <v>42622</v>
      </c>
      <c r="T152" s="54"/>
      <c r="U152" s="248" t="s">
        <v>1431</v>
      </c>
      <c r="V152" s="111"/>
      <c r="W152" s="55"/>
      <c r="X152" s="305">
        <f>OBRA!AP151</f>
        <v>0</v>
      </c>
      <c r="Y152" s="341"/>
      <c r="Z152" s="341"/>
      <c r="AA152" s="5"/>
      <c r="AB152" s="351">
        <f>OBRA!BT151</f>
        <v>0</v>
      </c>
      <c r="AC152" s="569"/>
      <c r="AD152" s="569"/>
    </row>
    <row r="153" spans="1:30" ht="87.75" hidden="1" customHeight="1">
      <c r="A153" s="23" t="s">
        <v>2239</v>
      </c>
      <c r="B153" s="933" t="str">
        <f>GRAL!B154</f>
        <v>2015-2018</v>
      </c>
      <c r="C153" s="17">
        <f>OBRA!I152</f>
        <v>2016</v>
      </c>
      <c r="D153" s="1676"/>
      <c r="E153" s="19" t="str">
        <f>OBRA!K152</f>
        <v>3X1 PARA MIGRANTES</v>
      </c>
      <c r="F153" s="525"/>
      <c r="G153" s="390"/>
      <c r="H153" s="1"/>
      <c r="I153" s="390"/>
      <c r="J153" s="56" t="str">
        <f>OBRA!U152</f>
        <v>-</v>
      </c>
      <c r="K153" s="57" t="str">
        <f>OBRA!V152</f>
        <v>ING. RIGOBERTO OLMEDO RAMOS</v>
      </c>
      <c r="L153" s="20"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2">
        <f>OBRA!S152</f>
        <v>42643</v>
      </c>
      <c r="T153" s="54"/>
      <c r="U153" s="248" t="s">
        <v>1431</v>
      </c>
      <c r="V153" s="111"/>
      <c r="W153" s="55"/>
      <c r="X153" s="305">
        <f>OBRA!AP152</f>
        <v>0</v>
      </c>
      <c r="Y153" s="341"/>
      <c r="Z153" s="341"/>
      <c r="AA153" s="5"/>
      <c r="AB153" s="351">
        <f>OBRA!BT152</f>
        <v>0</v>
      </c>
      <c r="AC153" s="569"/>
      <c r="AD153" s="569"/>
    </row>
    <row r="154" spans="1:30" ht="90" hidden="1" customHeight="1">
      <c r="A154" s="23" t="s">
        <v>2239</v>
      </c>
      <c r="B154" s="933" t="str">
        <f>GRAL!B155</f>
        <v>2015-2018</v>
      </c>
      <c r="C154" s="17">
        <f>OBRA!I153</f>
        <v>2016</v>
      </c>
      <c r="D154" s="1676"/>
      <c r="E154" s="19" t="str">
        <f>OBRA!K153</f>
        <v>3X1 PARA MIGRANTES</v>
      </c>
      <c r="F154" s="525"/>
      <c r="G154" s="390"/>
      <c r="H154" s="1"/>
      <c r="I154" s="390"/>
      <c r="J154" s="56" t="str">
        <f>OBRA!U153</f>
        <v>-</v>
      </c>
      <c r="K154" s="57" t="str">
        <f>OBRA!V153</f>
        <v>ING. RIGOBERTO OLMEDO RAMOS</v>
      </c>
      <c r="L154" s="20"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2">
        <f>OBRA!S153</f>
        <v>42651</v>
      </c>
      <c r="T154" s="54"/>
      <c r="U154" s="248" t="s">
        <v>1431</v>
      </c>
      <c r="V154" s="111"/>
      <c r="W154" s="55"/>
      <c r="X154" s="305">
        <f>OBRA!AP153</f>
        <v>0</v>
      </c>
      <c r="Y154" s="341"/>
      <c r="Z154" s="341"/>
      <c r="AA154" s="5"/>
      <c r="AB154" s="351">
        <f>OBRA!BT153</f>
        <v>0</v>
      </c>
      <c r="AC154" s="569"/>
      <c r="AD154" s="569"/>
    </row>
    <row r="155" spans="1:30" ht="90.75" hidden="1" customHeight="1">
      <c r="A155" s="23" t="s">
        <v>2239</v>
      </c>
      <c r="B155" s="933" t="str">
        <f>GRAL!B156</f>
        <v>2015-2018</v>
      </c>
      <c r="C155" s="17">
        <f>OBRA!I154</f>
        <v>2016</v>
      </c>
      <c r="D155" s="1676"/>
      <c r="E155" s="19" t="str">
        <f>OBRA!K154</f>
        <v>3X1 PARA MIGRANTES</v>
      </c>
      <c r="F155" s="525"/>
      <c r="G155" s="390"/>
      <c r="H155" s="1"/>
      <c r="I155" s="390"/>
      <c r="J155" s="56" t="str">
        <f>OBRA!U154</f>
        <v>-</v>
      </c>
      <c r="K155" s="57" t="str">
        <f>OBRA!V154</f>
        <v>ING. RIGOBERTO OLMEDO RAMOS</v>
      </c>
      <c r="L155" s="20"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2">
        <f>OBRA!S154</f>
        <v>42663</v>
      </c>
      <c r="T155" s="54"/>
      <c r="U155" s="248" t="s">
        <v>1431</v>
      </c>
      <c r="V155" s="111"/>
      <c r="W155" s="55"/>
      <c r="X155" s="305">
        <f>OBRA!AP154</f>
        <v>0</v>
      </c>
      <c r="Y155" s="341"/>
      <c r="Z155" s="341"/>
      <c r="AA155" s="5"/>
      <c r="AB155" s="351">
        <f>OBRA!BT154</f>
        <v>0</v>
      </c>
      <c r="AC155" s="569"/>
      <c r="AD155" s="569"/>
    </row>
    <row r="156" spans="1:30" ht="90" hidden="1" customHeight="1">
      <c r="A156" s="23" t="s">
        <v>2239</v>
      </c>
      <c r="B156" s="933" t="str">
        <f>GRAL!B157</f>
        <v>2015-2018</v>
      </c>
      <c r="C156" s="17">
        <f>OBRA!I155</f>
        <v>2016</v>
      </c>
      <c r="D156" s="1676"/>
      <c r="E156" s="19" t="str">
        <f>OBRA!K155</f>
        <v>3X1 PARA MIGRANTES</v>
      </c>
      <c r="F156" s="525"/>
      <c r="G156" s="390"/>
      <c r="H156" s="1"/>
      <c r="I156" s="390"/>
      <c r="J156" s="56" t="str">
        <f>OBRA!U155</f>
        <v>-</v>
      </c>
      <c r="K156" s="57" t="str">
        <f>OBRA!V155</f>
        <v>ING. RIGOBERTO OLMEDO RAMOS</v>
      </c>
      <c r="L156" s="20"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2">
        <f>OBRA!S155</f>
        <v>42663</v>
      </c>
      <c r="T156" s="54"/>
      <c r="U156" s="248" t="s">
        <v>1431</v>
      </c>
      <c r="V156" s="111"/>
      <c r="W156" s="55"/>
      <c r="X156" s="305">
        <f>OBRA!AP155</f>
        <v>0</v>
      </c>
      <c r="Y156" s="341"/>
      <c r="Z156" s="341"/>
      <c r="AA156" s="5"/>
      <c r="AB156" s="351">
        <f>OBRA!BT155</f>
        <v>0</v>
      </c>
      <c r="AC156" s="569"/>
      <c r="AD156" s="569"/>
    </row>
    <row r="157" spans="1:30" ht="93" hidden="1" customHeight="1">
      <c r="A157" s="23" t="s">
        <v>2239</v>
      </c>
      <c r="B157" s="933" t="str">
        <f>GRAL!B158</f>
        <v>2015-2018</v>
      </c>
      <c r="C157" s="17">
        <f>OBRA!I156</f>
        <v>2016</v>
      </c>
      <c r="D157" s="1676"/>
      <c r="E157" s="19" t="str">
        <f>OBRA!K156</f>
        <v>3X1 PARA MIGRANTES</v>
      </c>
      <c r="F157" s="525"/>
      <c r="G157" s="390"/>
      <c r="H157" s="1"/>
      <c r="I157" s="390"/>
      <c r="J157" s="56" t="str">
        <f>OBRA!U156</f>
        <v>-</v>
      </c>
      <c r="K157" s="57" t="str">
        <f>OBRA!V156</f>
        <v>ING. RIGOBERTO OLMEDO RAMOS</v>
      </c>
      <c r="L157" s="20"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2">
        <f>OBRA!S156</f>
        <v>42669</v>
      </c>
      <c r="T157" s="54"/>
      <c r="U157" s="248" t="s">
        <v>1431</v>
      </c>
      <c r="V157" s="111"/>
      <c r="W157" s="55"/>
      <c r="X157" s="305">
        <f>OBRA!AP156</f>
        <v>0</v>
      </c>
      <c r="Y157" s="341"/>
      <c r="Z157" s="341"/>
      <c r="AA157" s="5"/>
      <c r="AB157" s="351">
        <f>OBRA!BT156</f>
        <v>0</v>
      </c>
      <c r="AC157" s="569"/>
      <c r="AD157" s="569"/>
    </row>
    <row r="158" spans="1:30" ht="93" hidden="1" customHeight="1">
      <c r="A158" s="23" t="s">
        <v>2239</v>
      </c>
      <c r="B158" s="933" t="str">
        <f>GRAL!B159</f>
        <v>2015-2018</v>
      </c>
      <c r="C158" s="17">
        <f>OBRA!I157</f>
        <v>2016</v>
      </c>
      <c r="D158" s="1676"/>
      <c r="E158" s="19" t="str">
        <f>OBRA!K157</f>
        <v>3X1 PARA MIGRANTES</v>
      </c>
      <c r="F158" s="14"/>
      <c r="G158" s="390"/>
      <c r="H158" s="1"/>
      <c r="I158" s="390"/>
      <c r="J158" s="56" t="str">
        <f>OBRA!U157</f>
        <v>-</v>
      </c>
      <c r="K158" s="57" t="str">
        <f>OBRA!V157</f>
        <v>ING. RIGOBERTO OLMEDO RAMOS</v>
      </c>
      <c r="L158" s="20"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2">
        <f>OBRA!S157</f>
        <v>42684</v>
      </c>
      <c r="T158" s="54"/>
      <c r="U158" s="248" t="s">
        <v>1431</v>
      </c>
      <c r="V158" s="111"/>
      <c r="W158" s="55"/>
      <c r="X158" s="305">
        <f>OBRA!AP157</f>
        <v>0</v>
      </c>
      <c r="Y158" s="341"/>
      <c r="Z158" s="341"/>
      <c r="AA158" s="5"/>
      <c r="AB158" s="351">
        <f>OBRA!BT157</f>
        <v>0</v>
      </c>
      <c r="AC158" s="569"/>
      <c r="AD158" s="569"/>
    </row>
    <row r="159" spans="1:30" ht="56.25" hidden="1" customHeight="1">
      <c r="A159" s="23" t="s">
        <v>2239</v>
      </c>
      <c r="B159" s="933" t="str">
        <f>GRAL!B160</f>
        <v>2015-2018</v>
      </c>
      <c r="C159" s="17">
        <f>OBRA!I158</f>
        <v>2016</v>
      </c>
      <c r="D159" s="1676"/>
      <c r="E159" s="19" t="str">
        <f>OBRA!K158</f>
        <v>3X1 PARA MIGRANTES</v>
      </c>
      <c r="F159" s="525"/>
      <c r="G159" s="390"/>
      <c r="H159" s="1"/>
      <c r="I159" s="390"/>
      <c r="J159" s="56" t="str">
        <f>OBRA!U158</f>
        <v>-</v>
      </c>
      <c r="K159" s="57" t="str">
        <f>OBRA!V158</f>
        <v>ING. RIGOBERTO OLMEDO RAMOS</v>
      </c>
      <c r="L159" s="20"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2">
        <f>OBRA!S158</f>
        <v>42700</v>
      </c>
      <c r="T159" s="54"/>
      <c r="U159" s="248" t="s">
        <v>1431</v>
      </c>
      <c r="V159" s="111"/>
      <c r="W159" s="55"/>
      <c r="X159" s="305">
        <f>OBRA!AP158</f>
        <v>0</v>
      </c>
      <c r="Y159" s="341"/>
      <c r="Z159" s="341"/>
      <c r="AA159" s="5"/>
      <c r="AB159" s="351">
        <f>OBRA!BT158</f>
        <v>0</v>
      </c>
      <c r="AC159" s="569"/>
      <c r="AD159" s="569"/>
    </row>
    <row r="160" spans="1:30" ht="62.25" hidden="1" customHeight="1">
      <c r="A160" s="23" t="s">
        <v>2239</v>
      </c>
      <c r="B160" s="933" t="str">
        <f>GRAL!B161</f>
        <v>2015-2018</v>
      </c>
      <c r="C160" s="17">
        <f>OBRA!I159</f>
        <v>2016</v>
      </c>
      <c r="D160" s="1676"/>
      <c r="E160" s="19" t="str">
        <f>OBRA!K159</f>
        <v>3X1 PARA MIGRANTES</v>
      </c>
      <c r="F160" s="525"/>
      <c r="G160" s="390"/>
      <c r="H160" s="1"/>
      <c r="I160" s="390"/>
      <c r="J160" s="56" t="str">
        <f>OBRA!U159</f>
        <v>-</v>
      </c>
      <c r="K160" s="57" t="str">
        <f>OBRA!V159</f>
        <v>ING. RIGOBERTO OLMEDO RAMOS</v>
      </c>
      <c r="L160" s="20"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2">
        <f>OBRA!S159</f>
        <v>42721</v>
      </c>
      <c r="T160" s="54"/>
      <c r="U160" s="248" t="s">
        <v>1431</v>
      </c>
      <c r="V160" s="111"/>
      <c r="W160" s="55"/>
      <c r="X160" s="305">
        <f>OBRA!AP159</f>
        <v>0</v>
      </c>
      <c r="Y160" s="341"/>
      <c r="Z160" s="341"/>
      <c r="AA160" s="5"/>
      <c r="AB160" s="351">
        <f>OBRA!BT159</f>
        <v>0</v>
      </c>
      <c r="AC160" s="569"/>
      <c r="AD160" s="569"/>
    </row>
    <row r="161" spans="1:30" ht="87" hidden="1" customHeight="1">
      <c r="A161" s="23" t="s">
        <v>2239</v>
      </c>
      <c r="B161" s="933" t="str">
        <f>GRAL!B162</f>
        <v>2015-2018</v>
      </c>
      <c r="C161" s="17">
        <f>OBRA!I160</f>
        <v>2016</v>
      </c>
      <c r="D161" s="1676"/>
      <c r="E161" s="19" t="str">
        <f>OBRA!K160</f>
        <v>3X1 PARA MIGRANTES</v>
      </c>
      <c r="F161" s="525"/>
      <c r="G161" s="390"/>
      <c r="H161" s="1"/>
      <c r="I161" s="390"/>
      <c r="J161" s="56" t="str">
        <f>OBRA!U160</f>
        <v>-</v>
      </c>
      <c r="K161" s="57" t="str">
        <f>OBRA!V160</f>
        <v>ING. RIGOBERTO OLMEDO RAMOS</v>
      </c>
      <c r="L161" s="20"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2">
        <f>OBRA!S160</f>
        <v>42672</v>
      </c>
      <c r="T161" s="54"/>
      <c r="U161" s="248" t="s">
        <v>1431</v>
      </c>
      <c r="V161" s="111"/>
      <c r="W161" s="55"/>
      <c r="X161" s="305">
        <f>OBRA!AP160</f>
        <v>0</v>
      </c>
      <c r="Y161" s="341"/>
      <c r="Z161" s="341"/>
      <c r="AA161" s="5"/>
      <c r="AB161" s="351">
        <f>OBRA!BT160</f>
        <v>0</v>
      </c>
      <c r="AC161" s="569"/>
      <c r="AD161" s="569"/>
    </row>
    <row r="162" spans="1:30" ht="61.5" hidden="1" customHeight="1">
      <c r="A162" s="23" t="s">
        <v>2239</v>
      </c>
      <c r="B162" s="933" t="str">
        <f>GRAL!B163</f>
        <v>2015-2018</v>
      </c>
      <c r="C162" s="17">
        <f>OBRA!I161</f>
        <v>2016</v>
      </c>
      <c r="D162" s="1676"/>
      <c r="E162" s="19" t="str">
        <f>OBRA!K161</f>
        <v>3X1 PARA MIGRANTES</v>
      </c>
      <c r="F162" s="525"/>
      <c r="G162" s="390"/>
      <c r="H162" s="1"/>
      <c r="I162" s="390"/>
      <c r="J162" s="56" t="str">
        <f>OBRA!U161</f>
        <v>-</v>
      </c>
      <c r="K162" s="57" t="str">
        <f>OBRA!V161</f>
        <v>ING. RIGOBERTO OLMEDO RAMOS</v>
      </c>
      <c r="L162" s="20"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2">
        <f>OBRA!S161</f>
        <v>42704</v>
      </c>
      <c r="T162" s="54"/>
      <c r="U162" s="248" t="s">
        <v>1431</v>
      </c>
      <c r="V162" s="111"/>
      <c r="W162" s="55"/>
      <c r="X162" s="305">
        <f>OBRA!AP161</f>
        <v>0</v>
      </c>
      <c r="Y162" s="341"/>
      <c r="Z162" s="341"/>
      <c r="AA162" s="5"/>
      <c r="AB162" s="351">
        <f>OBRA!BT161</f>
        <v>0</v>
      </c>
      <c r="AC162" s="569"/>
      <c r="AD162" s="569"/>
    </row>
    <row r="163" spans="1:30" ht="110.25" hidden="1" customHeight="1">
      <c r="A163" s="23" t="s">
        <v>2239</v>
      </c>
      <c r="B163" s="933" t="str">
        <f>GRAL!B164</f>
        <v>2015-2018</v>
      </c>
      <c r="C163" s="17">
        <f>OBRA!I162</f>
        <v>2016</v>
      </c>
      <c r="D163" s="1676"/>
      <c r="E163" s="19" t="str">
        <f>OBRA!K162</f>
        <v xml:space="preserve">Fortalecimiento Financiero Para La Inversion </v>
      </c>
      <c r="F163" s="14"/>
      <c r="G163" s="390"/>
      <c r="H163" s="1"/>
      <c r="I163" s="390"/>
      <c r="J163" s="56" t="str">
        <f>OBRA!U162</f>
        <v>-</v>
      </c>
      <c r="K163" s="57" t="str">
        <f>OBRA!V162</f>
        <v>ING. J. GUADALUPE IBARRA RAMIREZ</v>
      </c>
      <c r="L163" s="20"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2">
        <f>OBRA!S162</f>
        <v>42734</v>
      </c>
      <c r="T163" s="54"/>
      <c r="U163" s="248" t="s">
        <v>1431</v>
      </c>
      <c r="V163" s="111"/>
      <c r="W163" s="55"/>
      <c r="X163" s="305">
        <f>OBRA!AP162</f>
        <v>0</v>
      </c>
      <c r="Y163" s="341"/>
      <c r="Z163" s="341"/>
      <c r="AA163" s="5"/>
      <c r="AB163" s="351">
        <f>OBRA!BT162</f>
        <v>0</v>
      </c>
      <c r="AC163" s="569"/>
      <c r="AD163" s="569"/>
    </row>
    <row r="164" spans="1:30" ht="67.5" hidden="1" customHeight="1">
      <c r="A164" s="23" t="s">
        <v>2239</v>
      </c>
      <c r="B164" s="933" t="str">
        <f>GRAL!B165</f>
        <v>2015-2018</v>
      </c>
      <c r="C164" s="17">
        <f>OBRA!I163</f>
        <v>2016</v>
      </c>
      <c r="D164" s="1676"/>
      <c r="E164" s="18" t="str">
        <f>OBRA!K163</f>
        <v>RAMO 33</v>
      </c>
      <c r="F164" s="525" t="s">
        <v>1431</v>
      </c>
      <c r="G164" s="390"/>
      <c r="H164" s="1"/>
      <c r="I164" s="390"/>
      <c r="J164" s="56" t="str">
        <f>OBRA!U163</f>
        <v>-</v>
      </c>
      <c r="K164" s="57" t="str">
        <f>OBRA!V163</f>
        <v>ING. J. GUADALUPE IBARRA RAMIREZ</v>
      </c>
      <c r="L164" s="20"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2">
        <f>OBRA!S163</f>
        <v>42735</v>
      </c>
      <c r="T164" s="54"/>
      <c r="U164" s="248" t="s">
        <v>1431</v>
      </c>
      <c r="V164" s="111"/>
      <c r="W164" s="55"/>
      <c r="X164" s="305">
        <f>OBRA!AP163</f>
        <v>0</v>
      </c>
      <c r="Y164" s="341"/>
      <c r="Z164" s="341"/>
      <c r="AA164" s="5"/>
      <c r="AB164" s="351">
        <f>OBRA!BT163</f>
        <v>0</v>
      </c>
      <c r="AC164" s="569"/>
      <c r="AD164" s="569"/>
    </row>
    <row r="165" spans="1:30" ht="110.25" hidden="1" customHeight="1">
      <c r="A165" s="23" t="s">
        <v>2239</v>
      </c>
      <c r="B165" s="933" t="str">
        <f>GRAL!B166</f>
        <v>2015-2018</v>
      </c>
      <c r="C165" s="17">
        <f>OBRA!I164</f>
        <v>2016</v>
      </c>
      <c r="D165" s="1676"/>
      <c r="E165" s="18" t="str">
        <f>OBRA!K164</f>
        <v>CUENTA CORRIENTE</v>
      </c>
      <c r="F165" s="525" t="s">
        <v>1431</v>
      </c>
      <c r="G165" s="390"/>
      <c r="H165" s="1"/>
      <c r="I165" s="390"/>
      <c r="J165" s="56" t="str">
        <f>OBRA!U164</f>
        <v>-</v>
      </c>
      <c r="K165" s="57" t="str">
        <f>OBRA!V164</f>
        <v>ING. ANGEL ALBERTO HERNANDEZ MORA</v>
      </c>
      <c r="L165" s="20"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2">
        <f>OBRA!S164</f>
        <v>42711</v>
      </c>
      <c r="T165" s="54"/>
      <c r="U165" s="248" t="s">
        <v>1431</v>
      </c>
      <c r="V165" s="111"/>
      <c r="W165" s="55"/>
      <c r="X165" s="305">
        <f>OBRA!AP164</f>
        <v>0</v>
      </c>
      <c r="Y165" s="341"/>
      <c r="Z165" s="341"/>
      <c r="AA165" s="5"/>
      <c r="AB165" s="351">
        <f>OBRA!BT164</f>
        <v>0</v>
      </c>
      <c r="AC165" s="569"/>
      <c r="AD165" s="569"/>
    </row>
    <row r="166" spans="1:30" ht="110.25" hidden="1" customHeight="1">
      <c r="A166" s="23" t="s">
        <v>2239</v>
      </c>
      <c r="B166" s="933" t="str">
        <f>GRAL!B167</f>
        <v>2015-2018</v>
      </c>
      <c r="C166" s="17">
        <f>OBRA!I165</f>
        <v>2016</v>
      </c>
      <c r="D166" s="1676"/>
      <c r="E166" s="18" t="str">
        <f>OBRA!K165</f>
        <v>RAMO 33</v>
      </c>
      <c r="F166" s="14" t="s">
        <v>1431</v>
      </c>
      <c r="G166" s="390"/>
      <c r="H166" s="1"/>
      <c r="I166" s="390"/>
      <c r="J166" s="56" t="str">
        <f>OBRA!U165</f>
        <v>-</v>
      </c>
      <c r="K166" s="57" t="str">
        <f>OBRA!V165</f>
        <v>ING. J. GUADALUPE IBARRA RAMIREZ</v>
      </c>
      <c r="L166" s="20"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2">
        <f>OBRA!S165</f>
        <v>42705</v>
      </c>
      <c r="T166" s="54"/>
      <c r="U166" s="248" t="s">
        <v>1431</v>
      </c>
      <c r="V166" s="111"/>
      <c r="W166" s="55"/>
      <c r="X166" s="305">
        <f>OBRA!AP165</f>
        <v>0</v>
      </c>
      <c r="Y166" s="341"/>
      <c r="Z166" s="341"/>
      <c r="AA166" s="5"/>
      <c r="AB166" s="351">
        <f>OBRA!BT165</f>
        <v>0</v>
      </c>
      <c r="AC166" s="569"/>
      <c r="AD166" s="569"/>
    </row>
    <row r="167" spans="1:30" ht="123" hidden="1" customHeight="1">
      <c r="A167" s="23" t="s">
        <v>2239</v>
      </c>
      <c r="B167" s="933" t="str">
        <f>GRAL!B168</f>
        <v>2015-2018</v>
      </c>
      <c r="C167" s="17">
        <f>OBRA!I166</f>
        <v>2016</v>
      </c>
      <c r="D167" s="1676"/>
      <c r="E167" s="18" t="str">
        <f>OBRA!K166</f>
        <v>RAMO 33</v>
      </c>
      <c r="F167" s="525" t="s">
        <v>1431</v>
      </c>
      <c r="G167" s="390"/>
      <c r="H167" s="1"/>
      <c r="I167" s="390"/>
      <c r="J167" s="56" t="str">
        <f>OBRA!U166</f>
        <v>-</v>
      </c>
      <c r="K167" s="57" t="str">
        <f>OBRA!V166</f>
        <v>ING. J. GUADALUPE IBARRA RAMIREZ</v>
      </c>
      <c r="L167" s="20"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2">
        <f>OBRA!S166</f>
        <v>42719</v>
      </c>
      <c r="T167" s="54"/>
      <c r="U167" s="248" t="s">
        <v>1431</v>
      </c>
      <c r="V167" s="111"/>
      <c r="W167" s="55"/>
      <c r="X167" s="305">
        <f>OBRA!AP166</f>
        <v>0</v>
      </c>
      <c r="Y167" s="341"/>
      <c r="Z167" s="341"/>
      <c r="AA167" s="5"/>
      <c r="AB167" s="351">
        <f>OBRA!BT166</f>
        <v>0</v>
      </c>
      <c r="AC167" s="569"/>
      <c r="AD167" s="569"/>
    </row>
    <row r="168" spans="1:30" ht="110.25" hidden="1" customHeight="1">
      <c r="A168" s="23" t="s">
        <v>2239</v>
      </c>
      <c r="B168" s="933" t="str">
        <f>GRAL!B169</f>
        <v>2015-2018</v>
      </c>
      <c r="C168" s="17">
        <f>OBRA!I167</f>
        <v>2016</v>
      </c>
      <c r="D168" s="1676"/>
      <c r="E168" s="18" t="str">
        <f>OBRA!K167</f>
        <v>RAMO 33</v>
      </c>
      <c r="F168" s="525" t="s">
        <v>1431</v>
      </c>
      <c r="G168" s="390"/>
      <c r="H168" s="1"/>
      <c r="I168" s="390"/>
      <c r="J168" s="56" t="str">
        <f>OBRA!U167</f>
        <v>-</v>
      </c>
      <c r="K168" s="57" t="str">
        <f>OBRA!V167</f>
        <v>ING. J. GUADALUPE IBARRA RAMIREZ</v>
      </c>
      <c r="L168" s="20"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2">
        <f>OBRA!S167</f>
        <v>42735</v>
      </c>
      <c r="T168" s="54"/>
      <c r="U168" s="248" t="s">
        <v>1431</v>
      </c>
      <c r="V168" s="111"/>
      <c r="W168" s="55"/>
      <c r="X168" s="305">
        <f>OBRA!AP167</f>
        <v>0</v>
      </c>
      <c r="Y168" s="341"/>
      <c r="Z168" s="341"/>
      <c r="AA168" s="5"/>
      <c r="AB168" s="351">
        <f>OBRA!BT167</f>
        <v>0</v>
      </c>
      <c r="AC168" s="569"/>
      <c r="AD168" s="569"/>
    </row>
    <row r="169" spans="1:30" ht="110.25" hidden="1" customHeight="1">
      <c r="A169" s="23" t="s">
        <v>2239</v>
      </c>
      <c r="B169" s="933" t="str">
        <f>GRAL!B170</f>
        <v>2015-2018</v>
      </c>
      <c r="C169" s="17">
        <f>OBRA!I168</f>
        <v>2016</v>
      </c>
      <c r="D169" s="1676"/>
      <c r="E169" s="19" t="str">
        <f>OBRA!K168</f>
        <v>3X1 PARA MIGRANTES</v>
      </c>
      <c r="F169" s="525"/>
      <c r="G169" s="24"/>
      <c r="H169" s="1"/>
      <c r="I169" s="390"/>
      <c r="J169" s="56" t="str">
        <f>OBRA!U168</f>
        <v>-</v>
      </c>
      <c r="K169" s="57" t="str">
        <f>OBRA!V168</f>
        <v>ING. RIGOBERTO OLMEDO RAMOS</v>
      </c>
      <c r="L169" s="20"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2">
        <f>OBRA!S168</f>
        <v>42735</v>
      </c>
      <c r="T169" s="54"/>
      <c r="U169" s="248" t="s">
        <v>1431</v>
      </c>
      <c r="V169" s="111"/>
      <c r="W169" s="55"/>
      <c r="X169" s="305">
        <f>OBRA!AP168</f>
        <v>0</v>
      </c>
      <c r="Y169" s="341"/>
      <c r="Z169" s="341"/>
      <c r="AA169" s="5"/>
      <c r="AB169" s="351">
        <f>OBRA!BT168</f>
        <v>0</v>
      </c>
      <c r="AC169" s="569"/>
      <c r="AD169" s="569"/>
    </row>
    <row r="170" spans="1:30" ht="253.5" hidden="1" customHeight="1">
      <c r="A170" s="23" t="s">
        <v>2239</v>
      </c>
      <c r="B170" s="933" t="str">
        <f>GRAL!B171</f>
        <v>2015-2018</v>
      </c>
      <c r="C170" s="17">
        <f>OBRA!I169</f>
        <v>2016</v>
      </c>
      <c r="D170" s="1676"/>
      <c r="E170" s="19" t="str">
        <f>OBRA!K169</f>
        <v>PATRIMONIO MUNICIPAL</v>
      </c>
      <c r="F170" s="529" t="s">
        <v>1431</v>
      </c>
      <c r="G170" s="542" t="s">
        <v>1745</v>
      </c>
      <c r="H170" s="502" t="s">
        <v>1747</v>
      </c>
      <c r="I170" s="503" t="s">
        <v>1746</v>
      </c>
      <c r="J170" s="56" t="str">
        <f>OBRA!U169</f>
        <v>ELECTRIFICACIONES MUGA, S.A. DE C.V.</v>
      </c>
      <c r="K170" s="57" t="str">
        <f>OBRA!V169</f>
        <v>ING. RIGOBERTO OLMEDO RAMOS</v>
      </c>
      <c r="L170" s="35"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1741</v>
      </c>
      <c r="P170" s="6">
        <f>OBRA!Q169</f>
        <v>42461</v>
      </c>
      <c r="Q170" s="4">
        <f>OBRA!P169</f>
        <v>892870.48</v>
      </c>
      <c r="R170" s="5">
        <f>OBRA!R169</f>
        <v>42461</v>
      </c>
      <c r="S170" s="12">
        <f>OBRA!S169</f>
        <v>42583</v>
      </c>
      <c r="T170" s="55"/>
      <c r="U170" s="415" t="s">
        <v>1431</v>
      </c>
      <c r="V170" s="503" t="s">
        <v>1748</v>
      </c>
      <c r="W170" s="504" t="s">
        <v>2278</v>
      </c>
      <c r="X170" s="493">
        <f>OBRA!AP169</f>
        <v>89287.05</v>
      </c>
      <c r="Y170" s="5"/>
      <c r="Z170" s="341"/>
      <c r="AA170" s="5"/>
      <c r="AB170" s="351">
        <f>OBRA!BT169</f>
        <v>0</v>
      </c>
      <c r="AC170" s="569"/>
      <c r="AD170" s="569" t="s">
        <v>551</v>
      </c>
    </row>
    <row r="171" spans="1:30" ht="108" hidden="1" customHeight="1">
      <c r="A171" s="23" t="s">
        <v>2239</v>
      </c>
      <c r="B171" s="933" t="str">
        <f>GRAL!B172</f>
        <v>2015-2018</v>
      </c>
      <c r="C171" s="17">
        <f>OBRA!I170</f>
        <v>2016</v>
      </c>
      <c r="D171" s="1676"/>
      <c r="E171" s="18" t="str">
        <f>OBRA!K170</f>
        <v>RAMO 33</v>
      </c>
      <c r="F171" s="529" t="s">
        <v>1431</v>
      </c>
      <c r="G171" s="503" t="s">
        <v>1754</v>
      </c>
      <c r="H171" s="502" t="s">
        <v>1756</v>
      </c>
      <c r="I171" s="503" t="s">
        <v>1755</v>
      </c>
      <c r="J171" s="56" t="str">
        <f>OBRA!U170</f>
        <v>RAMPER DRILLINGS S.A. DE C.V.</v>
      </c>
      <c r="K171" s="57" t="str">
        <f>OBRA!V170</f>
        <v>ING. J. GUADALUPE IBARRA RAMIREZ</v>
      </c>
      <c r="L171" s="35" t="str">
        <f>OBRA!L170</f>
        <v>GMJ 002C OP/2016</v>
      </c>
      <c r="M171" s="2" t="str">
        <f>OBRA!M170</f>
        <v>ADJUDICACIÓN DIRECTA</v>
      </c>
      <c r="N171" s="3" t="str">
        <f>OBRA!N170</f>
        <v>PERFORACIÓN DE POZO PROFUNDO, ADEME, AFORO Y EQUIPO DE BOMBEO EN LA CALLE LIBERTAD DE NEXTIPAC, DE ESTE MUNICIPIO JOCOTEPEC, JALISCO</v>
      </c>
      <c r="O171" s="508" t="s">
        <v>1751</v>
      </c>
      <c r="P171" s="6">
        <f>OBRA!Q170</f>
        <v>42458</v>
      </c>
      <c r="Q171" s="4">
        <f>OBRA!P170</f>
        <v>1451401.32</v>
      </c>
      <c r="R171" s="5">
        <f>OBRA!R170</f>
        <v>42459</v>
      </c>
      <c r="S171" s="12">
        <f>OBRA!S170</f>
        <v>42498</v>
      </c>
      <c r="T171" s="55"/>
      <c r="U171" s="415" t="s">
        <v>1431</v>
      </c>
      <c r="V171" s="503" t="s">
        <v>1757</v>
      </c>
      <c r="W171" s="504" t="s">
        <v>2279</v>
      </c>
      <c r="X171" s="579">
        <f>OBRA!AP170</f>
        <v>145140.13</v>
      </c>
      <c r="Y171" s="255"/>
      <c r="Z171" s="341"/>
      <c r="AA171" s="5"/>
      <c r="AB171" s="351">
        <f>OBRA!BT170</f>
        <v>0</v>
      </c>
      <c r="AC171" s="569"/>
      <c r="AD171" s="569" t="s">
        <v>551</v>
      </c>
    </row>
    <row r="172" spans="1:30" ht="111.75" hidden="1" customHeight="1">
      <c r="A172" s="23" t="s">
        <v>2239</v>
      </c>
      <c r="B172" s="933" t="str">
        <f>GRAL!B173</f>
        <v>2015-2018</v>
      </c>
      <c r="C172" s="17">
        <f>OBRA!I171</f>
        <v>2016</v>
      </c>
      <c r="D172" s="1676"/>
      <c r="E172" s="18" t="str">
        <f>OBRA!K171</f>
        <v>FONDEREG</v>
      </c>
      <c r="F172" s="396" t="s">
        <v>1633</v>
      </c>
      <c r="G172" s="550" t="s">
        <v>1762</v>
      </c>
      <c r="H172" s="502" t="s">
        <v>1764</v>
      </c>
      <c r="I172" s="503" t="s">
        <v>1763</v>
      </c>
      <c r="J172" s="56" t="str">
        <f>OBRA!U171</f>
        <v>ENERGIAS RENOVABLES DE LA RIVERA S.A. DE C.V</v>
      </c>
      <c r="K172" s="57" t="str">
        <f>OBRA!V171</f>
        <v>ING. RIGOBERTO OLMEDO RAMOS</v>
      </c>
      <c r="L172" s="35"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508" t="s">
        <v>1758</v>
      </c>
      <c r="P172" s="6">
        <f>OBRA!Q171</f>
        <v>42587</v>
      </c>
      <c r="Q172" s="4">
        <f>OBRA!P171</f>
        <v>441388.12</v>
      </c>
      <c r="R172" s="5">
        <f>OBRA!R171</f>
        <v>42597</v>
      </c>
      <c r="S172" s="12">
        <f>OBRA!S171</f>
        <v>42628</v>
      </c>
      <c r="T172" s="55"/>
      <c r="U172" s="752" t="s">
        <v>2280</v>
      </c>
      <c r="V172" s="503" t="s">
        <v>1765</v>
      </c>
      <c r="W172" s="504" t="s">
        <v>2281</v>
      </c>
      <c r="X172" s="579">
        <f>OBRA!AP171</f>
        <v>88277.62</v>
      </c>
      <c r="Y172" s="255"/>
      <c r="Z172" s="341"/>
      <c r="AA172" s="5"/>
      <c r="AB172" s="351">
        <f>OBRA!BT171</f>
        <v>0</v>
      </c>
      <c r="AC172" s="569"/>
      <c r="AD172" s="569" t="s">
        <v>551</v>
      </c>
    </row>
    <row r="173" spans="1:30" ht="108" hidden="1" customHeight="1">
      <c r="A173" s="23" t="s">
        <v>2239</v>
      </c>
      <c r="B173" s="933" t="str">
        <f>GRAL!B174</f>
        <v>2015-2018</v>
      </c>
      <c r="C173" s="17">
        <f>OBRA!I172</f>
        <v>2016</v>
      </c>
      <c r="D173" s="1676"/>
      <c r="E173" s="18" t="str">
        <f>OBRA!K172</f>
        <v>RAMO 33</v>
      </c>
      <c r="F173" s="529" t="s">
        <v>1431</v>
      </c>
      <c r="G173" s="503" t="s">
        <v>1769</v>
      </c>
      <c r="H173" s="502" t="s">
        <v>1771</v>
      </c>
      <c r="I173" s="503" t="s">
        <v>1770</v>
      </c>
      <c r="J173" s="56" t="str">
        <f>OBRA!U172</f>
        <v>LIC. CARLOS MANUEL PELAYO CERVERA</v>
      </c>
      <c r="K173" s="57" t="str">
        <f>OBRA!V172</f>
        <v>LIC. SALVADOR CONTRERAS OLGUÍN</v>
      </c>
      <c r="L173" s="35"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508" t="s">
        <v>1768</v>
      </c>
      <c r="P173" s="6">
        <f>OBRA!Q172</f>
        <v>42599</v>
      </c>
      <c r="Q173" s="4">
        <f>OBRA!P172</f>
        <v>346655.86</v>
      </c>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c r="AD173" s="569" t="s">
        <v>551</v>
      </c>
    </row>
    <row r="174" spans="1:30" ht="111" hidden="1" customHeight="1">
      <c r="A174" s="23" t="s">
        <v>2239</v>
      </c>
      <c r="B174" s="933" t="str">
        <f>GRAL!B175</f>
        <v>2015-2018</v>
      </c>
      <c r="C174" s="17">
        <f>OBRA!I173</f>
        <v>2016</v>
      </c>
      <c r="D174" s="1676"/>
      <c r="E174" s="18" t="str">
        <f>OBRA!K173</f>
        <v>RAMO 33</v>
      </c>
      <c r="F174" s="529" t="s">
        <v>1431</v>
      </c>
      <c r="G174" s="503" t="s">
        <v>1774</v>
      </c>
      <c r="H174" s="502" t="s">
        <v>1776</v>
      </c>
      <c r="I174" s="503" t="s">
        <v>1775</v>
      </c>
      <c r="J174" s="56" t="str">
        <f>OBRA!U173</f>
        <v>LIC. CARLOS MANUEL PELAYO CERVERA</v>
      </c>
      <c r="K174" s="57" t="str">
        <f>OBRA!V173</f>
        <v>LIC. SALVADOR CONTRERAS OLGUÍN</v>
      </c>
      <c r="L174" s="35"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508" t="s">
        <v>1773</v>
      </c>
      <c r="P174" s="6">
        <f>OBRA!Q173</f>
        <v>42593</v>
      </c>
      <c r="Q174" s="4">
        <f>OBRA!P173</f>
        <v>410268.05</v>
      </c>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c r="AD174" s="569" t="s">
        <v>551</v>
      </c>
    </row>
    <row r="175" spans="1:30" ht="110.25" hidden="1" customHeight="1">
      <c r="A175" s="23" t="s">
        <v>2239</v>
      </c>
      <c r="B175" s="933" t="str">
        <f>GRAL!B176</f>
        <v>2015-2018</v>
      </c>
      <c r="C175" s="17">
        <f>OBRA!I174</f>
        <v>-2015</v>
      </c>
      <c r="D175" s="1676"/>
      <c r="E175" s="18" t="str">
        <f>OBRA!K174</f>
        <v>RAMO 33</v>
      </c>
      <c r="F175" s="529" t="s">
        <v>1431</v>
      </c>
      <c r="G175" s="503" t="s">
        <v>1780</v>
      </c>
      <c r="H175" s="502" t="s">
        <v>1782</v>
      </c>
      <c r="I175" s="503" t="s">
        <v>1781</v>
      </c>
      <c r="J175" s="56" t="str">
        <f>OBRA!U174</f>
        <v>CONSTRUCCIONES VIKBRAK, S.A. DE C.V.</v>
      </c>
      <c r="K175" s="57" t="str">
        <f>OBRA!V174</f>
        <v>LIC. SALVADOR CONTRERAS OLGUÍN</v>
      </c>
      <c r="L175" s="35" t="str">
        <f>OBRA!L174</f>
        <v>GMJ 006C OP/2016</v>
      </c>
      <c r="M175" s="2" t="str">
        <f>OBRA!M174</f>
        <v>ADJUDICACIÓN DIRECTA</v>
      </c>
      <c r="N175" s="328" t="str">
        <f>OBRA!N174</f>
        <v>1ER ETAPA DE REHABILITACION, RED DE AGUA POTABLE Y REPOSICION DE EMPEDRADO AHOGADO EN CEMENTO EN LA CALLE ANIMA SOLA DE LA CABECERA MUNICIPAL DE JOCOTEPEC, JALISCO</v>
      </c>
      <c r="O175" s="508" t="s">
        <v>1779</v>
      </c>
      <c r="P175" s="6">
        <f>OBRA!Q174</f>
        <v>42597</v>
      </c>
      <c r="Q175" s="4">
        <f>OBRA!P174</f>
        <v>369433.07</v>
      </c>
      <c r="R175" s="5">
        <f>OBRA!R174</f>
        <v>42600</v>
      </c>
      <c r="S175" s="12">
        <f>OBRA!S174</f>
        <v>42704</v>
      </c>
      <c r="T175" s="55"/>
      <c r="U175" s="415" t="s">
        <v>1431</v>
      </c>
      <c r="V175" s="486" t="s">
        <v>1783</v>
      </c>
      <c r="W175" s="399" t="s">
        <v>2285</v>
      </c>
      <c r="X175" s="778">
        <f>OBRA!AP174</f>
        <v>36601.06</v>
      </c>
      <c r="Y175" s="5"/>
      <c r="Z175" s="341"/>
      <c r="AA175" s="5"/>
      <c r="AB175" s="351">
        <f>OBRA!BT174</f>
        <v>0</v>
      </c>
      <c r="AC175" s="569"/>
      <c r="AD175" s="569" t="s">
        <v>2286</v>
      </c>
    </row>
    <row r="176" spans="1:30" ht="119.25" hidden="1" customHeight="1">
      <c r="A176" s="23" t="s">
        <v>2239</v>
      </c>
      <c r="B176" s="933" t="str">
        <f>GRAL!B177</f>
        <v>2015-2018</v>
      </c>
      <c r="C176" s="17">
        <f>OBRA!I175</f>
        <v>-2015</v>
      </c>
      <c r="D176" s="1676"/>
      <c r="E176" s="18" t="str">
        <f>OBRA!K175</f>
        <v>RAMO 33</v>
      </c>
      <c r="F176" s="529" t="s">
        <v>1431</v>
      </c>
      <c r="G176" s="503" t="s">
        <v>1785</v>
      </c>
      <c r="H176" s="502" t="s">
        <v>1787</v>
      </c>
      <c r="I176" s="503" t="s">
        <v>1786</v>
      </c>
      <c r="J176" s="56" t="str">
        <f>OBRA!U175</f>
        <v>CONSTRUCCIONES VIKBRAK, S.A. DE C.V.</v>
      </c>
      <c r="K176" s="57" t="str">
        <f>OBRA!V175</f>
        <v>LIC. SALVADOR CONTRERAS OLGUÍN</v>
      </c>
      <c r="L176" s="35" t="str">
        <f>OBRA!L175</f>
        <v>GMJ 007C OP/2016</v>
      </c>
      <c r="M176" s="2" t="str">
        <f>OBRA!M175</f>
        <v>ADJUDICACIÓN DIRECTA</v>
      </c>
      <c r="N176" s="328" t="str">
        <f>OBRA!N175</f>
        <v>1ER ETAPA DE REHABILITACION, RED DE DRENAJE Y REPOSICION DE EMPEDRADO AHOGADO EN CEMENTO EN LA CALLE ANIMA SOLA DE LA CABECERA MUNICIPAL DE JOCOTEPEC, JALISCO</v>
      </c>
      <c r="O176" s="508" t="s">
        <v>1784</v>
      </c>
      <c r="P176" s="6">
        <f>OBRA!Q175</f>
        <v>42592</v>
      </c>
      <c r="Q176" s="4">
        <f>OBRA!P175</f>
        <v>369433.09</v>
      </c>
      <c r="R176" s="5">
        <f>OBRA!R175</f>
        <v>42593</v>
      </c>
      <c r="S176" s="12">
        <f>OBRA!S175</f>
        <v>42704</v>
      </c>
      <c r="T176" s="55"/>
      <c r="U176" s="415" t="s">
        <v>1431</v>
      </c>
      <c r="V176" s="396" t="s">
        <v>1788</v>
      </c>
      <c r="W176" s="487" t="s">
        <v>2287</v>
      </c>
      <c r="X176" s="778">
        <f>OBRA!AP175</f>
        <v>36952.17</v>
      </c>
      <c r="Y176" s="5"/>
      <c r="Z176" s="341"/>
      <c r="AA176" s="5"/>
      <c r="AB176" s="351">
        <f>OBRA!BT175</f>
        <v>0</v>
      </c>
      <c r="AC176" s="569"/>
      <c r="AD176" s="569" t="s">
        <v>2286</v>
      </c>
    </row>
    <row r="177" spans="1:30" ht="105" hidden="1" customHeight="1">
      <c r="A177" s="23" t="s">
        <v>2239</v>
      </c>
      <c r="B177" s="933" t="str">
        <f>GRAL!B178</f>
        <v>2015-2018</v>
      </c>
      <c r="C177" s="17">
        <f>OBRA!I176</f>
        <v>2016</v>
      </c>
      <c r="D177" s="1676"/>
      <c r="E177" s="18" t="str">
        <f>OBRA!K176</f>
        <v>RAMO 33</v>
      </c>
      <c r="F177" s="529" t="s">
        <v>1431</v>
      </c>
      <c r="G177" s="503" t="s">
        <v>2288</v>
      </c>
      <c r="H177" s="502" t="s">
        <v>1792</v>
      </c>
      <c r="I177" s="503" t="s">
        <v>1791</v>
      </c>
      <c r="J177" s="56" t="str">
        <f>OBRA!U176</f>
        <v>CONSTRUCCIONES VIKBRAK, S.A. DE C.V.</v>
      </c>
      <c r="K177" s="57" t="str">
        <f>OBRA!V176</f>
        <v>LIC. SALVADOR CONTRERAS OLGUÍN</v>
      </c>
      <c r="L177" s="35" t="str">
        <f>OBRA!L176</f>
        <v>GMJ 008C OP/2016</v>
      </c>
      <c r="M177" s="2" t="str">
        <f>OBRA!M176</f>
        <v>ADJUDICACIÓN DIRECTA</v>
      </c>
      <c r="N177" s="3" t="str">
        <f>OBRA!N176</f>
        <v>2DA. ETAPA DE REHABILITACIÓN, RED DE DRENAJE Y REPOSICIÓN DE EMPEDRADO EN CEMENTO EN LA CALLE ANIMA SOLA EN JOCOTEPEC, JALISCO</v>
      </c>
      <c r="O177" s="508" t="s">
        <v>1789</v>
      </c>
      <c r="P177" s="6">
        <f>OBRA!Q176</f>
        <v>42618</v>
      </c>
      <c r="Q177" s="4">
        <f>OBRA!P176</f>
        <v>205079.87</v>
      </c>
      <c r="R177" s="5">
        <f>OBRA!R176</f>
        <v>42625</v>
      </c>
      <c r="S177" s="12">
        <f>OBRA!S176</f>
        <v>42704</v>
      </c>
      <c r="T177" s="55"/>
      <c r="U177" s="415" t="s">
        <v>1431</v>
      </c>
      <c r="V177" s="552" t="s">
        <v>1793</v>
      </c>
      <c r="W177" s="504" t="s">
        <v>2289</v>
      </c>
      <c r="X177" s="778">
        <f>OBRA!AP176</f>
        <v>20303.93</v>
      </c>
      <c r="Y177" s="5"/>
      <c r="Z177" s="341"/>
      <c r="AA177" s="5"/>
      <c r="AB177" s="351">
        <f>OBRA!BT176</f>
        <v>0</v>
      </c>
      <c r="AC177" s="569"/>
      <c r="AD177" s="569" t="s">
        <v>2286</v>
      </c>
    </row>
    <row r="178" spans="1:30" ht="128.25" hidden="1" customHeight="1">
      <c r="A178" s="23" t="s">
        <v>2239</v>
      </c>
      <c r="B178" s="933" t="str">
        <f>GRAL!B179</f>
        <v>2015-2018</v>
      </c>
      <c r="C178" s="17">
        <f>OBRA!I177</f>
        <v>2016</v>
      </c>
      <c r="D178" s="1676"/>
      <c r="E178" s="18" t="str">
        <f>OBRA!K177</f>
        <v>RAMO 33</v>
      </c>
      <c r="F178" s="529" t="s">
        <v>1431</v>
      </c>
      <c r="G178" s="552" t="s">
        <v>1795</v>
      </c>
      <c r="H178" s="580" t="s">
        <v>1797</v>
      </c>
      <c r="I178" s="503" t="s">
        <v>1796</v>
      </c>
      <c r="J178" s="56" t="str">
        <f>OBRA!U177</f>
        <v>CONSTRUCCIONES VIKBRAK, S.A. DE C.V.</v>
      </c>
      <c r="K178" s="57" t="str">
        <f>OBRA!V177</f>
        <v>LIC. SALVADOR CONTRERAS OLGUÍN</v>
      </c>
      <c r="L178" s="35" t="str">
        <f>OBRA!L177</f>
        <v>GMJ 009C OP/2016</v>
      </c>
      <c r="M178" s="2" t="str">
        <f>OBRA!M177</f>
        <v>ADJUDICACIÓN DIRECTA</v>
      </c>
      <c r="N178" s="328" t="str">
        <f>OBRA!N177</f>
        <v>2DA. ETAPA DE REHABILITACIÓN DE RED DE AGUA POTABLE Y REPOSICIÓN DE EMPEDRADO AHOGADO EN CEMENTO EN LA C. ANIMA SOLA DE LA CABECERA MUNICIPAL DE JOCOTEPEC, JALISCO</v>
      </c>
      <c r="O178" s="508" t="s">
        <v>1794</v>
      </c>
      <c r="P178" s="6">
        <f>OBRA!Q177</f>
        <v>42618</v>
      </c>
      <c r="Q178" s="4">
        <f>OBRA!P177</f>
        <v>187923.95</v>
      </c>
      <c r="R178" s="5">
        <f>OBRA!R177</f>
        <v>42625</v>
      </c>
      <c r="S178" s="12">
        <f>OBRA!S177</f>
        <v>42704</v>
      </c>
      <c r="T178" s="55"/>
      <c r="U178" s="415" t="s">
        <v>1431</v>
      </c>
      <c r="V178" s="396" t="s">
        <v>1798</v>
      </c>
      <c r="W178" s="641" t="s">
        <v>2290</v>
      </c>
      <c r="X178" s="778">
        <f>OBRA!AP177</f>
        <v>18792.37</v>
      </c>
      <c r="Y178" s="5"/>
      <c r="Z178" s="341"/>
      <c r="AA178" s="5"/>
      <c r="AB178" s="351">
        <f>OBRA!BT177</f>
        <v>0</v>
      </c>
      <c r="AC178" s="569"/>
      <c r="AD178" s="569" t="s">
        <v>2286</v>
      </c>
    </row>
    <row r="179" spans="1:30" ht="98.25" hidden="1" customHeight="1">
      <c r="A179" s="23" t="s">
        <v>2239</v>
      </c>
      <c r="B179" s="933" t="str">
        <f>GRAL!B180</f>
        <v>2015-2018</v>
      </c>
      <c r="C179" s="17">
        <f>OBRA!I178</f>
        <v>2016</v>
      </c>
      <c r="D179" s="1676"/>
      <c r="E179" s="18" t="str">
        <f>OBRA!K178</f>
        <v>RAMO 33</v>
      </c>
      <c r="F179" s="529" t="s">
        <v>1431</v>
      </c>
      <c r="G179" s="546" t="s">
        <v>1801</v>
      </c>
      <c r="H179" s="502" t="s">
        <v>1803</v>
      </c>
      <c r="I179" s="503" t="s">
        <v>1802</v>
      </c>
      <c r="J179" s="56" t="str">
        <f>OBRA!U178</f>
        <v>ING. GERARDO DANIEL PELAYO CERVERA</v>
      </c>
      <c r="K179" s="57" t="str">
        <f>OBRA!V178</f>
        <v>LIC. SALVADOR CONTRERAS OLGUÍN</v>
      </c>
      <c r="L179" s="35" t="str">
        <f>OBRA!L178</f>
        <v>GMJ 010C OP/2016</v>
      </c>
      <c r="M179" s="2" t="str">
        <f>OBRA!M178</f>
        <v>ADJUDICACIÓN DIRECTA</v>
      </c>
      <c r="N179" s="3" t="str">
        <f>OBRA!N178</f>
        <v>REHABILITACION DE RED DE DRENAJE EN C. VIENTE GUERRERO ENTRE INDEPENDENCIA Y NIÑOS HEROES, EN JOCOTEPEC, JALISCO</v>
      </c>
      <c r="O179" s="508" t="s">
        <v>1800</v>
      </c>
      <c r="P179" s="6">
        <f>OBRA!Q178</f>
        <v>42632</v>
      </c>
      <c r="Q179" s="4">
        <f>OBRA!P178</f>
        <v>583370.43999999994</v>
      </c>
      <c r="R179" s="5">
        <f>OBRA!R178</f>
        <v>42635</v>
      </c>
      <c r="S179" s="12">
        <f>OBRA!S178</f>
        <v>42704</v>
      </c>
      <c r="T179" s="55"/>
      <c r="U179" s="415" t="s">
        <v>1431</v>
      </c>
      <c r="V179" s="552" t="s">
        <v>1804</v>
      </c>
      <c r="W179" s="504" t="s">
        <v>2291</v>
      </c>
      <c r="X179" s="493">
        <f>OBRA!AP178</f>
        <v>116674.08</v>
      </c>
      <c r="Y179" s="5"/>
      <c r="Z179" s="341"/>
      <c r="AA179" s="5"/>
      <c r="AB179" s="351">
        <f>OBRA!BT178</f>
        <v>0</v>
      </c>
      <c r="AC179" s="569"/>
      <c r="AD179" s="569" t="s">
        <v>551</v>
      </c>
    </row>
    <row r="180" spans="1:30" ht="103.5" hidden="1" customHeight="1">
      <c r="A180" s="23" t="s">
        <v>2239</v>
      </c>
      <c r="B180" s="933" t="str">
        <f>GRAL!B181</f>
        <v>2015-2018</v>
      </c>
      <c r="C180" s="17">
        <f>OBRA!I179</f>
        <v>2016</v>
      </c>
      <c r="D180" s="1676"/>
      <c r="E180" s="18" t="str">
        <f>OBRA!K179</f>
        <v>RAMO 33</v>
      </c>
      <c r="F180" s="529" t="s">
        <v>1431</v>
      </c>
      <c r="G180" s="503" t="s">
        <v>1806</v>
      </c>
      <c r="H180" s="502" t="s">
        <v>1808</v>
      </c>
      <c r="I180" s="503" t="s">
        <v>1807</v>
      </c>
      <c r="J180" s="56" t="str">
        <f>OBRA!U179</f>
        <v>ING. GERARDO DANIEL PELAYO CERVERA</v>
      </c>
      <c r="K180" s="57" t="str">
        <f>OBRA!V179</f>
        <v>LIC. SALVADOR CONTRERAS OLGUÍN</v>
      </c>
      <c r="L180" s="35" t="str">
        <f>OBRA!L179</f>
        <v>GMJ 011C OP/2016</v>
      </c>
      <c r="M180" s="2" t="str">
        <f>OBRA!M179</f>
        <v>ADJUDICACIÓN DIRECTA</v>
      </c>
      <c r="N180" s="3" t="str">
        <f>OBRA!N179</f>
        <v>REHABILITACIÓN DE RED DE AGUA POTABLE EN C. VIENTE GUERRERO ENTRE INDEPENDENCIA Y NIÑOS HEROES, EN JOCOTEPEC, JALISCO</v>
      </c>
      <c r="O180" s="508" t="s">
        <v>1805</v>
      </c>
      <c r="P180" s="6">
        <f>OBRA!Q179</f>
        <v>42632</v>
      </c>
      <c r="Q180" s="4">
        <f>OBRA!P179</f>
        <v>490205.03</v>
      </c>
      <c r="R180" s="5">
        <f>OBRA!R179</f>
        <v>42635</v>
      </c>
      <c r="S180" s="12">
        <f>OBRA!S179</f>
        <v>42704</v>
      </c>
      <c r="T180" s="55"/>
      <c r="U180" s="415" t="s">
        <v>1431</v>
      </c>
      <c r="V180" s="546" t="s">
        <v>1809</v>
      </c>
      <c r="W180" s="504" t="s">
        <v>2292</v>
      </c>
      <c r="X180" s="493">
        <f>OBRA!AP179</f>
        <v>98041</v>
      </c>
      <c r="Y180" s="5"/>
      <c r="Z180" s="341"/>
      <c r="AA180" s="5"/>
      <c r="AB180" s="351">
        <f>OBRA!BT179</f>
        <v>0</v>
      </c>
      <c r="AC180" s="569"/>
      <c r="AD180" s="569" t="s">
        <v>551</v>
      </c>
    </row>
    <row r="181" spans="1:30" ht="90.75" hidden="1" customHeight="1">
      <c r="A181" s="23" t="s">
        <v>2239</v>
      </c>
      <c r="B181" s="933" t="str">
        <f>GRAL!B182</f>
        <v>2015-2018</v>
      </c>
      <c r="C181" s="17">
        <f>OBRA!I180</f>
        <v>2016</v>
      </c>
      <c r="D181" s="1676"/>
      <c r="E181" s="19" t="str">
        <f>OBRA!K180</f>
        <v xml:space="preserve">Fortalecimiento Financiero Para La Inversion </v>
      </c>
      <c r="F181" s="14"/>
      <c r="G181" s="473"/>
      <c r="H181" s="474"/>
      <c r="I181" s="396"/>
      <c r="J181" s="56" t="str">
        <f>OBRA!U180</f>
        <v>A&amp;G URBANIZADORA S.A. DE C.V.</v>
      </c>
      <c r="K181" s="57" t="str">
        <f>OBRA!V180</f>
        <v>ING. J. GUADALUPE IBARRA RAMIREZ</v>
      </c>
      <c r="L181" s="35"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2">
        <f>OBRA!S180</f>
        <v>42719</v>
      </c>
      <c r="T181" s="54"/>
      <c r="U181" s="248" t="s">
        <v>1431</v>
      </c>
      <c r="V181" s="396"/>
      <c r="W181" s="399"/>
      <c r="X181" s="493">
        <f>OBRA!AP180</f>
        <v>1768829.66</v>
      </c>
      <c r="Y181" s="341"/>
      <c r="Z181" s="341"/>
      <c r="AA181" s="5"/>
      <c r="AB181" s="351">
        <f>OBRA!BT180</f>
        <v>0</v>
      </c>
      <c r="AC181" s="569"/>
      <c r="AD181" s="569"/>
    </row>
    <row r="182" spans="1:30" ht="80.25" hidden="1" customHeight="1">
      <c r="A182" s="23" t="s">
        <v>2239</v>
      </c>
      <c r="B182" s="933" t="str">
        <f>GRAL!B183</f>
        <v>2015-2018</v>
      </c>
      <c r="C182" s="17">
        <f>OBRA!I181</f>
        <v>2016</v>
      </c>
      <c r="D182" s="1676"/>
      <c r="E182" s="18" t="str">
        <f>OBRA!K181</f>
        <v>RAMO 33</v>
      </c>
      <c r="F182" s="529" t="s">
        <v>1431</v>
      </c>
      <c r="G182" s="551" t="s">
        <v>1819</v>
      </c>
      <c r="H182" s="502" t="s">
        <v>1821</v>
      </c>
      <c r="I182" s="503" t="s">
        <v>1820</v>
      </c>
      <c r="J182" s="56" t="str">
        <f>OBRA!U181</f>
        <v>ENERGIAS RENOVABLES DE LA RIVERA S.A. DE C.V</v>
      </c>
      <c r="K182" s="57" t="str">
        <f>OBRA!V181</f>
        <v>ING. RIGOBERTO OLMEDO RAMOS</v>
      </c>
      <c r="L182" s="35" t="str">
        <f>OBRA!L181</f>
        <v>GMJ 013C OP/2016</v>
      </c>
      <c r="M182" s="2" t="str">
        <f>OBRA!M181</f>
        <v>ADJUDICACIÓN DIRECTA</v>
      </c>
      <c r="N182" s="3" t="str">
        <f>OBRA!N181</f>
        <v>ELECTRIFICACIÓN DE MEDIA Y BAJA TENSIÓN EN LA CALLE FRANCISCO VILLA DE ZAPOTITAN DE HIDALGO</v>
      </c>
      <c r="O182" s="508" t="s">
        <v>1818</v>
      </c>
      <c r="P182" s="6">
        <f>OBRA!Q181</f>
        <v>42650</v>
      </c>
      <c r="Q182" s="4">
        <f>OBRA!P181</f>
        <v>352278.81</v>
      </c>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c r="AD182" s="569" t="s">
        <v>551</v>
      </c>
    </row>
    <row r="183" spans="1:30" ht="72" hidden="1" customHeight="1">
      <c r="A183" s="23" t="s">
        <v>2239</v>
      </c>
      <c r="B183" s="933" t="str">
        <f>GRAL!B184</f>
        <v>2015-2018</v>
      </c>
      <c r="C183" s="17">
        <f>OBRA!I182</f>
        <v>2016</v>
      </c>
      <c r="D183" s="1676"/>
      <c r="E183" s="18" t="str">
        <f>OBRA!K182</f>
        <v>RAMO 33</v>
      </c>
      <c r="F183" s="529" t="s">
        <v>1431</v>
      </c>
      <c r="G183" s="546" t="s">
        <v>1825</v>
      </c>
      <c r="H183" s="502" t="s">
        <v>1827</v>
      </c>
      <c r="I183" s="503" t="s">
        <v>1826</v>
      </c>
      <c r="J183" s="56" t="str">
        <f>OBRA!U182</f>
        <v>ENERGIAS RENOVABLES DE LA RIVERA S.A. DE C.V</v>
      </c>
      <c r="K183" s="57" t="str">
        <f>OBRA!V182</f>
        <v>ING. RIGOBERTO OLMEDO RAMOS</v>
      </c>
      <c r="L183" s="35" t="str">
        <f>OBRA!L182</f>
        <v>GMJ 014C OP/2016</v>
      </c>
      <c r="M183" s="2" t="str">
        <f>OBRA!M182</f>
        <v>ADJUDICACIÓN DIRECTA</v>
      </c>
      <c r="N183" s="3" t="str">
        <f>OBRA!N182</f>
        <v>ELECTRIFICACIÓN DE MEDIA Y BAJA TENSIÓN EN LA CALLE BERNARDO QUINTANA DE ZAPOTITAN DE HIDALGO</v>
      </c>
      <c r="O183" s="508" t="s">
        <v>1824</v>
      </c>
      <c r="P183" s="6">
        <f>OBRA!Q182</f>
        <v>42650</v>
      </c>
      <c r="Q183" s="4">
        <f>OBRA!P182</f>
        <v>364293.06</v>
      </c>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c r="AD183" s="569" t="s">
        <v>551</v>
      </c>
    </row>
    <row r="184" spans="1:30" s="110" customFormat="1" ht="45" hidden="1" customHeight="1">
      <c r="A184" s="87" t="s">
        <v>2239</v>
      </c>
      <c r="B184" s="946" t="str">
        <f>GRAL!B185</f>
        <v>2012-2015</v>
      </c>
      <c r="C184" s="88">
        <f>OBRA!I183</f>
        <v>2016</v>
      </c>
      <c r="D184" s="893"/>
      <c r="E184" s="89" t="str">
        <f>OBRA!K183</f>
        <v>3X1 PARA MIGRANTES</v>
      </c>
      <c r="F184" s="392"/>
      <c r="G184" s="948"/>
      <c r="H184" s="949"/>
      <c r="I184" s="950"/>
      <c r="J184" s="159" t="str">
        <f>OBRA!U183</f>
        <v>CANCELADA</v>
      </c>
      <c r="K184" s="160" t="str">
        <f>OBRA!V183</f>
        <v>ING. RIGOBERTO OLMEDO RAMOS</v>
      </c>
      <c r="L184" s="340" t="str">
        <f>OBRA!L183</f>
        <v>GMJ 015C OP/2016</v>
      </c>
      <c r="M184" s="203" t="str">
        <f>OBRA!M183</f>
        <v>CANCELADA</v>
      </c>
      <c r="N184" s="112" t="str">
        <f>OBRA!N183</f>
        <v>EMPEDRADO AHOGADO EN CEMENTO EN CALLE INSURGENTES PRIMERA ETAPA, ZAPOTITAN DE HIDALGO</v>
      </c>
      <c r="O184" s="132"/>
      <c r="P184" s="93" t="str">
        <f>OBRA!Q183</f>
        <v>-</v>
      </c>
      <c r="Q184" s="92">
        <f>OBRA!P183</f>
        <v>2426000</v>
      </c>
      <c r="R184" s="94" t="str">
        <f>OBRA!R183</f>
        <v>-</v>
      </c>
      <c r="S184" s="95" t="str">
        <f>OBRA!S183</f>
        <v>-</v>
      </c>
      <c r="T184" s="97"/>
      <c r="U184" s="785" t="s">
        <v>1431</v>
      </c>
      <c r="V184" s="950"/>
      <c r="W184" s="951"/>
      <c r="X184" s="952">
        <f>OBRA!AP183</f>
        <v>0</v>
      </c>
      <c r="Y184" s="343"/>
      <c r="Z184" s="343"/>
      <c r="AA184" s="94"/>
      <c r="AB184" s="511" t="str">
        <f>OBRA!BT183</f>
        <v>CANCELADO</v>
      </c>
      <c r="AC184" s="570"/>
      <c r="AD184" s="570"/>
    </row>
    <row r="185" spans="1:30" ht="120" hidden="1" customHeight="1">
      <c r="A185" s="23" t="s">
        <v>2239</v>
      </c>
      <c r="B185" s="933" t="str">
        <f>GRAL!B186</f>
        <v>2015-2018</v>
      </c>
      <c r="C185" s="17">
        <f>OBRA!I184</f>
        <v>2016</v>
      </c>
      <c r="D185" s="1676"/>
      <c r="E185" s="19" t="str">
        <f>OBRA!K184</f>
        <v xml:space="preserve">Fortalecimiento Financiero Para La Inversion </v>
      </c>
      <c r="F185" s="527"/>
      <c r="G185" s="396"/>
      <c r="H185" s="474"/>
      <c r="I185" s="396"/>
      <c r="J185" s="56" t="str">
        <f>OBRA!U184</f>
        <v>TAG SOLUCIONES INTEGRALES S.A DE C.V.</v>
      </c>
      <c r="K185" s="57" t="str">
        <f>OBRA!V184</f>
        <v>ING. J. GUADALUPE IBARRA RAMIREZ</v>
      </c>
      <c r="L185" s="35"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2">
        <f>OBRA!S184</f>
        <v>42735</v>
      </c>
      <c r="T185" s="55"/>
      <c r="U185" s="415" t="s">
        <v>1431</v>
      </c>
      <c r="V185" s="396"/>
      <c r="W185" s="399"/>
      <c r="X185" s="493">
        <f>OBRA!AP184</f>
        <v>1097775.28</v>
      </c>
      <c r="Y185" s="341"/>
      <c r="Z185" s="341"/>
      <c r="AA185" s="5"/>
      <c r="AB185" s="351">
        <f>OBRA!BT184</f>
        <v>0</v>
      </c>
      <c r="AC185" s="569"/>
      <c r="AD185" s="569"/>
    </row>
    <row r="186" spans="1:30" ht="120" hidden="1" customHeight="1">
      <c r="A186" s="23" t="s">
        <v>2239</v>
      </c>
      <c r="B186" s="933" t="str">
        <f>GRAL!B187</f>
        <v>2015-2018</v>
      </c>
      <c r="C186" s="17">
        <f>OBRA!I185</f>
        <v>2016</v>
      </c>
      <c r="D186" s="1676"/>
      <c r="E186" s="19" t="str">
        <f>OBRA!K185</f>
        <v xml:space="preserve">Fortalecimiento Financiero Para La Inversion </v>
      </c>
      <c r="F186" s="528"/>
      <c r="G186" s="396"/>
      <c r="H186" s="474"/>
      <c r="I186" s="396"/>
      <c r="J186" s="56" t="str">
        <f>OBRA!U185</f>
        <v xml:space="preserve">GRUPO DESARROLLADOR INMOBILIARIO CEMERAMA S.A. DE C.V. </v>
      </c>
      <c r="K186" s="57" t="str">
        <f>OBRA!V185</f>
        <v xml:space="preserve">LIC. SALVADOR CONTRERAS </v>
      </c>
      <c r="L186" s="35"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2">
        <f>OBRA!S185</f>
        <v>42735</v>
      </c>
      <c r="T186" s="55"/>
      <c r="U186" s="415" t="s">
        <v>1431</v>
      </c>
      <c r="V186" s="396"/>
      <c r="W186" s="399"/>
      <c r="X186" s="493">
        <f>OBRA!AP185</f>
        <v>1180455.52</v>
      </c>
      <c r="Y186" s="341"/>
      <c r="Z186" s="341"/>
      <c r="AA186" s="5"/>
      <c r="AB186" s="351">
        <f>OBRA!BT185</f>
        <v>0</v>
      </c>
      <c r="AC186" s="569"/>
      <c r="AD186" s="569"/>
    </row>
    <row r="187" spans="1:30" ht="75" hidden="1" customHeight="1">
      <c r="A187" s="23" t="s">
        <v>2239</v>
      </c>
      <c r="B187" s="933" t="str">
        <f>GRAL!B188</f>
        <v>2015-2018</v>
      </c>
      <c r="C187" s="17">
        <f>OBRA!I186</f>
        <v>2016</v>
      </c>
      <c r="D187" s="1676"/>
      <c r="E187" s="18" t="str">
        <f>OBRA!K186</f>
        <v>SEDATU</v>
      </c>
      <c r="F187" s="528"/>
      <c r="G187" s="473"/>
      <c r="H187" s="474"/>
      <c r="I187" s="396"/>
      <c r="J187" s="56" t="str">
        <f>OBRA!U186</f>
        <v xml:space="preserve">GRUPO DESARROLLADOR INMOBILIARIO CEMERAMA S.A. DE C.V. </v>
      </c>
      <c r="K187" s="57" t="str">
        <f>OBRA!V186</f>
        <v xml:space="preserve">LIC. SALVADOR CONTRERAS </v>
      </c>
      <c r="L187" s="35"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2">
        <f>OBRA!S186</f>
        <v>42735</v>
      </c>
      <c r="T187" s="55"/>
      <c r="U187" s="415" t="s">
        <v>1431</v>
      </c>
      <c r="V187" s="396"/>
      <c r="W187" s="399"/>
      <c r="X187" s="493">
        <f>OBRA!AP186</f>
        <v>1077480</v>
      </c>
      <c r="Y187" s="341"/>
      <c r="Z187" s="341"/>
      <c r="AA187" s="5"/>
      <c r="AB187" s="351">
        <f>OBRA!BT186</f>
        <v>0</v>
      </c>
      <c r="AC187" s="569"/>
      <c r="AD187" s="569"/>
    </row>
    <row r="188" spans="1:30" ht="93.75" hidden="1" customHeight="1">
      <c r="A188" s="23" t="s">
        <v>2239</v>
      </c>
      <c r="B188" s="933" t="str">
        <f>GRAL!B189</f>
        <v>2015-2018</v>
      </c>
      <c r="C188" s="17">
        <f>OBRA!I187</f>
        <v>2016</v>
      </c>
      <c r="D188" s="1676"/>
      <c r="E188" s="18" t="str">
        <f>OBRA!K187</f>
        <v>RAMO 33</v>
      </c>
      <c r="F188" s="529" t="s">
        <v>1431</v>
      </c>
      <c r="G188" s="503" t="s">
        <v>1850</v>
      </c>
      <c r="H188" s="502" t="s">
        <v>1852</v>
      </c>
      <c r="I188" s="503" t="s">
        <v>1851</v>
      </c>
      <c r="J188" s="56" t="str">
        <f>OBRA!U187</f>
        <v>CONSTRUCCIONES VIKBRAK, S.A. DE C.V.</v>
      </c>
      <c r="K188" s="172" t="str">
        <f>OBRA!V187</f>
        <v>LIC. SALVADOR CONTRERAS OLGUÍN</v>
      </c>
      <c r="L188" s="35" t="str">
        <f>OBRA!L187</f>
        <v>GMJ 019C OP/2016</v>
      </c>
      <c r="M188" s="2" t="str">
        <f>OBRA!M187</f>
        <v>ADJUDICACIÓN DIRECTA</v>
      </c>
      <c r="N188" s="3" t="str">
        <f>OBRA!N187</f>
        <v>CONSTRUCCIÓN DE EMPEDRADO AHOGADO EN CEMENTO EN LA CALLE ANIMA SOLA DE LA CABECERA MUNICIPAL DE JOCOTEPEC, JALISCO</v>
      </c>
      <c r="O188" s="508" t="s">
        <v>1849</v>
      </c>
      <c r="P188" s="6">
        <f>OBRA!Q187</f>
        <v>42677</v>
      </c>
      <c r="Q188" s="4">
        <f>OBRA!P187</f>
        <v>196802.42</v>
      </c>
      <c r="R188" s="5">
        <f>OBRA!R187</f>
        <v>42681</v>
      </c>
      <c r="S188" s="12">
        <f>OBRA!S187</f>
        <v>42735</v>
      </c>
      <c r="T188" s="55"/>
      <c r="U188" s="415" t="s">
        <v>1431</v>
      </c>
      <c r="V188" s="503" t="s">
        <v>1853</v>
      </c>
      <c r="W188" s="692" t="s">
        <v>2295</v>
      </c>
      <c r="X188" s="778">
        <f>OBRA!AP187</f>
        <v>19640.96</v>
      </c>
      <c r="Y188" s="5"/>
      <c r="Z188" s="341"/>
      <c r="AA188" s="5"/>
      <c r="AB188" s="351">
        <f>OBRA!BT187</f>
        <v>0</v>
      </c>
      <c r="AC188" s="569"/>
      <c r="AD188" s="569" t="s">
        <v>2286</v>
      </c>
    </row>
    <row r="189" spans="1:30" ht="97.5" hidden="1" customHeight="1">
      <c r="A189" s="23" t="s">
        <v>2239</v>
      </c>
      <c r="B189" s="933" t="str">
        <f>GRAL!B190</f>
        <v>2015-2018</v>
      </c>
      <c r="C189" s="17">
        <f>OBRA!I188</f>
        <v>2016</v>
      </c>
      <c r="D189" s="1676"/>
      <c r="E189" s="18" t="str">
        <f>OBRA!K188</f>
        <v>RAMO 33</v>
      </c>
      <c r="F189" s="529" t="s">
        <v>1431</v>
      </c>
      <c r="G189" s="543" t="s">
        <v>1855</v>
      </c>
      <c r="H189" s="474" t="s">
        <v>1857</v>
      </c>
      <c r="I189" s="396" t="s">
        <v>1856</v>
      </c>
      <c r="J189" s="56" t="str">
        <f>OBRA!U188</f>
        <v>LIC. CARLOS MANUEL PELAYO CERVERA</v>
      </c>
      <c r="K189" s="172" t="str">
        <f>OBRA!V188</f>
        <v>LIC. SALVADOR CONTRERAS OLGUÍN</v>
      </c>
      <c r="L189" s="35" t="str">
        <f>OBRA!L188</f>
        <v>GMJ 020C OP/2016</v>
      </c>
      <c r="M189" s="2" t="str">
        <f>OBRA!M188</f>
        <v>ADJUDICACIÓN DIRECTA</v>
      </c>
      <c r="N189" s="328" t="str">
        <f>OBRA!N188</f>
        <v>REEMPEDRADO AHOGADO EN CEMENTO CALLE 16 DE SEPTIEMBRE ENTRE CALLES MORELOS Y 20 DE NOVIEMBRE EN LA DELEGACIÓN DE ZAPOTITAN DE HIDALGO</v>
      </c>
      <c r="O189" s="508" t="s">
        <v>1854</v>
      </c>
      <c r="P189" s="6">
        <f>OBRA!Q188</f>
        <v>42677</v>
      </c>
      <c r="Q189" s="4">
        <f>OBRA!P188</f>
        <v>523396.29</v>
      </c>
      <c r="R189" s="5">
        <f>OBRA!R188</f>
        <v>42678</v>
      </c>
      <c r="S189" s="12">
        <f>OBRA!S188</f>
        <v>42735</v>
      </c>
      <c r="T189" s="55"/>
      <c r="U189" s="415" t="s">
        <v>1431</v>
      </c>
      <c r="V189" s="552" t="s">
        <v>1858</v>
      </c>
      <c r="W189" s="399" t="s">
        <v>2296</v>
      </c>
      <c r="X189" s="493">
        <f>OBRA!AP188</f>
        <v>104679.26</v>
      </c>
      <c r="Y189" s="5"/>
      <c r="Z189" s="341"/>
      <c r="AA189" s="5"/>
      <c r="AB189" s="351">
        <f>OBRA!BT188</f>
        <v>0</v>
      </c>
      <c r="AC189" s="569"/>
      <c r="AD189" s="569" t="s">
        <v>551</v>
      </c>
    </row>
    <row r="190" spans="1:30" ht="129.75" hidden="1" customHeight="1">
      <c r="A190" s="23" t="s">
        <v>2239</v>
      </c>
      <c r="B190" s="933" t="str">
        <f>GRAL!B191</f>
        <v>2015-2018</v>
      </c>
      <c r="C190" s="17">
        <f>OBRA!I189</f>
        <v>2016</v>
      </c>
      <c r="D190" s="1676"/>
      <c r="E190" s="19" t="str">
        <f>OBRA!K189</f>
        <v xml:space="preserve">Fortalecimiento Financiero Para La Inversion </v>
      </c>
      <c r="F190" s="396" t="s">
        <v>1706</v>
      </c>
      <c r="G190" s="606" t="s">
        <v>1860</v>
      </c>
      <c r="H190" s="502" t="s">
        <v>1862</v>
      </c>
      <c r="I190" s="503" t="s">
        <v>1861</v>
      </c>
      <c r="J190" s="56" t="str">
        <f>OBRA!U189</f>
        <v>ENERGIAS RENOVABLES DE LA RIVERA S.A. DE C.V</v>
      </c>
      <c r="K190" s="57" t="str">
        <f>OBRA!V189</f>
        <v>ING. J. GUADALUPE IBARRA RAMIREZ</v>
      </c>
      <c r="L190" s="35"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508" t="s">
        <v>1859</v>
      </c>
      <c r="P190" s="6">
        <f>OBRA!Q189</f>
        <v>42688</v>
      </c>
      <c r="Q190" s="4">
        <f>OBRA!P189</f>
        <v>577695.28</v>
      </c>
      <c r="R190" s="5">
        <f>OBRA!R189</f>
        <v>42689</v>
      </c>
      <c r="S190" s="12">
        <f>OBRA!S189</f>
        <v>42734</v>
      </c>
      <c r="T190" s="55"/>
      <c r="U190" s="415" t="s">
        <v>1431</v>
      </c>
      <c r="V190" s="552" t="s">
        <v>1863</v>
      </c>
      <c r="W190" s="504" t="s">
        <v>2297</v>
      </c>
      <c r="X190" s="493">
        <f>OBRA!AP189</f>
        <v>115539.04</v>
      </c>
      <c r="Y190" s="5"/>
      <c r="Z190" s="341"/>
      <c r="AA190" s="5"/>
      <c r="AB190" s="351">
        <f>OBRA!BT189</f>
        <v>0</v>
      </c>
      <c r="AC190" s="569"/>
      <c r="AD190" s="569" t="s">
        <v>551</v>
      </c>
    </row>
    <row r="191" spans="1:30" s="110" customFormat="1" ht="26.25" hidden="1" customHeight="1">
      <c r="A191" s="87" t="s">
        <v>2239</v>
      </c>
      <c r="B191" s="946" t="str">
        <f>GRAL!B192</f>
        <v>2012-2015</v>
      </c>
      <c r="C191" s="88">
        <f>OBRA!I190</f>
        <v>2016</v>
      </c>
      <c r="D191" s="893"/>
      <c r="E191" s="103">
        <f>OBRA!K190</f>
        <v>0</v>
      </c>
      <c r="F191" s="108"/>
      <c r="G191" s="950"/>
      <c r="H191" s="949"/>
      <c r="I191" s="950"/>
      <c r="J191" s="159">
        <f>OBRA!U190</f>
        <v>0</v>
      </c>
      <c r="K191" s="160">
        <f>OBRA!V190</f>
        <v>0</v>
      </c>
      <c r="L191" s="340" t="str">
        <f>OBRA!L190</f>
        <v>GMJ 022C OP/2016</v>
      </c>
      <c r="M191" s="203" t="str">
        <f>OBRA!M190</f>
        <v>CANCELADA</v>
      </c>
      <c r="N191" s="112" t="str">
        <f>OBRA!N190</f>
        <v>CANCELADO</v>
      </c>
      <c r="O191" s="132"/>
      <c r="P191" s="93">
        <f>OBRA!Q190</f>
        <v>0</v>
      </c>
      <c r="Q191" s="92">
        <f>OBRA!P190</f>
        <v>0</v>
      </c>
      <c r="R191" s="94">
        <f>OBRA!R190</f>
        <v>0</v>
      </c>
      <c r="S191" s="95">
        <f>OBRA!S190</f>
        <v>0</v>
      </c>
      <c r="T191" s="97"/>
      <c r="U191" s="785" t="s">
        <v>1431</v>
      </c>
      <c r="V191" s="950"/>
      <c r="W191" s="951"/>
      <c r="X191" s="952">
        <f>OBRA!AP190</f>
        <v>0</v>
      </c>
      <c r="Y191" s="343"/>
      <c r="Z191" s="343"/>
      <c r="AA191" s="94"/>
      <c r="AB191" s="511">
        <f>OBRA!BT190</f>
        <v>0</v>
      </c>
      <c r="AC191" s="570"/>
      <c r="AD191" s="570"/>
    </row>
    <row r="192" spans="1:30" s="110" customFormat="1" ht="26.25" hidden="1" customHeight="1">
      <c r="A192" s="87" t="s">
        <v>2239</v>
      </c>
      <c r="B192" s="946" t="str">
        <f>GRAL!B193</f>
        <v>2012-2015</v>
      </c>
      <c r="C192" s="88">
        <f>OBRA!I191</f>
        <v>2016</v>
      </c>
      <c r="D192" s="893"/>
      <c r="E192" s="103">
        <f>OBRA!K191</f>
        <v>0</v>
      </c>
      <c r="F192" s="526"/>
      <c r="G192" s="950"/>
      <c r="H192" s="949"/>
      <c r="I192" s="950"/>
      <c r="J192" s="159">
        <f>OBRA!U191</f>
        <v>0</v>
      </c>
      <c r="K192" s="160">
        <f>OBRA!V191</f>
        <v>0</v>
      </c>
      <c r="L192" s="340" t="str">
        <f>OBRA!L191</f>
        <v>GMJ 023C OP/2016</v>
      </c>
      <c r="M192" s="203" t="str">
        <f>OBRA!M191</f>
        <v>CANCELADA</v>
      </c>
      <c r="N192" s="112" t="str">
        <f>OBRA!N191</f>
        <v>CANCELADO</v>
      </c>
      <c r="O192" s="132"/>
      <c r="P192" s="93">
        <f>OBRA!Q191</f>
        <v>0</v>
      </c>
      <c r="Q192" s="92">
        <f>OBRA!P191</f>
        <v>0</v>
      </c>
      <c r="R192" s="94">
        <f>OBRA!R191</f>
        <v>0</v>
      </c>
      <c r="S192" s="95">
        <f>OBRA!S191</f>
        <v>0</v>
      </c>
      <c r="T192" s="97"/>
      <c r="U192" s="785" t="s">
        <v>1431</v>
      </c>
      <c r="V192" s="950"/>
      <c r="W192" s="951"/>
      <c r="X192" s="952">
        <f>OBRA!AP191</f>
        <v>0</v>
      </c>
      <c r="Y192" s="343"/>
      <c r="Z192" s="343"/>
      <c r="AA192" s="94"/>
      <c r="AB192" s="511">
        <f>OBRA!BT191</f>
        <v>0</v>
      </c>
      <c r="AC192" s="570"/>
      <c r="AD192" s="570"/>
    </row>
    <row r="193" spans="1:30" ht="60" hidden="1" customHeight="1">
      <c r="A193" s="23" t="s">
        <v>2239</v>
      </c>
      <c r="B193" s="933" t="str">
        <f>GRAL!B194</f>
        <v>2015-2018</v>
      </c>
      <c r="C193" s="17">
        <f>OBRA!I192</f>
        <v>2016</v>
      </c>
      <c r="D193" s="1676"/>
      <c r="E193" s="18" t="str">
        <f>OBRA!K192</f>
        <v>RAMO 33</v>
      </c>
      <c r="F193" s="525" t="s">
        <v>1431</v>
      </c>
      <c r="G193" s="396"/>
      <c r="H193" s="474"/>
      <c r="I193" s="396"/>
      <c r="J193" s="56" t="str">
        <f>OBRA!U192</f>
        <v>ING. GEOLOGO: J. TRINIDAD NUÑEZ BRITO</v>
      </c>
      <c r="K193" s="57" t="str">
        <f>OBRA!V192</f>
        <v>ING. RIGOBERTO OLMEDO RAMOS</v>
      </c>
      <c r="L193" s="35"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2">
        <f>OBRA!S192</f>
        <v>42794</v>
      </c>
      <c r="T193" s="55"/>
      <c r="U193" s="415" t="s">
        <v>1431</v>
      </c>
      <c r="V193" s="396"/>
      <c r="W193" s="399"/>
      <c r="X193" s="493">
        <f>OBRA!AP192</f>
        <v>733671</v>
      </c>
      <c r="Y193" s="341"/>
      <c r="Z193" s="341"/>
      <c r="AA193" s="5"/>
      <c r="AB193" s="351">
        <f>OBRA!BT192</f>
        <v>0</v>
      </c>
      <c r="AC193" s="569"/>
      <c r="AD193" s="569"/>
    </row>
    <row r="194" spans="1:30" ht="60" hidden="1" customHeight="1">
      <c r="A194" s="23" t="s">
        <v>2239</v>
      </c>
      <c r="B194" s="933" t="str">
        <f>GRAL!B195</f>
        <v>2015-2018</v>
      </c>
      <c r="C194" s="17">
        <f>OBRA!I193</f>
        <v>-2016</v>
      </c>
      <c r="D194" s="1676"/>
      <c r="E194" s="18" t="str">
        <f>OBRA!K193</f>
        <v>FOREMODA</v>
      </c>
      <c r="F194" s="525"/>
      <c r="G194" s="396"/>
      <c r="H194" s="474"/>
      <c r="I194" s="396"/>
      <c r="J194" s="56" t="str">
        <f>OBRA!U193</f>
        <v>ARQ. LUIS MIGUEL ARGUELLES ALCALÁ</v>
      </c>
      <c r="K194" s="57" t="str">
        <f>OBRA!V193</f>
        <v>ARQ. FRANCISCO SALAZAR</v>
      </c>
      <c r="L194" s="35"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2">
        <f>OBRA!S193</f>
        <v>43039</v>
      </c>
      <c r="T194" s="55"/>
      <c r="U194" s="415" t="s">
        <v>1431</v>
      </c>
      <c r="V194" s="396"/>
      <c r="W194" s="399"/>
      <c r="X194" s="493">
        <f>OBRA!AP193</f>
        <v>360000</v>
      </c>
      <c r="Y194" s="341"/>
      <c r="Z194" s="341"/>
      <c r="AA194" s="5"/>
      <c r="AB194" s="351">
        <f>OBRA!BT193</f>
        <v>0</v>
      </c>
      <c r="AC194" s="569"/>
      <c r="AD194" s="569"/>
    </row>
    <row r="195" spans="1:30" ht="90" hidden="1" customHeight="1">
      <c r="A195" s="23" t="s">
        <v>2239</v>
      </c>
      <c r="B195" s="933" t="str">
        <f>GRAL!B196</f>
        <v>2015-2018</v>
      </c>
      <c r="C195" s="17">
        <f>OBRA!I194</f>
        <v>2016</v>
      </c>
      <c r="D195" s="1676"/>
      <c r="E195" s="18" t="str">
        <f>OBRA!K194</f>
        <v>FONDEREG</v>
      </c>
      <c r="F195" s="14"/>
      <c r="G195" s="396"/>
      <c r="H195" s="474"/>
      <c r="I195" s="396"/>
      <c r="J195" s="56" t="str">
        <f>OBRA!U194</f>
        <v>-</v>
      </c>
      <c r="K195" s="57" t="str">
        <f>OBRA!V194</f>
        <v>-</v>
      </c>
      <c r="L195" s="35"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2" t="str">
        <f>OBRA!S194</f>
        <v>-</v>
      </c>
      <c r="T195" s="55"/>
      <c r="U195" s="415" t="s">
        <v>1431</v>
      </c>
      <c r="V195" s="396"/>
      <c r="W195" s="399"/>
      <c r="X195" s="493">
        <f>OBRA!AP194</f>
        <v>0</v>
      </c>
      <c r="Y195" s="341"/>
      <c r="Z195" s="341"/>
      <c r="AA195" s="5"/>
      <c r="AB195" s="351">
        <f>OBRA!BT194</f>
        <v>0</v>
      </c>
      <c r="AC195" s="569"/>
      <c r="AD195" s="569"/>
    </row>
    <row r="196" spans="1:30" ht="45" hidden="1" customHeight="1">
      <c r="A196" s="23" t="s">
        <v>2239</v>
      </c>
      <c r="B196" s="933" t="str">
        <f>GRAL!B197</f>
        <v>2015-2018</v>
      </c>
      <c r="C196" s="17">
        <f>OBRA!I195</f>
        <v>2016</v>
      </c>
      <c r="D196" s="1676"/>
      <c r="E196" s="19" t="str">
        <f>OBRA!K195</f>
        <v xml:space="preserve">FONDO PARA EL FORTALECIMIENTO </v>
      </c>
      <c r="F196" s="525"/>
      <c r="G196" s="396"/>
      <c r="H196" s="474"/>
      <c r="I196" s="396"/>
      <c r="J196" s="56" t="str">
        <f>OBRA!U195</f>
        <v>-</v>
      </c>
      <c r="K196" s="57" t="str">
        <f>OBRA!V195</f>
        <v>-</v>
      </c>
      <c r="L196" s="35" t="str">
        <f>OBRA!L195</f>
        <v>FONDO PARA EL FORTALECIMIENTO 2016 "B"</v>
      </c>
      <c r="M196" s="2" t="str">
        <f>OBRA!M195</f>
        <v>CONVENIO</v>
      </c>
      <c r="N196" s="3" t="str">
        <f>OBRA!N195</f>
        <v>-</v>
      </c>
      <c r="O196" s="3"/>
      <c r="P196" s="6">
        <f>OBRA!Q195</f>
        <v>42614</v>
      </c>
      <c r="Q196" s="4">
        <f>OBRA!P195</f>
        <v>10000000</v>
      </c>
      <c r="R196" s="5" t="str">
        <f>OBRA!R195</f>
        <v>-</v>
      </c>
      <c r="S196" s="12" t="str">
        <f>OBRA!S195</f>
        <v>-</v>
      </c>
      <c r="T196" s="55"/>
      <c r="U196" s="415" t="s">
        <v>1431</v>
      </c>
      <c r="V196" s="396"/>
      <c r="W196" s="399"/>
      <c r="X196" s="493">
        <f>OBRA!AP195</f>
        <v>0</v>
      </c>
      <c r="Y196" s="341"/>
      <c r="Z196" s="341"/>
      <c r="AA196" s="5"/>
      <c r="AB196" s="351">
        <f>OBRA!BT195</f>
        <v>0</v>
      </c>
      <c r="AC196" s="569"/>
      <c r="AD196" s="569"/>
    </row>
    <row r="197" spans="1:30" ht="30" hidden="1" customHeight="1">
      <c r="A197" s="23" t="s">
        <v>2239</v>
      </c>
      <c r="B197" s="933" t="str">
        <f>GRAL!B198</f>
        <v>2015-2018</v>
      </c>
      <c r="C197" s="17">
        <f>OBRA!I196</f>
        <v>2016</v>
      </c>
      <c r="D197" s="1676"/>
      <c r="E197" s="19" t="str">
        <f>OBRA!K196</f>
        <v>3X1 PARA MIGRANTES</v>
      </c>
      <c r="F197" s="525"/>
      <c r="G197" s="396"/>
      <c r="H197" s="474"/>
      <c r="I197" s="396"/>
      <c r="J197" s="56" t="str">
        <f>OBRA!U196</f>
        <v>-</v>
      </c>
      <c r="K197" s="57" t="str">
        <f>OBRA!V196</f>
        <v>-</v>
      </c>
      <c r="L197" s="35" t="str">
        <f>OBRA!L196</f>
        <v>P3X1-14-PIS-0563-16</v>
      </c>
      <c r="M197" s="2" t="str">
        <f>OBRA!M196</f>
        <v>CONVENIO</v>
      </c>
      <c r="N197" s="3" t="str">
        <f>OBRA!N196</f>
        <v>COLOCACIÓN DE ADOQUIN EN CALLE PRIVADA CAMICHINES</v>
      </c>
      <c r="O197" s="3"/>
      <c r="P197" s="6">
        <f>OBRA!Q196</f>
        <v>42583</v>
      </c>
      <c r="Q197" s="4">
        <f>OBRA!P196</f>
        <v>456248</v>
      </c>
      <c r="R197" s="5" t="str">
        <f>OBRA!R196</f>
        <v>-</v>
      </c>
      <c r="S197" s="12" t="str">
        <f>OBRA!S196</f>
        <v>-</v>
      </c>
      <c r="T197" s="55"/>
      <c r="U197" s="415" t="s">
        <v>1431</v>
      </c>
      <c r="V197" s="396"/>
      <c r="W197" s="399"/>
      <c r="X197" s="493">
        <f>OBRA!AP196</f>
        <v>0</v>
      </c>
      <c r="Y197" s="341"/>
      <c r="Z197" s="341"/>
      <c r="AA197" s="5"/>
      <c r="AB197" s="351">
        <f>OBRA!BT196</f>
        <v>0</v>
      </c>
      <c r="AC197" s="569"/>
      <c r="AD197" s="569"/>
    </row>
    <row r="198" spans="1:30" ht="75" hidden="1" customHeight="1">
      <c r="A198" s="23" t="s">
        <v>2239</v>
      </c>
      <c r="B198" s="933" t="str">
        <f>GRAL!B199</f>
        <v>2015-2018</v>
      </c>
      <c r="C198" s="17">
        <f>OBRA!I197</f>
        <v>2016</v>
      </c>
      <c r="D198" s="1676"/>
      <c r="E198" s="19" t="str">
        <f>OBRA!K197</f>
        <v>3X1 PARA MIGRANTES</v>
      </c>
      <c r="F198" s="525"/>
      <c r="G198" s="396"/>
      <c r="H198" s="474"/>
      <c r="I198" s="396"/>
      <c r="J198" s="56" t="str">
        <f>OBRA!U197</f>
        <v>-</v>
      </c>
      <c r="K198" s="57" t="str">
        <f>OBRA!V197</f>
        <v>-</v>
      </c>
      <c r="L198" s="35"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2" t="str">
        <f>OBRA!S197</f>
        <v>-</v>
      </c>
      <c r="T198" s="55"/>
      <c r="U198" s="415" t="s">
        <v>1431</v>
      </c>
      <c r="V198" s="396"/>
      <c r="W198" s="399"/>
      <c r="X198" s="493">
        <f>OBRA!AP197</f>
        <v>0</v>
      </c>
      <c r="Y198" s="341"/>
      <c r="Z198" s="341"/>
      <c r="AA198" s="5"/>
      <c r="AB198" s="351">
        <f>OBRA!BT197</f>
        <v>0</v>
      </c>
      <c r="AC198" s="569"/>
      <c r="AD198" s="569"/>
    </row>
    <row r="199" spans="1:30" ht="75" hidden="1" customHeight="1">
      <c r="A199" s="23" t="s">
        <v>2239</v>
      </c>
      <c r="B199" s="933" t="str">
        <f>GRAL!B200</f>
        <v>2015-2018</v>
      </c>
      <c r="C199" s="17">
        <f>OBRA!I198</f>
        <v>2016</v>
      </c>
      <c r="D199" s="1676"/>
      <c r="E199" s="19" t="str">
        <f>OBRA!K198</f>
        <v>3X1 PARA MIGRANTES</v>
      </c>
      <c r="F199" s="525"/>
      <c r="G199" s="396"/>
      <c r="H199" s="474"/>
      <c r="I199" s="396"/>
      <c r="J199" s="56" t="str">
        <f>OBRA!U198</f>
        <v>-</v>
      </c>
      <c r="K199" s="57" t="str">
        <f>OBRA!V198</f>
        <v>-</v>
      </c>
      <c r="L199" s="35"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2" t="str">
        <f>OBRA!S198</f>
        <v>-</v>
      </c>
      <c r="T199" s="55"/>
      <c r="U199" s="415" t="s">
        <v>1431</v>
      </c>
      <c r="V199" s="396"/>
      <c r="W199" s="399"/>
      <c r="X199" s="493">
        <f>OBRA!AP198</f>
        <v>0</v>
      </c>
      <c r="Y199" s="341"/>
      <c r="Z199" s="341"/>
      <c r="AA199" s="5"/>
      <c r="AB199" s="351">
        <f>OBRA!BT198</f>
        <v>0</v>
      </c>
      <c r="AC199" s="569"/>
      <c r="AD199" s="569"/>
    </row>
    <row r="200" spans="1:30" ht="75" hidden="1" customHeight="1">
      <c r="A200" s="23" t="s">
        <v>2239</v>
      </c>
      <c r="B200" s="933" t="str">
        <f>GRAL!B201</f>
        <v>2015-2018</v>
      </c>
      <c r="C200" s="17">
        <f>OBRA!I199</f>
        <v>2016</v>
      </c>
      <c r="D200" s="1676"/>
      <c r="E200" s="19" t="str">
        <f>OBRA!K199</f>
        <v>3X1 PARA MIGRANTES</v>
      </c>
      <c r="F200" s="525"/>
      <c r="G200" s="396"/>
      <c r="H200" s="474"/>
      <c r="I200" s="396"/>
      <c r="J200" s="56" t="str">
        <f>OBRA!U199</f>
        <v>-</v>
      </c>
      <c r="K200" s="57" t="str">
        <f>OBRA!V199</f>
        <v>-</v>
      </c>
      <c r="L200" s="35"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2" t="str">
        <f>OBRA!S199</f>
        <v>-</v>
      </c>
      <c r="T200" s="55"/>
      <c r="U200" s="415" t="s">
        <v>1431</v>
      </c>
      <c r="V200" s="396"/>
      <c r="W200" s="399"/>
      <c r="X200" s="493">
        <f>OBRA!AP199</f>
        <v>0</v>
      </c>
      <c r="Y200" s="341"/>
      <c r="Z200" s="341"/>
      <c r="AA200" s="5"/>
      <c r="AB200" s="351">
        <f>OBRA!BT199</f>
        <v>0</v>
      </c>
      <c r="AC200" s="569"/>
      <c r="AD200" s="569"/>
    </row>
    <row r="201" spans="1:30" ht="60" hidden="1" customHeight="1">
      <c r="A201" s="23" t="s">
        <v>2239</v>
      </c>
      <c r="B201" s="933" t="str">
        <f>GRAL!B202</f>
        <v>2015-2018</v>
      </c>
      <c r="C201" s="17">
        <f>OBRA!I200</f>
        <v>2016</v>
      </c>
      <c r="D201" s="1676"/>
      <c r="E201" s="19" t="str">
        <f>OBRA!K200</f>
        <v>3X1 PARA MIGRANTES</v>
      </c>
      <c r="F201" s="525"/>
      <c r="G201" s="396"/>
      <c r="H201" s="474"/>
      <c r="I201" s="396"/>
      <c r="J201" s="56" t="str">
        <f>OBRA!U200</f>
        <v>-</v>
      </c>
      <c r="K201" s="57" t="str">
        <f>OBRA!V200</f>
        <v>-</v>
      </c>
      <c r="L201" s="35"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2" t="str">
        <f>OBRA!S200</f>
        <v>-</v>
      </c>
      <c r="T201" s="55"/>
      <c r="U201" s="415" t="s">
        <v>1431</v>
      </c>
      <c r="V201" s="396"/>
      <c r="W201" s="399"/>
      <c r="X201" s="493">
        <f>OBRA!AP200</f>
        <v>0</v>
      </c>
      <c r="Y201" s="341"/>
      <c r="Z201" s="341"/>
      <c r="AA201" s="5"/>
      <c r="AB201" s="351">
        <f>OBRA!BT200</f>
        <v>0</v>
      </c>
      <c r="AC201" s="569"/>
      <c r="AD201" s="569"/>
    </row>
    <row r="202" spans="1:30" ht="75" hidden="1" customHeight="1">
      <c r="A202" s="23" t="s">
        <v>2239</v>
      </c>
      <c r="B202" s="933" t="str">
        <f>GRAL!B203</f>
        <v>2015-2018</v>
      </c>
      <c r="C202" s="17">
        <f>OBRA!I201</f>
        <v>2016</v>
      </c>
      <c r="D202" s="1676"/>
      <c r="E202" s="19" t="str">
        <f>OBRA!K201</f>
        <v>3X1 PARA MIGRANTES</v>
      </c>
      <c r="F202" s="14"/>
      <c r="G202" s="396"/>
      <c r="H202" s="474"/>
      <c r="I202" s="396"/>
      <c r="J202" s="56" t="str">
        <f>OBRA!U201</f>
        <v>-</v>
      </c>
      <c r="K202" s="57" t="str">
        <f>OBRA!V201</f>
        <v>-</v>
      </c>
      <c r="L202" s="35"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2" t="str">
        <f>OBRA!S201</f>
        <v>-</v>
      </c>
      <c r="T202" s="55"/>
      <c r="U202" s="415" t="s">
        <v>1431</v>
      </c>
      <c r="V202" s="396"/>
      <c r="W202" s="399"/>
      <c r="X202" s="493">
        <f>OBRA!AP201</f>
        <v>0</v>
      </c>
      <c r="Y202" s="341"/>
      <c r="Z202" s="341"/>
      <c r="AA202" s="5"/>
      <c r="AB202" s="351">
        <f>OBRA!BT201</f>
        <v>0</v>
      </c>
      <c r="AC202" s="569"/>
      <c r="AD202" s="569"/>
    </row>
    <row r="203" spans="1:30" ht="90" hidden="1" customHeight="1">
      <c r="A203" s="23" t="s">
        <v>2239</v>
      </c>
      <c r="B203" s="933" t="str">
        <f>GRAL!B204</f>
        <v>2015-2018</v>
      </c>
      <c r="C203" s="17">
        <f>OBRA!I202</f>
        <v>2016</v>
      </c>
      <c r="D203" s="1676"/>
      <c r="E203" s="19" t="str">
        <f>OBRA!K202</f>
        <v>3X1 PARA MIGRANTES</v>
      </c>
      <c r="F203" s="525"/>
      <c r="G203" s="396"/>
      <c r="H203" s="474"/>
      <c r="I203" s="396"/>
      <c r="J203" s="56" t="str">
        <f>OBRA!U202</f>
        <v>-</v>
      </c>
      <c r="K203" s="57" t="str">
        <f>OBRA!V202</f>
        <v>-</v>
      </c>
      <c r="L203" s="35"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2" t="str">
        <f>OBRA!S202</f>
        <v>-</v>
      </c>
      <c r="T203" s="55"/>
      <c r="U203" s="415" t="s">
        <v>1431</v>
      </c>
      <c r="V203" s="396"/>
      <c r="W203" s="399"/>
      <c r="X203" s="493">
        <f>OBRA!AP202</f>
        <v>0</v>
      </c>
      <c r="Y203" s="341"/>
      <c r="Z203" s="341"/>
      <c r="AA203" s="5"/>
      <c r="AB203" s="351">
        <f>OBRA!BT202</f>
        <v>0</v>
      </c>
      <c r="AC203" s="569"/>
      <c r="AD203" s="569"/>
    </row>
    <row r="204" spans="1:30" ht="75" hidden="1" customHeight="1">
      <c r="A204" s="23" t="s">
        <v>2239</v>
      </c>
      <c r="B204" s="933" t="str">
        <f>GRAL!B205</f>
        <v>2015-2018</v>
      </c>
      <c r="C204" s="17">
        <f>OBRA!I203</f>
        <v>2016</v>
      </c>
      <c r="D204" s="1676"/>
      <c r="E204" s="19" t="str">
        <f>OBRA!K203</f>
        <v>3X1 PARA MIGRANTES</v>
      </c>
      <c r="F204" s="525"/>
      <c r="G204" s="396"/>
      <c r="H204" s="474"/>
      <c r="I204" s="396"/>
      <c r="J204" s="56" t="str">
        <f>OBRA!U203</f>
        <v>-</v>
      </c>
      <c r="K204" s="57" t="str">
        <f>OBRA!V203</f>
        <v>-</v>
      </c>
      <c r="L204" s="35"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2" t="str">
        <f>OBRA!S203</f>
        <v>-</v>
      </c>
      <c r="T204" s="55"/>
      <c r="U204" s="415" t="s">
        <v>1431</v>
      </c>
      <c r="V204" s="396"/>
      <c r="W204" s="399"/>
      <c r="X204" s="493">
        <f>OBRA!AP203</f>
        <v>0</v>
      </c>
      <c r="Y204" s="341"/>
      <c r="Z204" s="341"/>
      <c r="AA204" s="5"/>
      <c r="AB204" s="351">
        <f>OBRA!BT203</f>
        <v>0</v>
      </c>
      <c r="AC204" s="569"/>
      <c r="AD204" s="569"/>
    </row>
    <row r="205" spans="1:30" ht="45" hidden="1" customHeight="1">
      <c r="A205" s="23" t="s">
        <v>2239</v>
      </c>
      <c r="B205" s="933" t="str">
        <f>GRAL!B206</f>
        <v>2015-2018</v>
      </c>
      <c r="C205" s="17">
        <f>OBRA!I204</f>
        <v>2016</v>
      </c>
      <c r="D205" s="1676"/>
      <c r="E205" s="19" t="str">
        <f>OBRA!K204</f>
        <v>3X1 PARA MIGRANTES</v>
      </c>
      <c r="F205" s="525"/>
      <c r="G205" s="396"/>
      <c r="H205" s="474"/>
      <c r="I205" s="396"/>
      <c r="J205" s="56" t="str">
        <f>OBRA!U204</f>
        <v>-</v>
      </c>
      <c r="K205" s="57" t="str">
        <f>OBRA!V204</f>
        <v>-</v>
      </c>
      <c r="L205" s="35"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2" t="str">
        <f>OBRA!S204</f>
        <v>-</v>
      </c>
      <c r="T205" s="55"/>
      <c r="U205" s="415" t="s">
        <v>1431</v>
      </c>
      <c r="V205" s="396"/>
      <c r="W205" s="399"/>
      <c r="X205" s="493">
        <f>OBRA!AP204</f>
        <v>0</v>
      </c>
      <c r="Y205" s="341"/>
      <c r="Z205" s="341"/>
      <c r="AA205" s="5"/>
      <c r="AB205" s="351">
        <f>OBRA!BT204</f>
        <v>0</v>
      </c>
      <c r="AC205" s="569"/>
      <c r="AD205" s="569"/>
    </row>
    <row r="206" spans="1:30" ht="105" hidden="1" customHeight="1">
      <c r="A206" s="23" t="s">
        <v>2239</v>
      </c>
      <c r="B206" s="933" t="str">
        <f>GRAL!B207</f>
        <v>2015-2018</v>
      </c>
      <c r="C206" s="17">
        <f>OBRA!I205</f>
        <v>2016</v>
      </c>
      <c r="D206" s="1676"/>
      <c r="E206" s="19" t="str">
        <f>OBRA!K205</f>
        <v>3X1 PARA MIGRANTES</v>
      </c>
      <c r="F206" s="525"/>
      <c r="G206" s="396"/>
      <c r="H206" s="474"/>
      <c r="I206" s="396"/>
      <c r="J206" s="56" t="str">
        <f>OBRA!U205</f>
        <v>-</v>
      </c>
      <c r="K206" s="57" t="str">
        <f>OBRA!V205</f>
        <v>-</v>
      </c>
      <c r="L206" s="35"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2" t="str">
        <f>OBRA!S205</f>
        <v>-</v>
      </c>
      <c r="T206" s="55"/>
      <c r="U206" s="415" t="s">
        <v>1431</v>
      </c>
      <c r="V206" s="396"/>
      <c r="W206" s="399"/>
      <c r="X206" s="493">
        <f>OBRA!AP205</f>
        <v>0</v>
      </c>
      <c r="Y206" s="341"/>
      <c r="Z206" s="341"/>
      <c r="AA206" s="5"/>
      <c r="AB206" s="351">
        <f>OBRA!BT205</f>
        <v>0</v>
      </c>
      <c r="AC206" s="569"/>
      <c r="AD206" s="569"/>
    </row>
    <row r="207" spans="1:30" ht="90" hidden="1" customHeight="1">
      <c r="A207" s="23" t="s">
        <v>2239</v>
      </c>
      <c r="B207" s="933" t="str">
        <f>GRAL!B208</f>
        <v>2015-2018</v>
      </c>
      <c r="C207" s="17">
        <f>OBRA!I206</f>
        <v>2016</v>
      </c>
      <c r="D207" s="1676"/>
      <c r="E207" s="19" t="str">
        <f>OBRA!K206</f>
        <v>3X1 PARA MIGRANTES</v>
      </c>
      <c r="F207" s="525"/>
      <c r="G207" s="396"/>
      <c r="H207" s="474"/>
      <c r="I207" s="396"/>
      <c r="J207" s="56" t="str">
        <f>OBRA!U206</f>
        <v>-</v>
      </c>
      <c r="K207" s="57" t="str">
        <f>OBRA!V206</f>
        <v>-</v>
      </c>
      <c r="L207" s="35"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2" t="str">
        <f>OBRA!S206</f>
        <v>-</v>
      </c>
      <c r="T207" s="55"/>
      <c r="U207" s="415" t="s">
        <v>1431</v>
      </c>
      <c r="V207" s="396"/>
      <c r="W207" s="399"/>
      <c r="X207" s="493">
        <f>OBRA!AP206</f>
        <v>0</v>
      </c>
      <c r="Y207" s="341"/>
      <c r="Z207" s="341"/>
      <c r="AA207" s="5"/>
      <c r="AB207" s="351">
        <f>OBRA!BT206</f>
        <v>0</v>
      </c>
      <c r="AC207" s="569"/>
      <c r="AD207" s="569"/>
    </row>
    <row r="208" spans="1:30" ht="30" hidden="1" customHeight="1">
      <c r="A208" s="23" t="s">
        <v>2239</v>
      </c>
      <c r="B208" s="933" t="str">
        <f>GRAL!B209</f>
        <v>2015-2018</v>
      </c>
      <c r="C208" s="17">
        <f>OBRA!I207</f>
        <v>2017</v>
      </c>
      <c r="D208" s="1676"/>
      <c r="E208" s="19" t="str">
        <f>OBRA!K207</f>
        <v>FONDEREG</v>
      </c>
      <c r="F208" s="525"/>
      <c r="G208" s="396" t="s">
        <v>68</v>
      </c>
      <c r="H208" s="474" t="s">
        <v>68</v>
      </c>
      <c r="I208" s="396" t="s">
        <v>68</v>
      </c>
      <c r="J208" s="56" t="str">
        <f>OBRA!U207</f>
        <v>N/A</v>
      </c>
      <c r="K208" s="57" t="str">
        <f>OBRA!V207</f>
        <v>-</v>
      </c>
      <c r="L208" s="35"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2" t="str">
        <f>OBRA!S207</f>
        <v>-</v>
      </c>
      <c r="T208" s="55"/>
      <c r="U208" s="415" t="s">
        <v>1431</v>
      </c>
      <c r="V208" s="396"/>
      <c r="W208" s="399"/>
      <c r="X208" s="493">
        <f>OBRA!AP207</f>
        <v>0</v>
      </c>
      <c r="Y208" s="341"/>
      <c r="Z208" s="341"/>
      <c r="AA208" s="5"/>
      <c r="AB208" s="351">
        <f>OBRA!BT207</f>
        <v>0</v>
      </c>
      <c r="AC208" s="569"/>
      <c r="AD208" s="569"/>
    </row>
    <row r="209" spans="1:30" ht="30" hidden="1" customHeight="1">
      <c r="A209" s="23" t="s">
        <v>2239</v>
      </c>
      <c r="B209" s="933" t="str">
        <f>GRAL!B210</f>
        <v>2015-2018</v>
      </c>
      <c r="C209" s="17">
        <f>OBRA!I208</f>
        <v>2017</v>
      </c>
      <c r="D209" s="1676"/>
      <c r="E209" s="19" t="str">
        <f>OBRA!K208</f>
        <v>FOCOCI</v>
      </c>
      <c r="F209" s="525"/>
      <c r="G209" s="396" t="s">
        <v>68</v>
      </c>
      <c r="H209" s="474" t="s">
        <v>68</v>
      </c>
      <c r="I209" s="396" t="s">
        <v>68</v>
      </c>
      <c r="J209" s="56" t="str">
        <f>OBRA!U208</f>
        <v>N/A</v>
      </c>
      <c r="K209" s="57" t="str">
        <f>OBRA!V208</f>
        <v>-</v>
      </c>
      <c r="L209" s="35"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2" t="str">
        <f>OBRA!S208</f>
        <v>-</v>
      </c>
      <c r="T209" s="55"/>
      <c r="U209" s="415" t="s">
        <v>1431</v>
      </c>
      <c r="V209" s="396"/>
      <c r="W209" s="399"/>
      <c r="X209" s="493">
        <f>OBRA!AP208</f>
        <v>0</v>
      </c>
      <c r="Y209" s="341"/>
      <c r="Z209" s="341"/>
      <c r="AA209" s="5"/>
      <c r="AB209" s="351">
        <f>OBRA!BT208</f>
        <v>0</v>
      </c>
      <c r="AC209" s="569"/>
      <c r="AD209" s="569"/>
    </row>
    <row r="210" spans="1:30" ht="30" hidden="1" customHeight="1">
      <c r="A210" s="23" t="s">
        <v>2239</v>
      </c>
      <c r="B210" s="933" t="str">
        <f>GRAL!B211</f>
        <v>2015-2018</v>
      </c>
      <c r="C210" s="17">
        <f>OBRA!I209</f>
        <v>2017</v>
      </c>
      <c r="D210" s="1676"/>
      <c r="E210" s="19" t="str">
        <f>OBRA!K209</f>
        <v xml:space="preserve">PROYECTOS DESARROLLO REGIONAL </v>
      </c>
      <c r="F210" s="525"/>
      <c r="G210" s="396" t="s">
        <v>68</v>
      </c>
      <c r="H210" s="474" t="s">
        <v>68</v>
      </c>
      <c r="I210" s="396" t="s">
        <v>68</v>
      </c>
      <c r="J210" s="56" t="str">
        <f>OBRA!U209</f>
        <v>N/A</v>
      </c>
      <c r="K210" s="57" t="str">
        <f>OBRA!V209</f>
        <v>-</v>
      </c>
      <c r="L210" s="35" t="str">
        <f>OBRA!L209</f>
        <v xml:space="preserve">PROYECTOS DESARROLLO REGIONAL </v>
      </c>
      <c r="M210" s="2" t="str">
        <f>OBRA!M209</f>
        <v>CONVENIO</v>
      </c>
      <c r="N210" s="3" t="str">
        <f>OBRA!N209</f>
        <v>-</v>
      </c>
      <c r="O210" s="3"/>
      <c r="P210" s="6">
        <f>OBRA!Q209</f>
        <v>42863</v>
      </c>
      <c r="Q210" s="4">
        <f>OBRA!P209</f>
        <v>2910056.73</v>
      </c>
      <c r="R210" s="5" t="str">
        <f>OBRA!R209</f>
        <v>-</v>
      </c>
      <c r="S210" s="12" t="str">
        <f>OBRA!S209</f>
        <v>-</v>
      </c>
      <c r="T210" s="55"/>
      <c r="U210" s="415" t="s">
        <v>1431</v>
      </c>
      <c r="V210" s="396"/>
      <c r="W210" s="399"/>
      <c r="X210" s="493">
        <f>OBRA!AP209</f>
        <v>0</v>
      </c>
      <c r="Y210" s="341"/>
      <c r="Z210" s="341"/>
      <c r="AA210" s="5"/>
      <c r="AB210" s="351">
        <f>OBRA!BT209</f>
        <v>0</v>
      </c>
      <c r="AC210" s="569"/>
      <c r="AD210" s="569"/>
    </row>
    <row r="211" spans="1:30" ht="30" hidden="1" customHeight="1">
      <c r="A211" s="23" t="s">
        <v>2239</v>
      </c>
      <c r="B211" s="933" t="str">
        <f>GRAL!B212</f>
        <v>2015-2018</v>
      </c>
      <c r="C211" s="17">
        <f>OBRA!I210</f>
        <v>2017</v>
      </c>
      <c r="D211" s="1676"/>
      <c r="E211" s="19" t="str">
        <f>OBRA!K210</f>
        <v xml:space="preserve">PROYECTOS DESARROLLO REGIONAL </v>
      </c>
      <c r="F211" s="525"/>
      <c r="G211" s="396" t="s">
        <v>68</v>
      </c>
      <c r="H211" s="474" t="s">
        <v>68</v>
      </c>
      <c r="I211" s="396" t="s">
        <v>68</v>
      </c>
      <c r="J211" s="56" t="str">
        <f>OBRA!U210</f>
        <v>N/A</v>
      </c>
      <c r="K211" s="57" t="str">
        <f>OBRA!V210</f>
        <v>-</v>
      </c>
      <c r="L211" s="35"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2" t="str">
        <f>OBRA!S210</f>
        <v>-</v>
      </c>
      <c r="T211" s="55"/>
      <c r="U211" s="415" t="s">
        <v>1431</v>
      </c>
      <c r="V211" s="396"/>
      <c r="W211" s="399"/>
      <c r="X211" s="493">
        <f>OBRA!AP210</f>
        <v>0</v>
      </c>
      <c r="Y211" s="341"/>
      <c r="Z211" s="341"/>
      <c r="AA211" s="5"/>
      <c r="AB211" s="351">
        <f>OBRA!BT210</f>
        <v>0</v>
      </c>
      <c r="AC211" s="569"/>
      <c r="AD211" s="569"/>
    </row>
    <row r="212" spans="1:30" ht="30" hidden="1" customHeight="1">
      <c r="A212" s="23" t="s">
        <v>2239</v>
      </c>
      <c r="B212" s="933" t="str">
        <f>GRAL!B213</f>
        <v>2015-2018</v>
      </c>
      <c r="C212" s="17">
        <f>OBRA!I211</f>
        <v>2017</v>
      </c>
      <c r="D212" s="1676"/>
      <c r="E212" s="18" t="str">
        <f>OBRA!K211</f>
        <v>CUENTA CORRIENTE</v>
      </c>
      <c r="F212" s="14" t="s">
        <v>1431</v>
      </c>
      <c r="G212" s="396"/>
      <c r="H212" s="474"/>
      <c r="I212" s="396"/>
      <c r="J212" s="56" t="str">
        <f>OBRA!U211</f>
        <v>N/A</v>
      </c>
      <c r="K212" s="57" t="str">
        <f>OBRA!V211</f>
        <v>ARQ. JAIME CONDE GOMEZ</v>
      </c>
      <c r="L212" s="35"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2">
        <f>OBRA!S211</f>
        <v>42746</v>
      </c>
      <c r="T212" s="55"/>
      <c r="U212" s="415" t="s">
        <v>1431</v>
      </c>
      <c r="V212" s="396"/>
      <c r="W212" s="399"/>
      <c r="X212" s="493">
        <f>OBRA!AP211</f>
        <v>0</v>
      </c>
      <c r="Y212" s="341"/>
      <c r="Z212" s="341"/>
      <c r="AA212" s="5"/>
      <c r="AB212" s="351">
        <f>OBRA!BT211</f>
        <v>0</v>
      </c>
      <c r="AC212" s="569"/>
      <c r="AD212" s="569"/>
    </row>
    <row r="213" spans="1:30" ht="30" hidden="1" customHeight="1">
      <c r="A213" s="23" t="s">
        <v>2239</v>
      </c>
      <c r="B213" s="933" t="str">
        <f>GRAL!B214</f>
        <v>2015-2018</v>
      </c>
      <c r="C213" s="17">
        <f>OBRA!I212</f>
        <v>2017</v>
      </c>
      <c r="D213" s="1676"/>
      <c r="E213" s="18" t="str">
        <f>OBRA!K212</f>
        <v>CUENTA CORRIENTE</v>
      </c>
      <c r="F213" s="525" t="s">
        <v>1431</v>
      </c>
      <c r="G213" s="396"/>
      <c r="H213" s="474"/>
      <c r="I213" s="396"/>
      <c r="J213" s="56" t="str">
        <f>OBRA!U212</f>
        <v>N/A</v>
      </c>
      <c r="K213" s="57" t="str">
        <f>OBRA!V212</f>
        <v>ARQ. JAIME CONDE GOMEZ</v>
      </c>
      <c r="L213" s="35"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2">
        <f>OBRA!S212</f>
        <v>43046</v>
      </c>
      <c r="T213" s="55"/>
      <c r="U213" s="415" t="s">
        <v>1431</v>
      </c>
      <c r="V213" s="396"/>
      <c r="W213" s="399"/>
      <c r="X213" s="493">
        <f>OBRA!AP212</f>
        <v>0</v>
      </c>
      <c r="Y213" s="341"/>
      <c r="Z213" s="341"/>
      <c r="AA213" s="5"/>
      <c r="AB213" s="351">
        <f>OBRA!BT212</f>
        <v>0</v>
      </c>
      <c r="AC213" s="569"/>
      <c r="AD213" s="569"/>
    </row>
    <row r="214" spans="1:30" ht="30" hidden="1" customHeight="1">
      <c r="A214" s="23" t="s">
        <v>2239</v>
      </c>
      <c r="B214" s="933" t="str">
        <f>GRAL!B215</f>
        <v>2015-2018</v>
      </c>
      <c r="C214" s="17">
        <f>OBRA!I213</f>
        <v>2017</v>
      </c>
      <c r="D214" s="1676"/>
      <c r="E214" s="18" t="str">
        <f>OBRA!K213</f>
        <v>CUENTA CORRIENTE</v>
      </c>
      <c r="F214" s="525" t="s">
        <v>1431</v>
      </c>
      <c r="G214" s="396"/>
      <c r="H214" s="474"/>
      <c r="I214" s="396"/>
      <c r="J214" s="56" t="str">
        <f>OBRA!U213</f>
        <v>N/A</v>
      </c>
      <c r="K214" s="57" t="str">
        <f>OBRA!V213</f>
        <v>ING. RIGOBERTO OLMEDO RAMOS</v>
      </c>
      <c r="L214" s="35"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2">
        <f>OBRA!S213</f>
        <v>42959</v>
      </c>
      <c r="T214" s="55"/>
      <c r="U214" s="415" t="s">
        <v>1431</v>
      </c>
      <c r="V214" s="396"/>
      <c r="W214" s="399"/>
      <c r="X214" s="493">
        <f>OBRA!AP213</f>
        <v>0</v>
      </c>
      <c r="Y214" s="341"/>
      <c r="Z214" s="341"/>
      <c r="AA214" s="5"/>
      <c r="AB214" s="351">
        <f>OBRA!BT213</f>
        <v>0</v>
      </c>
      <c r="AC214" s="569"/>
      <c r="AD214" s="569"/>
    </row>
    <row r="215" spans="1:30" ht="30" hidden="1" customHeight="1">
      <c r="A215" s="23" t="s">
        <v>2239</v>
      </c>
      <c r="B215" s="933" t="str">
        <f>GRAL!B216</f>
        <v>2015-2018</v>
      </c>
      <c r="C215" s="17">
        <f>OBRA!I214</f>
        <v>2017</v>
      </c>
      <c r="D215" s="1676"/>
      <c r="E215" s="18" t="str">
        <f>OBRA!K214</f>
        <v>CUENTA CORRIENTE</v>
      </c>
      <c r="F215" s="525"/>
      <c r="G215" s="396"/>
      <c r="H215" s="474"/>
      <c r="I215" s="396"/>
      <c r="J215" s="56" t="str">
        <f>OBRA!U214</f>
        <v>N/A</v>
      </c>
      <c r="K215" s="57" t="str">
        <f>OBRA!V214</f>
        <v>ING. RIGOBERTO OLMEDO RAMOS</v>
      </c>
      <c r="L215" s="35"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2">
        <f>OBRA!S214</f>
        <v>42959</v>
      </c>
      <c r="T215" s="55"/>
      <c r="U215" s="415" t="s">
        <v>1431</v>
      </c>
      <c r="V215" s="396"/>
      <c r="W215" s="399"/>
      <c r="X215" s="493">
        <f>OBRA!AP214</f>
        <v>0</v>
      </c>
      <c r="Y215" s="341"/>
      <c r="Z215" s="341"/>
      <c r="AA215" s="5"/>
      <c r="AB215" s="351">
        <f>OBRA!BT214</f>
        <v>0</v>
      </c>
      <c r="AC215" s="569"/>
      <c r="AD215" s="569"/>
    </row>
    <row r="216" spans="1:30" ht="30" hidden="1" customHeight="1">
      <c r="A216" s="23" t="s">
        <v>2239</v>
      </c>
      <c r="B216" s="933" t="str">
        <f>GRAL!B217</f>
        <v>2015-2018</v>
      </c>
      <c r="C216" s="17">
        <f>OBRA!I215</f>
        <v>2017</v>
      </c>
      <c r="D216" s="1676"/>
      <c r="E216" s="18" t="str">
        <f>OBRA!K215</f>
        <v>CUENTA CORRIENTE</v>
      </c>
      <c r="F216" s="525"/>
      <c r="G216" s="396"/>
      <c r="H216" s="474"/>
      <c r="I216" s="396"/>
      <c r="J216" s="56" t="str">
        <f>OBRA!U215</f>
        <v>N/A</v>
      </c>
      <c r="K216" s="57" t="str">
        <f>OBRA!V215</f>
        <v>ING. J. GUADALUPE IBARRA RAMIREZ</v>
      </c>
      <c r="L216" s="35"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2">
        <f>OBRA!S215</f>
        <v>43008</v>
      </c>
      <c r="T216" s="55"/>
      <c r="U216" s="415" t="s">
        <v>1431</v>
      </c>
      <c r="V216" s="396"/>
      <c r="W216" s="399"/>
      <c r="X216" s="493">
        <f>OBRA!AP215</f>
        <v>0</v>
      </c>
      <c r="Y216" s="341"/>
      <c r="Z216" s="341"/>
      <c r="AA216" s="5"/>
      <c r="AB216" s="351">
        <f>OBRA!BT215</f>
        <v>0</v>
      </c>
      <c r="AC216" s="569"/>
      <c r="AD216" s="569"/>
    </row>
    <row r="217" spans="1:30" s="110" customFormat="1" ht="30" hidden="1" customHeight="1">
      <c r="A217" s="87" t="s">
        <v>2239</v>
      </c>
      <c r="B217" s="946" t="str">
        <f>GRAL!B218</f>
        <v>2012-2015</v>
      </c>
      <c r="C217" s="88">
        <f>OBRA!I216</f>
        <v>2017</v>
      </c>
      <c r="D217" s="893"/>
      <c r="E217" s="103">
        <f>OBRA!K216</f>
        <v>0</v>
      </c>
      <c r="F217" s="526"/>
      <c r="G217" s="950"/>
      <c r="H217" s="949"/>
      <c r="I217" s="950"/>
      <c r="J217" s="159" t="str">
        <f>OBRA!U216</f>
        <v>-</v>
      </c>
      <c r="K217" s="160">
        <f>OBRA!V216</f>
        <v>0</v>
      </c>
      <c r="L217" s="340" t="str">
        <f>OBRA!L216</f>
        <v>DOP/AD/006/2017</v>
      </c>
      <c r="M217" s="203" t="str">
        <f>OBRA!M216</f>
        <v>CANCELADA</v>
      </c>
      <c r="N217" s="112">
        <f>OBRA!N216</f>
        <v>0</v>
      </c>
      <c r="O217" s="132"/>
      <c r="P217" s="93">
        <f>OBRA!Q216</f>
        <v>0</v>
      </c>
      <c r="Q217" s="92">
        <f>OBRA!P216</f>
        <v>0</v>
      </c>
      <c r="R217" s="94">
        <f>OBRA!R216</f>
        <v>0</v>
      </c>
      <c r="S217" s="95">
        <f>OBRA!S216</f>
        <v>0</v>
      </c>
      <c r="T217" s="97"/>
      <c r="U217" s="785" t="s">
        <v>1431</v>
      </c>
      <c r="V217" s="950"/>
      <c r="W217" s="951"/>
      <c r="X217" s="952">
        <f>OBRA!AP216</f>
        <v>0</v>
      </c>
      <c r="Y217" s="343"/>
      <c r="Z217" s="343"/>
      <c r="AA217" s="94"/>
      <c r="AB217" s="511">
        <f>OBRA!BT216</f>
        <v>0</v>
      </c>
      <c r="AC217" s="570"/>
      <c r="AD217" s="570"/>
    </row>
    <row r="218" spans="1:30" ht="30" hidden="1" customHeight="1">
      <c r="A218" s="23" t="s">
        <v>2239</v>
      </c>
      <c r="B218" s="933" t="str">
        <f>GRAL!B219</f>
        <v>2015-2018</v>
      </c>
      <c r="C218" s="17">
        <f>OBRA!I217</f>
        <v>2017</v>
      </c>
      <c r="D218" s="1676"/>
      <c r="E218" s="18" t="str">
        <f>OBRA!K217</f>
        <v>CUENTA CORRIENTE</v>
      </c>
      <c r="F218" s="525"/>
      <c r="G218" s="396"/>
      <c r="H218" s="474"/>
      <c r="I218" s="396"/>
      <c r="J218" s="56" t="str">
        <f>OBRA!U217</f>
        <v>N/A</v>
      </c>
      <c r="K218" s="57" t="str">
        <f>OBRA!V217</f>
        <v>ING. JUAN MANUEL GARCIA ESCOTO</v>
      </c>
      <c r="L218" s="35"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2">
        <f>OBRA!S217</f>
        <v>43084</v>
      </c>
      <c r="T218" s="55"/>
      <c r="U218" s="415" t="s">
        <v>1431</v>
      </c>
      <c r="V218" s="396"/>
      <c r="W218" s="399"/>
      <c r="X218" s="493">
        <f>OBRA!AP217</f>
        <v>0</v>
      </c>
      <c r="Y218" s="341"/>
      <c r="Z218" s="341"/>
      <c r="AA218" s="5"/>
      <c r="AB218" s="351">
        <f>OBRA!BT217</f>
        <v>0</v>
      </c>
      <c r="AC218" s="569"/>
      <c r="AD218" s="569"/>
    </row>
    <row r="219" spans="1:30" ht="30" hidden="1" customHeight="1">
      <c r="A219" s="23" t="s">
        <v>2239</v>
      </c>
      <c r="B219" s="933" t="str">
        <f>GRAL!B220</f>
        <v>2015-2018</v>
      </c>
      <c r="C219" s="17">
        <f>OBRA!I218</f>
        <v>2017</v>
      </c>
      <c r="D219" s="1676"/>
      <c r="E219" s="18" t="str">
        <f>OBRA!K218</f>
        <v>RAMO 33</v>
      </c>
      <c r="F219" s="525"/>
      <c r="G219" s="396"/>
      <c r="H219" s="474"/>
      <c r="I219" s="396"/>
      <c r="J219" s="56" t="str">
        <f>OBRA!U218</f>
        <v>N/A</v>
      </c>
      <c r="K219" s="57" t="str">
        <f>OBRA!V218</f>
        <v>ING. ANGEL ALBERTO HERNANDEZ MORA</v>
      </c>
      <c r="L219" s="35"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2">
        <f>OBRA!S218</f>
        <v>43066</v>
      </c>
      <c r="T219" s="55"/>
      <c r="U219" s="415" t="s">
        <v>1431</v>
      </c>
      <c r="V219" s="396"/>
      <c r="W219" s="399"/>
      <c r="X219" s="493">
        <f>OBRA!AP218</f>
        <v>0</v>
      </c>
      <c r="Y219" s="341"/>
      <c r="Z219" s="341"/>
      <c r="AA219" s="5"/>
      <c r="AB219" s="351">
        <f>OBRA!BT218</f>
        <v>0</v>
      </c>
      <c r="AC219" s="569"/>
      <c r="AD219" s="569"/>
    </row>
    <row r="220" spans="1:30" ht="30" hidden="1" customHeight="1">
      <c r="A220" s="23" t="s">
        <v>2239</v>
      </c>
      <c r="B220" s="933" t="str">
        <f>GRAL!B221</f>
        <v>2015-2018</v>
      </c>
      <c r="C220" s="17">
        <f>OBRA!I219</f>
        <v>2017</v>
      </c>
      <c r="D220" s="1676"/>
      <c r="E220" s="18" t="str">
        <f>OBRA!K219</f>
        <v>RAMO 33</v>
      </c>
      <c r="F220" s="525"/>
      <c r="G220" s="396"/>
      <c r="H220" s="474"/>
      <c r="I220" s="396"/>
      <c r="J220" s="56" t="str">
        <f>OBRA!U219</f>
        <v>N/A</v>
      </c>
      <c r="K220" s="57" t="str">
        <f>OBRA!V219</f>
        <v>ING. ANGEL ALBERTO HERNANDEZ MORA</v>
      </c>
      <c r="L220" s="35"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2">
        <f>OBRA!S219</f>
        <v>43099</v>
      </c>
      <c r="T220" s="55"/>
      <c r="U220" s="415" t="s">
        <v>1431</v>
      </c>
      <c r="V220" s="396"/>
      <c r="W220" s="399"/>
      <c r="X220" s="493">
        <f>OBRA!AP219</f>
        <v>0</v>
      </c>
      <c r="Y220" s="341"/>
      <c r="Z220" s="341"/>
      <c r="AA220" s="5"/>
      <c r="AB220" s="351">
        <f>OBRA!BT219</f>
        <v>0</v>
      </c>
      <c r="AC220" s="569"/>
      <c r="AD220" s="569"/>
    </row>
    <row r="221" spans="1:30" ht="30" hidden="1" customHeight="1">
      <c r="A221" s="23" t="s">
        <v>2239</v>
      </c>
      <c r="B221" s="933" t="str">
        <f>GRAL!B222</f>
        <v>2015-2018</v>
      </c>
      <c r="C221" s="17">
        <f>OBRA!I220</f>
        <v>2017</v>
      </c>
      <c r="D221" s="1676"/>
      <c r="E221" s="18" t="str">
        <f>OBRA!K220</f>
        <v>RAMO 33</v>
      </c>
      <c r="F221" s="525"/>
      <c r="G221" s="396"/>
      <c r="H221" s="474"/>
      <c r="I221" s="396"/>
      <c r="J221" s="56" t="str">
        <f>OBRA!U220</f>
        <v>N/A</v>
      </c>
      <c r="K221" s="57" t="str">
        <f>OBRA!V220</f>
        <v>ING. ANGEL ALBERTO HERNANDEZ MORA</v>
      </c>
      <c r="L221" s="35"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2">
        <f>OBRA!S220</f>
        <v>43099</v>
      </c>
      <c r="T221" s="55"/>
      <c r="U221" s="415" t="s">
        <v>1431</v>
      </c>
      <c r="V221" s="396"/>
      <c r="W221" s="399"/>
      <c r="X221" s="493">
        <f>OBRA!AP220</f>
        <v>0</v>
      </c>
      <c r="Y221" s="341"/>
      <c r="Z221" s="341"/>
      <c r="AA221" s="5"/>
      <c r="AB221" s="351">
        <f>OBRA!BT220</f>
        <v>0</v>
      </c>
      <c r="AC221" s="569"/>
      <c r="AD221" s="569"/>
    </row>
    <row r="222" spans="1:30" ht="30" hidden="1" customHeight="1">
      <c r="A222" s="23" t="s">
        <v>2239</v>
      </c>
      <c r="B222" s="933" t="str">
        <f>GRAL!B223</f>
        <v>2015-2018</v>
      </c>
      <c r="C222" s="17">
        <f>OBRA!I221</f>
        <v>2017</v>
      </c>
      <c r="D222" s="1676"/>
      <c r="E222" s="18" t="str">
        <f>OBRA!K221</f>
        <v>CUENTA CORRIENTE</v>
      </c>
      <c r="F222" s="525"/>
      <c r="G222" s="396"/>
      <c r="H222" s="474"/>
      <c r="I222" s="396"/>
      <c r="J222" s="56" t="str">
        <f>OBRA!U221</f>
        <v>N/A</v>
      </c>
      <c r="K222" s="57" t="str">
        <f>OBRA!V221</f>
        <v>ARQ. JAIME CONDE GOMEZ</v>
      </c>
      <c r="L222" s="35"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2">
        <f>OBRA!S221</f>
        <v>43099</v>
      </c>
      <c r="T222" s="55"/>
      <c r="U222" s="415" t="s">
        <v>1431</v>
      </c>
      <c r="V222" s="396"/>
      <c r="W222" s="399"/>
      <c r="X222" s="493">
        <f>OBRA!AP221</f>
        <v>0</v>
      </c>
      <c r="Y222" s="341"/>
      <c r="Z222" s="341"/>
      <c r="AA222" s="5"/>
      <c r="AB222" s="351">
        <f>OBRA!BT221</f>
        <v>0</v>
      </c>
      <c r="AC222" s="569"/>
      <c r="AD222" s="569"/>
    </row>
    <row r="223" spans="1:30" s="110" customFormat="1" ht="30" hidden="1" customHeight="1">
      <c r="A223" s="87" t="s">
        <v>2239</v>
      </c>
      <c r="B223" s="946" t="str">
        <f>GRAL!B224</f>
        <v>2012-2015</v>
      </c>
      <c r="C223" s="88">
        <f>OBRA!I222</f>
        <v>2017</v>
      </c>
      <c r="D223" s="893"/>
      <c r="E223" s="103" t="str">
        <f>OBRA!K222</f>
        <v>RAMO 33</v>
      </c>
      <c r="F223" s="526"/>
      <c r="G223" s="950"/>
      <c r="H223" s="949"/>
      <c r="I223" s="950"/>
      <c r="J223" s="159" t="str">
        <f>OBRA!U222</f>
        <v>-</v>
      </c>
      <c r="K223" s="160">
        <f>OBRA!V222</f>
        <v>0</v>
      </c>
      <c r="L223" s="340" t="str">
        <f>OBRA!L222</f>
        <v>DOP/AD/012/2017</v>
      </c>
      <c r="M223" s="203" t="str">
        <f>OBRA!M222</f>
        <v>CANCELADA</v>
      </c>
      <c r="N223" s="112" t="str">
        <f>OBRA!N222</f>
        <v>REHABILITACION DE LINEA DE AGUA POTABLE EN CALLE INDEPENDENCIA ENTRE CARRETERA Y CERRADA, EN LA LOCALIDAD DE SAN JUAN COSALA, DEL MUNICIPIO DE JOCOTEPEC, JALISCO</v>
      </c>
      <c r="O223" s="132"/>
      <c r="P223" s="93">
        <f>OBRA!Q222</f>
        <v>0</v>
      </c>
      <c r="Q223" s="92">
        <f>OBRA!P222</f>
        <v>46522.58</v>
      </c>
      <c r="R223" s="94">
        <f>OBRA!R222</f>
        <v>42979</v>
      </c>
      <c r="S223" s="95">
        <f>OBRA!S222</f>
        <v>42734</v>
      </c>
      <c r="T223" s="97"/>
      <c r="U223" s="785" t="s">
        <v>1431</v>
      </c>
      <c r="V223" s="950"/>
      <c r="W223" s="951"/>
      <c r="X223" s="952">
        <f>OBRA!AP222</f>
        <v>0</v>
      </c>
      <c r="Y223" s="343"/>
      <c r="Z223" s="343"/>
      <c r="AA223" s="94"/>
      <c r="AB223" s="511">
        <f>OBRA!BT222</f>
        <v>0</v>
      </c>
      <c r="AC223" s="570"/>
      <c r="AD223" s="570"/>
    </row>
    <row r="224" spans="1:30" s="110" customFormat="1" ht="30" hidden="1" customHeight="1">
      <c r="A224" s="87" t="s">
        <v>2239</v>
      </c>
      <c r="B224" s="946" t="str">
        <f>GRAL!B225</f>
        <v>2012-2015</v>
      </c>
      <c r="C224" s="88">
        <f>OBRA!I223</f>
        <v>2017</v>
      </c>
      <c r="D224" s="893"/>
      <c r="E224" s="103" t="str">
        <f>OBRA!K223</f>
        <v>RAMO 33</v>
      </c>
      <c r="F224" s="526"/>
      <c r="G224" s="950"/>
      <c r="H224" s="949"/>
      <c r="I224" s="950"/>
      <c r="J224" s="159" t="str">
        <f>OBRA!U223</f>
        <v>-</v>
      </c>
      <c r="K224" s="160">
        <f>OBRA!V223</f>
        <v>0</v>
      </c>
      <c r="L224" s="340" t="str">
        <f>OBRA!L223</f>
        <v>DOP/AD/013/2017</v>
      </c>
      <c r="M224" s="203" t="str">
        <f>OBRA!M223</f>
        <v>CANCELADA</v>
      </c>
      <c r="N224" s="112" t="str">
        <f>OBRA!N223</f>
        <v>FABRICACION DE EMPEDRADO AHOGADO EN CEMENTO EN CALLE INDEPENDENCIA, EN LA LOCALIDAD DE SAN JUAN COSALA, DEL MUNICIPIO DE JOCOTEPEC, JALISCO</v>
      </c>
      <c r="O224" s="132"/>
      <c r="P224" s="93">
        <f>OBRA!Q223</f>
        <v>0</v>
      </c>
      <c r="Q224" s="92">
        <f>OBRA!P223</f>
        <v>107544.91</v>
      </c>
      <c r="R224" s="94">
        <f>OBRA!R223</f>
        <v>43070</v>
      </c>
      <c r="S224" s="95">
        <f>OBRA!S223</f>
        <v>43099</v>
      </c>
      <c r="T224" s="97"/>
      <c r="U224" s="785" t="s">
        <v>1431</v>
      </c>
      <c r="V224" s="950"/>
      <c r="W224" s="951"/>
      <c r="X224" s="952">
        <f>OBRA!AP223</f>
        <v>0</v>
      </c>
      <c r="Y224" s="343"/>
      <c r="Z224" s="343"/>
      <c r="AA224" s="94"/>
      <c r="AB224" s="511">
        <f>OBRA!BT223</f>
        <v>0</v>
      </c>
      <c r="AC224" s="570"/>
      <c r="AD224" s="570"/>
    </row>
    <row r="225" spans="1:30" ht="30" hidden="1" customHeight="1">
      <c r="A225" s="23" t="s">
        <v>2239</v>
      </c>
      <c r="B225" s="933" t="str">
        <f>GRAL!B226</f>
        <v>2015-2018</v>
      </c>
      <c r="C225" s="17">
        <f>OBRA!I224</f>
        <v>2017</v>
      </c>
      <c r="D225" s="1676"/>
      <c r="E225" s="18" t="str">
        <f>OBRA!K224</f>
        <v>CUENTA CORRIENTE</v>
      </c>
      <c r="F225" s="525"/>
      <c r="G225" s="396"/>
      <c r="H225" s="474"/>
      <c r="I225" s="396"/>
      <c r="J225" s="56" t="str">
        <f>OBRA!U224</f>
        <v>N/A</v>
      </c>
      <c r="K225" s="57" t="str">
        <f>OBRA!V224</f>
        <v>ING. JUAN MANUEL GARCIA ESCOTO</v>
      </c>
      <c r="L225" s="35"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2">
        <f>OBRA!S224</f>
        <v>43099</v>
      </c>
      <c r="T225" s="55"/>
      <c r="U225" s="415" t="s">
        <v>1431</v>
      </c>
      <c r="V225" s="396"/>
      <c r="W225" s="399"/>
      <c r="X225" s="493">
        <f>OBRA!AP224</f>
        <v>0</v>
      </c>
      <c r="Y225" s="341"/>
      <c r="Z225" s="341"/>
      <c r="AA225" s="5"/>
      <c r="AB225" s="351">
        <f>OBRA!BT224</f>
        <v>0</v>
      </c>
      <c r="AC225" s="569"/>
      <c r="AD225" s="569"/>
    </row>
    <row r="226" spans="1:30" s="110" customFormat="1" ht="30" hidden="1" customHeight="1">
      <c r="A226" s="87" t="s">
        <v>2239</v>
      </c>
      <c r="B226" s="946" t="str">
        <f>GRAL!B227</f>
        <v>2012-2015</v>
      </c>
      <c r="C226" s="88">
        <f>OBRA!I225</f>
        <v>2017</v>
      </c>
      <c r="D226" s="893"/>
      <c r="E226" s="103">
        <f>OBRA!K225</f>
        <v>0</v>
      </c>
      <c r="F226" s="526"/>
      <c r="G226" s="950"/>
      <c r="H226" s="949"/>
      <c r="I226" s="950"/>
      <c r="J226" s="159" t="str">
        <f>OBRA!U225</f>
        <v>-</v>
      </c>
      <c r="K226" s="160">
        <f>OBRA!V225</f>
        <v>0</v>
      </c>
      <c r="L226" s="340" t="str">
        <f>OBRA!L225</f>
        <v>DOP/AD/015/2017</v>
      </c>
      <c r="M226" s="203" t="str">
        <f>OBRA!M225</f>
        <v>CANCELADA</v>
      </c>
      <c r="N226" s="112">
        <f>OBRA!N225</f>
        <v>0</v>
      </c>
      <c r="O226" s="132"/>
      <c r="P226" s="93">
        <f>OBRA!Q225</f>
        <v>0</v>
      </c>
      <c r="Q226" s="92">
        <f>OBRA!P225</f>
        <v>0</v>
      </c>
      <c r="R226" s="94">
        <f>OBRA!R225</f>
        <v>0</v>
      </c>
      <c r="S226" s="95">
        <f>OBRA!S225</f>
        <v>0</v>
      </c>
      <c r="T226" s="97"/>
      <c r="U226" s="785" t="s">
        <v>1431</v>
      </c>
      <c r="V226" s="950"/>
      <c r="W226" s="951"/>
      <c r="X226" s="952">
        <f>OBRA!AP225</f>
        <v>0</v>
      </c>
      <c r="Y226" s="343"/>
      <c r="Z226" s="343"/>
      <c r="AA226" s="94"/>
      <c r="AB226" s="511">
        <f>OBRA!BT225</f>
        <v>0</v>
      </c>
      <c r="AC226" s="570"/>
      <c r="AD226" s="570"/>
    </row>
    <row r="227" spans="1:30" ht="354" hidden="1" customHeight="1">
      <c r="A227" s="23" t="s">
        <v>2239</v>
      </c>
      <c r="B227" s="933" t="str">
        <f>GRAL!B228</f>
        <v>2015-2018</v>
      </c>
      <c r="C227" s="17">
        <f>OBRA!I226</f>
        <v>2017</v>
      </c>
      <c r="D227" s="1676"/>
      <c r="E227" s="471" t="str">
        <f>OBRA!K226</f>
        <v>CUENTA CORRIENTE</v>
      </c>
      <c r="F227" s="478" t="s">
        <v>1431</v>
      </c>
      <c r="G227" s="1129"/>
      <c r="H227" s="1012"/>
      <c r="I227" s="557"/>
      <c r="J227" s="339" t="str">
        <f>OBRA!U226</f>
        <v>ASFALTOS GUADALAJARA, S.A.P.I. DE C.V.</v>
      </c>
      <c r="K227" s="172" t="str">
        <f>OBRA!V226</f>
        <v>ING. ANGEL ALBERTO HERNANDEZ MORA</v>
      </c>
      <c r="L227" s="180" t="str">
        <f>OBRA!L226</f>
        <v>GMJ 001C OP/2017</v>
      </c>
      <c r="M227" s="202" t="str">
        <f>OBRA!M226</f>
        <v>ADJUDICACIÓN DIRECTA</v>
      </c>
      <c r="N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OBRA!Q226</f>
        <v>42737</v>
      </c>
      <c r="Q227" s="85">
        <f>OBRA!P226</f>
        <v>1499890.33</v>
      </c>
      <c r="R227" s="255">
        <f>OBRA!R226</f>
        <v>42740</v>
      </c>
      <c r="S227" s="245">
        <f>OBRA!S226</f>
        <v>42746</v>
      </c>
      <c r="T227" s="758"/>
      <c r="U227" s="216" t="s">
        <v>1431</v>
      </c>
      <c r="V227" s="557"/>
      <c r="W227" s="1011"/>
      <c r="X227" s="579">
        <f>OBRA!AP226</f>
        <v>299978.06</v>
      </c>
      <c r="Y227" s="5"/>
      <c r="Z227" s="341"/>
      <c r="AA227" s="5"/>
      <c r="AB227" s="351">
        <f>OBRA!BT226</f>
        <v>0</v>
      </c>
      <c r="AC227" s="569"/>
      <c r="AD227" s="569" t="s">
        <v>551</v>
      </c>
    </row>
    <row r="228" spans="1:30" ht="355.5" hidden="1" customHeight="1">
      <c r="A228" s="23" t="s">
        <v>2239</v>
      </c>
      <c r="B228" s="933" t="str">
        <f>GRAL!B229</f>
        <v>2015-2018</v>
      </c>
      <c r="C228" s="17">
        <f>OBRA!I227</f>
        <v>2017</v>
      </c>
      <c r="D228" s="895"/>
      <c r="E228" s="1" t="str">
        <f>OBRA!K227</f>
        <v>CUENTA CORRIENTE</v>
      </c>
      <c r="F228" s="607" t="s">
        <v>1431</v>
      </c>
      <c r="G228" s="1129"/>
      <c r="H228" s="1012"/>
      <c r="I228" s="557"/>
      <c r="J228" s="339" t="str">
        <f>OBRA!U227</f>
        <v>ASFALTOS GUADALAJARA, S.A.P.I. DE C.V.</v>
      </c>
      <c r="K228" s="172" t="str">
        <f>OBRA!V227</f>
        <v>ING. ANGEL ALBERTO HERNANDEZ MORA</v>
      </c>
      <c r="L228" s="180" t="str">
        <f>OBRA!L227</f>
        <v>GMJ 002C OP/2017</v>
      </c>
      <c r="M228" s="202" t="str">
        <f>OBRA!M227</f>
        <v>ADJUDICACIÓN DIRECTA</v>
      </c>
      <c r="N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OBRA!Q227</f>
        <v>42747</v>
      </c>
      <c r="Q228" s="85">
        <f>OBRA!P227</f>
        <v>1316020.1499999999</v>
      </c>
      <c r="R228" s="255">
        <f>OBRA!R227</f>
        <v>42747</v>
      </c>
      <c r="S228" s="245">
        <f>OBRA!S227</f>
        <v>42837</v>
      </c>
      <c r="T228" s="758"/>
      <c r="U228" s="216" t="s">
        <v>1431</v>
      </c>
      <c r="V228" s="557"/>
      <c r="W228" s="1011"/>
      <c r="X228" s="579">
        <f>OBRA!AP227</f>
        <v>263204.02</v>
      </c>
      <c r="Y228" s="5"/>
      <c r="Z228" s="341"/>
      <c r="AA228" s="5"/>
      <c r="AB228" s="351">
        <f>OBRA!BT227</f>
        <v>0</v>
      </c>
      <c r="AC228" s="569"/>
      <c r="AD228" s="569" t="s">
        <v>551</v>
      </c>
    </row>
    <row r="229" spans="1:30" ht="126.75" hidden="1" customHeight="1">
      <c r="A229" s="23" t="s">
        <v>2239</v>
      </c>
      <c r="B229" s="933" t="str">
        <f>GRAL!B230</f>
        <v>2015-2018</v>
      </c>
      <c r="C229" s="17">
        <f>OBRA!I228</f>
        <v>2017</v>
      </c>
      <c r="D229" s="895"/>
      <c r="E229" s="1" t="str">
        <f>OBRA!K228</f>
        <v>RAMO 33</v>
      </c>
      <c r="F229" s="18" t="s">
        <v>1431</v>
      </c>
      <c r="G229" s="557"/>
      <c r="H229" s="1012"/>
      <c r="I229" s="557"/>
      <c r="J229" s="56" t="str">
        <f>OBRA!U228</f>
        <v>ING. SERGIO CABRERA</v>
      </c>
      <c r="K229" s="57" t="str">
        <f>OBRA!V228</f>
        <v>ING. ANGEL ALBERTO HERNANDEZ MORA</v>
      </c>
      <c r="L229" s="35" t="str">
        <f>OBRA!L228</f>
        <v>GMJ 003C OP/2017</v>
      </c>
      <c r="M229" s="2" t="str">
        <f>OBRA!M228</f>
        <v>ADJUDICACIÓN DIRECTA</v>
      </c>
      <c r="N229" s="3" t="str">
        <f>OBRA!N228</f>
        <v>REHABILITACIÓN DE LÍNEA DE DRENAJE EN CALLES PROLONGACIÓN GONZALEZ ORTEGA, CABECERA MUNICIPAL DE JOCOTEPEC JALISCO</v>
      </c>
      <c r="O229" s="508"/>
      <c r="P229" s="6">
        <f>OBRA!Q228</f>
        <v>42857</v>
      </c>
      <c r="Q229" s="4">
        <f>OBRA!P228</f>
        <v>626112.69999999995</v>
      </c>
      <c r="R229" s="5">
        <f>OBRA!R228</f>
        <v>42860</v>
      </c>
      <c r="S229" s="12">
        <f>OBRA!S228</f>
        <v>42880</v>
      </c>
      <c r="T229" s="55"/>
      <c r="U229" s="415" t="s">
        <v>1431</v>
      </c>
      <c r="V229" s="557"/>
      <c r="W229" s="1441"/>
      <c r="X229" s="306">
        <f>OBRA!AP228</f>
        <v>125222.54</v>
      </c>
      <c r="Y229" s="5">
        <v>125222.54</v>
      </c>
      <c r="Z229" s="341"/>
      <c r="AA229" s="5"/>
      <c r="AB229" s="351">
        <f>OBRA!BT228</f>
        <v>0</v>
      </c>
      <c r="AC229" s="569"/>
      <c r="AD229" s="569" t="s">
        <v>551</v>
      </c>
    </row>
    <row r="230" spans="1:30" ht="153" hidden="1" customHeight="1">
      <c r="A230" s="23" t="s">
        <v>2239</v>
      </c>
      <c r="B230" s="933" t="str">
        <f>GRAL!B231</f>
        <v>2015-2018</v>
      </c>
      <c r="C230" s="17">
        <f>OBRA!I229</f>
        <v>2017</v>
      </c>
      <c r="D230" s="895"/>
      <c r="E230" s="1" t="str">
        <f>OBRA!K229</f>
        <v>RAMO 33</v>
      </c>
      <c r="F230" s="18" t="s">
        <v>1431</v>
      </c>
      <c r="G230" s="557"/>
      <c r="H230" s="1012"/>
      <c r="I230" s="557"/>
      <c r="J230" s="56" t="str">
        <f>OBRA!U229</f>
        <v>ING. SERGIO CABRERA</v>
      </c>
      <c r="K230" s="57" t="str">
        <f>OBRA!V229</f>
        <v>ING. ANGEL ALBERTO HERNANDEZ MORA</v>
      </c>
      <c r="L230" s="35" t="str">
        <f>OBRA!L229</f>
        <v>GMJ 004C OP/2017</v>
      </c>
      <c r="M230" s="2" t="str">
        <f>OBRA!M229</f>
        <v>ADJUDICACIÓN DIRECTA</v>
      </c>
      <c r="N230" s="3" t="str">
        <f>OBRA!N229</f>
        <v>REHABILITACIÓN DE RED DE AGUA POTABLE EN CALLE PROLONGACIÓN GONZÁLEZ ORTEGA, CABECERA MUNICIPAL DE JOCOTEPEC JALISCO</v>
      </c>
      <c r="O230" s="508"/>
      <c r="P230" s="6">
        <f>OBRA!Q229</f>
        <v>42857</v>
      </c>
      <c r="Q230" s="4">
        <f>OBRA!P229</f>
        <v>475018.98</v>
      </c>
      <c r="R230" s="5">
        <f>OBRA!R229</f>
        <v>42860</v>
      </c>
      <c r="S230" s="12">
        <f>OBRA!S229</f>
        <v>42885</v>
      </c>
      <c r="T230" s="55"/>
      <c r="U230" s="415" t="s">
        <v>1431</v>
      </c>
      <c r="V230" s="557"/>
      <c r="W230" s="1441"/>
      <c r="X230" s="601">
        <f>OBRA!AP229</f>
        <v>95003.78</v>
      </c>
      <c r="Y230" s="5"/>
      <c r="Z230" s="341"/>
      <c r="AA230" s="5"/>
      <c r="AB230" s="351">
        <f>OBRA!BT229</f>
        <v>0</v>
      </c>
      <c r="AC230" s="569"/>
      <c r="AD230" s="569" t="s">
        <v>551</v>
      </c>
    </row>
    <row r="231" spans="1:30" ht="102" hidden="1" customHeight="1">
      <c r="A231" s="23" t="s">
        <v>2239</v>
      </c>
      <c r="B231" s="933" t="str">
        <f>GRAL!B232</f>
        <v>2015-2018</v>
      </c>
      <c r="C231" s="17">
        <f>OBRA!I230</f>
        <v>2017</v>
      </c>
      <c r="D231" s="1676"/>
      <c r="E231" s="471" t="str">
        <f>OBRA!K230</f>
        <v>RAMO 33</v>
      </c>
      <c r="F231" s="14" t="s">
        <v>1431</v>
      </c>
      <c r="G231" s="1437"/>
      <c r="H231" s="1438"/>
      <c r="I231" s="557"/>
      <c r="J231" s="339" t="str">
        <f>OBRA!U230</f>
        <v>ING. SERGIO CABRERA</v>
      </c>
      <c r="K231" s="172" t="str">
        <f>OBRA!V230</f>
        <v>ING. ANGEL ALBERTO HERNANDEZ MORA</v>
      </c>
      <c r="L231" s="180" t="str">
        <f>OBRA!L230</f>
        <v>GMJ 005C OP/2017</v>
      </c>
      <c r="M231" s="202" t="str">
        <f>OBRA!M230</f>
        <v>ADJUDICACIÓN DIRECTA</v>
      </c>
      <c r="N231" s="328" t="str">
        <f>OBRA!N230</f>
        <v>CONSTRUCCIÓN DE HUELLAS DE CONCRETO EN CALLE PROLONGACIÓN GONZALEZ ORTEGA, CABECERA MUNICIPAL DE JOCOTEPEC JALISCO</v>
      </c>
      <c r="O231" s="510"/>
      <c r="P231" s="69">
        <f>OBRA!Q230</f>
        <v>42857</v>
      </c>
      <c r="Q231" s="85">
        <f>OBRA!P230</f>
        <v>383419.34</v>
      </c>
      <c r="R231" s="255">
        <f>OBRA!R230</f>
        <v>42861</v>
      </c>
      <c r="S231" s="245">
        <f>OBRA!S230</f>
        <v>42901</v>
      </c>
      <c r="T231" s="758"/>
      <c r="U231" s="216" t="s">
        <v>1431</v>
      </c>
      <c r="V231" s="654"/>
      <c r="W231" s="1438"/>
      <c r="X231" s="729">
        <f>OBRA!AP230</f>
        <v>76683.86</v>
      </c>
      <c r="Y231" s="5"/>
      <c r="Z231" s="341"/>
      <c r="AA231" s="5"/>
      <c r="AB231" s="351">
        <f>OBRA!BT230</f>
        <v>0</v>
      </c>
      <c r="AC231" s="569"/>
      <c r="AD231" s="569" t="s">
        <v>551</v>
      </c>
    </row>
    <row r="232" spans="1:30" ht="48" hidden="1" customHeight="1">
      <c r="A232" s="23" t="s">
        <v>2239</v>
      </c>
      <c r="B232" s="933" t="str">
        <f>GRAL!B233</f>
        <v>2015-2018</v>
      </c>
      <c r="C232" s="17">
        <f>OBRA!I231</f>
        <v>2017</v>
      </c>
      <c r="D232" s="1676"/>
      <c r="E232" s="18" t="str">
        <f>OBRA!K231</f>
        <v>RAMO 33</v>
      </c>
      <c r="F232" s="18" t="s">
        <v>1431</v>
      </c>
      <c r="G232" s="1437"/>
      <c r="H232" s="1438"/>
      <c r="I232" s="557"/>
      <c r="J232" s="56" t="str">
        <f>OBRA!U231</f>
        <v xml:space="preserve">GRUPO DESARROLLADOR INMOBILIARIO CEMERAMA S.A. DE C.V. </v>
      </c>
      <c r="K232" s="57" t="str">
        <f>OBRA!V231</f>
        <v>LIC. SALVADOR CONTRERAS OLGUÍN</v>
      </c>
      <c r="L232" s="35" t="str">
        <f>OBRA!L231</f>
        <v>GMJ 006C OP/2017</v>
      </c>
      <c r="M232" s="2" t="str">
        <f>OBRA!M231</f>
        <v>ADJUDICACIÓN DIRECTA</v>
      </c>
      <c r="N232" s="3" t="str">
        <f>OBRA!N231</f>
        <v>CONSTRUCCIÓN DE RED DE DRENAJE DE POZO A CALLE JUAREZ</v>
      </c>
      <c r="O232" s="508"/>
      <c r="P232" s="69">
        <f>OBRA!Q231</f>
        <v>42858</v>
      </c>
      <c r="Q232" s="4">
        <f>OBRA!P231</f>
        <v>167666.94</v>
      </c>
      <c r="R232" s="5">
        <f>OBRA!R231</f>
        <v>42859</v>
      </c>
      <c r="S232" s="12">
        <f>OBRA!S231</f>
        <v>42875</v>
      </c>
      <c r="T232" s="55"/>
      <c r="U232" s="415" t="s">
        <v>1431</v>
      </c>
      <c r="V232" s="654"/>
      <c r="W232" s="1438"/>
      <c r="X232" s="729">
        <f>OBRA!AP231</f>
        <v>33533.379999999997</v>
      </c>
      <c r="Y232" s="5"/>
      <c r="Z232" s="341"/>
      <c r="AA232" s="5"/>
      <c r="AB232" s="351">
        <f>OBRA!BT231</f>
        <v>0</v>
      </c>
      <c r="AC232" s="569"/>
      <c r="AD232" s="569" t="s">
        <v>551</v>
      </c>
    </row>
    <row r="233" spans="1:30" ht="101.25" hidden="1" customHeight="1">
      <c r="A233" s="23" t="s">
        <v>2239</v>
      </c>
      <c r="B233" s="933" t="str">
        <f>GRAL!B234</f>
        <v>2015-2018</v>
      </c>
      <c r="C233" s="17">
        <f>OBRA!I232</f>
        <v>2017</v>
      </c>
      <c r="D233" s="1676"/>
      <c r="E233" s="18" t="str">
        <f>OBRA!K232</f>
        <v>RAMO 33</v>
      </c>
      <c r="F233" s="18" t="s">
        <v>1431</v>
      </c>
      <c r="G233" s="1437"/>
      <c r="H233" s="1438"/>
      <c r="I233" s="557"/>
      <c r="J233" s="56" t="str">
        <f>OBRA!U232</f>
        <v xml:space="preserve">GRUPO DESARROLLADOR INMOBILIARIO CEMERAMA S.A. DE C.V. </v>
      </c>
      <c r="K233" s="57" t="str">
        <f>OBRA!V232</f>
        <v>LIC. SALVADOR CONTRERAS OLGUÍN</v>
      </c>
      <c r="L233" s="35" t="str">
        <f>OBRA!L232</f>
        <v>GMJ 007C OP/2017</v>
      </c>
      <c r="M233" s="2" t="str">
        <f>OBRA!M232</f>
        <v>ADJUDICACIÓN DIRECTA</v>
      </c>
      <c r="N233" s="3" t="str">
        <f>OBRA!N232</f>
        <v>CONSTRUCCIÓN DE LÍNEA ALIMENTADORA DE AGUA POTABLE DEL POZO A LA RED MUNICIPAL DE LA CALLE MORELOS DELEGACION DEL CHANTE</v>
      </c>
      <c r="O233" s="508"/>
      <c r="P233" s="69">
        <f>OBRA!Q232</f>
        <v>42857</v>
      </c>
      <c r="Q233" s="4">
        <f>OBRA!P232</f>
        <v>336153.85</v>
      </c>
      <c r="R233" s="5">
        <f>OBRA!R232</f>
        <v>42868</v>
      </c>
      <c r="S233" s="12">
        <f>OBRA!S232</f>
        <v>42899</v>
      </c>
      <c r="T233" s="55"/>
      <c r="U233" s="415" t="s">
        <v>1431</v>
      </c>
      <c r="V233" s="654"/>
      <c r="W233" s="1438"/>
      <c r="X233" s="729">
        <f>OBRA!AP232</f>
        <v>67230.759999999995</v>
      </c>
      <c r="Y233" s="5"/>
      <c r="Z233" s="341"/>
      <c r="AA233" s="5"/>
      <c r="AB233" s="351">
        <f>OBRA!BT232</f>
        <v>0</v>
      </c>
      <c r="AC233" s="569"/>
      <c r="AD233" s="569" t="s">
        <v>551</v>
      </c>
    </row>
    <row r="234" spans="1:30" ht="102" hidden="1" customHeight="1">
      <c r="A234" s="23" t="s">
        <v>2239</v>
      </c>
      <c r="B234" s="933" t="str">
        <f>GRAL!B235</f>
        <v>2015-2018</v>
      </c>
      <c r="C234" s="17">
        <f>OBRA!I233</f>
        <v>2017</v>
      </c>
      <c r="D234" s="1676"/>
      <c r="E234" s="18" t="str">
        <f>OBRA!K233</f>
        <v>RAMO 33</v>
      </c>
      <c r="F234" s="532" t="s">
        <v>1431</v>
      </c>
      <c r="G234" s="557"/>
      <c r="H234" s="1012"/>
      <c r="I234" s="557"/>
      <c r="J234" s="56" t="str">
        <f>OBRA!U233</f>
        <v>CONSTRUCCIONES VIKBRAK, S.A. DE C.V.</v>
      </c>
      <c r="K234" s="57" t="str">
        <f>OBRA!V233</f>
        <v>ARQ. JAIME CONDE GOMEZ</v>
      </c>
      <c r="L234" s="35" t="str">
        <f>OBRA!L233</f>
        <v>GMJ 008C OP/2017</v>
      </c>
      <c r="M234" s="2" t="str">
        <f>OBRA!M233</f>
        <v>ADJUDICACIÓN DIRECTA</v>
      </c>
      <c r="N234" s="3" t="str">
        <f>OBRA!N233</f>
        <v>REHABILITACIÓN DE RED DE DRENAJE EN CALLE NIÑOS HEROES DE INVIERNO A PROLONGACIÓN ALDAMA, EN LA CABECERA MUNICIPAL DE JOCOTEPEC JALISCO</v>
      </c>
      <c r="O234" s="508"/>
      <c r="P234" s="69">
        <f>OBRA!Q233</f>
        <v>42857</v>
      </c>
      <c r="Q234" s="4">
        <f>OBRA!P233</f>
        <v>177076.07</v>
      </c>
      <c r="R234" s="5">
        <f>OBRA!R233</f>
        <v>42859</v>
      </c>
      <c r="S234" s="12">
        <f>OBRA!S233</f>
        <v>42890</v>
      </c>
      <c r="T234" s="55"/>
      <c r="U234" s="415" t="s">
        <v>1431</v>
      </c>
      <c r="V234" s="591"/>
      <c r="W234" s="479"/>
      <c r="X234" s="590">
        <f>OBRA!AP233</f>
        <v>0</v>
      </c>
      <c r="Y234" s="5"/>
      <c r="Z234" s="341"/>
      <c r="AA234" s="5"/>
      <c r="AB234" s="351">
        <f>OBRA!BT233</f>
        <v>0</v>
      </c>
      <c r="AC234" s="569"/>
      <c r="AD234" s="569" t="s">
        <v>1295</v>
      </c>
    </row>
    <row r="235" spans="1:30" ht="96.75" hidden="1" customHeight="1">
      <c r="A235" s="23" t="s">
        <v>2239</v>
      </c>
      <c r="B235" s="933" t="str">
        <f>GRAL!B236</f>
        <v>2015-2018</v>
      </c>
      <c r="C235" s="17">
        <f>OBRA!I234</f>
        <v>2017</v>
      </c>
      <c r="D235" s="1676"/>
      <c r="E235" s="18" t="str">
        <f>OBRA!K234</f>
        <v>RAMO 33</v>
      </c>
      <c r="F235" s="18" t="s">
        <v>1431</v>
      </c>
      <c r="G235" s="557"/>
      <c r="H235" s="1012"/>
      <c r="I235" s="557"/>
      <c r="J235" s="56" t="str">
        <f>OBRA!U234</f>
        <v>CONSTRUCCIONES VIKBRAK, S.A. DE C.V.</v>
      </c>
      <c r="K235" s="57" t="str">
        <f>OBRA!V234</f>
        <v>ARQ. JAIME CONDE GOMEZ</v>
      </c>
      <c r="L235" s="35" t="str">
        <f>OBRA!L234</f>
        <v>GMJ 009C OP/2017</v>
      </c>
      <c r="M235" s="2" t="str">
        <f>OBRA!M234</f>
        <v>ADJUDICACIÓN DIRECTA</v>
      </c>
      <c r="N235" s="3" t="str">
        <f>OBRA!N234</f>
        <v>REHABILITACIÓN DE RED DE AGUA POTABLE EN CALLE NIÑOS HEROES, DE INVIERNO A PROLONGACIÓN ALDAMA, EN LA CABECERA MUNICIPAL DE JOCOTEPEC, JALISCO</v>
      </c>
      <c r="O235" s="508"/>
      <c r="P235" s="69">
        <f>OBRA!Q234</f>
        <v>42858</v>
      </c>
      <c r="Q235" s="4">
        <f>OBRA!P234</f>
        <v>113674.93</v>
      </c>
      <c r="R235" s="5">
        <f>OBRA!R234</f>
        <v>42870</v>
      </c>
      <c r="S235" s="12">
        <f>OBRA!S234</f>
        <v>42886</v>
      </c>
      <c r="T235" s="55"/>
      <c r="U235" s="415" t="s">
        <v>1431</v>
      </c>
      <c r="V235" s="998"/>
      <c r="W235" s="999"/>
      <c r="X235" s="590">
        <f>OBRA!AP234</f>
        <v>0</v>
      </c>
      <c r="Y235" s="5"/>
      <c r="Z235" s="341"/>
      <c r="AA235" s="5"/>
      <c r="AB235" s="351">
        <f>OBRA!BT234</f>
        <v>0</v>
      </c>
      <c r="AC235" s="569"/>
      <c r="AD235" s="569" t="s">
        <v>1295</v>
      </c>
    </row>
    <row r="236" spans="1:30" ht="80.25" hidden="1" customHeight="1">
      <c r="A236" s="23" t="s">
        <v>2239</v>
      </c>
      <c r="B236" s="933" t="str">
        <f>GRAL!B237</f>
        <v>2015-2018</v>
      </c>
      <c r="C236" s="17">
        <f>OBRA!I235</f>
        <v>2017</v>
      </c>
      <c r="D236" s="1676"/>
      <c r="E236" s="18" t="str">
        <f>OBRA!K235</f>
        <v>RAMO 33</v>
      </c>
      <c r="F236" s="18" t="s">
        <v>1431</v>
      </c>
      <c r="G236" s="557"/>
      <c r="H236" s="560"/>
      <c r="I236" s="557"/>
      <c r="J236" s="56" t="str">
        <f>OBRA!U235</f>
        <v>CONSTRUCCIONES VIKBRAK, S.A. DE C.V.</v>
      </c>
      <c r="K236" s="57" t="str">
        <f>OBRA!V235</f>
        <v>ARQ. JAIME CONDE GOMEZ</v>
      </c>
      <c r="L236" s="35" t="str">
        <f>OBRA!L235</f>
        <v>GMJ 010C OP/2017</v>
      </c>
      <c r="M236" s="2" t="str">
        <f>OBRA!M235</f>
        <v>ADJUDICACIÓN DIRECTA</v>
      </c>
      <c r="N236" s="3" t="str">
        <f>OBRA!N235</f>
        <v>REHABILITACIÓN DE RED DE DRENAJE EN CALLE INVIERNO DE NIÑOS HEROES A ZARAGOZA, EN LA CABECERA MUNICIPAL</v>
      </c>
      <c r="O236" s="508"/>
      <c r="P236" s="69">
        <f>OBRA!Q235</f>
        <v>42857</v>
      </c>
      <c r="Q236" s="4">
        <f>OBRA!P235</f>
        <v>228407.58</v>
      </c>
      <c r="R236" s="5">
        <f>OBRA!R235</f>
        <v>42859</v>
      </c>
      <c r="S236" s="12">
        <f>OBRA!S235</f>
        <v>42890</v>
      </c>
      <c r="T236" s="55"/>
      <c r="U236" s="415" t="s">
        <v>1431</v>
      </c>
      <c r="V236" s="591"/>
      <c r="W236" s="479"/>
      <c r="X236" s="590">
        <f>OBRA!AP235</f>
        <v>0</v>
      </c>
      <c r="Y236" s="5"/>
      <c r="Z236" s="341"/>
      <c r="AA236" s="5"/>
      <c r="AB236" s="351">
        <f>OBRA!BT235</f>
        <v>0</v>
      </c>
      <c r="AC236" s="569"/>
      <c r="AD236" s="569" t="s">
        <v>1295</v>
      </c>
    </row>
    <row r="237" spans="1:30" ht="82.5" hidden="1" customHeight="1">
      <c r="A237" s="23" t="s">
        <v>2239</v>
      </c>
      <c r="B237" s="933" t="str">
        <f>GRAL!B238</f>
        <v>2015-2018</v>
      </c>
      <c r="C237" s="17">
        <f>OBRA!I236</f>
        <v>2017</v>
      </c>
      <c r="D237" s="1676"/>
      <c r="E237" s="18" t="str">
        <f>OBRA!K236</f>
        <v>RAMO 33</v>
      </c>
      <c r="F237" s="18" t="s">
        <v>1431</v>
      </c>
      <c r="G237" s="557"/>
      <c r="H237" s="1012"/>
      <c r="I237" s="557"/>
      <c r="J237" s="56" t="str">
        <f>OBRA!U236</f>
        <v>CONSTRUCCIONES VIKBRAK, S.A. DE C.V.</v>
      </c>
      <c r="K237" s="57" t="str">
        <f>OBRA!V236</f>
        <v>ARQ. JAIME CONDE GOMEZ</v>
      </c>
      <c r="L237" s="35" t="str">
        <f>OBRA!L236</f>
        <v>GMJ 011C OP/2017</v>
      </c>
      <c r="M237" s="2" t="str">
        <f>OBRA!M236</f>
        <v>ADJUDICACIÓN DIRECTA</v>
      </c>
      <c r="N237" s="3" t="str">
        <f>OBRA!N236</f>
        <v>REHABILITACIÓN DE RED DE AGUA POTABLE EN CALLE INVIERNO, DE NIÑOS HEROES A ZARAGOZA, EN LA CABECERA MUNICIPAL DE JOCOTEPEC, JALISCO</v>
      </c>
      <c r="O237" s="508"/>
      <c r="P237" s="69">
        <f>OBRA!Q236</f>
        <v>42858</v>
      </c>
      <c r="Q237" s="4">
        <f>OBRA!P236</f>
        <v>147033.21</v>
      </c>
      <c r="R237" s="5">
        <f>OBRA!R236</f>
        <v>42870</v>
      </c>
      <c r="S237" s="12">
        <f>OBRA!S236</f>
        <v>42886</v>
      </c>
      <c r="T237" s="55"/>
      <c r="U237" s="415" t="s">
        <v>1431</v>
      </c>
      <c r="V237" s="998"/>
      <c r="W237" s="999"/>
      <c r="X237" s="590">
        <f>OBRA!AP236</f>
        <v>0</v>
      </c>
      <c r="Y237" s="5"/>
      <c r="Z237" s="341"/>
      <c r="AA237" s="5"/>
      <c r="AB237" s="351">
        <f>OBRA!BT236</f>
        <v>0</v>
      </c>
      <c r="AC237" s="569"/>
      <c r="AD237" s="569" t="s">
        <v>1295</v>
      </c>
    </row>
    <row r="238" spans="1:30" ht="87.75" hidden="1" customHeight="1">
      <c r="A238" s="23" t="s">
        <v>2239</v>
      </c>
      <c r="B238" s="933" t="str">
        <f>GRAL!B239</f>
        <v>2015-2018</v>
      </c>
      <c r="C238" s="17">
        <f>OBRA!I237</f>
        <v>2017</v>
      </c>
      <c r="D238" s="1676"/>
      <c r="E238" s="18" t="str">
        <f>OBRA!K237</f>
        <v>RAMO 33</v>
      </c>
      <c r="F238" s="18" t="s">
        <v>1431</v>
      </c>
      <c r="G238" s="557"/>
      <c r="H238" s="1012"/>
      <c r="I238" s="557"/>
      <c r="J238" s="56" t="str">
        <f>OBRA!U237</f>
        <v>CONSTRUCCIONES VIKBRAK, S.A. DE C.V.</v>
      </c>
      <c r="K238" s="57" t="str">
        <f>OBRA!V237</f>
        <v>ARQ. JAIME CONDE GOMEZ</v>
      </c>
      <c r="L238" s="35" t="str">
        <f>OBRA!L237</f>
        <v>GMJ 012C OP/2017</v>
      </c>
      <c r="M238" s="2" t="str">
        <f>OBRA!M237</f>
        <v>ADJUDICACIÓN DIRECTA</v>
      </c>
      <c r="N238" s="3" t="str">
        <f>OBRA!N237</f>
        <v>REHABILITACIÓN DE RED DE DRENAJE EN CALLE ZARAGOZA DE INVIERNO A OTOÑO, EN LA CABECERA MUNICIPAL DE JOCOTEPEC JALISCO</v>
      </c>
      <c r="O238" s="508"/>
      <c r="P238" s="69">
        <f>OBRA!Q237</f>
        <v>42858</v>
      </c>
      <c r="Q238" s="4">
        <f>OBRA!P237</f>
        <v>81517.39</v>
      </c>
      <c r="R238" s="5">
        <f>OBRA!R237</f>
        <v>42859</v>
      </c>
      <c r="S238" s="12">
        <f>OBRA!S237</f>
        <v>42890</v>
      </c>
      <c r="T238" s="55"/>
      <c r="U238" s="415" t="s">
        <v>1431</v>
      </c>
      <c r="V238" s="998"/>
      <c r="W238" s="999"/>
      <c r="X238" s="590">
        <f>OBRA!AP237</f>
        <v>0</v>
      </c>
      <c r="Y238" s="5"/>
      <c r="Z238" s="341"/>
      <c r="AA238" s="5"/>
      <c r="AB238" s="351">
        <f>OBRA!BT237</f>
        <v>0</v>
      </c>
      <c r="AC238" s="569"/>
      <c r="AD238" s="569" t="s">
        <v>1295</v>
      </c>
    </row>
    <row r="239" spans="1:30" ht="110.25" hidden="1" customHeight="1">
      <c r="A239" s="23" t="s">
        <v>2239</v>
      </c>
      <c r="B239" s="933" t="str">
        <f>GRAL!B240</f>
        <v>2015-2018</v>
      </c>
      <c r="C239" s="17">
        <f>OBRA!I238</f>
        <v>2017</v>
      </c>
      <c r="D239" s="1676"/>
      <c r="E239" s="18" t="str">
        <f>OBRA!K238</f>
        <v>RAMO 33</v>
      </c>
      <c r="F239" s="18" t="s">
        <v>1431</v>
      </c>
      <c r="G239" s="557"/>
      <c r="H239" s="1012"/>
      <c r="I239" s="557"/>
      <c r="J239" s="56" t="str">
        <f>OBRA!U238</f>
        <v>CONSTRUCCIONES VIKBRAK, S.A. DE C.V.</v>
      </c>
      <c r="K239" s="57" t="str">
        <f>OBRA!V238</f>
        <v>ARQ. JAIME CONDE GOMEZ</v>
      </c>
      <c r="L239" s="35" t="str">
        <f>OBRA!L238</f>
        <v>GMJ 013C OP/2017</v>
      </c>
      <c r="M239" s="2" t="str">
        <f>OBRA!M238</f>
        <v>ADJUDICACIÓN DIRECTA</v>
      </c>
      <c r="N239" s="3" t="str">
        <f>OBRA!N238</f>
        <v>REHABILITACIÓN DE RED DE AGUA POTABLE EN CALLE ZARAGOZA DE INVIERNO A OTOÑO, EN LA CABECERA MUNICIPAL DE JOCOTEPEC, JALISCO</v>
      </c>
      <c r="O239" s="508"/>
      <c r="P239" s="69">
        <f>OBRA!Q238</f>
        <v>42858</v>
      </c>
      <c r="Q239" s="4">
        <f>OBRA!P238</f>
        <v>52148.39</v>
      </c>
      <c r="R239" s="5">
        <f>OBRA!R238</f>
        <v>42870</v>
      </c>
      <c r="S239" s="12">
        <f>OBRA!S238</f>
        <v>42886</v>
      </c>
      <c r="T239" s="55"/>
      <c r="U239" s="415" t="s">
        <v>1431</v>
      </c>
      <c r="V239" s="998"/>
      <c r="W239" s="999"/>
      <c r="X239" s="590">
        <f>OBRA!AP238</f>
        <v>0</v>
      </c>
      <c r="Y239" s="5"/>
      <c r="Z239" s="341"/>
      <c r="AA239" s="5"/>
      <c r="AB239" s="351">
        <f>OBRA!BT238</f>
        <v>0</v>
      </c>
      <c r="AC239" s="569"/>
      <c r="AD239" s="569" t="s">
        <v>1295</v>
      </c>
    </row>
    <row r="240" spans="1:30" ht="115.5" hidden="1" customHeight="1">
      <c r="A240" s="23" t="s">
        <v>2239</v>
      </c>
      <c r="B240" s="933" t="str">
        <f>GRAL!B241</f>
        <v>2015-2018</v>
      </c>
      <c r="C240" s="17">
        <f>OBRA!I239</f>
        <v>2017</v>
      </c>
      <c r="D240" s="1676"/>
      <c r="E240" s="18" t="str">
        <f>OBRA!K239</f>
        <v>RAMO 33</v>
      </c>
      <c r="F240" s="18" t="s">
        <v>1431</v>
      </c>
      <c r="G240" s="557"/>
      <c r="H240" s="1012"/>
      <c r="I240" s="557"/>
      <c r="J240" s="56" t="str">
        <f>OBRA!U239</f>
        <v>SERVICIOS ARQUITECTÓNICOS MOAPAL S.A. DE C.V.</v>
      </c>
      <c r="K240" s="57" t="str">
        <f>OBRA!V239</f>
        <v>ING. J. GUADALUPE IBARRA RAMIREZ</v>
      </c>
      <c r="L240" s="35" t="str">
        <f>OBRA!L239</f>
        <v>GMJ 014C OP/2017</v>
      </c>
      <c r="M240" s="2" t="str">
        <f>OBRA!M239</f>
        <v>ADJUDICACIÓN DIRECTA</v>
      </c>
      <c r="N240" s="3" t="str">
        <f>OBRA!N239</f>
        <v>REHABILITACIÓN DE RED DE DRENAJE EN CALLE VENUSTIANO CARRANZA DE PRIMAVERA A ITURBIDE, EN LA CABECERA MUNICIPAL DE JOCOTEPEC, JALISCO</v>
      </c>
      <c r="O240" s="508"/>
      <c r="P240" s="69">
        <f>OBRA!Q239</f>
        <v>42888</v>
      </c>
      <c r="Q240" s="4">
        <f>OBRA!P239</f>
        <v>206557.32</v>
      </c>
      <c r="R240" s="5">
        <f>OBRA!R239</f>
        <v>42888</v>
      </c>
      <c r="S240" s="12">
        <f>OBRA!S239</f>
        <v>42902</v>
      </c>
      <c r="T240" s="55"/>
      <c r="U240" s="415" t="s">
        <v>1431</v>
      </c>
      <c r="V240" s="557"/>
      <c r="W240" s="1442"/>
      <c r="X240" s="376">
        <f>OBRA!AP239</f>
        <v>20655.73</v>
      </c>
      <c r="Y240" s="5"/>
      <c r="Z240" s="341"/>
      <c r="AA240" s="5"/>
      <c r="AB240" s="351">
        <f>OBRA!BT239</f>
        <v>0</v>
      </c>
      <c r="AC240" s="569"/>
      <c r="AD240" s="569" t="s">
        <v>551</v>
      </c>
    </row>
    <row r="241" spans="1:30" ht="112.5" hidden="1" customHeight="1">
      <c r="A241" s="23" t="s">
        <v>2239</v>
      </c>
      <c r="B241" s="933" t="str">
        <f>GRAL!B242</f>
        <v>2015-2018</v>
      </c>
      <c r="C241" s="17">
        <f>OBRA!I240</f>
        <v>2017</v>
      </c>
      <c r="D241" s="1676"/>
      <c r="E241" s="18" t="str">
        <f>OBRA!K240</f>
        <v>RAMO 33</v>
      </c>
      <c r="F241" s="18" t="s">
        <v>1431</v>
      </c>
      <c r="G241" s="557"/>
      <c r="H241" s="1015"/>
      <c r="I241" s="1439"/>
      <c r="J241" s="56" t="str">
        <f>OBRA!U240</f>
        <v>SERVICIOS ARQUITECTÓNICOS MOAPAL S.A. DE C.V.</v>
      </c>
      <c r="K241" s="57" t="str">
        <f>OBRA!V240</f>
        <v>ING. J. GUADALUPE IBARRA RAMIREZ</v>
      </c>
      <c r="L241" s="35" t="str">
        <f>OBRA!L240</f>
        <v>GMJ 015C OP/2017</v>
      </c>
      <c r="M241" s="2" t="str">
        <f>OBRA!M240</f>
        <v>ADJUDICACIÓN DIRECTA</v>
      </c>
      <c r="N241" s="3" t="str">
        <f>OBRA!N240</f>
        <v>REHABILITACIÓN DE RED DE AGUA POTABLE EN CALLE VENUSTIANO CARRANZA DE PRIMAVERA A ITURBIDE, EN LA CABECERA MUNICIPAL DE JOCOTEPEC, JALISCO</v>
      </c>
      <c r="O241" s="508"/>
      <c r="P241" s="69">
        <f>OBRA!Q240</f>
        <v>42887</v>
      </c>
      <c r="Q241" s="4">
        <f>OBRA!P240</f>
        <v>125546.81</v>
      </c>
      <c r="R241" s="5">
        <f>OBRA!R240</f>
        <v>42888</v>
      </c>
      <c r="S241" s="12">
        <f>OBRA!S240</f>
        <v>42902</v>
      </c>
      <c r="T241" s="55"/>
      <c r="U241" s="415" t="s">
        <v>1431</v>
      </c>
      <c r="V241" s="557"/>
      <c r="W241" s="1441"/>
      <c r="X241" s="376">
        <f>OBRA!AP240</f>
        <v>12554.68</v>
      </c>
      <c r="Y241" s="5"/>
      <c r="Z241" s="341"/>
      <c r="AA241" s="5"/>
      <c r="AB241" s="351">
        <f>OBRA!BT240</f>
        <v>0</v>
      </c>
      <c r="AC241" s="569"/>
      <c r="AD241" s="569" t="s">
        <v>551</v>
      </c>
    </row>
    <row r="242" spans="1:30" ht="86.25" hidden="1" customHeight="1">
      <c r="A242" s="23" t="s">
        <v>2239</v>
      </c>
      <c r="B242" s="933" t="str">
        <f>GRAL!B243</f>
        <v>2015-2018</v>
      </c>
      <c r="C242" s="17">
        <f>OBRA!I241</f>
        <v>2017</v>
      </c>
      <c r="D242" s="1676"/>
      <c r="E242" s="18" t="str">
        <f>OBRA!K241</f>
        <v>CUENTA CORRIENTE</v>
      </c>
      <c r="F242" s="281" t="s">
        <v>1431</v>
      </c>
      <c r="G242" s="557"/>
      <c r="H242" s="1012"/>
      <c r="I242" s="557"/>
      <c r="J242" s="56" t="str">
        <f>OBRA!U241</f>
        <v>ARGUELLES ARQUITECTOS S.A. DE C.V.</v>
      </c>
      <c r="K242" s="57" t="str">
        <f>OBRA!V241</f>
        <v>ARQ. JAIME CONDE GOMEZ</v>
      </c>
      <c r="L242" s="35" t="str">
        <f>OBRA!L241</f>
        <v>GMJ 016C OP/2017</v>
      </c>
      <c r="M242" s="2" t="str">
        <f>OBRA!M241</f>
        <v>ADJUDICACIÓN DIRECTA</v>
      </c>
      <c r="N242" s="3" t="str">
        <f>OBRA!N241</f>
        <v>CONSTRUCCIÓN DE LA AMPLIACIÓN DEL PANTEON MUNICIPAL, PRIMERA ETAPA EN LA CABECERA MUNICIPAL DE JOCOTEPEC, JALISCO</v>
      </c>
      <c r="O242" s="554"/>
      <c r="P242" s="69">
        <f>OBRA!Q241</f>
        <v>42893</v>
      </c>
      <c r="Q242" s="4">
        <f>OBRA!P241</f>
        <v>1570967.83</v>
      </c>
      <c r="R242" s="5">
        <f>OBRA!R241</f>
        <v>42905</v>
      </c>
      <c r="S242" s="12">
        <f>OBRA!S241</f>
        <v>43027</v>
      </c>
      <c r="T242" s="55"/>
      <c r="U242" s="415" t="s">
        <v>1431</v>
      </c>
      <c r="V242" s="654"/>
      <c r="W242" s="1443"/>
      <c r="X242" s="751">
        <f>OBRA!AP241</f>
        <v>628386.98</v>
      </c>
      <c r="Y242" s="5"/>
      <c r="Z242" s="341"/>
      <c r="AA242" s="5"/>
      <c r="AB242" s="351">
        <f>OBRA!BT241</f>
        <v>0</v>
      </c>
      <c r="AC242" s="569"/>
      <c r="AD242" s="569" t="s">
        <v>551</v>
      </c>
    </row>
    <row r="243" spans="1:30" ht="114.75" hidden="1" customHeight="1">
      <c r="A243" s="23" t="s">
        <v>2239</v>
      </c>
      <c r="B243" s="933" t="str">
        <f>GRAL!B244</f>
        <v>2015-2018</v>
      </c>
      <c r="C243" s="17">
        <f>OBRA!I242</f>
        <v>2017</v>
      </c>
      <c r="D243" s="1676"/>
      <c r="E243" s="18" t="str">
        <f>OBRA!K242</f>
        <v>RAMO 33</v>
      </c>
      <c r="F243" s="432" t="s">
        <v>1431</v>
      </c>
      <c r="G243" s="557"/>
      <c r="H243" s="1012"/>
      <c r="I243" s="557"/>
      <c r="J243" s="56" t="str">
        <f>OBRA!U242</f>
        <v>ING. SERGIO CABRERA</v>
      </c>
      <c r="K243" s="57" t="str">
        <f>OBRA!V242</f>
        <v>ING. J. GUADALUPE IBARRA RAMIREZ</v>
      </c>
      <c r="L243" s="35" t="str">
        <f>OBRA!L242</f>
        <v>GMJ 017C OP/2017</v>
      </c>
      <c r="M243" s="2" t="str">
        <f>OBRA!M242</f>
        <v>ADJUDICACIÓN DIRECTA</v>
      </c>
      <c r="N243" s="3" t="str">
        <f>OBRA!N242</f>
        <v>REHABILITACIÓN DE RED DE DRENAJE EN CALLE VERNANO DE ANDADOR JESÚS MORALES A 21 DE MARZO, EN LA CABECERA MUNICIPAL DE JOCOTEPEC, JALISCO</v>
      </c>
      <c r="O243" s="508"/>
      <c r="P243" s="69">
        <f>OBRA!Q242</f>
        <v>42902</v>
      </c>
      <c r="Q243" s="4">
        <f>OBRA!P242</f>
        <v>143878.99</v>
      </c>
      <c r="R243" s="5">
        <f>OBRA!R242</f>
        <v>42907</v>
      </c>
      <c r="S243" s="12">
        <f>OBRA!S242</f>
        <v>42968</v>
      </c>
      <c r="T243" s="55"/>
      <c r="U243" s="415" t="s">
        <v>1431</v>
      </c>
      <c r="V243" s="591"/>
      <c r="W243" s="479"/>
      <c r="X243" s="751">
        <f>OBRA!AP242</f>
        <v>64745.52</v>
      </c>
      <c r="Y243" s="5"/>
      <c r="Z243" s="341"/>
      <c r="AA243" s="5"/>
      <c r="AB243" s="351">
        <f>OBRA!BT242</f>
        <v>0</v>
      </c>
      <c r="AC243" s="569"/>
      <c r="AD243" s="569" t="s">
        <v>1295</v>
      </c>
    </row>
    <row r="244" spans="1:30" ht="93" hidden="1" customHeight="1">
      <c r="A244" s="23" t="s">
        <v>2239</v>
      </c>
      <c r="B244" s="933" t="str">
        <f>GRAL!B245</f>
        <v>2015-2018</v>
      </c>
      <c r="C244" s="17">
        <f>OBRA!I243</f>
        <v>2017</v>
      </c>
      <c r="D244" s="1676"/>
      <c r="E244" s="18" t="str">
        <f>OBRA!K243</f>
        <v>RAMO 33</v>
      </c>
      <c r="F244" s="532" t="s">
        <v>1431</v>
      </c>
      <c r="G244" s="557"/>
      <c r="H244" s="1012"/>
      <c r="I244" s="557"/>
      <c r="J244" s="56" t="str">
        <f>OBRA!U243</f>
        <v>ING. SERGIO CABRERA</v>
      </c>
      <c r="K244" s="57" t="str">
        <f>OBRA!V243</f>
        <v>ING. J. GUADALUPE IBARRA RAMIREZ</v>
      </c>
      <c r="L244" s="35" t="str">
        <f>OBRA!L243</f>
        <v>GMJ 018C OP/2017</v>
      </c>
      <c r="M244" s="2" t="str">
        <f>OBRA!M243</f>
        <v>ADJUDICACIÓN DIRECTA</v>
      </c>
      <c r="N244" s="3" t="str">
        <f>OBRA!N243</f>
        <v>REHABILITACIÓN DE RED DE AGUA POTABLE EN CALLE VERANO DE ANDADOR JESÚS MORALES A 21 DE MARZO, EN LA CABECERA MUNICIPAL DE JOCOTEPEC, JALISCO</v>
      </c>
      <c r="O244" s="508"/>
      <c r="P244" s="69">
        <f>OBRA!Q243</f>
        <v>42902</v>
      </c>
      <c r="Q244" s="4">
        <f>OBRA!P243</f>
        <v>88991.13</v>
      </c>
      <c r="R244" s="5">
        <f>OBRA!R243</f>
        <v>42907</v>
      </c>
      <c r="S244" s="12">
        <f>OBRA!S243</f>
        <v>42968</v>
      </c>
      <c r="T244" s="55"/>
      <c r="U244" s="415" t="s">
        <v>1431</v>
      </c>
      <c r="V244" s="998"/>
      <c r="W244" s="1443"/>
      <c r="X244" s="751">
        <f>OBRA!AP243</f>
        <v>31146.89</v>
      </c>
      <c r="Y244" s="5"/>
      <c r="Z244" s="341"/>
      <c r="AA244" s="5"/>
      <c r="AB244" s="351">
        <f>OBRA!BT243</f>
        <v>0</v>
      </c>
      <c r="AC244" s="569"/>
      <c r="AD244" s="569" t="s">
        <v>1295</v>
      </c>
    </row>
    <row r="245" spans="1:30" ht="99.75" hidden="1" customHeight="1">
      <c r="A245" s="23" t="s">
        <v>2239</v>
      </c>
      <c r="B245" s="933" t="str">
        <f>GRAL!B246</f>
        <v>2015-2018</v>
      </c>
      <c r="C245" s="17">
        <f>OBRA!I244</f>
        <v>2017</v>
      </c>
      <c r="D245" s="1676"/>
      <c r="E245" s="18" t="str">
        <f>OBRA!K244</f>
        <v>RAMO 33</v>
      </c>
      <c r="F245" s="18" t="s">
        <v>1431</v>
      </c>
      <c r="G245" s="557"/>
      <c r="H245" s="1012"/>
      <c r="I245" s="557"/>
      <c r="J245" s="56" t="str">
        <f>OBRA!U244</f>
        <v>ING. SERGIO CABRERA</v>
      </c>
      <c r="K245" s="57" t="str">
        <f>OBRA!V244</f>
        <v>ING. J. GUADALUPE IBARRA RAMIREZ</v>
      </c>
      <c r="L245" s="35" t="str">
        <f>OBRA!L244</f>
        <v>GMJ 019C OP/2017</v>
      </c>
      <c r="M245" s="2" t="str">
        <f>OBRA!M244</f>
        <v>ADJUDICACIÓN DIRECTA</v>
      </c>
      <c r="N245" s="3" t="str">
        <f>OBRA!N244</f>
        <v>REHABILITACIÓN DE RED DE DRENAJE EN CALLE VERANO, DE 21 DE MARZO A 20 DE NOVIEMBRE, EN LA CABECERA MUNICIPAL DE JOCOTEPEC, JALISCO</v>
      </c>
      <c r="O245" s="508"/>
      <c r="P245" s="69">
        <f>OBRA!Q244</f>
        <v>42902</v>
      </c>
      <c r="Q245" s="4">
        <f>OBRA!P244</f>
        <v>120964.57</v>
      </c>
      <c r="R245" s="5">
        <f>OBRA!R244</f>
        <v>42907</v>
      </c>
      <c r="S245" s="12">
        <f>OBRA!S244</f>
        <v>42968</v>
      </c>
      <c r="T245" s="55"/>
      <c r="U245" s="415" t="s">
        <v>1431</v>
      </c>
      <c r="V245" s="998"/>
      <c r="W245" s="1443"/>
      <c r="X245" s="307">
        <f>OBRA!AP244</f>
        <v>54434.039999999994</v>
      </c>
      <c r="Y245" s="5"/>
      <c r="Z245" s="341"/>
      <c r="AA245" s="5"/>
      <c r="AB245" s="351">
        <f>OBRA!BT244</f>
        <v>0</v>
      </c>
      <c r="AC245" s="569"/>
      <c r="AD245" s="569" t="s">
        <v>1295</v>
      </c>
    </row>
    <row r="246" spans="1:30" ht="123" hidden="1" customHeight="1">
      <c r="A246" s="23" t="s">
        <v>2239</v>
      </c>
      <c r="B246" s="933" t="str">
        <f>GRAL!B247</f>
        <v>2015-2018</v>
      </c>
      <c r="C246" s="17">
        <f>OBRA!I245</f>
        <v>2017</v>
      </c>
      <c r="D246" s="1676"/>
      <c r="E246" s="18" t="str">
        <f>OBRA!K245</f>
        <v>RAMO 33</v>
      </c>
      <c r="F246" s="18" t="s">
        <v>1431</v>
      </c>
      <c r="G246" s="557"/>
      <c r="H246" s="1012"/>
      <c r="I246" s="557"/>
      <c r="J246" s="56" t="str">
        <f>OBRA!U245</f>
        <v>ING. SERGIO CABRERA</v>
      </c>
      <c r="K246" s="57" t="str">
        <f>OBRA!V245</f>
        <v>ING. J. GUADALUPE IBARRA RAMIREZ</v>
      </c>
      <c r="L246" s="35" t="str">
        <f>OBRA!L245</f>
        <v>GMJ 020C OP/2017</v>
      </c>
      <c r="M246" s="2" t="str">
        <f>OBRA!M245</f>
        <v>ADJUDICACIÓN DIRECTA</v>
      </c>
      <c r="N246" s="3" t="str">
        <f>OBRA!N245</f>
        <v>REHABILITACIÓN DE RED DE AGUA POTABLE EN CALLE VERANO, DE 21 DE MARZO A 20 DE NOVIEMBRE, EN LA CABECERA MUNICIPAL DE JOCOTEPEC, JALISCO</v>
      </c>
      <c r="O246" s="508"/>
      <c r="P246" s="69">
        <f>OBRA!Q245</f>
        <v>42902</v>
      </c>
      <c r="Q246" s="4">
        <f>OBRA!P245</f>
        <v>77992.240000000005</v>
      </c>
      <c r="R246" s="5">
        <f>OBRA!R245</f>
        <v>42907</v>
      </c>
      <c r="S246" s="12">
        <f>OBRA!S245</f>
        <v>42968</v>
      </c>
      <c r="T246" s="55"/>
      <c r="U246" s="415" t="s">
        <v>1431</v>
      </c>
      <c r="V246" s="998"/>
      <c r="W246" s="1443"/>
      <c r="X246" s="307">
        <f>OBRA!AP245</f>
        <v>27297.280000000002</v>
      </c>
      <c r="Y246" s="5"/>
      <c r="Z246" s="341"/>
      <c r="AA246" s="5"/>
      <c r="AB246" s="351">
        <f>OBRA!BT245</f>
        <v>0</v>
      </c>
      <c r="AC246" s="569"/>
      <c r="AD246" s="569" t="s">
        <v>1295</v>
      </c>
    </row>
    <row r="247" spans="1:30" ht="102" hidden="1" customHeight="1">
      <c r="A247" s="23" t="s">
        <v>2239</v>
      </c>
      <c r="B247" s="933" t="str">
        <f>GRAL!B248</f>
        <v>2015-2018</v>
      </c>
      <c r="C247" s="17">
        <f>OBRA!I246</f>
        <v>2017</v>
      </c>
      <c r="D247" s="1676"/>
      <c r="E247" s="18" t="str">
        <f>OBRA!K246</f>
        <v>RAMO 33</v>
      </c>
      <c r="F247" s="18" t="s">
        <v>1431</v>
      </c>
      <c r="G247" s="557"/>
      <c r="H247" s="1012"/>
      <c r="I247" s="557"/>
      <c r="J247" s="56" t="str">
        <f>OBRA!U246</f>
        <v>GILCO INGENIERIA S.A. DE C.V.</v>
      </c>
      <c r="K247" s="172" t="str">
        <f>OBRA!V246</f>
        <v>ING. J. GUADALUPE IBARRA RAMIREZ</v>
      </c>
      <c r="L247" s="35" t="str">
        <f>OBRA!L246</f>
        <v>GMJ 021C OP/2017</v>
      </c>
      <c r="M247" s="2" t="str">
        <f>OBRA!M246</f>
        <v>ADJUDICACIÓN DIRECTA</v>
      </c>
      <c r="N247" s="3" t="str">
        <f>OBRA!N246</f>
        <v>REHABILITACIÓN DE RED DE DRENAJE EN CALLE VERANO DE 20 DE NOVIEMBRE A VENUSTIANO CARRANZA EN LA CABECERA MUNICIPAL, DE JOCOTEPEC, JALISCO</v>
      </c>
      <c r="O247" s="554"/>
      <c r="P247" s="69">
        <f>OBRA!Q246</f>
        <v>42944</v>
      </c>
      <c r="Q247" s="4">
        <f>OBRA!P246</f>
        <v>125684.46</v>
      </c>
      <c r="R247" s="5">
        <f>OBRA!R246</f>
        <v>42948</v>
      </c>
      <c r="S247" s="12">
        <f>OBRA!S246</f>
        <v>42978</v>
      </c>
      <c r="T247" s="55"/>
      <c r="U247" s="415" t="s">
        <v>1431</v>
      </c>
      <c r="V247" s="654"/>
      <c r="W247" s="1443"/>
      <c r="X247" s="751">
        <f>OBRA!AP246</f>
        <v>56558.020000000004</v>
      </c>
      <c r="Y247" s="5"/>
      <c r="Z247" s="341"/>
      <c r="AA247" s="5"/>
      <c r="AB247" s="351">
        <f>OBRA!BT246</f>
        <v>0</v>
      </c>
      <c r="AC247" s="569"/>
      <c r="AD247" s="569" t="s">
        <v>551</v>
      </c>
    </row>
    <row r="248" spans="1:30" ht="105.75" hidden="1" customHeight="1">
      <c r="A248" s="23" t="s">
        <v>2239</v>
      </c>
      <c r="B248" s="933" t="str">
        <f>GRAL!B249</f>
        <v>2015-2018</v>
      </c>
      <c r="C248" s="17">
        <f>OBRA!I247</f>
        <v>2017</v>
      </c>
      <c r="D248" s="1676"/>
      <c r="E248" s="18" t="str">
        <f>OBRA!K247</f>
        <v>RAMO 33</v>
      </c>
      <c r="F248" s="18" t="s">
        <v>1431</v>
      </c>
      <c r="G248" s="557"/>
      <c r="H248" s="1012"/>
      <c r="I248" s="557"/>
      <c r="J248" s="56" t="str">
        <f>OBRA!U247</f>
        <v>GILCO INGENIERIA S.A. DE C.V.</v>
      </c>
      <c r="K248" s="172" t="str">
        <f>OBRA!V247</f>
        <v>ING. J. GUADALUPE IBARRA RAMIREZ</v>
      </c>
      <c r="L248" s="35" t="str">
        <f>OBRA!L247</f>
        <v>GMJ 022C OP/2017</v>
      </c>
      <c r="M248" s="2" t="str">
        <f>OBRA!M247</f>
        <v>ADJUDICACIÓN DIRECTA</v>
      </c>
      <c r="N248" s="3" t="str">
        <f>OBRA!N247</f>
        <v>REHABILITACIÓN DE RED DE AGUA POTABLE EN CALLE VERANO DE 20 DE NOVIEMBRE A VENUSTIANO CARRANZA, EN LA CABECERA MUNICIPAL, DE JOCOTEPEC, JALISCO</v>
      </c>
      <c r="O248" s="554"/>
      <c r="P248" s="69">
        <f>OBRA!Q247</f>
        <v>42944</v>
      </c>
      <c r="Q248" s="4">
        <f>OBRA!P247</f>
        <v>79897.39</v>
      </c>
      <c r="R248" s="5">
        <f>OBRA!R247</f>
        <v>42948</v>
      </c>
      <c r="S248" s="12">
        <f>OBRA!S247</f>
        <v>42978</v>
      </c>
      <c r="T248" s="55"/>
      <c r="U248" s="415" t="s">
        <v>1431</v>
      </c>
      <c r="V248" s="998"/>
      <c r="W248" s="999"/>
      <c r="X248" s="307">
        <f>OBRA!AP247</f>
        <v>19974.349999999999</v>
      </c>
      <c r="Y248" s="5"/>
      <c r="Z248" s="341"/>
      <c r="AA248" s="5"/>
      <c r="AB248" s="351">
        <f>OBRA!BT247</f>
        <v>0</v>
      </c>
      <c r="AC248" s="569"/>
      <c r="AD248" s="569" t="s">
        <v>1295</v>
      </c>
    </row>
    <row r="249" spans="1:30" ht="107.25" hidden="1" customHeight="1">
      <c r="A249" s="23" t="s">
        <v>2239</v>
      </c>
      <c r="B249" s="933" t="str">
        <f>GRAL!B250</f>
        <v>2015-2018</v>
      </c>
      <c r="C249" s="17">
        <f>OBRA!I248</f>
        <v>2017</v>
      </c>
      <c r="D249" s="1676"/>
      <c r="E249" s="18" t="str">
        <f>OBRA!K248</f>
        <v>RAMO 33</v>
      </c>
      <c r="F249" s="18" t="s">
        <v>1431</v>
      </c>
      <c r="G249" s="557"/>
      <c r="H249" s="1012"/>
      <c r="I249" s="557"/>
      <c r="J249" s="56" t="str">
        <f>OBRA!U248</f>
        <v>GILCO INGENIERIA S.A. DE C.V.</v>
      </c>
      <c r="K249" s="172" t="str">
        <f>OBRA!V248</f>
        <v>ING. J. GUADALUPE IBARRA RAMIREZ</v>
      </c>
      <c r="L249" s="35" t="str">
        <f>OBRA!L248</f>
        <v>GMJ 023C OP/2017</v>
      </c>
      <c r="M249" s="2" t="str">
        <f>OBRA!M248</f>
        <v>ADJUDICACIÓN DIRECTA</v>
      </c>
      <c r="N249" s="3" t="str">
        <f>OBRA!N248</f>
        <v>REHABILITACIÓN DE RED DE DRENAJE EN CALLE VERANO DE VENUSTIANO CARRANZA A FRANCISCO VILLA, EN LA CABECERA MUNICIPAL, DE JOCOTEPEC, JALISCO</v>
      </c>
      <c r="O249" s="554"/>
      <c r="P249" s="69">
        <f>OBRA!Q248</f>
        <v>42957</v>
      </c>
      <c r="Q249" s="4">
        <f>OBRA!P248</f>
        <v>119278.43</v>
      </c>
      <c r="R249" s="5">
        <f>OBRA!R248</f>
        <v>42961</v>
      </c>
      <c r="S249" s="12">
        <f>OBRA!S248</f>
        <v>42994</v>
      </c>
      <c r="T249" s="55"/>
      <c r="U249" s="415" t="s">
        <v>1431</v>
      </c>
      <c r="V249" s="654"/>
      <c r="W249" s="1443"/>
      <c r="X249" s="751">
        <f>OBRA!AP248</f>
        <v>53675.289999999994</v>
      </c>
      <c r="Y249" s="5"/>
      <c r="Z249" s="341"/>
      <c r="AA249" s="5"/>
      <c r="AB249" s="351">
        <f>OBRA!BT248</f>
        <v>0</v>
      </c>
      <c r="AC249" s="569"/>
      <c r="AD249" s="569" t="s">
        <v>551</v>
      </c>
    </row>
    <row r="250" spans="1:30" ht="112.5" hidden="1" customHeight="1">
      <c r="A250" s="23" t="s">
        <v>2239</v>
      </c>
      <c r="B250" s="933" t="str">
        <f>GRAL!B251</f>
        <v>2015-2018</v>
      </c>
      <c r="C250" s="17">
        <f>OBRA!I249</f>
        <v>2017</v>
      </c>
      <c r="D250" s="1676"/>
      <c r="E250" s="18" t="str">
        <f>OBRA!K249</f>
        <v>RAMO 33</v>
      </c>
      <c r="F250" s="18" t="s">
        <v>1431</v>
      </c>
      <c r="G250" s="557"/>
      <c r="H250" s="1012"/>
      <c r="I250" s="557"/>
      <c r="J250" s="56" t="str">
        <f>OBRA!U249</f>
        <v>GILCO INGENIERIA S.A. DE C.V.</v>
      </c>
      <c r="K250" s="172" t="str">
        <f>OBRA!V249</f>
        <v>ING. J. GUADALUPE IBARRA RAMIREZ</v>
      </c>
      <c r="L250" s="35" t="str">
        <f>OBRA!L249</f>
        <v>GMJ 024C OP/2017</v>
      </c>
      <c r="M250" s="2" t="str">
        <f>OBRA!M249</f>
        <v>ADJUDICACIÓN DIRECTA</v>
      </c>
      <c r="N250" s="3" t="str">
        <f>OBRA!N249</f>
        <v>REHABILITACIÓN DE RED DE AGUA POTABLE EN CALLE VERANO DE VENUSTIANO CARRANZA A FRANCISCO VILLA, EN LA CABECERA MUNICIPAL, DE JOCOTEPEC, JALISCO</v>
      </c>
      <c r="O250" s="554"/>
      <c r="P250" s="69">
        <f>OBRA!Q249</f>
        <v>42957</v>
      </c>
      <c r="Q250" s="4">
        <f>OBRA!P249</f>
        <v>77217.95</v>
      </c>
      <c r="R250" s="5">
        <f>OBRA!R249</f>
        <v>42961</v>
      </c>
      <c r="S250" s="12">
        <f>OBRA!S249</f>
        <v>42994</v>
      </c>
      <c r="T250" s="55"/>
      <c r="U250" s="415" t="s">
        <v>1431</v>
      </c>
      <c r="V250" s="998"/>
      <c r="W250" s="999"/>
      <c r="X250" s="751">
        <f>OBRA!AP249</f>
        <v>34748.090000000004</v>
      </c>
      <c r="Y250" s="5"/>
      <c r="Z250" s="341"/>
      <c r="AA250" s="5"/>
      <c r="AB250" s="351">
        <f>OBRA!BT249</f>
        <v>0</v>
      </c>
      <c r="AC250" s="569"/>
      <c r="AD250" s="569" t="s">
        <v>1295</v>
      </c>
    </row>
    <row r="251" spans="1:30" ht="108" hidden="1" customHeight="1">
      <c r="A251" s="23" t="s">
        <v>2239</v>
      </c>
      <c r="B251" s="933" t="str">
        <f>GRAL!B252</f>
        <v>2015-2018</v>
      </c>
      <c r="C251" s="17">
        <f>OBRA!I250</f>
        <v>2017</v>
      </c>
      <c r="D251" s="1676"/>
      <c r="E251" s="18" t="str">
        <f>OBRA!K250</f>
        <v>RAMO 33</v>
      </c>
      <c r="F251" s="18" t="s">
        <v>1431</v>
      </c>
      <c r="G251" s="557"/>
      <c r="H251" s="1012"/>
      <c r="I251" s="557"/>
      <c r="J251" s="56" t="str">
        <f>OBRA!U250</f>
        <v>GILCO INGENIERIA S.A. DE C.V.</v>
      </c>
      <c r="K251" s="172" t="str">
        <f>OBRA!V250</f>
        <v>ING. J. GUADALUPE IBARRA RAMIREZ</v>
      </c>
      <c r="L251" s="35" t="str">
        <f>OBRA!L250</f>
        <v>GMJ 025C OP/2017</v>
      </c>
      <c r="M251" s="2" t="str">
        <f>OBRA!M250</f>
        <v>ADJUDICACIÓN DIRECTA</v>
      </c>
      <c r="N251" s="3" t="str">
        <f>OBRA!N250</f>
        <v>REHABILITACIÓN DE RED DE DRENAJE EN CALLE VERANO DE FRANCISCO VILLA A LAZARO CARDENAS, EN LA CABECERA MUNICIPAL, DE JOCOTEPEC, JALISCO</v>
      </c>
      <c r="O251" s="554"/>
      <c r="P251" s="69">
        <f>OBRA!Q250</f>
        <v>42977</v>
      </c>
      <c r="Q251" s="4">
        <f>OBRA!P250</f>
        <v>101100.81</v>
      </c>
      <c r="R251" s="5">
        <f>OBRA!R250</f>
        <v>42982</v>
      </c>
      <c r="S251" s="12">
        <f>OBRA!S250</f>
        <v>43008</v>
      </c>
      <c r="T251" s="55"/>
      <c r="U251" s="415" t="s">
        <v>1431</v>
      </c>
      <c r="V251" s="654"/>
      <c r="W251" s="1443"/>
      <c r="X251" s="751">
        <f>OBRA!AP250</f>
        <v>45495.360000000001</v>
      </c>
      <c r="Y251" s="5"/>
      <c r="Z251" s="341"/>
      <c r="AA251" s="5"/>
      <c r="AB251" s="351">
        <f>OBRA!BT250</f>
        <v>0</v>
      </c>
      <c r="AC251" s="569"/>
      <c r="AD251" s="569" t="s">
        <v>551</v>
      </c>
    </row>
    <row r="252" spans="1:30" ht="109.5" hidden="1" customHeight="1">
      <c r="A252" s="23" t="s">
        <v>2239</v>
      </c>
      <c r="B252" s="933" t="str">
        <f>GRAL!B253</f>
        <v>2015-2018</v>
      </c>
      <c r="C252" s="17">
        <f>OBRA!I251</f>
        <v>2017</v>
      </c>
      <c r="D252" s="1676"/>
      <c r="E252" s="18" t="str">
        <f>OBRA!K251</f>
        <v>RAMO 33</v>
      </c>
      <c r="F252" s="18" t="s">
        <v>1431</v>
      </c>
      <c r="G252" s="557"/>
      <c r="H252" s="1012"/>
      <c r="I252" s="557"/>
      <c r="J252" s="56" t="str">
        <f>OBRA!U251</f>
        <v>GILCO INGENIERIA S.A. DE C.V.</v>
      </c>
      <c r="K252" s="172" t="str">
        <f>OBRA!V251</f>
        <v>ING. J. GUADALUPE IBARRA RAMIREZ</v>
      </c>
      <c r="L252" s="35" t="str">
        <f>OBRA!L251</f>
        <v>GMJ 026C OP/2017</v>
      </c>
      <c r="M252" s="2" t="str">
        <f>OBRA!M251</f>
        <v>ADJUDICACIÓN DIRECTA</v>
      </c>
      <c r="N252" s="3" t="str">
        <f>OBRA!N251</f>
        <v>REHABILITACIÓN DE RED DE AGUA POTABLE EN CALLE VERANO DE FRANCISCO VILLA  A LAZARO CARDENAS, EN LA CABECERA MUNICIPAL, DE JOCOTEPEC, JALISCO</v>
      </c>
      <c r="O252" s="554"/>
      <c r="P252" s="69">
        <f>OBRA!Q251</f>
        <v>42977</v>
      </c>
      <c r="Q252" s="4">
        <f>OBRA!P251</f>
        <v>62348.13</v>
      </c>
      <c r="R252" s="5">
        <f>OBRA!R251</f>
        <v>42982</v>
      </c>
      <c r="S252" s="12">
        <f>OBRA!S251</f>
        <v>43008</v>
      </c>
      <c r="T252" s="55"/>
      <c r="U252" s="415" t="s">
        <v>1431</v>
      </c>
      <c r="V252" s="654"/>
      <c r="W252" s="1443"/>
      <c r="X252" s="376">
        <f>OBRA!AP251</f>
        <v>28056.65</v>
      </c>
      <c r="Y252" s="5"/>
      <c r="Z252" s="341"/>
      <c r="AA252" s="5"/>
      <c r="AB252" s="351">
        <f>OBRA!BT251</f>
        <v>0</v>
      </c>
      <c r="AC252" s="569"/>
      <c r="AD252" s="569" t="s">
        <v>551</v>
      </c>
    </row>
    <row r="253" spans="1:30" ht="180" hidden="1" customHeight="1">
      <c r="A253" s="23" t="s">
        <v>2239</v>
      </c>
      <c r="B253" s="933" t="str">
        <f>GRAL!B254</f>
        <v>2015-2018</v>
      </c>
      <c r="C253" s="17">
        <f>OBRA!I252</f>
        <v>2017</v>
      </c>
      <c r="D253" s="1676"/>
      <c r="E253" s="19" t="str">
        <f>OBRA!K252</f>
        <v>Fondo de proyectos para el Desarrollo Regional</v>
      </c>
      <c r="F253" s="680" t="s">
        <v>1937</v>
      </c>
      <c r="G253" s="557"/>
      <c r="H253" s="1012"/>
      <c r="I253" s="557"/>
      <c r="J253" s="56" t="str">
        <f>OBRA!U252</f>
        <v>SERVICIOS ARQUITECTÓNICOS MOAPAL S.A. DE C.V.</v>
      </c>
      <c r="K253" s="172" t="str">
        <f>OBRA!V252</f>
        <v>ING. J. GUADALUPE IBARRA RAMIREZ</v>
      </c>
      <c r="L253" s="35"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508"/>
      <c r="P253" s="69">
        <f>OBRA!Q252</f>
        <v>42895</v>
      </c>
      <c r="Q253" s="4">
        <f>OBRA!P252</f>
        <v>527048.46</v>
      </c>
      <c r="R253" s="5">
        <f>OBRA!R252</f>
        <v>42901</v>
      </c>
      <c r="S253" s="12">
        <f>OBRA!S252</f>
        <v>42922</v>
      </c>
      <c r="T253" s="55"/>
      <c r="U253" s="415" t="s">
        <v>1431</v>
      </c>
      <c r="V253" s="998"/>
      <c r="W253" s="999"/>
      <c r="X253" s="590">
        <f>OBRA!AP252</f>
        <v>52704.84</v>
      </c>
      <c r="Y253" s="5"/>
      <c r="Z253" s="341"/>
      <c r="AA253" s="5"/>
      <c r="AB253" s="351">
        <f>OBRA!BT252</f>
        <v>0</v>
      </c>
      <c r="AC253" s="569"/>
      <c r="AD253" s="569" t="s">
        <v>1295</v>
      </c>
    </row>
    <row r="254" spans="1:30" ht="306.75" hidden="1" customHeight="1">
      <c r="A254" s="23" t="s">
        <v>2239</v>
      </c>
      <c r="B254" s="933" t="str">
        <f>GRAL!B255</f>
        <v>2015-2018</v>
      </c>
      <c r="C254" s="17">
        <f>OBRA!I253</f>
        <v>2017</v>
      </c>
      <c r="D254" s="1676"/>
      <c r="E254" s="19" t="str">
        <f>OBRA!K253</f>
        <v>Fondo de proyectos para el Desarrollo Regional</v>
      </c>
      <c r="F254" s="680" t="s">
        <v>1938</v>
      </c>
      <c r="G254" s="557"/>
      <c r="H254" s="1012"/>
      <c r="I254" s="557"/>
      <c r="J254" s="56" t="str">
        <f>OBRA!U253</f>
        <v>ING. SERGIO CABRERA</v>
      </c>
      <c r="K254" s="172" t="str">
        <f>OBRA!V253</f>
        <v>ING. J. GUADALUPE IBARRA RAMIREZ</v>
      </c>
      <c r="L254" s="35"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OBRA!Q253</f>
        <v>42951</v>
      </c>
      <c r="Q254" s="4">
        <f>OBRA!P253</f>
        <v>887214.12</v>
      </c>
      <c r="R254" s="5">
        <f>OBRA!R253</f>
        <v>42955</v>
      </c>
      <c r="S254" s="12">
        <f>OBRA!S253</f>
        <v>42986</v>
      </c>
      <c r="T254" s="55"/>
      <c r="U254" s="216" t="s">
        <v>1431</v>
      </c>
      <c r="V254" s="654"/>
      <c r="W254" s="1443"/>
      <c r="X254" s="376">
        <f>OBRA!AP253</f>
        <v>177442.82</v>
      </c>
      <c r="Y254" s="5"/>
      <c r="Z254" s="341"/>
      <c r="AA254" s="5"/>
      <c r="AB254" s="351" t="str">
        <f>OBRA!BT253</f>
        <v>CONV 2</v>
      </c>
      <c r="AC254" s="569"/>
      <c r="AD254" s="569" t="s">
        <v>551</v>
      </c>
    </row>
    <row r="255" spans="1:30" ht="289.5" hidden="1" customHeight="1">
      <c r="A255" s="23" t="s">
        <v>2239</v>
      </c>
      <c r="B255" s="933" t="str">
        <f>GRAL!B256</f>
        <v>2015-2018</v>
      </c>
      <c r="C255" s="17">
        <f>OBRA!I254</f>
        <v>2017</v>
      </c>
      <c r="D255" s="1676"/>
      <c r="E255" s="19" t="str">
        <f>OBRA!K254</f>
        <v>Fondo de proyectos para el Desarrollo Regional</v>
      </c>
      <c r="F255" s="680" t="s">
        <v>1938</v>
      </c>
      <c r="G255" s="557"/>
      <c r="H255" s="1012"/>
      <c r="I255" s="557"/>
      <c r="J255" s="339" t="str">
        <f>OBRA!U254</f>
        <v>GILCO INGENIERIA S.A. DE C.V.</v>
      </c>
      <c r="K255" s="172" t="str">
        <f>OBRA!V254</f>
        <v>ING. J. GUADALUPE IBARRA RAMIREZ</v>
      </c>
      <c r="L255" s="35"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OBRA!Q254</f>
        <v>43021</v>
      </c>
      <c r="Q255" s="4">
        <f>OBRA!P254</f>
        <v>197219.12</v>
      </c>
      <c r="R255" s="5">
        <f>OBRA!R254</f>
        <v>43038</v>
      </c>
      <c r="S255" s="12">
        <f>OBRA!S254</f>
        <v>43100</v>
      </c>
      <c r="T255" s="55"/>
      <c r="U255" s="415" t="s">
        <v>1431</v>
      </c>
      <c r="V255" s="998"/>
      <c r="W255" s="999"/>
      <c r="X255" s="590">
        <f>OBRA!AP254</f>
        <v>0</v>
      </c>
      <c r="Y255" s="5"/>
      <c r="Z255" s="341"/>
      <c r="AA255" s="5"/>
      <c r="AB255" s="351">
        <f>OBRA!BT254</f>
        <v>0</v>
      </c>
      <c r="AC255" s="569"/>
      <c r="AD255" s="569" t="s">
        <v>1295</v>
      </c>
    </row>
    <row r="256" spans="1:30" ht="215.25" hidden="1" customHeight="1">
      <c r="A256" s="23" t="s">
        <v>2239</v>
      </c>
      <c r="B256" s="933" t="str">
        <f>GRAL!B257</f>
        <v>2015-2018</v>
      </c>
      <c r="C256" s="17">
        <f>OBRA!I255</f>
        <v>2017</v>
      </c>
      <c r="D256" s="1676"/>
      <c r="E256" s="19" t="str">
        <f>OBRA!K255</f>
        <v>Fondo de proyectos para el Desarrollo Regional</v>
      </c>
      <c r="F256" s="680" t="s">
        <v>1938</v>
      </c>
      <c r="G256" s="557"/>
      <c r="H256" s="1012"/>
      <c r="I256" s="557"/>
      <c r="J256" s="56" t="str">
        <f>OBRA!U255</f>
        <v>A&amp;G URBANIZADORA S.A. DE C.V.</v>
      </c>
      <c r="K256" s="57" t="str">
        <f>OBRA!V255</f>
        <v>ING. J. GUADALUPE IBARRA RAMIREZ</v>
      </c>
      <c r="L256" s="35" t="str">
        <f>OBRA!L255</f>
        <v>GMJ 030C OP/2017</v>
      </c>
      <c r="M256" s="2" t="str">
        <f>OBRA!M255</f>
        <v>ADJUDICACIÓN DIRECTA</v>
      </c>
      <c r="N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OBRA!Q255</f>
        <v>43021</v>
      </c>
      <c r="Q256" s="4">
        <f>OBRA!P255</f>
        <v>1185389.8899999999</v>
      </c>
      <c r="R256" s="5">
        <f>OBRA!R255</f>
        <v>43031</v>
      </c>
      <c r="S256" s="12">
        <f>OBRA!S255</f>
        <v>43100</v>
      </c>
      <c r="T256" s="55"/>
      <c r="U256" s="415" t="s">
        <v>1431</v>
      </c>
      <c r="V256" s="654"/>
      <c r="W256" s="1443"/>
      <c r="X256" s="601">
        <f>OBRA!AP255</f>
        <v>533425.44999999995</v>
      </c>
      <c r="Y256" s="5"/>
      <c r="Z256" s="341"/>
      <c r="AA256" s="5"/>
      <c r="AB256" s="351">
        <f>OBRA!BT255</f>
        <v>0</v>
      </c>
      <c r="AC256" s="569"/>
      <c r="AD256" s="569" t="s">
        <v>551</v>
      </c>
    </row>
    <row r="257" spans="1:30" ht="167.25" hidden="1" customHeight="1">
      <c r="A257" s="23" t="s">
        <v>2239</v>
      </c>
      <c r="B257" s="933" t="str">
        <f>GRAL!B258</f>
        <v>2015-2018</v>
      </c>
      <c r="C257" s="17">
        <f>OBRA!I256</f>
        <v>2017</v>
      </c>
      <c r="D257" s="1676"/>
      <c r="E257" s="19" t="str">
        <f>OBRA!K256</f>
        <v>Fondo de proyectos para el Desarrollo Regional</v>
      </c>
      <c r="F257" s="680" t="s">
        <v>1937</v>
      </c>
      <c r="G257" s="557"/>
      <c r="H257" s="1012"/>
      <c r="I257" s="557"/>
      <c r="J257" s="339" t="str">
        <f>OBRA!U256</f>
        <v>CONSTRUCCIONES VIKBRAK, S.A. DE C.V.</v>
      </c>
      <c r="K257" s="172" t="str">
        <f>OBRA!V256</f>
        <v>ING. J. GUADALUPE IBARRA RAMIREZ</v>
      </c>
      <c r="L257" s="35"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OBRA!Q256</f>
        <v>42926</v>
      </c>
      <c r="Q257" s="4">
        <f>OBRA!P256</f>
        <v>227599.71</v>
      </c>
      <c r="R257" s="5">
        <f>OBRA!R256</f>
        <v>42928</v>
      </c>
      <c r="S257" s="12">
        <f>OBRA!S256</f>
        <v>43035</v>
      </c>
      <c r="T257" s="55"/>
      <c r="U257" s="415" t="s">
        <v>1431</v>
      </c>
      <c r="V257" s="654"/>
      <c r="W257" s="1443"/>
      <c r="X257" s="601">
        <f>OBRA!AP256</f>
        <v>45519.94</v>
      </c>
      <c r="Y257" s="5"/>
      <c r="Z257" s="341"/>
      <c r="AA257" s="5"/>
      <c r="AB257" s="351">
        <f>OBRA!BT256</f>
        <v>0</v>
      </c>
      <c r="AC257" s="569"/>
      <c r="AD257" s="569" t="s">
        <v>1295</v>
      </c>
    </row>
    <row r="258" spans="1:30" ht="195.75" hidden="1" customHeight="1">
      <c r="A258" s="23" t="s">
        <v>2239</v>
      </c>
      <c r="B258" s="933" t="str">
        <f>GRAL!B259</f>
        <v>2015-2018</v>
      </c>
      <c r="C258" s="17">
        <f>OBRA!I257</f>
        <v>2017</v>
      </c>
      <c r="D258" s="1676"/>
      <c r="E258" s="19" t="str">
        <f>OBRA!K257</f>
        <v>Fondo de proyectos para el Desarrollo Regional</v>
      </c>
      <c r="F258" s="680" t="s">
        <v>1937</v>
      </c>
      <c r="G258" s="557"/>
      <c r="H258" s="1012"/>
      <c r="I258" s="557"/>
      <c r="J258" s="339" t="str">
        <f>OBRA!U257</f>
        <v>COLYEST S.A. DE C.V.</v>
      </c>
      <c r="K258" s="172" t="str">
        <f>OBRA!V257</f>
        <v>ING. J. GUADALUPE IBARRA RAMIREZ</v>
      </c>
      <c r="L258" s="180" t="str">
        <f>OBRA!L257</f>
        <v>GMJ 032C OP/2017</v>
      </c>
      <c r="M258" s="202" t="str">
        <f>OBRA!M257</f>
        <v>ADJUDICACIÓN DIRECTA</v>
      </c>
      <c r="N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OBRA!Q257</f>
        <v>42927</v>
      </c>
      <c r="Q258" s="85">
        <f>OBRA!P257</f>
        <v>1522376.56</v>
      </c>
      <c r="R258" s="255">
        <f>OBRA!R257</f>
        <v>42928</v>
      </c>
      <c r="S258" s="245">
        <f>OBRA!S257</f>
        <v>43035</v>
      </c>
      <c r="T258" s="758"/>
      <c r="U258" s="216" t="s">
        <v>1431</v>
      </c>
      <c r="V258" s="654"/>
      <c r="W258" s="1443"/>
      <c r="X258" s="307">
        <f>OBRA!AP257</f>
        <v>152237.65</v>
      </c>
      <c r="Y258" s="5"/>
      <c r="Z258" s="341"/>
      <c r="AA258" s="5"/>
      <c r="AB258" s="351">
        <f>OBRA!BT257</f>
        <v>0</v>
      </c>
      <c r="AC258" s="569"/>
      <c r="AD258" s="569" t="s">
        <v>1295</v>
      </c>
    </row>
    <row r="259" spans="1:30" ht="76.5" hidden="1" customHeight="1">
      <c r="A259" s="23" t="s">
        <v>2239</v>
      </c>
      <c r="B259" s="933" t="str">
        <f>GRAL!B260</f>
        <v>2015-2018</v>
      </c>
      <c r="C259" s="17">
        <f>OBRA!I258</f>
        <v>2017</v>
      </c>
      <c r="D259" s="1676"/>
      <c r="E259" s="18" t="str">
        <f>OBRA!K258</f>
        <v>RAMO 33</v>
      </c>
      <c r="F259" s="525" t="s">
        <v>1431</v>
      </c>
      <c r="G259" s="997"/>
      <c r="H259" s="1012"/>
      <c r="I259" s="557"/>
      <c r="J259" s="339" t="str">
        <f>OBRA!U258</f>
        <v>ING. SERGIO CABRERA</v>
      </c>
      <c r="K259" s="172" t="str">
        <f>OBRA!V258</f>
        <v>ING. J. GUADALUPE IBARRA RAMIREZ</v>
      </c>
      <c r="L259" s="180" t="str">
        <f>OBRA!L258</f>
        <v>GMJ 033C OP/2017</v>
      </c>
      <c r="M259" s="202" t="str">
        <f>OBRA!M258</f>
        <v>ADJUDICACIÓN DIRECTA</v>
      </c>
      <c r="N259" s="328" t="str">
        <f>OBRA!N258</f>
        <v>REHABILITACION DE RED DE DRENAJE EN CALLE 21 DE MARZO, DE OTOÑO A PRIMAVERA, EN EL MUNICIPIO DE JOCOTEPEC, JALISCO</v>
      </c>
      <c r="O259" s="554"/>
      <c r="P259" s="69">
        <f>OBRA!Q258</f>
        <v>43028</v>
      </c>
      <c r="Q259" s="85">
        <f>OBRA!P258</f>
        <v>275105.09999999998</v>
      </c>
      <c r="R259" s="255">
        <f>OBRA!R258</f>
        <v>43031</v>
      </c>
      <c r="S259" s="245">
        <f>OBRA!S258</f>
        <v>43039</v>
      </c>
      <c r="T259" s="758"/>
      <c r="U259" s="216" t="s">
        <v>1431</v>
      </c>
      <c r="V259" s="654"/>
      <c r="W259" s="1443"/>
      <c r="X259" s="729">
        <f>OBRA!AP258</f>
        <v>55021.02</v>
      </c>
      <c r="Y259" s="5"/>
      <c r="Z259" s="341"/>
      <c r="AA259" s="5"/>
      <c r="AB259" s="351">
        <f>OBRA!BT258</f>
        <v>0</v>
      </c>
      <c r="AC259" s="569"/>
      <c r="AD259" s="569" t="s">
        <v>1295</v>
      </c>
    </row>
    <row r="260" spans="1:30" ht="76.5" hidden="1" customHeight="1">
      <c r="A260" s="23" t="s">
        <v>2239</v>
      </c>
      <c r="B260" s="933" t="str">
        <f>GRAL!B261</f>
        <v>2015-2018</v>
      </c>
      <c r="C260" s="17">
        <f>OBRA!I259</f>
        <v>2017</v>
      </c>
      <c r="D260" s="1676"/>
      <c r="E260" s="18" t="str">
        <f>OBRA!K259</f>
        <v>RAMO 33</v>
      </c>
      <c r="F260" s="525" t="s">
        <v>1431</v>
      </c>
      <c r="G260" s="557"/>
      <c r="H260" s="1012"/>
      <c r="I260" s="557"/>
      <c r="J260" s="753" t="str">
        <f>OBRA!U259</f>
        <v>ING. SERGIO CABRERA</v>
      </c>
      <c r="K260" s="1002" t="str">
        <f>OBRA!V259</f>
        <v>ING. J. GUADALUPE IBARRA RAMIREZ</v>
      </c>
      <c r="L260" s="266" t="str">
        <f>OBRA!L259</f>
        <v>GMJ 034C OP/2017</v>
      </c>
      <c r="M260" s="426" t="str">
        <f>OBRA!M259</f>
        <v>ADJUDICACIÓN DIRECTA</v>
      </c>
      <c r="N260" s="780" t="str">
        <f>OBRA!N259</f>
        <v>REHABILITACIÓN DE RED DE AGUA POTABLE EN CALLE 21 DE MARZO DE OTOÑO A PRIMAVERA, EN EL MUNICIPIO DE JOCOTEPEC, JALISCO</v>
      </c>
      <c r="O260" s="717"/>
      <c r="P260" s="767">
        <f>OBRA!Q259</f>
        <v>43028</v>
      </c>
      <c r="Q260" s="215">
        <f>OBRA!P259</f>
        <v>185828.12</v>
      </c>
      <c r="R260" s="60">
        <f>OBRA!R259</f>
        <v>43035</v>
      </c>
      <c r="S260" s="61">
        <f>OBRA!S259</f>
        <v>43041</v>
      </c>
      <c r="T260" s="1588"/>
      <c r="U260" s="415" t="s">
        <v>1431</v>
      </c>
      <c r="V260" s="654"/>
      <c r="W260" s="1443"/>
      <c r="X260" s="729">
        <f>OBRA!AP259</f>
        <v>37165.620000000003</v>
      </c>
      <c r="Y260" s="5"/>
      <c r="Z260" s="341"/>
      <c r="AA260" s="5"/>
      <c r="AB260" s="351">
        <f>OBRA!BT259</f>
        <v>0</v>
      </c>
      <c r="AC260" s="569"/>
      <c r="AD260" s="569" t="s">
        <v>551</v>
      </c>
    </row>
    <row r="261" spans="1:30" ht="104.25" hidden="1" customHeight="1">
      <c r="A261" s="23" t="s">
        <v>2239</v>
      </c>
      <c r="B261" s="933" t="str">
        <f>GRAL!B262</f>
        <v>2015-2018</v>
      </c>
      <c r="C261" s="17">
        <f>OBRA!I260</f>
        <v>2017</v>
      </c>
      <c r="D261" s="1676"/>
      <c r="E261" s="18" t="str">
        <f>OBRA!K260</f>
        <v>RAMO 33</v>
      </c>
      <c r="F261" s="525" t="s">
        <v>1431</v>
      </c>
      <c r="G261" s="557"/>
      <c r="H261" s="1012"/>
      <c r="I261" s="557"/>
      <c r="J261" s="56" t="str">
        <f>OBRA!U260</f>
        <v>ING. SERGIO CABRERA</v>
      </c>
      <c r="K261" s="172" t="str">
        <f>OBRA!V260</f>
        <v>ING. ANGEL ALBERTO HERNANDEZ MORA</v>
      </c>
      <c r="L261" s="35" t="str">
        <f>OBRA!L260</f>
        <v>GMJ 035C OP/2017</v>
      </c>
      <c r="M261" s="2" t="str">
        <f>OBRA!M260</f>
        <v>ADJUDICACIÓN DIRECTA</v>
      </c>
      <c r="N261" s="3" t="str">
        <f>OBRA!N260</f>
        <v>REHABILITACIÓN DE RED DE DRENAJE EN PRIVADA LIBERTAD, EN LA AGENCIA MUNICIPAL DE NEXTIPAC, DEL MUNICIPIO DE JOCOTEPEC, JALISCO</v>
      </c>
      <c r="O261" s="554"/>
      <c r="P261" s="69">
        <f>OBRA!Q260</f>
        <v>42954</v>
      </c>
      <c r="Q261" s="4">
        <f>OBRA!P260</f>
        <v>181893.05</v>
      </c>
      <c r="R261" s="5">
        <f>OBRA!R260</f>
        <v>42956</v>
      </c>
      <c r="S261" s="12">
        <f>OBRA!S260</f>
        <v>42970</v>
      </c>
      <c r="T261" s="55"/>
      <c r="U261" s="415" t="s">
        <v>1431</v>
      </c>
      <c r="V261" s="654"/>
      <c r="W261" s="807"/>
      <c r="X261" s="376">
        <f>OBRA!AP260</f>
        <v>36378.6</v>
      </c>
      <c r="Y261" s="5"/>
      <c r="Z261" s="341"/>
      <c r="AA261" s="5"/>
      <c r="AB261" s="351">
        <f>OBRA!BT260</f>
        <v>0</v>
      </c>
      <c r="AC261" s="569"/>
      <c r="AD261" s="569" t="s">
        <v>551</v>
      </c>
    </row>
    <row r="262" spans="1:30" ht="105.75" hidden="1" customHeight="1">
      <c r="A262" s="23" t="s">
        <v>2239</v>
      </c>
      <c r="B262" s="933" t="str">
        <f>GRAL!B263</f>
        <v>2015-2018</v>
      </c>
      <c r="C262" s="17">
        <f>OBRA!I261</f>
        <v>2017</v>
      </c>
      <c r="D262" s="1676"/>
      <c r="E262" s="18" t="str">
        <f>OBRA!K261</f>
        <v>RAMO 33</v>
      </c>
      <c r="F262" s="525" t="s">
        <v>1431</v>
      </c>
      <c r="G262" s="557"/>
      <c r="H262" s="1012"/>
      <c r="I262" s="557"/>
      <c r="J262" s="56" t="str">
        <f>OBRA!U261</f>
        <v>ING. SERGIO CABRERA</v>
      </c>
      <c r="K262" s="172" t="str">
        <f>OBRA!V261</f>
        <v>ING. ANGEL ALBERTO HERNANDEZ MORA</v>
      </c>
      <c r="L262" s="35" t="str">
        <f>OBRA!L261</f>
        <v>GMJ 036C OP/2017</v>
      </c>
      <c r="M262" s="2" t="str">
        <f>OBRA!M261</f>
        <v>ADJUDICACIÓN DIRECTA</v>
      </c>
      <c r="N262" s="3" t="str">
        <f>OBRA!N261</f>
        <v>CONSTRUCCIÓN DE EMPEDRADO ECOLOGICO EN PRIVADA LIBERTAD, EN LA AGENCIA MUNICIPAL DE NEXTIPAC, DEL MUNICIPIO DE JOCOTEPEC, JALISCO</v>
      </c>
      <c r="O262" s="554"/>
      <c r="P262" s="69">
        <f>OBRA!Q261</f>
        <v>42968</v>
      </c>
      <c r="Q262" s="4">
        <f>OBRA!P261</f>
        <v>237009.82</v>
      </c>
      <c r="R262" s="5">
        <f>OBRA!R261</f>
        <v>42970</v>
      </c>
      <c r="S262" s="12">
        <f>OBRA!S261</f>
        <v>42985</v>
      </c>
      <c r="T262" s="55"/>
      <c r="U262" s="415" t="s">
        <v>1431</v>
      </c>
      <c r="V262" s="654"/>
      <c r="W262" s="654"/>
      <c r="X262" s="307">
        <f>OBRA!AP261</f>
        <v>23700.98</v>
      </c>
      <c r="Y262" s="5"/>
      <c r="Z262" s="341"/>
      <c r="AA262" s="5"/>
      <c r="AB262" s="351">
        <f>OBRA!BT261</f>
        <v>0</v>
      </c>
      <c r="AC262" s="569"/>
      <c r="AD262" s="569" t="s">
        <v>1295</v>
      </c>
    </row>
    <row r="263" spans="1:30" ht="90.75" hidden="1" customHeight="1">
      <c r="A263" s="23" t="s">
        <v>2239</v>
      </c>
      <c r="B263" s="933" t="str">
        <f>GRAL!B264</f>
        <v>2015-2018</v>
      </c>
      <c r="C263" s="17">
        <f>OBRA!I262</f>
        <v>2017</v>
      </c>
      <c r="D263" s="1676"/>
      <c r="E263" s="18" t="str">
        <f>OBRA!K262</f>
        <v>RAMO 33</v>
      </c>
      <c r="F263" s="525" t="s">
        <v>1431</v>
      </c>
      <c r="G263" s="557"/>
      <c r="H263" s="1012"/>
      <c r="I263" s="557"/>
      <c r="J263" s="56" t="str">
        <f>OBRA!U262</f>
        <v>ING. SERGIO CABRERA</v>
      </c>
      <c r="K263" s="172" t="str">
        <f>OBRA!V262</f>
        <v>ING. ANGEL ALBERTO HERNANDEZ MORA</v>
      </c>
      <c r="L263" s="35" t="str">
        <f>OBRA!L262</f>
        <v>GMJ 037C OP/2017</v>
      </c>
      <c r="M263" s="2" t="str">
        <f>OBRA!M262</f>
        <v>ADJUDICACIÓN DIRECTA</v>
      </c>
      <c r="N263" s="3" t="str">
        <f>OBRA!N262</f>
        <v>REHABILITACIÓN DE RED DE DRENAJE EN CALLE LIBERTAD, EN LA AGENCIA MUNICIPAL DE NEXTIPAC, DEL MUNICIPIO DE JOCOTEPEC</v>
      </c>
      <c r="O263" s="554"/>
      <c r="P263" s="6">
        <f>OBRA!Q262</f>
        <v>42948</v>
      </c>
      <c r="Q263" s="4">
        <f>OBRA!P262</f>
        <v>93422.64</v>
      </c>
      <c r="R263" s="5">
        <f>OBRA!R262</f>
        <v>42950</v>
      </c>
      <c r="S263" s="12">
        <f>OBRA!S262</f>
        <v>42957</v>
      </c>
      <c r="T263" s="55"/>
      <c r="U263" s="415" t="s">
        <v>1431</v>
      </c>
      <c r="V263" s="654"/>
      <c r="W263" s="807"/>
      <c r="X263" s="601">
        <f>OBRA!AP262</f>
        <v>18684.52</v>
      </c>
      <c r="Y263" s="5"/>
      <c r="Z263" s="341"/>
      <c r="AA263" s="5"/>
      <c r="AB263" s="351">
        <f>OBRA!BT262</f>
        <v>0</v>
      </c>
      <c r="AC263" s="569"/>
      <c r="AD263" s="569" t="s">
        <v>551</v>
      </c>
    </row>
    <row r="264" spans="1:30" ht="102.75" hidden="1" customHeight="1">
      <c r="A264" s="23" t="s">
        <v>2239</v>
      </c>
      <c r="B264" s="933" t="str">
        <f>GRAL!B265</f>
        <v>2015-2018</v>
      </c>
      <c r="C264" s="17">
        <f>OBRA!I263</f>
        <v>2017</v>
      </c>
      <c r="D264" s="1676"/>
      <c r="E264" s="18" t="str">
        <f>OBRA!K263</f>
        <v>RAMO 33</v>
      </c>
      <c r="F264" s="525" t="s">
        <v>1431</v>
      </c>
      <c r="G264" s="557"/>
      <c r="H264" s="1012"/>
      <c r="I264" s="557"/>
      <c r="J264" s="56" t="str">
        <f>OBRA!U263</f>
        <v>ING. SERGIO CABRERA</v>
      </c>
      <c r="K264" s="172" t="str">
        <f>OBRA!V263</f>
        <v>ING. ANGEL ALBERTO HERNANDEZ MORA</v>
      </c>
      <c r="L264" s="35"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54"/>
      <c r="P264" s="6">
        <f>OBRA!Q263</f>
        <v>42983</v>
      </c>
      <c r="Q264" s="4">
        <f>OBRA!P263</f>
        <v>329150.28999999998</v>
      </c>
      <c r="R264" s="5">
        <f>OBRA!R263</f>
        <v>42985</v>
      </c>
      <c r="S264" s="12">
        <f>OBRA!S263</f>
        <v>42995</v>
      </c>
      <c r="T264" s="55"/>
      <c r="U264" s="415" t="s">
        <v>1431</v>
      </c>
      <c r="V264" s="654"/>
      <c r="W264" s="807"/>
      <c r="X264" s="601">
        <f>OBRA!AP263</f>
        <v>65830.039999999994</v>
      </c>
      <c r="Y264" s="5"/>
      <c r="Z264" s="341"/>
      <c r="AA264" s="5"/>
      <c r="AB264" s="351">
        <f>OBRA!BT263</f>
        <v>0</v>
      </c>
      <c r="AC264" s="569"/>
      <c r="AD264" s="569" t="s">
        <v>551</v>
      </c>
    </row>
    <row r="265" spans="1:30" s="110" customFormat="1" ht="30" hidden="1" customHeight="1">
      <c r="A265" s="87" t="s">
        <v>2239</v>
      </c>
      <c r="B265" s="946" t="str">
        <f>GRAL!B266</f>
        <v>2012-2015</v>
      </c>
      <c r="C265" s="88">
        <f>OBRA!I264</f>
        <v>2017</v>
      </c>
      <c r="D265" s="893"/>
      <c r="E265" s="103">
        <f>OBRA!K264</f>
        <v>0</v>
      </c>
      <c r="F265" s="526" t="s">
        <v>1431</v>
      </c>
      <c r="G265" s="392"/>
      <c r="H265" s="102"/>
      <c r="I265" s="392"/>
      <c r="J265" s="159">
        <f>OBRA!U264</f>
        <v>0</v>
      </c>
      <c r="K265" s="160">
        <f>OBRA!V264</f>
        <v>0</v>
      </c>
      <c r="L265" s="340" t="str">
        <f>OBRA!L264</f>
        <v>GMJ 039C OP/2017</v>
      </c>
      <c r="M265" s="203" t="str">
        <f>OBRA!M264</f>
        <v>CANCELADA</v>
      </c>
      <c r="N265" s="112" t="str">
        <f>OBRA!N264</f>
        <v>CANCELADO</v>
      </c>
      <c r="O265" s="132"/>
      <c r="P265" s="93">
        <f>OBRA!Q264</f>
        <v>0</v>
      </c>
      <c r="Q265" s="92">
        <f>OBRA!P264</f>
        <v>0</v>
      </c>
      <c r="R265" s="94">
        <f>OBRA!R264</f>
        <v>0</v>
      </c>
      <c r="S265" s="95">
        <f>OBRA!S264</f>
        <v>0</v>
      </c>
      <c r="T265" s="97"/>
      <c r="U265" s="785" t="s">
        <v>1431</v>
      </c>
      <c r="V265" s="343"/>
      <c r="W265" s="95"/>
      <c r="X265" s="311">
        <f>OBRA!AP264</f>
        <v>0</v>
      </c>
      <c r="Y265" s="343"/>
      <c r="Z265" s="343"/>
      <c r="AA265" s="94"/>
      <c r="AB265" s="511">
        <f>OBRA!BT264</f>
        <v>0</v>
      </c>
      <c r="AC265" s="570"/>
      <c r="AD265" s="570"/>
    </row>
    <row r="266" spans="1:30" ht="105" hidden="1" customHeight="1">
      <c r="A266" s="23" t="s">
        <v>2239</v>
      </c>
      <c r="B266" s="933" t="str">
        <f>GRAL!B267</f>
        <v>2015-2018</v>
      </c>
      <c r="C266" s="17">
        <f>OBRA!I265</f>
        <v>2017</v>
      </c>
      <c r="D266" s="1676"/>
      <c r="E266" s="18" t="str">
        <f>OBRA!K265</f>
        <v>RAMO 33</v>
      </c>
      <c r="F266" s="525" t="s">
        <v>1431</v>
      </c>
      <c r="G266" s="557"/>
      <c r="H266" s="1012"/>
      <c r="I266" s="557"/>
      <c r="J266" s="56" t="str">
        <f>OBRA!U265</f>
        <v>SERVICIOS ARQUITECTÓNICOS MOAPAL S.A. DE C.V.</v>
      </c>
      <c r="K266" s="172" t="str">
        <f>OBRA!V265</f>
        <v>ING. ANGEL ALBERTO HERNANDEZ MORA</v>
      </c>
      <c r="L266" s="35" t="str">
        <f>OBRA!L265</f>
        <v>GMJ 040C OP/2017</v>
      </c>
      <c r="M266" s="2" t="str">
        <f>OBRA!M265</f>
        <v>ADJUDICACIÓN DIRECTA</v>
      </c>
      <c r="N266" s="3" t="str">
        <f>OBRA!N265</f>
        <v>CONSTRUCCIÓN DE RED DE DRENAJE EN EL BARRIO CONOCIDO COMO EL TORIL EN LA LOCALIDAD DE ZAPOTITAN DE HIDALGO DEL MUNICIPIO DE JOCOTEPEC, JALISCO</v>
      </c>
      <c r="O266" s="554"/>
      <c r="P266" s="6">
        <f>OBRA!Q265</f>
        <v>42965</v>
      </c>
      <c r="Q266" s="4">
        <f>OBRA!P265</f>
        <v>965876.67</v>
      </c>
      <c r="R266" s="5">
        <f>OBRA!R265</f>
        <v>42968</v>
      </c>
      <c r="S266" s="12">
        <f>OBRA!S265</f>
        <v>43000</v>
      </c>
      <c r="T266" s="55"/>
      <c r="U266" s="415" t="s">
        <v>1431</v>
      </c>
      <c r="V266" s="654"/>
      <c r="W266" s="1011"/>
      <c r="X266" s="376">
        <f>OBRA!AP265</f>
        <v>96587.66</v>
      </c>
      <c r="Y266" s="5"/>
      <c r="Z266" s="341"/>
      <c r="AA266" s="5"/>
      <c r="AB266" s="351">
        <f>OBRA!BT265</f>
        <v>0</v>
      </c>
      <c r="AC266" s="569"/>
      <c r="AD266" s="569" t="s">
        <v>551</v>
      </c>
    </row>
    <row r="267" spans="1:30" ht="105" hidden="1" customHeight="1">
      <c r="A267" s="23" t="s">
        <v>2239</v>
      </c>
      <c r="B267" s="933" t="str">
        <f>GRAL!B268</f>
        <v>2015-2018</v>
      </c>
      <c r="C267" s="17">
        <f>OBRA!I266</f>
        <v>2017</v>
      </c>
      <c r="D267" s="1676"/>
      <c r="E267" s="18" t="str">
        <f>OBRA!K266</f>
        <v>RAMO 33</v>
      </c>
      <c r="F267" s="525" t="s">
        <v>1431</v>
      </c>
      <c r="G267" s="1129"/>
      <c r="H267" s="1012"/>
      <c r="I267" s="557"/>
      <c r="J267" s="56" t="str">
        <f>OBRA!U266</f>
        <v xml:space="preserve">GRUPO DESARROLLADOR INMOBILIARIO CEMERAMA S.A. DE C.V. </v>
      </c>
      <c r="K267" s="57" t="str">
        <f>OBRA!V266</f>
        <v>LIC. SALVADOR CONTRERAS OLGUÍN</v>
      </c>
      <c r="L267" s="35" t="str">
        <f>OBRA!L266</f>
        <v>GMJ 041C OP/2017</v>
      </c>
      <c r="M267" s="2" t="str">
        <f>OBRA!M266</f>
        <v>ADJUDICACIÓN DIRECTA</v>
      </c>
      <c r="N267" s="3" t="str">
        <f>OBRA!N266</f>
        <v>CONSTRUCCIÓN DE CASETA DE CONTROL Y CUARTO DE CLORACIÓN PARA EL POZO DE LA PLAZOLETA EL CHANTE, DELEGACIÓN DE CHANTEPEC, JOCOTEPEC JALISCO</v>
      </c>
      <c r="O267" s="554"/>
      <c r="P267" s="6">
        <f>OBRA!Q266</f>
        <v>42948</v>
      </c>
      <c r="Q267" s="4">
        <f>OBRA!P266</f>
        <v>185695.33</v>
      </c>
      <c r="R267" s="5">
        <f>OBRA!R266</f>
        <v>42950</v>
      </c>
      <c r="S267" s="12">
        <f>OBRA!S266</f>
        <v>42978</v>
      </c>
      <c r="T267" s="55"/>
      <c r="U267" s="415" t="s">
        <v>1431</v>
      </c>
      <c r="V267" s="557"/>
      <c r="W267" s="1011"/>
      <c r="X267" s="306">
        <f>OBRA!AP266</f>
        <v>37139.06</v>
      </c>
      <c r="Y267" s="5"/>
      <c r="Z267" s="341"/>
      <c r="AA267" s="5"/>
      <c r="AB267" s="351">
        <f>OBRA!BT266</f>
        <v>0</v>
      </c>
      <c r="AC267" s="569"/>
      <c r="AD267" s="569" t="s">
        <v>551</v>
      </c>
    </row>
    <row r="268" spans="1:30" ht="105" hidden="1" customHeight="1">
      <c r="A268" s="23" t="s">
        <v>2239</v>
      </c>
      <c r="B268" s="933" t="str">
        <f>GRAL!B269</f>
        <v>2015-2018</v>
      </c>
      <c r="C268" s="17">
        <f>OBRA!I267</f>
        <v>-2016</v>
      </c>
      <c r="D268" s="1676"/>
      <c r="E268" s="18" t="str">
        <f>OBRA!K267</f>
        <v>RAMO 33</v>
      </c>
      <c r="F268" s="525" t="s">
        <v>1431</v>
      </c>
      <c r="G268" s="552" t="s">
        <v>1951</v>
      </c>
      <c r="H268" s="580" t="s">
        <v>1953</v>
      </c>
      <c r="I268" s="552" t="s">
        <v>1952</v>
      </c>
      <c r="J268" s="56" t="str">
        <f>OBRA!U267</f>
        <v>ENERGIAS RENOVABLES DE LA RIVERA S.A. DE C.V</v>
      </c>
      <c r="K268" s="57" t="str">
        <f>OBRA!V267</f>
        <v>ING. RIGOBERTO OLMEDO RAMOS</v>
      </c>
      <c r="L268" s="35"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54" t="s">
        <v>1950</v>
      </c>
      <c r="P268" s="6">
        <f>OBRA!Q267</f>
        <v>42951</v>
      </c>
      <c r="Q268" s="4">
        <f>OBRA!P267</f>
        <v>360000</v>
      </c>
      <c r="R268" s="5">
        <f>OBRA!R267</f>
        <v>42954</v>
      </c>
      <c r="S268" s="12">
        <f>OBRA!S267</f>
        <v>42973</v>
      </c>
      <c r="T268" s="55"/>
      <c r="U268" s="415" t="s">
        <v>1431</v>
      </c>
      <c r="V268" s="549" t="s">
        <v>1954</v>
      </c>
      <c r="W268" s="668" t="s">
        <v>2298</v>
      </c>
      <c r="X268" s="601">
        <f>OBRA!AP267</f>
        <v>72000</v>
      </c>
      <c r="Y268" s="5"/>
      <c r="Z268" s="341"/>
      <c r="AA268" s="5"/>
      <c r="AB268" s="351">
        <f>OBRA!BT267</f>
        <v>0</v>
      </c>
      <c r="AC268" s="569"/>
      <c r="AD268" s="569" t="s">
        <v>551</v>
      </c>
    </row>
    <row r="269" spans="1:30" ht="105" hidden="1" customHeight="1">
      <c r="A269" s="23" t="s">
        <v>2239</v>
      </c>
      <c r="B269" s="933" t="str">
        <f>GRAL!B270</f>
        <v>2015-2018</v>
      </c>
      <c r="C269" s="17">
        <f>OBRA!I268</f>
        <v>2017</v>
      </c>
      <c r="D269" s="1676"/>
      <c r="E269" s="18" t="str">
        <f>OBRA!K268</f>
        <v>CUENTA CORRIENTE</v>
      </c>
      <c r="F269" s="525" t="s">
        <v>1431</v>
      </c>
      <c r="G269" s="997"/>
      <c r="H269" s="1012"/>
      <c r="I269" s="557"/>
      <c r="J269" s="753" t="str">
        <f>OBRA!U268</f>
        <v>ELECTRIFICACIONES MUGA, S.A. DE C.V.</v>
      </c>
      <c r="K269" s="57" t="str">
        <f>OBRA!V268</f>
        <v>C. DANIEL RODRIGUEZ VALENZUELA</v>
      </c>
      <c r="L269" s="35" t="str">
        <f>OBRA!L268</f>
        <v>GMJ 043C OP/2017</v>
      </c>
      <c r="M269" s="2" t="str">
        <f>OBRA!M268</f>
        <v>ADJUDICACIÓN DIRECTA</v>
      </c>
      <c r="N269" s="3" t="str">
        <f>OBRA!N268</f>
        <v>ELECTRIFICACIÓN DE LA SUBDIVICION DE LAS AREAS DE CESION DE VISTA DEL ANGEL, EN LA LOCALIDAD DE SAN JUAN COSALA DEL MUNICIPIO DE JOCOTEPEC, JALISCO</v>
      </c>
      <c r="O269" s="554"/>
      <c r="P269" s="69">
        <f>OBRA!Q268</f>
        <v>42916</v>
      </c>
      <c r="Q269" s="4">
        <f>OBRA!P268</f>
        <v>729291.31</v>
      </c>
      <c r="R269" s="5">
        <f>OBRA!R268</f>
        <v>42917</v>
      </c>
      <c r="S269" s="12">
        <f>OBRA!S268</f>
        <v>43158</v>
      </c>
      <c r="T269" s="55"/>
      <c r="U269" s="415" t="s">
        <v>1431</v>
      </c>
      <c r="V269" s="654"/>
      <c r="W269" s="999"/>
      <c r="X269" s="307">
        <f>OBRA!AP268</f>
        <v>0</v>
      </c>
      <c r="Y269" s="5"/>
      <c r="Z269" s="341"/>
      <c r="AA269" s="5"/>
      <c r="AB269" s="351">
        <f>OBRA!BT268</f>
        <v>0</v>
      </c>
      <c r="AC269" s="569"/>
      <c r="AD269" s="569" t="s">
        <v>1295</v>
      </c>
    </row>
    <row r="270" spans="1:30" s="110" customFormat="1" ht="30" hidden="1" customHeight="1">
      <c r="A270" s="87" t="s">
        <v>2239</v>
      </c>
      <c r="B270" s="946" t="str">
        <f>GRAL!B271</f>
        <v>2012-2015</v>
      </c>
      <c r="C270" s="88">
        <f>OBRA!I269</f>
        <v>2017</v>
      </c>
      <c r="D270" s="893"/>
      <c r="E270" s="103">
        <f>OBRA!K269</f>
        <v>0</v>
      </c>
      <c r="F270" s="526" t="s">
        <v>1431</v>
      </c>
      <c r="G270" s="392"/>
      <c r="H270" s="102"/>
      <c r="I270" s="392"/>
      <c r="J270" s="159" t="str">
        <f>OBRA!U269</f>
        <v>-</v>
      </c>
      <c r="K270" s="160" t="str">
        <f>OBRA!V269</f>
        <v>-</v>
      </c>
      <c r="L270" s="340" t="str">
        <f>OBRA!L269</f>
        <v>GMJ 044C OP/2017</v>
      </c>
      <c r="M270" s="203" t="str">
        <f>OBRA!M269</f>
        <v>CANCELADA</v>
      </c>
      <c r="N270" s="112">
        <f>OBRA!N269</f>
        <v>0</v>
      </c>
      <c r="O270" s="132"/>
      <c r="P270" s="93">
        <f>OBRA!Q269</f>
        <v>0</v>
      </c>
      <c r="Q270" s="92">
        <f>OBRA!P269</f>
        <v>0</v>
      </c>
      <c r="R270" s="94">
        <f>OBRA!R269</f>
        <v>0</v>
      </c>
      <c r="S270" s="95">
        <f>OBRA!S269</f>
        <v>0</v>
      </c>
      <c r="T270" s="97"/>
      <c r="U270" s="785" t="s">
        <v>1431</v>
      </c>
      <c r="V270" s="343"/>
      <c r="W270" s="95"/>
      <c r="X270" s="311">
        <f>OBRA!AP269</f>
        <v>0</v>
      </c>
      <c r="Y270" s="94"/>
      <c r="Z270" s="343"/>
      <c r="AA270" s="94"/>
      <c r="AB270" s="511">
        <f>OBRA!BT269</f>
        <v>0</v>
      </c>
      <c r="AC270" s="570"/>
      <c r="AD270" s="570"/>
    </row>
    <row r="271" spans="1:30" ht="30" hidden="1" customHeight="1">
      <c r="A271" s="23" t="s">
        <v>2239</v>
      </c>
      <c r="B271" s="933" t="str">
        <f>GRAL!B272</f>
        <v>2015-2018</v>
      </c>
      <c r="C271" s="17">
        <f>OBRA!I270</f>
        <v>2017</v>
      </c>
      <c r="D271" s="1676"/>
      <c r="E271" s="18" t="str">
        <f>OBRA!K270</f>
        <v>FONDEREG</v>
      </c>
      <c r="F271" s="525"/>
      <c r="G271" s="390"/>
      <c r="H271" s="1"/>
      <c r="I271" s="390"/>
      <c r="J271" s="56" t="str">
        <f>OBRA!U270</f>
        <v xml:space="preserve">GRUPO DESARROLLADOR INMOBILIARIO CEMERAMA S.A. DE C.V. </v>
      </c>
      <c r="K271" s="57" t="str">
        <f>OBRA!V270</f>
        <v xml:space="preserve">LIC. SALVADOR CONTRERAS </v>
      </c>
      <c r="L271" s="35"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2">
        <f>OBRA!S270</f>
        <v>43054</v>
      </c>
      <c r="T271" s="55"/>
      <c r="U271" s="415" t="s">
        <v>1431</v>
      </c>
      <c r="V271" s="341"/>
      <c r="W271" s="12"/>
      <c r="X271" s="306">
        <f>OBRA!AP270</f>
        <v>1550258.96</v>
      </c>
      <c r="Y271" s="341"/>
      <c r="Z271" s="341"/>
      <c r="AA271" s="5"/>
      <c r="AB271" s="351">
        <f>OBRA!BT270</f>
        <v>0</v>
      </c>
      <c r="AC271" s="569"/>
      <c r="AD271" s="569"/>
    </row>
    <row r="272" spans="1:30" ht="30" hidden="1" customHeight="1">
      <c r="A272" s="23" t="s">
        <v>2239</v>
      </c>
      <c r="B272" s="933" t="str">
        <f>GRAL!B273</f>
        <v>2015-2018</v>
      </c>
      <c r="C272" s="17">
        <f>OBRA!I271</f>
        <v>2017</v>
      </c>
      <c r="D272" s="1676"/>
      <c r="E272" s="18" t="str">
        <f>OBRA!K271</f>
        <v>FOCOCI</v>
      </c>
      <c r="F272" s="525"/>
      <c r="G272" s="390"/>
      <c r="H272" s="1"/>
      <c r="I272" s="390"/>
      <c r="J272" s="56" t="str">
        <f>OBRA!U271</f>
        <v>PROYECCION INTEGRAL ZURE S.A. DE C.V.</v>
      </c>
      <c r="K272" s="57" t="str">
        <f>OBRA!V271</f>
        <v xml:space="preserve">LIC. SALVADOR CONTRERAS </v>
      </c>
      <c r="L272" s="35"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2">
        <f>OBRA!S271</f>
        <v>43049</v>
      </c>
      <c r="T272" s="55"/>
      <c r="U272" s="415" t="s">
        <v>1431</v>
      </c>
      <c r="V272" s="341"/>
      <c r="W272" s="12"/>
      <c r="X272" s="306">
        <f>OBRA!AP271</f>
        <v>591940.96</v>
      </c>
      <c r="Y272" s="341"/>
      <c r="Z272" s="341"/>
      <c r="AA272" s="5"/>
      <c r="AB272" s="351">
        <f>OBRA!BT271</f>
        <v>0</v>
      </c>
      <c r="AC272" s="569"/>
      <c r="AD272" s="569"/>
    </row>
    <row r="273" spans="1:30" ht="141.75" hidden="1" customHeight="1">
      <c r="A273" s="23" t="s">
        <v>2239</v>
      </c>
      <c r="B273" s="933" t="str">
        <f>GRAL!B274</f>
        <v>2015-2018</v>
      </c>
      <c r="C273" s="17">
        <f>OBRA!I272</f>
        <v>-2016</v>
      </c>
      <c r="D273" s="1676"/>
      <c r="E273" s="18" t="str">
        <f>OBRA!K272</f>
        <v>FOREMODA</v>
      </c>
      <c r="F273" s="680" t="s">
        <v>1967</v>
      </c>
      <c r="G273" s="552" t="s">
        <v>1973</v>
      </c>
      <c r="H273" s="580" t="s">
        <v>1975</v>
      </c>
      <c r="I273" s="552" t="s">
        <v>1974</v>
      </c>
      <c r="J273" s="56" t="str">
        <f>OBRA!U272</f>
        <v>CONSTRUCTORA DALMA S.A. DE C.V.</v>
      </c>
      <c r="K273" s="57" t="str">
        <f>OBRA!V272</f>
        <v>ARQ. FRANCISCO SALAZAR</v>
      </c>
      <c r="L273" s="35"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54" t="s">
        <v>1970</v>
      </c>
      <c r="P273" s="6">
        <f>OBRA!Q272</f>
        <v>42943</v>
      </c>
      <c r="Q273" s="4">
        <f>OBRA!P272</f>
        <v>440000</v>
      </c>
      <c r="R273" s="5">
        <f>OBRA!R272</f>
        <v>43017</v>
      </c>
      <c r="S273" s="12">
        <f>OBRA!S272</f>
        <v>43087</v>
      </c>
      <c r="T273" s="55"/>
      <c r="U273" s="415"/>
      <c r="V273" s="552" t="s">
        <v>1976</v>
      </c>
      <c r="W273" s="691" t="s">
        <v>2299</v>
      </c>
      <c r="X273" s="306">
        <f>OBRA!AP272</f>
        <v>396000</v>
      </c>
      <c r="Y273" s="5"/>
      <c r="Z273" s="341"/>
      <c r="AA273" s="5"/>
      <c r="AB273" s="351">
        <f>OBRA!BT272</f>
        <v>0</v>
      </c>
      <c r="AC273" s="569"/>
      <c r="AD273" s="569" t="s">
        <v>551</v>
      </c>
    </row>
    <row r="274" spans="1:30" ht="96" hidden="1" customHeight="1">
      <c r="A274" s="23" t="s">
        <v>2239</v>
      </c>
      <c r="B274" s="933" t="str">
        <f>GRAL!B275</f>
        <v>2015-2018</v>
      </c>
      <c r="C274" s="17">
        <f>OBRA!I273</f>
        <v>2017</v>
      </c>
      <c r="D274" s="1676"/>
      <c r="E274" s="18" t="str">
        <f>OBRA!K273</f>
        <v>CUENTA CORRIENTE</v>
      </c>
      <c r="F274" s="14" t="s">
        <v>1431</v>
      </c>
      <c r="G274" s="557"/>
      <c r="H274" s="1012"/>
      <c r="I274" s="557"/>
      <c r="J274" s="56" t="str">
        <f>OBRA!U273</f>
        <v>ASFALTOS GUADALAJARA, S.A.P.I. DE C.V.</v>
      </c>
      <c r="K274" s="57" t="str">
        <f>OBRA!V273</f>
        <v>ING. ANGEL ALBERTO HERNANDEZ MORA</v>
      </c>
      <c r="L274" s="35" t="str">
        <f>OBRA!L273</f>
        <v>GMJ 048C OP/2017</v>
      </c>
      <c r="M274" s="2" t="str">
        <f>OBRA!M273</f>
        <v>ADJUDICACIÓN DIRECTA</v>
      </c>
      <c r="N274" s="3" t="str">
        <f>OBRA!N273</f>
        <v>REENCARPETAMIENTO Y BACHEO EN VARIAS CALLES EN LA LOCALIDAD DE ZAPOTITAN DE HIDALGO, MUNICIPIO DE JOCOTEPEC, JALISCO</v>
      </c>
      <c r="O274" s="554"/>
      <c r="P274" s="6">
        <f>OBRA!Q273</f>
        <v>42977</v>
      </c>
      <c r="Q274" s="4">
        <f>OBRA!P273</f>
        <v>1254850.92</v>
      </c>
      <c r="R274" s="5">
        <f>OBRA!R273</f>
        <v>42977</v>
      </c>
      <c r="S274" s="12">
        <f>OBRA!S273</f>
        <v>43008</v>
      </c>
      <c r="T274" s="55"/>
      <c r="U274" s="415" t="s">
        <v>1431</v>
      </c>
      <c r="V274" s="654"/>
      <c r="W274" s="1443"/>
      <c r="X274" s="306">
        <f>OBRA!AP273</f>
        <v>250970.18</v>
      </c>
      <c r="Y274" s="5"/>
      <c r="Z274" s="341"/>
      <c r="AA274" s="5"/>
      <c r="AB274" s="351">
        <f>OBRA!BT273</f>
        <v>0</v>
      </c>
      <c r="AC274" s="569"/>
      <c r="AD274" s="569" t="s">
        <v>551</v>
      </c>
    </row>
    <row r="275" spans="1:30" ht="81.75" hidden="1" customHeight="1">
      <c r="A275" s="23" t="s">
        <v>2239</v>
      </c>
      <c r="B275" s="933" t="str">
        <f>GRAL!B276</f>
        <v>2015-2018</v>
      </c>
      <c r="C275" s="17">
        <f>OBRA!I274</f>
        <v>2017</v>
      </c>
      <c r="D275" s="1676"/>
      <c r="E275" s="18" t="str">
        <f>OBRA!K274</f>
        <v>CUENTA CORRIENTE</v>
      </c>
      <c r="F275" s="525" t="s">
        <v>1431</v>
      </c>
      <c r="G275" s="557"/>
      <c r="H275" s="1012"/>
      <c r="I275" s="557"/>
      <c r="J275" s="56" t="str">
        <f>OBRA!U274</f>
        <v>ASFALTOS GUADALAJARA, S.A.P.I. DE C.V.</v>
      </c>
      <c r="K275" s="57" t="str">
        <f>OBRA!V274</f>
        <v>ING. ANGEL ALBERTO HERNANDEZ MORA</v>
      </c>
      <c r="L275" s="35" t="str">
        <f>OBRA!L274</f>
        <v>GMJ 049C OP/2017</v>
      </c>
      <c r="M275" s="2" t="str">
        <f>OBRA!M274</f>
        <v>ADJUDICACIÓN DIRECTA</v>
      </c>
      <c r="N275" s="3" t="str">
        <f>OBRA!N274</f>
        <v>REENCARPETAMIENTO Y BACHEO EN VARIAS CALLES DE LA CABECERA MUNICIPAL, DEL MUNICIPIO DE JOCOTEPEC, JALISCO</v>
      </c>
      <c r="O275" s="554"/>
      <c r="P275" s="6">
        <f>OBRA!Q274</f>
        <v>42977</v>
      </c>
      <c r="Q275" s="4">
        <f>OBRA!P274</f>
        <v>1053156.1299999999</v>
      </c>
      <c r="R275" s="5">
        <f>OBRA!R274</f>
        <v>42977</v>
      </c>
      <c r="S275" s="12">
        <f>OBRA!S274</f>
        <v>43053</v>
      </c>
      <c r="T275" s="55"/>
      <c r="U275" s="415" t="s">
        <v>1431</v>
      </c>
      <c r="V275" s="654"/>
      <c r="W275" s="1443"/>
      <c r="X275" s="306">
        <f>OBRA!AP274</f>
        <v>210631.22</v>
      </c>
      <c r="Y275" s="5"/>
      <c r="Z275" s="341"/>
      <c r="AA275" s="5"/>
      <c r="AB275" s="351">
        <f>OBRA!BT274</f>
        <v>0</v>
      </c>
      <c r="AC275" s="569"/>
      <c r="AD275" s="569" t="s">
        <v>551</v>
      </c>
    </row>
    <row r="276" spans="1:30" ht="106.5" hidden="1" customHeight="1">
      <c r="A276" s="23" t="s">
        <v>2239</v>
      </c>
      <c r="B276" s="933" t="str">
        <f>GRAL!B277</f>
        <v>2015-2018</v>
      </c>
      <c r="C276" s="17">
        <f>OBRA!I275</f>
        <v>2017</v>
      </c>
      <c r="D276" s="1676"/>
      <c r="E276" s="18" t="str">
        <f>OBRA!K275</f>
        <v>CUENTA CORRIENTE</v>
      </c>
      <c r="F276" s="525" t="s">
        <v>1431</v>
      </c>
      <c r="G276" s="557"/>
      <c r="H276" s="1012"/>
      <c r="I276" s="557"/>
      <c r="J276" s="56" t="str">
        <f>OBRA!U275</f>
        <v>ASFALTOS GUADALAJARA, S.A.P.I. DE C.V.</v>
      </c>
      <c r="K276" s="57" t="str">
        <f>OBRA!V275</f>
        <v>ING. ANGEL ALBERTO HERNANDEZ MORA</v>
      </c>
      <c r="L276" s="35" t="str">
        <f>OBRA!L275</f>
        <v>GMJ 050C OP/2017</v>
      </c>
      <c r="M276" s="2" t="str">
        <f>OBRA!M275</f>
        <v>ADJUDICACIÓN DIRECTA</v>
      </c>
      <c r="N276" s="3" t="str">
        <f>OBRA!N275</f>
        <v>REENCARPETAMIENTO Y BACHEO EN VARIAS CALLES EN LA LOCALIDAD DE SAN CRISTOBAL ZAPOTITLAN, DEL MUNICIPIO DE JOCOTEPEC, JALISCO</v>
      </c>
      <c r="O276" s="554"/>
      <c r="P276" s="6">
        <f>OBRA!Q275</f>
        <v>43007</v>
      </c>
      <c r="Q276" s="4">
        <f>OBRA!P275</f>
        <v>614358.76</v>
      </c>
      <c r="R276" s="5">
        <f>OBRA!R275</f>
        <v>43010</v>
      </c>
      <c r="S276" s="12">
        <f>OBRA!S275</f>
        <v>43017</v>
      </c>
      <c r="T276" s="55"/>
      <c r="U276" s="415" t="s">
        <v>1431</v>
      </c>
      <c r="V276" s="654"/>
      <c r="W276" s="1443"/>
      <c r="X276" s="306">
        <f>OBRA!AP275</f>
        <v>122871.76</v>
      </c>
      <c r="Y276" s="5"/>
      <c r="Z276" s="341"/>
      <c r="AA276" s="5"/>
      <c r="AB276" s="351">
        <f>OBRA!BT275</f>
        <v>0</v>
      </c>
      <c r="AC276" s="569"/>
      <c r="AD276" s="569" t="s">
        <v>551</v>
      </c>
    </row>
    <row r="277" spans="1:30" ht="162" hidden="1" customHeight="1">
      <c r="A277" s="23" t="s">
        <v>2239</v>
      </c>
      <c r="B277" s="933" t="str">
        <f>GRAL!B278</f>
        <v>2015-2018</v>
      </c>
      <c r="C277" s="17">
        <f>OBRA!I276</f>
        <v>2017</v>
      </c>
      <c r="D277" s="1676"/>
      <c r="E277" s="19" t="str">
        <f>OBRA!K276</f>
        <v>Fondo de proyectos para el Desarrollo Regional</v>
      </c>
      <c r="F277" s="680" t="s">
        <v>1937</v>
      </c>
      <c r="G277" s="557"/>
      <c r="H277" s="1012"/>
      <c r="I277" s="557"/>
      <c r="J277" s="56" t="str">
        <f>OBRA!U276</f>
        <v>ING. SERGIO CABRERA</v>
      </c>
      <c r="K277" s="57" t="str">
        <f>OBRA!V276</f>
        <v>ING. J. GUADALUPE IBARRA RAMIREZ</v>
      </c>
      <c r="L277" s="35"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54"/>
      <c r="P277" s="69">
        <f>OBRA!Q276</f>
        <v>42992</v>
      </c>
      <c r="Q277" s="4">
        <f>OBRA!P276</f>
        <v>607706.15</v>
      </c>
      <c r="R277" s="5">
        <f>OBRA!R276</f>
        <v>43059</v>
      </c>
      <c r="S277" s="12">
        <f>OBRA!S276</f>
        <v>43084</v>
      </c>
      <c r="T277" s="55"/>
      <c r="U277" s="415" t="s">
        <v>1431</v>
      </c>
      <c r="V277" s="654"/>
      <c r="W277" s="1443"/>
      <c r="X277" s="601">
        <f>OBRA!AP276</f>
        <v>121541.22</v>
      </c>
      <c r="Y277" s="5"/>
      <c r="Z277" s="341"/>
      <c r="AA277" s="5"/>
      <c r="AB277" s="351">
        <f>OBRA!BT276</f>
        <v>0</v>
      </c>
      <c r="AC277" s="569"/>
      <c r="AD277" s="569" t="s">
        <v>1295</v>
      </c>
    </row>
    <row r="278" spans="1:30" s="110" customFormat="1" ht="15" hidden="1" customHeight="1">
      <c r="A278" s="87" t="s">
        <v>2239</v>
      </c>
      <c r="B278" s="946" t="str">
        <f>GRAL!B279</f>
        <v>2012-2015</v>
      </c>
      <c r="C278" s="88">
        <f>OBRA!I277</f>
        <v>2017</v>
      </c>
      <c r="D278" s="893"/>
      <c r="E278" s="103">
        <f>OBRA!K277</f>
        <v>0</v>
      </c>
      <c r="F278" s="526"/>
      <c r="G278" s="953"/>
      <c r="H278" s="102"/>
      <c r="I278" s="392"/>
      <c r="J278" s="159">
        <f>OBRA!U277</f>
        <v>0</v>
      </c>
      <c r="K278" s="160">
        <f>OBRA!V277</f>
        <v>0</v>
      </c>
      <c r="L278" s="340" t="str">
        <f>OBRA!L277</f>
        <v>GMJ 052C OP/2017</v>
      </c>
      <c r="M278" s="203" t="str">
        <f>OBRA!M277</f>
        <v>CANCELADA</v>
      </c>
      <c r="N278" s="112" t="str">
        <f>OBRA!N277</f>
        <v>CANCELADO</v>
      </c>
      <c r="O278" s="938"/>
      <c r="P278" s="93">
        <f>OBRA!Q277</f>
        <v>0</v>
      </c>
      <c r="Q278" s="92">
        <f>OBRA!P277</f>
        <v>0</v>
      </c>
      <c r="R278" s="94">
        <f>OBRA!R277</f>
        <v>0</v>
      </c>
      <c r="S278" s="95">
        <f>OBRA!S277</f>
        <v>0</v>
      </c>
      <c r="T278" s="97"/>
      <c r="U278" s="785" t="s">
        <v>1431</v>
      </c>
      <c r="V278" s="343"/>
      <c r="W278" s="95"/>
      <c r="X278" s="311">
        <f>OBRA!AP277</f>
        <v>0</v>
      </c>
      <c r="Y278" s="343"/>
      <c r="Z278" s="343"/>
      <c r="AA278" s="94"/>
      <c r="AB278" s="511">
        <f>OBRA!BT277</f>
        <v>0</v>
      </c>
      <c r="AC278" s="570"/>
      <c r="AD278" s="570"/>
    </row>
    <row r="279" spans="1:30" ht="81.75" hidden="1" customHeight="1">
      <c r="A279" s="23" t="s">
        <v>2239</v>
      </c>
      <c r="B279" s="933" t="str">
        <f>GRAL!B280</f>
        <v>2015-2018</v>
      </c>
      <c r="C279" s="17">
        <f>OBRA!I278</f>
        <v>-2016</v>
      </c>
      <c r="D279" s="1676"/>
      <c r="E279" s="18" t="str">
        <f>OBRA!K278</f>
        <v>RAMO 33</v>
      </c>
      <c r="F279" s="525" t="s">
        <v>1431</v>
      </c>
      <c r="G279" s="552" t="s">
        <v>1985</v>
      </c>
      <c r="H279" s="580" t="s">
        <v>1987</v>
      </c>
      <c r="I279" s="552" t="s">
        <v>1986</v>
      </c>
      <c r="J279" s="56" t="str">
        <f>OBRA!U278</f>
        <v>C. JESSICA MONSERRAT RIVERA TORRES</v>
      </c>
      <c r="K279" s="57" t="str">
        <f>OBRA!V278</f>
        <v>ING. RIGOBERTO OLMEDO RAMOS</v>
      </c>
      <c r="L279" s="35" t="str">
        <f>OBRA!L278</f>
        <v>GMJ 053C OP/2017</v>
      </c>
      <c r="M279" s="2" t="str">
        <f>OBRA!M278</f>
        <v>ADJUDICACIÓN DIRECTA</v>
      </c>
      <c r="N279" s="3" t="str">
        <f>OBRA!N278</f>
        <v>EQUIPAMIENTO  DE POZO PROFUNDO EN LA CALLE JUAREZ, EN LA LOCALIDAD DE CHANTEPEC, DEL MUNICIPIO DE JOCOTEPEC, JALISCO</v>
      </c>
      <c r="O279" s="554" t="s">
        <v>1984</v>
      </c>
      <c r="P279" s="6">
        <f>OBRA!Q278</f>
        <v>43000</v>
      </c>
      <c r="Q279" s="4">
        <f>OBRA!P278</f>
        <v>335569.36</v>
      </c>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c r="AD279" s="569" t="s">
        <v>551</v>
      </c>
    </row>
    <row r="280" spans="1:30" ht="111" hidden="1" customHeight="1">
      <c r="A280" s="23" t="s">
        <v>2239</v>
      </c>
      <c r="B280" s="933" t="str">
        <f>GRAL!B281</f>
        <v>2015-2018</v>
      </c>
      <c r="C280" s="17">
        <f>OBRA!I279</f>
        <v>2017</v>
      </c>
      <c r="D280" s="1676"/>
      <c r="E280" s="18" t="str">
        <f>OBRA!K279</f>
        <v>CUENTA CORRIENTE</v>
      </c>
      <c r="F280" s="525" t="s">
        <v>1431</v>
      </c>
      <c r="G280" s="557"/>
      <c r="H280" s="557"/>
      <c r="I280" s="557"/>
      <c r="J280" s="56" t="str">
        <f>OBRA!U279</f>
        <v>ING. MANUEL PALOS VACA</v>
      </c>
      <c r="K280" s="57" t="str">
        <f>OBRA!V279</f>
        <v>ING. ANGEL ALBERTO HERNANDEZ MORA</v>
      </c>
      <c r="L280" s="35"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52"/>
      <c r="P280" s="6">
        <f>OBRA!Q279</f>
        <v>42979</v>
      </c>
      <c r="Q280" s="4">
        <f>OBRA!P279</f>
        <v>240397.92</v>
      </c>
      <c r="R280" s="5">
        <f>OBRA!R279</f>
        <v>42980</v>
      </c>
      <c r="S280" s="12">
        <f>OBRA!S279</f>
        <v>43007</v>
      </c>
      <c r="T280" s="55"/>
      <c r="U280" s="415" t="s">
        <v>1431</v>
      </c>
      <c r="V280" s="557"/>
      <c r="W280" s="557"/>
      <c r="X280" s="306">
        <f>OBRA!AP279</f>
        <v>55772.3</v>
      </c>
      <c r="Y280" s="5"/>
      <c r="Z280" s="341"/>
      <c r="AA280" s="5"/>
      <c r="AB280" s="351">
        <f>OBRA!BT279</f>
        <v>0</v>
      </c>
      <c r="AC280" s="569"/>
      <c r="AD280" s="569" t="s">
        <v>1295</v>
      </c>
    </row>
    <row r="281" spans="1:30" ht="139.5" hidden="1" customHeight="1">
      <c r="A281" s="23" t="s">
        <v>2239</v>
      </c>
      <c r="B281" s="933" t="str">
        <f>GRAL!B282</f>
        <v>2015-2018</v>
      </c>
      <c r="C281" s="17">
        <f>OBRA!I280</f>
        <v>2017</v>
      </c>
      <c r="D281" s="1676"/>
      <c r="E281" s="18" t="str">
        <f>OBRA!K280</f>
        <v>CUENTA CORRIENTE</v>
      </c>
      <c r="F281" s="525" t="s">
        <v>1431</v>
      </c>
      <c r="G281" s="557"/>
      <c r="H281" s="1012"/>
      <c r="I281" s="557"/>
      <c r="J281" s="339" t="str">
        <f>OBRA!U280</f>
        <v>AGUA Y SANEAMIENTO AMBIENTAL S.A. DE C.V.</v>
      </c>
      <c r="K281" s="172" t="str">
        <f>OBRA!V280</f>
        <v>ING. JUAN MANUEL GARCIA ESCOTO</v>
      </c>
      <c r="L281" s="35"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508"/>
      <c r="P281" s="69">
        <f>OBRA!Q280</f>
        <v>43052</v>
      </c>
      <c r="Q281" s="4">
        <f>OBRA!P280</f>
        <v>743056.9</v>
      </c>
      <c r="R281" s="5">
        <f>OBRA!R280</f>
        <v>43061</v>
      </c>
      <c r="S281" s="12">
        <f>OBRA!S280</f>
        <v>43084</v>
      </c>
      <c r="T281" s="54"/>
      <c r="U281" s="547" t="s">
        <v>2301</v>
      </c>
      <c r="V281" s="557"/>
      <c r="W281" s="1011"/>
      <c r="X281" s="601">
        <f>OBRA!AP280</f>
        <v>520139.83</v>
      </c>
      <c r="Y281" s="5"/>
      <c r="Z281" s="341"/>
      <c r="AA281" s="5"/>
      <c r="AB281" s="351">
        <f>OBRA!BT280</f>
        <v>0</v>
      </c>
      <c r="AC281" s="569"/>
      <c r="AD281" s="569" t="s">
        <v>551</v>
      </c>
    </row>
    <row r="282" spans="1:30" ht="125.25" hidden="1" customHeight="1">
      <c r="A282" s="23" t="s">
        <v>2239</v>
      </c>
      <c r="B282" s="933" t="str">
        <f>GRAL!B283</f>
        <v>2015-2018</v>
      </c>
      <c r="C282" s="17">
        <f>OBRA!I281</f>
        <v>2017</v>
      </c>
      <c r="D282" s="1676"/>
      <c r="E282" s="18" t="str">
        <f>OBRA!K281</f>
        <v>RAMO 33</v>
      </c>
      <c r="F282" s="525" t="s">
        <v>1431</v>
      </c>
      <c r="G282" s="557"/>
      <c r="H282" s="585"/>
      <c r="I282" s="557"/>
      <c r="J282" s="56" t="str">
        <f>OBRA!U281</f>
        <v>C. JOSÉ MIGUEL GARCIA VALLE</v>
      </c>
      <c r="K282" s="57" t="str">
        <f>OBRA!V281</f>
        <v>ARQ. JAIME CONDE GOMEZ</v>
      </c>
      <c r="L282" s="35"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54"/>
      <c r="P282" s="6">
        <f>OBRA!Q281</f>
        <v>43047</v>
      </c>
      <c r="Q282" s="4">
        <f>OBRA!P281</f>
        <v>493878.63</v>
      </c>
      <c r="R282" s="5">
        <f>OBRA!R281</f>
        <v>43048</v>
      </c>
      <c r="S282" s="12">
        <f>OBRA!S281</f>
        <v>43086</v>
      </c>
      <c r="T282" s="55"/>
      <c r="U282" s="415" t="s">
        <v>1431</v>
      </c>
      <c r="V282" s="591"/>
      <c r="W282" s="1443"/>
      <c r="X282" s="751">
        <f>OBRA!AP281</f>
        <v>54551.4</v>
      </c>
      <c r="Y282" s="5"/>
      <c r="Z282" s="341"/>
      <c r="AA282" s="5"/>
      <c r="AB282" s="351">
        <f>OBRA!BT281</f>
        <v>0</v>
      </c>
      <c r="AC282" s="569"/>
      <c r="AD282" s="569" t="s">
        <v>1295</v>
      </c>
    </row>
    <row r="283" spans="1:30" ht="141.75" hidden="1" customHeight="1">
      <c r="A283" s="23" t="s">
        <v>2239</v>
      </c>
      <c r="B283" s="933" t="str">
        <f>GRAL!B284</f>
        <v>2015-2018</v>
      </c>
      <c r="C283" s="17">
        <f>OBRA!I282</f>
        <v>2017</v>
      </c>
      <c r="D283" s="1676"/>
      <c r="E283" s="18" t="str">
        <f>OBRA!K282</f>
        <v>RAMO 33</v>
      </c>
      <c r="F283" s="525" t="s">
        <v>1431</v>
      </c>
      <c r="G283" s="557"/>
      <c r="H283" s="1012"/>
      <c r="I283" s="557"/>
      <c r="J283" s="56" t="str">
        <f>OBRA!U282</f>
        <v>C. JOSÉ MIGUEL GARCIA VALLE</v>
      </c>
      <c r="K283" s="57" t="str">
        <f>OBRA!V282</f>
        <v>ARQ. JAIME CONDE GOMEZ</v>
      </c>
      <c r="L283" s="35"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54"/>
      <c r="P283" s="6">
        <f>OBRA!Q282</f>
        <v>43047</v>
      </c>
      <c r="Q283" s="4">
        <f>OBRA!P282</f>
        <v>515747.25</v>
      </c>
      <c r="R283" s="5">
        <f>OBRA!R282</f>
        <v>43048</v>
      </c>
      <c r="S283" s="12">
        <f>OBRA!S282</f>
        <v>43081</v>
      </c>
      <c r="T283" s="55"/>
      <c r="U283" s="415" t="s">
        <v>1431</v>
      </c>
      <c r="V283" s="558"/>
      <c r="W283" s="1443"/>
      <c r="X283" s="751">
        <f>OBRA!AP282</f>
        <v>514393.58999999997</v>
      </c>
      <c r="Y283" s="5"/>
      <c r="Z283" s="341"/>
      <c r="AA283" s="5"/>
      <c r="AB283" s="351">
        <f>OBRA!BT282</f>
        <v>0</v>
      </c>
      <c r="AC283" s="569"/>
      <c r="AD283" s="569" t="s">
        <v>1295</v>
      </c>
    </row>
    <row r="284" spans="1:30" ht="98.25" hidden="1" customHeight="1">
      <c r="A284" s="23" t="s">
        <v>2239</v>
      </c>
      <c r="B284" s="933" t="str">
        <f>GRAL!B285</f>
        <v>2015-2018</v>
      </c>
      <c r="C284" s="17">
        <f>OBRA!I283</f>
        <v>2017</v>
      </c>
      <c r="D284" s="1676"/>
      <c r="E284" s="18" t="str">
        <f>OBRA!K283</f>
        <v>RAMO 33</v>
      </c>
      <c r="F284" s="525" t="s">
        <v>1431</v>
      </c>
      <c r="G284" s="557"/>
      <c r="H284" s="1012"/>
      <c r="I284" s="557"/>
      <c r="J284" s="56" t="str">
        <f>OBRA!U283</f>
        <v>ING. PEDRO TOPETE LOPEZ</v>
      </c>
      <c r="K284" s="57" t="str">
        <f>OBRA!V283</f>
        <v>ING. ANGEL ALBERTO HERNANDEZ MORA</v>
      </c>
      <c r="L284" s="35" t="str">
        <f>OBRA!L283</f>
        <v>GMJ 058C OP/2017</v>
      </c>
      <c r="M284" s="2" t="str">
        <f>OBRA!M283</f>
        <v>ADJUDICACIÓN DIRECTA</v>
      </c>
      <c r="N284" s="3" t="str">
        <f>OBRA!N283</f>
        <v>REHABILITACIÓN DE LINEA DE AGUA POTABLE EN CALLE CHAPULTEPEC ENTRE PRIVADA SAN MIGUEL Y CALLE CERRADA, EN LA AGENCIA MUNICIPAL "LA LOMA"</v>
      </c>
      <c r="O284" s="508"/>
      <c r="P284" s="6">
        <f>OBRA!Q283</f>
        <v>43046</v>
      </c>
      <c r="Q284" s="4">
        <f>OBRA!P283</f>
        <v>392640.25</v>
      </c>
      <c r="R284" s="5">
        <f>OBRA!R283</f>
        <v>43047</v>
      </c>
      <c r="S284" s="12">
        <f>OBRA!S283</f>
        <v>43078</v>
      </c>
      <c r="T284" s="55"/>
      <c r="U284" s="415" t="s">
        <v>1431</v>
      </c>
      <c r="V284" s="557"/>
      <c r="W284" s="557"/>
      <c r="X284" s="719">
        <f>OBRA!AP283</f>
        <v>180243.78999999998</v>
      </c>
      <c r="Y284" s="5"/>
      <c r="Z284" s="341"/>
      <c r="AA284" s="5"/>
      <c r="AB284" s="351">
        <f>OBRA!BT283</f>
        <v>0</v>
      </c>
      <c r="AC284" s="569"/>
      <c r="AD284" s="569" t="s">
        <v>551</v>
      </c>
    </row>
    <row r="285" spans="1:30" ht="244.5" hidden="1" customHeight="1">
      <c r="A285" s="23" t="s">
        <v>2239</v>
      </c>
      <c r="B285" s="933" t="str">
        <f>GRAL!B286</f>
        <v>2015-2018</v>
      </c>
      <c r="C285" s="17">
        <f>OBRA!I284</f>
        <v>2017</v>
      </c>
      <c r="D285" s="1676"/>
      <c r="E285" s="19" t="str">
        <f>OBRA!K284</f>
        <v>Fondo de proyectos para el Desarrollo Regional</v>
      </c>
      <c r="F285" s="680" t="s">
        <v>1938</v>
      </c>
      <c r="G285" s="557"/>
      <c r="H285" s="1012"/>
      <c r="I285" s="557"/>
      <c r="J285" s="339" t="str">
        <f>OBRA!U284</f>
        <v>ING. SERGIO CABRERA</v>
      </c>
      <c r="K285" s="172" t="str">
        <f>OBRA!V284</f>
        <v>ING. J. GUADALUPE IBARRA RAMIREZ</v>
      </c>
      <c r="L285" s="35"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OBRA!Q284</f>
        <v>43038</v>
      </c>
      <c r="Q285" s="4">
        <f>OBRA!P284</f>
        <v>794788.72</v>
      </c>
      <c r="R285" s="5">
        <f>OBRA!R284</f>
        <v>43061</v>
      </c>
      <c r="S285" s="12">
        <f>OBRA!S284</f>
        <v>43084</v>
      </c>
      <c r="T285" s="55"/>
      <c r="U285" s="415" t="s">
        <v>1431</v>
      </c>
      <c r="V285" s="654"/>
      <c r="W285" s="1443"/>
      <c r="X285" s="601">
        <f>OBRA!AP284</f>
        <v>158957.74</v>
      </c>
      <c r="Y285" s="5"/>
      <c r="Z285" s="341"/>
      <c r="AA285" s="5"/>
      <c r="AB285" s="351">
        <f>OBRA!BT284</f>
        <v>0</v>
      </c>
      <c r="AC285" s="569"/>
      <c r="AD285" s="569" t="s">
        <v>551</v>
      </c>
    </row>
    <row r="286" spans="1:30" ht="93" hidden="1" customHeight="1">
      <c r="A286" s="23" t="s">
        <v>2239</v>
      </c>
      <c r="B286" s="933" t="str">
        <f>GRAL!B287</f>
        <v>2015-2018</v>
      </c>
      <c r="C286" s="17">
        <f>OBRA!I285</f>
        <v>2017</v>
      </c>
      <c r="D286" s="1676"/>
      <c r="E286" s="18" t="str">
        <f>OBRA!K285</f>
        <v>CUENTA CORRIENTE</v>
      </c>
      <c r="F286" s="695" t="s">
        <v>1431</v>
      </c>
      <c r="G286" s="557"/>
      <c r="H286" s="1012"/>
      <c r="I286" s="557"/>
      <c r="J286" s="56" t="str">
        <f>OBRA!U285</f>
        <v>ASFALTOS GUADALAJARA, S.A.P.I. DE C.V.</v>
      </c>
      <c r="K286" s="57" t="str">
        <f>OBRA!V285</f>
        <v>ING. ANGEL ALBERTO HERNANDEZ MORA</v>
      </c>
      <c r="L286" s="35" t="str">
        <f>OBRA!L285</f>
        <v>GMJ 060C OP/2017</v>
      </c>
      <c r="M286" s="2" t="str">
        <f>OBRA!M285</f>
        <v>ADJUDICACIÓN DIRECTA</v>
      </c>
      <c r="N286" s="3" t="str">
        <f>OBRA!N285</f>
        <v>REENCARPETAMIENTO Y BACHEO ASFALTICO EN VARIAS CALLES EN LA CABECERA MUNICIPAL, DE JOCOTEPEC, JALISCO</v>
      </c>
      <c r="O286" s="554"/>
      <c r="P286" s="6">
        <f>OBRA!Q285</f>
        <v>43059</v>
      </c>
      <c r="Q286" s="4">
        <f>OBRA!P285</f>
        <v>773560.6</v>
      </c>
      <c r="R286" s="5">
        <f>OBRA!R285</f>
        <v>43059</v>
      </c>
      <c r="S286" s="12">
        <f>OBRA!S285</f>
        <v>43075</v>
      </c>
      <c r="T286" s="55"/>
      <c r="U286" s="415" t="s">
        <v>1431</v>
      </c>
      <c r="V286" s="557"/>
      <c r="W286" s="1011"/>
      <c r="X286" s="601">
        <f>OBRA!AP285</f>
        <v>154712.12</v>
      </c>
      <c r="Y286" s="5"/>
      <c r="Z286" s="341"/>
      <c r="AA286" s="5"/>
      <c r="AB286" s="351">
        <f>OBRA!BT285</f>
        <v>0</v>
      </c>
      <c r="AC286" s="569"/>
      <c r="AD286" s="569" t="s">
        <v>551</v>
      </c>
    </row>
    <row r="287" spans="1:30" ht="120.75" hidden="1" customHeight="1">
      <c r="A287" s="23" t="s">
        <v>2239</v>
      </c>
      <c r="B287" s="933" t="str">
        <f>GRAL!B288</f>
        <v>2015-2018</v>
      </c>
      <c r="C287" s="17">
        <f>OBRA!I286</f>
        <v>2017</v>
      </c>
      <c r="D287" s="1676"/>
      <c r="E287" s="18" t="str">
        <f>OBRA!K286</f>
        <v>RAMO 33</v>
      </c>
      <c r="F287" s="525" t="s">
        <v>1431</v>
      </c>
      <c r="G287" s="557"/>
      <c r="H287" s="1012"/>
      <c r="I287" s="557"/>
      <c r="J287" s="56" t="str">
        <f>OBRA!U286</f>
        <v>C. NORMA GORETY DOMINGUEZ CALVARIO</v>
      </c>
      <c r="K287" s="57" t="str">
        <f>OBRA!V286</f>
        <v>ING. JUAN MANUEL GARCIA ESCOTO</v>
      </c>
      <c r="L287" s="35"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54"/>
      <c r="P287" s="6">
        <f>OBRA!Q286</f>
        <v>43078</v>
      </c>
      <c r="Q287" s="4">
        <f>OBRA!P286</f>
        <v>928575.62</v>
      </c>
      <c r="R287" s="5">
        <f>OBRA!R286</f>
        <v>43078</v>
      </c>
      <c r="S287" s="12">
        <f>OBRA!S286</f>
        <v>43099</v>
      </c>
      <c r="T287" s="55"/>
      <c r="U287" s="415" t="s">
        <v>1431</v>
      </c>
      <c r="V287" s="654"/>
      <c r="W287" s="1443"/>
      <c r="X287" s="376">
        <f>OBRA!AP286</f>
        <v>417859.01999999996</v>
      </c>
      <c r="Y287" s="5"/>
      <c r="Z287" s="341"/>
      <c r="AA287" s="5"/>
      <c r="AB287" s="351">
        <f>OBRA!BT286</f>
        <v>0</v>
      </c>
      <c r="AC287" s="569"/>
      <c r="AD287" s="569" t="s">
        <v>551</v>
      </c>
    </row>
    <row r="288" spans="1:30" ht="142.5" hidden="1" customHeight="1">
      <c r="A288" s="23" t="s">
        <v>2239</v>
      </c>
      <c r="B288" s="933" t="str">
        <f>GRAL!B289</f>
        <v>2015-2018</v>
      </c>
      <c r="C288" s="17">
        <f>OBRA!I287</f>
        <v>2017</v>
      </c>
      <c r="D288" s="1676"/>
      <c r="E288" s="18" t="str">
        <f>OBRA!K287</f>
        <v>RAMO 33</v>
      </c>
      <c r="F288" s="525" t="s">
        <v>1431</v>
      </c>
      <c r="G288" s="557"/>
      <c r="H288" s="1012"/>
      <c r="I288" s="557"/>
      <c r="J288" s="56" t="str">
        <f>OBRA!U287</f>
        <v>C. NORMA GORETY DOMINGUEZ CALVARIO</v>
      </c>
      <c r="K288" s="57" t="str">
        <f>OBRA!V287</f>
        <v>ING. JUAN MANUEL GARCIA ESCOTO</v>
      </c>
      <c r="L288" s="35"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54"/>
      <c r="P288" s="6">
        <f>OBRA!Q287</f>
        <v>43078</v>
      </c>
      <c r="Q288" s="4">
        <f>OBRA!P287</f>
        <v>831598.75</v>
      </c>
      <c r="R288" s="5">
        <f>OBRA!R287</f>
        <v>43078</v>
      </c>
      <c r="S288" s="12">
        <f>OBRA!S287</f>
        <v>43099</v>
      </c>
      <c r="T288" s="55"/>
      <c r="U288" s="415" t="s">
        <v>1431</v>
      </c>
      <c r="V288" s="654"/>
      <c r="W288" s="1443"/>
      <c r="X288" s="376">
        <f>OBRA!AP287</f>
        <v>374219.42</v>
      </c>
      <c r="Y288" s="5"/>
      <c r="Z288" s="341"/>
      <c r="AA288" s="5"/>
      <c r="AB288" s="351">
        <f>OBRA!BT287</f>
        <v>0</v>
      </c>
      <c r="AC288" s="569"/>
      <c r="AD288" s="569" t="s">
        <v>551</v>
      </c>
    </row>
    <row r="289" spans="1:30" ht="122.25" hidden="1" customHeight="1">
      <c r="A289" s="23" t="s">
        <v>2239</v>
      </c>
      <c r="B289" s="933" t="str">
        <f>GRAL!B290</f>
        <v>2015-2018</v>
      </c>
      <c r="C289" s="17">
        <f>OBRA!I288</f>
        <v>2017</v>
      </c>
      <c r="D289" s="1676"/>
      <c r="E289" s="18" t="str">
        <f>OBRA!K288</f>
        <v>RAMO 33</v>
      </c>
      <c r="F289" s="525" t="s">
        <v>1431</v>
      </c>
      <c r="G289" s="557"/>
      <c r="H289" s="557"/>
      <c r="I289" s="557"/>
      <c r="J289" s="56" t="str">
        <f>OBRA!U288</f>
        <v>ING. PEDRO TOPETE LOPEZ</v>
      </c>
      <c r="K289" s="57" t="str">
        <f>OBRA!V288</f>
        <v>ING. ANGEL ALBERTO HERNANDEZ MORA</v>
      </c>
      <c r="L289" s="35"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54"/>
      <c r="P289" s="6">
        <f>OBRA!Q288</f>
        <v>43078</v>
      </c>
      <c r="Q289" s="4">
        <f>OBRA!P288</f>
        <v>394058.8</v>
      </c>
      <c r="R289" s="5">
        <f>OBRA!R288</f>
        <v>43078</v>
      </c>
      <c r="S289" s="12">
        <f>OBRA!S288</f>
        <v>43099</v>
      </c>
      <c r="T289" s="55"/>
      <c r="U289" s="415" t="s">
        <v>1431</v>
      </c>
      <c r="V289" s="654"/>
      <c r="W289" s="557"/>
      <c r="X289" s="307">
        <f>OBRA!AP288</f>
        <v>176988.21</v>
      </c>
      <c r="Y289" s="5"/>
      <c r="Z289" s="341"/>
      <c r="AA289" s="5"/>
      <c r="AB289" s="351">
        <f>OBRA!BT288</f>
        <v>0</v>
      </c>
      <c r="AC289" s="569"/>
      <c r="AD289" s="569" t="s">
        <v>551</v>
      </c>
    </row>
    <row r="290" spans="1:30" ht="108" hidden="1" customHeight="1">
      <c r="A290" s="23" t="s">
        <v>2239</v>
      </c>
      <c r="B290" s="933" t="str">
        <f>GRAL!B291</f>
        <v>2015-2018</v>
      </c>
      <c r="C290" s="17">
        <f>OBRA!I289</f>
        <v>2017</v>
      </c>
      <c r="D290" s="1676"/>
      <c r="E290" s="18" t="str">
        <f>OBRA!K289</f>
        <v>RAMO 33</v>
      </c>
      <c r="F290" s="525" t="s">
        <v>1431</v>
      </c>
      <c r="G290" s="557"/>
      <c r="H290" s="1012"/>
      <c r="I290" s="557"/>
      <c r="J290" s="56" t="str">
        <f>OBRA!U289</f>
        <v>C. JOSÉ MIGUEL GARCIA VALLE</v>
      </c>
      <c r="K290" s="57" t="str">
        <f>OBRA!V289</f>
        <v>LIC. SALVADOR CONTRERAS OLGUÍN</v>
      </c>
      <c r="L290" s="35"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54"/>
      <c r="P290" s="6">
        <f>OBRA!Q289</f>
        <v>43077</v>
      </c>
      <c r="Q290" s="4">
        <f>OBRA!P289</f>
        <v>46522.28</v>
      </c>
      <c r="R290" s="5">
        <f>OBRA!R289</f>
        <v>43078</v>
      </c>
      <c r="S290" s="12">
        <f>OBRA!S289</f>
        <v>43099</v>
      </c>
      <c r="T290" s="55"/>
      <c r="U290" s="415" t="s">
        <v>1431</v>
      </c>
      <c r="V290" s="557"/>
      <c r="W290" s="1011"/>
      <c r="X290" s="307">
        <f>OBRA!AP289</f>
        <v>9304.52</v>
      </c>
      <c r="Y290" s="5"/>
      <c r="Z290" s="341"/>
      <c r="AA290" s="5"/>
      <c r="AB290" s="351">
        <f>OBRA!BT289</f>
        <v>0</v>
      </c>
      <c r="AC290" s="569"/>
      <c r="AD290" s="569" t="s">
        <v>551</v>
      </c>
    </row>
    <row r="291" spans="1:30" ht="96.75" hidden="1" customHeight="1">
      <c r="A291" s="23" t="s">
        <v>2239</v>
      </c>
      <c r="B291" s="933" t="str">
        <f>GRAL!B292</f>
        <v>2015-2018</v>
      </c>
      <c r="C291" s="17">
        <f>OBRA!I290</f>
        <v>2017</v>
      </c>
      <c r="D291" s="1676"/>
      <c r="E291" s="18" t="str">
        <f>OBRA!K290</f>
        <v>RAMO 33</v>
      </c>
      <c r="F291" s="525" t="s">
        <v>1431</v>
      </c>
      <c r="G291" s="557"/>
      <c r="H291" s="1012"/>
      <c r="I291" s="557"/>
      <c r="J291" s="56" t="str">
        <f>OBRA!U290</f>
        <v>C. JOSÉ MIGUEL GARCIA VALLE</v>
      </c>
      <c r="K291" s="57" t="str">
        <f>OBRA!V290</f>
        <v>LIC. SALVADOR CONTRERAS OLGUÍN</v>
      </c>
      <c r="L291" s="35" t="str">
        <f>OBRA!L290</f>
        <v>GMJ 065C OP/2017</v>
      </c>
      <c r="M291" s="2" t="str">
        <f>OBRA!M290</f>
        <v>ADJUDICACIÓN DIRECTA</v>
      </c>
      <c r="N291" s="3" t="str">
        <f>OBRA!N290</f>
        <v>FABRICACION DE EMPEDRADO AHOGADO EN CONCRETO EN CALLE INDEPENDENCIA, EN  LA LOCALIDAD  DE SAN JUAN COSALA, DEL MUNICIPIO DE JOCOTEPEC, JALISCO</v>
      </c>
      <c r="O291" s="554"/>
      <c r="P291" s="6">
        <f>OBRA!Q290</f>
        <v>43077</v>
      </c>
      <c r="Q291" s="4">
        <f>OBRA!P290</f>
        <v>107544.91</v>
      </c>
      <c r="R291" s="5">
        <f>OBRA!R290</f>
        <v>43078</v>
      </c>
      <c r="S291" s="12">
        <f>OBRA!S290</f>
        <v>43099</v>
      </c>
      <c r="T291" s="55"/>
      <c r="U291" s="415" t="s">
        <v>1431</v>
      </c>
      <c r="V291" s="557"/>
      <c r="W291" s="1011"/>
      <c r="X291" s="307">
        <f>OBRA!AP290</f>
        <v>21508.98</v>
      </c>
      <c r="Y291" s="5"/>
      <c r="Z291" s="341"/>
      <c r="AA291" s="5"/>
      <c r="AB291" s="351">
        <f>OBRA!BT290</f>
        <v>0</v>
      </c>
      <c r="AC291" s="569"/>
      <c r="AD291" s="569" t="s">
        <v>551</v>
      </c>
    </row>
    <row r="292" spans="1:30" ht="30" hidden="1" customHeight="1">
      <c r="A292" s="23" t="s">
        <v>2239</v>
      </c>
      <c r="B292" s="933" t="str">
        <f>GRAL!B293</f>
        <v>2015-2018</v>
      </c>
      <c r="C292" s="17">
        <f>OBRA!I291</f>
        <v>2018</v>
      </c>
      <c r="D292" s="1676"/>
      <c r="E292" s="18" t="str">
        <f>OBRA!K291</f>
        <v>FONDEREG</v>
      </c>
      <c r="F292" s="525" t="s">
        <v>1431</v>
      </c>
      <c r="G292" s="552"/>
      <c r="H292" s="580"/>
      <c r="I292" s="552"/>
      <c r="J292" s="56" t="str">
        <f>OBRA!U291</f>
        <v>N/A</v>
      </c>
      <c r="K292" s="57" t="str">
        <f>OBRA!V291</f>
        <v>-</v>
      </c>
      <c r="L292" s="35"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54"/>
      <c r="P292" s="6">
        <f>OBRA!Q291</f>
        <v>43223</v>
      </c>
      <c r="Q292" s="4">
        <f>OBRA!P291</f>
        <v>1634531.02</v>
      </c>
      <c r="R292" s="5" t="str">
        <f>OBRA!R291</f>
        <v>-</v>
      </c>
      <c r="S292" s="12" t="str">
        <f>OBRA!S291</f>
        <v>-</v>
      </c>
      <c r="T292" s="55"/>
      <c r="U292" s="415" t="s">
        <v>1431</v>
      </c>
      <c r="V292" s="552"/>
      <c r="W292" s="691"/>
      <c r="X292" s="307">
        <f>OBRA!AP291</f>
        <v>0</v>
      </c>
      <c r="Y292" s="5"/>
      <c r="Z292" s="341"/>
      <c r="AA292" s="5"/>
      <c r="AB292" s="351">
        <f>OBRA!BT291</f>
        <v>0</v>
      </c>
      <c r="AC292" s="569"/>
      <c r="AD292" s="569" t="s">
        <v>551</v>
      </c>
    </row>
    <row r="293" spans="1:30" ht="30" hidden="1" customHeight="1">
      <c r="A293" s="23" t="s">
        <v>2239</v>
      </c>
      <c r="B293" s="933" t="str">
        <f>GRAL!B294</f>
        <v>2015-2018</v>
      </c>
      <c r="C293" s="17">
        <f>OBRA!I292</f>
        <v>2018</v>
      </c>
      <c r="D293" s="1676"/>
      <c r="E293" s="18" t="str">
        <f>OBRA!K292</f>
        <v>FONDEREG</v>
      </c>
      <c r="F293" s="525" t="s">
        <v>1431</v>
      </c>
      <c r="G293" s="552"/>
      <c r="H293" s="580"/>
      <c r="I293" s="552"/>
      <c r="J293" s="56" t="str">
        <f>OBRA!U292</f>
        <v>N/A</v>
      </c>
      <c r="K293" s="57" t="str">
        <f>OBRA!V292</f>
        <v>-</v>
      </c>
      <c r="L293" s="35"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54"/>
      <c r="P293" s="6">
        <f>OBRA!Q292</f>
        <v>43223</v>
      </c>
      <c r="Q293" s="4">
        <f>OBRA!P292</f>
        <v>724057.5</v>
      </c>
      <c r="R293" s="5" t="str">
        <f>OBRA!R292</f>
        <v>-</v>
      </c>
      <c r="S293" s="12" t="str">
        <f>OBRA!S292</f>
        <v>-</v>
      </c>
      <c r="T293" s="55"/>
      <c r="U293" s="415" t="s">
        <v>1431</v>
      </c>
      <c r="V293" s="552"/>
      <c r="W293" s="691"/>
      <c r="X293" s="307">
        <f>OBRA!AP292</f>
        <v>0</v>
      </c>
      <c r="Y293" s="5"/>
      <c r="Z293" s="341"/>
      <c r="AA293" s="5"/>
      <c r="AB293" s="351">
        <f>OBRA!BT292</f>
        <v>0</v>
      </c>
      <c r="AC293" s="569"/>
      <c r="AD293" s="569" t="s">
        <v>551</v>
      </c>
    </row>
    <row r="294" spans="1:30" ht="30" hidden="1" customHeight="1">
      <c r="A294" s="23" t="s">
        <v>2239</v>
      </c>
      <c r="B294" s="933" t="str">
        <f>GRAL!B295</f>
        <v>2015-2018</v>
      </c>
      <c r="C294" s="17">
        <f>OBRA!I293</f>
        <v>2018</v>
      </c>
      <c r="D294" s="1676"/>
      <c r="E294" s="18" t="str">
        <f>OBRA!K293</f>
        <v xml:space="preserve">PROYECTOS DESARROLLO REGIONAL </v>
      </c>
      <c r="F294" s="525" t="s">
        <v>1431</v>
      </c>
      <c r="G294" s="552"/>
      <c r="H294" s="580"/>
      <c r="I294" s="552"/>
      <c r="J294" s="56" t="str">
        <f>OBRA!U293</f>
        <v>N/A</v>
      </c>
      <c r="K294" s="57" t="str">
        <f>OBRA!V293</f>
        <v>-</v>
      </c>
      <c r="L294" s="35"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OBRA!Q293</f>
        <v>43199</v>
      </c>
      <c r="Q294" s="4">
        <f>OBRA!P293</f>
        <v>2900000</v>
      </c>
      <c r="R294" s="5" t="str">
        <f>OBRA!R293</f>
        <v>-</v>
      </c>
      <c r="S294" s="12" t="str">
        <f>OBRA!S293</f>
        <v>-</v>
      </c>
      <c r="T294" s="55"/>
      <c r="U294" s="415" t="s">
        <v>1431</v>
      </c>
      <c r="V294" s="552"/>
      <c r="W294" s="691"/>
      <c r="X294" s="307">
        <f>OBRA!AP293</f>
        <v>0</v>
      </c>
      <c r="Y294" s="5"/>
      <c r="Z294" s="341"/>
      <c r="AA294" s="5"/>
      <c r="AB294" s="351">
        <f>OBRA!BT293</f>
        <v>0</v>
      </c>
      <c r="AC294" s="569"/>
      <c r="AD294" s="569" t="s">
        <v>551</v>
      </c>
    </row>
    <row r="295" spans="1:30" ht="35.25" hidden="1" customHeight="1">
      <c r="A295" s="23" t="s">
        <v>2239</v>
      </c>
      <c r="B295" s="933" t="str">
        <f>GRAL!B293</f>
        <v>2015-2018</v>
      </c>
      <c r="C295" s="17">
        <f>OBRA!I294</f>
        <v>2018</v>
      </c>
      <c r="D295" s="1676"/>
      <c r="E295" s="18" t="str">
        <f>OBRA!K294</f>
        <v>CUENTA CORRIENTE</v>
      </c>
      <c r="F295" s="525"/>
      <c r="G295" s="390"/>
      <c r="H295" s="1"/>
      <c r="I295" s="390"/>
      <c r="J295" s="56" t="str">
        <f>OBRA!U294</f>
        <v>N/A</v>
      </c>
      <c r="K295" s="57" t="str">
        <f>OBRA!V294</f>
        <v>ING. JUAN MANUEL GARCIA ESCOTO</v>
      </c>
      <c r="L295" s="35"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2">
        <f>OBRA!S294</f>
        <v>43210</v>
      </c>
      <c r="T295" s="55"/>
      <c r="U295" s="415" t="s">
        <v>1431</v>
      </c>
      <c r="V295" s="341"/>
      <c r="W295" s="12"/>
      <c r="X295" s="307">
        <f>OBRA!AP294</f>
        <v>0</v>
      </c>
      <c r="Y295" s="341"/>
      <c r="Z295" s="341"/>
      <c r="AA295" s="5"/>
      <c r="AB295" s="351">
        <f>OBRA!BT294</f>
        <v>0</v>
      </c>
      <c r="AC295" s="569"/>
      <c r="AD295" s="569"/>
    </row>
    <row r="296" spans="1:30" ht="15" hidden="1" customHeight="1">
      <c r="A296" s="23" t="s">
        <v>2239</v>
      </c>
      <c r="B296" s="933" t="str">
        <f>GRAL!B297</f>
        <v>2015-2018</v>
      </c>
      <c r="C296" s="17">
        <f>OBRA!I295</f>
        <v>2018</v>
      </c>
      <c r="D296" s="1676"/>
      <c r="E296" s="18" t="str">
        <f>OBRA!K295</f>
        <v>CUENTA CORRIENTE</v>
      </c>
      <c r="F296" s="525"/>
      <c r="G296" s="390"/>
      <c r="H296" s="1"/>
      <c r="I296" s="390"/>
      <c r="J296" s="56" t="str">
        <f>OBRA!U295</f>
        <v>N/A</v>
      </c>
      <c r="K296" s="57" t="str">
        <f>OBRA!V295</f>
        <v>ING. JUAN MANUEL GARCIA ESCOTO</v>
      </c>
      <c r="L296" s="35"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2">
        <f>OBRA!S295</f>
        <v>43210</v>
      </c>
      <c r="T296" s="55"/>
      <c r="U296" s="415" t="s">
        <v>1431</v>
      </c>
      <c r="V296" s="341"/>
      <c r="W296" s="12"/>
      <c r="X296" s="307">
        <f>OBRA!AP295</f>
        <v>0</v>
      </c>
      <c r="Y296" s="341"/>
      <c r="Z296" s="341"/>
      <c r="AA296" s="5"/>
      <c r="AB296" s="351">
        <f>OBRA!BT295</f>
        <v>0</v>
      </c>
      <c r="AC296" s="569"/>
      <c r="AD296" s="569"/>
    </row>
    <row r="297" spans="1:30" ht="15" hidden="1" customHeight="1">
      <c r="A297" s="23" t="s">
        <v>2239</v>
      </c>
      <c r="B297" s="933" t="str">
        <f>GRAL!B298</f>
        <v>2015-2018</v>
      </c>
      <c r="C297" s="17">
        <f>OBRA!I296</f>
        <v>2018</v>
      </c>
      <c r="D297" s="1676"/>
      <c r="E297" s="18" t="str">
        <f>OBRA!K296</f>
        <v>CUENTA CORRIENTE</v>
      </c>
      <c r="F297" s="525"/>
      <c r="G297" s="390"/>
      <c r="H297" s="1"/>
      <c r="I297" s="390"/>
      <c r="J297" s="56" t="str">
        <f>OBRA!U296</f>
        <v>N/A</v>
      </c>
      <c r="K297" s="57" t="str">
        <f>OBRA!V296</f>
        <v>ING. JUAN MANUEL GARCIA ESCOTO</v>
      </c>
      <c r="L297" s="35"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2">
        <f>OBRA!S296</f>
        <v>43159</v>
      </c>
      <c r="T297" s="55"/>
      <c r="U297" s="415" t="s">
        <v>1431</v>
      </c>
      <c r="V297" s="341"/>
      <c r="W297" s="12"/>
      <c r="X297" s="307">
        <f>OBRA!AP296</f>
        <v>0</v>
      </c>
      <c r="Y297" s="341"/>
      <c r="Z297" s="341"/>
      <c r="AA297" s="5"/>
      <c r="AB297" s="351">
        <f>OBRA!BT296</f>
        <v>0</v>
      </c>
      <c r="AC297" s="569"/>
      <c r="AD297" s="569"/>
    </row>
    <row r="298" spans="1:30" ht="15" hidden="1" customHeight="1">
      <c r="A298" s="23" t="s">
        <v>2239</v>
      </c>
      <c r="B298" s="933" t="str">
        <f>GRAL!B299</f>
        <v>2015-2018</v>
      </c>
      <c r="C298" s="17">
        <f>OBRA!I297</f>
        <v>2018</v>
      </c>
      <c r="D298" s="1676"/>
      <c r="E298" s="18" t="str">
        <f>OBRA!K297</f>
        <v>CUENTA CORRIENTE</v>
      </c>
      <c r="F298" s="525"/>
      <c r="G298" s="390"/>
      <c r="H298" s="1"/>
      <c r="I298" s="390"/>
      <c r="J298" s="56" t="str">
        <f>OBRA!U297</f>
        <v>N/A</v>
      </c>
      <c r="K298" s="57" t="str">
        <f>OBRA!V297</f>
        <v>ARQ. JAIME CONDE GOMEZ</v>
      </c>
      <c r="L298" s="35"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2">
        <f>OBRA!S297</f>
        <v>43245</v>
      </c>
      <c r="T298" s="55"/>
      <c r="U298" s="415" t="s">
        <v>1431</v>
      </c>
      <c r="V298" s="341"/>
      <c r="W298" s="12"/>
      <c r="X298" s="307">
        <f>OBRA!AP297</f>
        <v>0</v>
      </c>
      <c r="Y298" s="341"/>
      <c r="Z298" s="341"/>
      <c r="AA298" s="5"/>
      <c r="AB298" s="351">
        <f>OBRA!BT297</f>
        <v>0</v>
      </c>
      <c r="AC298" s="569"/>
      <c r="AD298" s="569"/>
    </row>
    <row r="299" spans="1:30" s="110" customFormat="1" ht="15" hidden="1" customHeight="1">
      <c r="A299" s="87" t="s">
        <v>2239</v>
      </c>
      <c r="B299" s="946" t="str">
        <f>GRAL!B300</f>
        <v>2015-2018</v>
      </c>
      <c r="C299" s="88">
        <f>OBRA!I298</f>
        <v>2018</v>
      </c>
      <c r="D299" s="893"/>
      <c r="E299" s="103">
        <f>OBRA!K298</f>
        <v>0</v>
      </c>
      <c r="F299" s="526"/>
      <c r="G299" s="392"/>
      <c r="H299" s="102"/>
      <c r="I299" s="392"/>
      <c r="J299" s="159" t="str">
        <f>OBRA!U298</f>
        <v>-</v>
      </c>
      <c r="K299" s="160">
        <f>OBRA!V298</f>
        <v>0</v>
      </c>
      <c r="L299" s="340" t="str">
        <f>OBRA!L298</f>
        <v>DOP/AD/005/2018</v>
      </c>
      <c r="M299" s="203" t="str">
        <f>OBRA!M298</f>
        <v>CANCELADA</v>
      </c>
      <c r="N299" s="112">
        <f>OBRA!N298</f>
        <v>0</v>
      </c>
      <c r="O299" s="132"/>
      <c r="P299" s="93">
        <f>OBRA!Q298</f>
        <v>0</v>
      </c>
      <c r="Q299" s="92">
        <f>OBRA!P298</f>
        <v>0</v>
      </c>
      <c r="R299" s="94">
        <f>OBRA!R298</f>
        <v>0</v>
      </c>
      <c r="S299" s="95">
        <f>OBRA!S298</f>
        <v>0</v>
      </c>
      <c r="T299" s="97"/>
      <c r="U299" s="785" t="s">
        <v>1431</v>
      </c>
      <c r="V299" s="343"/>
      <c r="W299" s="95"/>
      <c r="X299" s="954">
        <f>OBRA!AP298</f>
        <v>0</v>
      </c>
      <c r="Y299" s="343"/>
      <c r="Z299" s="343"/>
      <c r="AA299" s="94"/>
      <c r="AB299" s="511">
        <f>OBRA!BT298</f>
        <v>0</v>
      </c>
      <c r="AC299" s="570"/>
      <c r="AD299" s="570"/>
    </row>
    <row r="300" spans="1:30" ht="15" hidden="1" customHeight="1">
      <c r="A300" s="23" t="s">
        <v>2239</v>
      </c>
      <c r="B300" s="933" t="str">
        <f>GRAL!B301</f>
        <v>2015-2018</v>
      </c>
      <c r="C300" s="17">
        <f>OBRA!I299</f>
        <v>2018</v>
      </c>
      <c r="D300" s="1676"/>
      <c r="E300" s="18" t="str">
        <f>OBRA!K299</f>
        <v>CUENTA CORRIENTE</v>
      </c>
      <c r="F300" s="525"/>
      <c r="G300" s="390"/>
      <c r="H300" s="1"/>
      <c r="I300" s="390"/>
      <c r="J300" s="56" t="str">
        <f>OBRA!U299</f>
        <v>N/A</v>
      </c>
      <c r="K300" s="57" t="str">
        <f>OBRA!V299</f>
        <v>-</v>
      </c>
      <c r="L300" s="35"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2" t="str">
        <f>OBRA!S299</f>
        <v>-</v>
      </c>
      <c r="T300" s="55"/>
      <c r="U300" s="415" t="s">
        <v>1431</v>
      </c>
      <c r="V300" s="341"/>
      <c r="W300" s="12"/>
      <c r="X300" s="307">
        <f>OBRA!AP299</f>
        <v>0</v>
      </c>
      <c r="Y300" s="341"/>
      <c r="Z300" s="341"/>
      <c r="AA300" s="5"/>
      <c r="AB300" s="351">
        <f>OBRA!BT299</f>
        <v>0</v>
      </c>
      <c r="AC300" s="569"/>
      <c r="AD300" s="569"/>
    </row>
    <row r="301" spans="1:30" s="110" customFormat="1" ht="15" hidden="1" customHeight="1">
      <c r="A301" s="87" t="s">
        <v>2239</v>
      </c>
      <c r="B301" s="946" t="str">
        <f>GRAL!B302</f>
        <v>2015-2018</v>
      </c>
      <c r="C301" s="88">
        <f>OBRA!I300</f>
        <v>2018</v>
      </c>
      <c r="D301" s="893"/>
      <c r="E301" s="103" t="str">
        <f>OBRA!K300</f>
        <v>RAMO 33</v>
      </c>
      <c r="F301" s="526"/>
      <c r="G301" s="392"/>
      <c r="H301" s="102"/>
      <c r="I301" s="392"/>
      <c r="J301" s="159" t="str">
        <f>OBRA!U300</f>
        <v>-</v>
      </c>
      <c r="K301" s="160" t="str">
        <f>OBRA!V300</f>
        <v>ING. J. GUADALUPE IBARRA RAMIREZ</v>
      </c>
      <c r="L301" s="340" t="str">
        <f>OBRA!L300</f>
        <v>DOP/AD/007/2018</v>
      </c>
      <c r="M301" s="203" t="str">
        <f>OBRA!M300</f>
        <v>CANCELADA</v>
      </c>
      <c r="N301" s="112" t="str">
        <f>OBRA!N300</f>
        <v>PUENTE PEATONAL, C. LIBERTAD, ZDH</v>
      </c>
      <c r="O301" s="132"/>
      <c r="P301" s="93">
        <f>OBRA!Q300</f>
        <v>0</v>
      </c>
      <c r="Q301" s="92">
        <f>OBRA!P300</f>
        <v>0</v>
      </c>
      <c r="R301" s="94">
        <f>OBRA!R300</f>
        <v>0</v>
      </c>
      <c r="S301" s="95">
        <f>OBRA!S300</f>
        <v>0</v>
      </c>
      <c r="T301" s="97"/>
      <c r="U301" s="785" t="s">
        <v>1431</v>
      </c>
      <c r="V301" s="343"/>
      <c r="W301" s="95"/>
      <c r="X301" s="954">
        <f>OBRA!AP300</f>
        <v>0</v>
      </c>
      <c r="Y301" s="343"/>
      <c r="Z301" s="343"/>
      <c r="AA301" s="94"/>
      <c r="AB301" s="511">
        <f>OBRA!BT300</f>
        <v>0</v>
      </c>
      <c r="AC301" s="570"/>
      <c r="AD301" s="570"/>
    </row>
    <row r="302" spans="1:30" s="110" customFormat="1" ht="15" hidden="1" customHeight="1">
      <c r="A302" s="87" t="s">
        <v>2239</v>
      </c>
      <c r="B302" s="946" t="str">
        <f>GRAL!B303</f>
        <v>2015-2018</v>
      </c>
      <c r="C302" s="88">
        <f>OBRA!I301</f>
        <v>2018</v>
      </c>
      <c r="D302" s="893"/>
      <c r="E302" s="103">
        <f>OBRA!K301</f>
        <v>0</v>
      </c>
      <c r="F302" s="526"/>
      <c r="G302" s="392"/>
      <c r="H302" s="102"/>
      <c r="I302" s="392"/>
      <c r="J302" s="159" t="str">
        <f>OBRA!U301</f>
        <v>-</v>
      </c>
      <c r="K302" s="160">
        <f>OBRA!V301</f>
        <v>0</v>
      </c>
      <c r="L302" s="340" t="str">
        <f>OBRA!L301</f>
        <v>DOP/AD/008/2018</v>
      </c>
      <c r="M302" s="203" t="str">
        <f>OBRA!M301</f>
        <v>CANCELADA</v>
      </c>
      <c r="N302" s="112">
        <f>OBRA!N301</f>
        <v>0</v>
      </c>
      <c r="O302" s="132"/>
      <c r="P302" s="93">
        <f>OBRA!Q301</f>
        <v>0</v>
      </c>
      <c r="Q302" s="92">
        <f>OBRA!P301</f>
        <v>0</v>
      </c>
      <c r="R302" s="94">
        <f>OBRA!R301</f>
        <v>0</v>
      </c>
      <c r="S302" s="95">
        <f>OBRA!S301</f>
        <v>0</v>
      </c>
      <c r="T302" s="97"/>
      <c r="U302" s="785" t="s">
        <v>1431</v>
      </c>
      <c r="V302" s="343"/>
      <c r="W302" s="95"/>
      <c r="X302" s="954">
        <f>OBRA!AP301</f>
        <v>0</v>
      </c>
      <c r="Y302" s="343"/>
      <c r="Z302" s="343"/>
      <c r="AA302" s="94"/>
      <c r="AB302" s="511">
        <f>OBRA!BT301</f>
        <v>0</v>
      </c>
      <c r="AC302" s="570"/>
      <c r="AD302" s="570"/>
    </row>
    <row r="303" spans="1:30" s="110" customFormat="1" ht="15" hidden="1" customHeight="1">
      <c r="A303" s="87" t="s">
        <v>2239</v>
      </c>
      <c r="B303" s="946" t="str">
        <f>GRAL!B304</f>
        <v>2015-2018</v>
      </c>
      <c r="C303" s="88">
        <f>OBRA!I302</f>
        <v>2018</v>
      </c>
      <c r="D303" s="893"/>
      <c r="E303" s="103">
        <f>OBRA!K302</f>
        <v>0</v>
      </c>
      <c r="F303" s="526"/>
      <c r="G303" s="392"/>
      <c r="H303" s="102"/>
      <c r="I303" s="392"/>
      <c r="J303" s="159" t="str">
        <f>OBRA!U302</f>
        <v>-</v>
      </c>
      <c r="K303" s="160">
        <f>OBRA!V302</f>
        <v>0</v>
      </c>
      <c r="L303" s="340" t="str">
        <f>OBRA!L302</f>
        <v>DOP/AD/009/2018</v>
      </c>
      <c r="M303" s="203" t="str">
        <f>OBRA!M302</f>
        <v>CANCELADA</v>
      </c>
      <c r="N303" s="112">
        <f>OBRA!N302</f>
        <v>0</v>
      </c>
      <c r="O303" s="132"/>
      <c r="P303" s="93">
        <f>OBRA!Q302</f>
        <v>0</v>
      </c>
      <c r="Q303" s="92">
        <f>OBRA!P302</f>
        <v>0</v>
      </c>
      <c r="R303" s="94">
        <f>OBRA!R302</f>
        <v>0</v>
      </c>
      <c r="S303" s="95">
        <f>OBRA!S302</f>
        <v>0</v>
      </c>
      <c r="T303" s="97"/>
      <c r="U303" s="785" t="s">
        <v>1431</v>
      </c>
      <c r="V303" s="343"/>
      <c r="W303" s="95"/>
      <c r="X303" s="954">
        <f>OBRA!AP302</f>
        <v>0</v>
      </c>
      <c r="Y303" s="343"/>
      <c r="Z303" s="343"/>
      <c r="AA303" s="94"/>
      <c r="AB303" s="511">
        <f>OBRA!BT302</f>
        <v>0</v>
      </c>
      <c r="AC303" s="570"/>
      <c r="AD303" s="570"/>
    </row>
    <row r="304" spans="1:30" ht="15" hidden="1" customHeight="1">
      <c r="A304" s="23" t="s">
        <v>2239</v>
      </c>
      <c r="B304" s="933" t="str">
        <f>GRAL!B305</f>
        <v>2015-2018</v>
      </c>
      <c r="C304" s="17">
        <f>OBRA!I303</f>
        <v>2018</v>
      </c>
      <c r="D304" s="1676"/>
      <c r="E304" s="18" t="str">
        <f>OBRA!K303</f>
        <v>RAMO 33</v>
      </c>
      <c r="F304" s="525"/>
      <c r="G304" s="390"/>
      <c r="H304" s="1"/>
      <c r="I304" s="390"/>
      <c r="J304" s="56" t="str">
        <f>OBRA!U303</f>
        <v>N/A</v>
      </c>
      <c r="K304" s="57" t="str">
        <f>OBRA!V303</f>
        <v>ING. J. GUADALUPE IBARRA RAMIREZ</v>
      </c>
      <c r="L304" s="35"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2">
        <f>OBRA!S303</f>
        <v>43262</v>
      </c>
      <c r="T304" s="55"/>
      <c r="U304" s="415" t="s">
        <v>1431</v>
      </c>
      <c r="V304" s="341"/>
      <c r="W304" s="12"/>
      <c r="X304" s="307">
        <f>OBRA!AP303</f>
        <v>0</v>
      </c>
      <c r="Y304" s="341"/>
      <c r="Z304" s="341"/>
      <c r="AA304" s="5"/>
      <c r="AB304" s="351">
        <f>OBRA!BT303</f>
        <v>0</v>
      </c>
      <c r="AC304" s="569"/>
      <c r="AD304" s="569"/>
    </row>
    <row r="305" spans="1:30" ht="15" hidden="1" customHeight="1">
      <c r="A305" s="23" t="s">
        <v>2239</v>
      </c>
      <c r="B305" s="933" t="str">
        <f>GRAL!B306</f>
        <v>2015-2018</v>
      </c>
      <c r="C305" s="17">
        <f>OBRA!I304</f>
        <v>2018</v>
      </c>
      <c r="D305" s="1676"/>
      <c r="E305" s="18" t="str">
        <f>OBRA!K304</f>
        <v>Fondo de proyectos para el Desarrollo Regional</v>
      </c>
      <c r="F305" s="525"/>
      <c r="G305" s="390"/>
      <c r="H305" s="1"/>
      <c r="I305" s="390"/>
      <c r="J305" s="56" t="str">
        <f>OBRA!U304</f>
        <v>N/A</v>
      </c>
      <c r="K305" s="57" t="str">
        <f>OBRA!V304</f>
        <v>ING. J. GUADALUPE IBARRA RAMIREZ</v>
      </c>
      <c r="L305" s="35"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2">
        <f>OBRA!S304</f>
        <v>43322</v>
      </c>
      <c r="T305" s="55"/>
      <c r="U305" s="415" t="s">
        <v>1431</v>
      </c>
      <c r="V305" s="341"/>
      <c r="W305" s="12"/>
      <c r="X305" s="307">
        <f>OBRA!AP304</f>
        <v>0</v>
      </c>
      <c r="Y305" s="341"/>
      <c r="Z305" s="341"/>
      <c r="AA305" s="5"/>
      <c r="AB305" s="351">
        <f>OBRA!BT304</f>
        <v>0</v>
      </c>
      <c r="AC305" s="569"/>
      <c r="AD305" s="569"/>
    </row>
    <row r="306" spans="1:30" ht="15" hidden="1" customHeight="1">
      <c r="A306" s="23" t="s">
        <v>2239</v>
      </c>
      <c r="B306" s="933" t="str">
        <f>GRAL!B307</f>
        <v>2015-2018</v>
      </c>
      <c r="C306" s="17">
        <f>OBRA!I305</f>
        <v>2018</v>
      </c>
      <c r="D306" s="1676"/>
      <c r="E306" s="18" t="str">
        <f>OBRA!K305</f>
        <v>CUENTA CORRIENTE</v>
      </c>
      <c r="F306" s="525"/>
      <c r="G306" s="390"/>
      <c r="H306" s="1"/>
      <c r="I306" s="390"/>
      <c r="J306" s="56" t="str">
        <f>OBRA!U305</f>
        <v>N/A</v>
      </c>
      <c r="K306" s="57" t="str">
        <f>OBRA!V305</f>
        <v>ING. J. GUADALUPE IBARRA RAMIREZ</v>
      </c>
      <c r="L306" s="35"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2">
        <f>OBRA!S305</f>
        <v>43318</v>
      </c>
      <c r="T306" s="55"/>
      <c r="U306" s="415" t="s">
        <v>1431</v>
      </c>
      <c r="V306" s="341"/>
      <c r="W306" s="12"/>
      <c r="X306" s="307">
        <f>OBRA!AP305</f>
        <v>0</v>
      </c>
      <c r="Y306" s="341"/>
      <c r="Z306" s="341"/>
      <c r="AA306" s="5"/>
      <c r="AB306" s="351">
        <f>OBRA!BT305</f>
        <v>0</v>
      </c>
      <c r="AC306" s="569"/>
      <c r="AD306" s="569"/>
    </row>
    <row r="307" spans="1:30" ht="15" hidden="1" customHeight="1">
      <c r="A307" s="23" t="s">
        <v>2239</v>
      </c>
      <c r="B307" s="933" t="str">
        <f>GRAL!B308</f>
        <v>2015-2018</v>
      </c>
      <c r="C307" s="17">
        <f>OBRA!I306</f>
        <v>2018</v>
      </c>
      <c r="D307" s="1676"/>
      <c r="E307" s="18" t="str">
        <f>OBRA!K306</f>
        <v>CUENTA CORRIENTE</v>
      </c>
      <c r="F307" s="525"/>
      <c r="G307" s="390"/>
      <c r="H307" s="1"/>
      <c r="I307" s="390"/>
      <c r="J307" s="56" t="str">
        <f>OBRA!U306</f>
        <v>N/A</v>
      </c>
      <c r="K307" s="57" t="str">
        <f>OBRA!V306</f>
        <v>ING. J. GUADALUPE IBARRA RAMIREZ</v>
      </c>
      <c r="L307" s="35"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2">
        <f>OBRA!S306</f>
        <v>43318</v>
      </c>
      <c r="T307" s="55"/>
      <c r="U307" s="415" t="s">
        <v>1431</v>
      </c>
      <c r="V307" s="341"/>
      <c r="W307" s="12"/>
      <c r="X307" s="307">
        <f>OBRA!AP306</f>
        <v>0</v>
      </c>
      <c r="Y307" s="341"/>
      <c r="Z307" s="341"/>
      <c r="AA307" s="5"/>
      <c r="AB307" s="351">
        <f>OBRA!BT306</f>
        <v>0</v>
      </c>
      <c r="AC307" s="569"/>
      <c r="AD307" s="569"/>
    </row>
    <row r="308" spans="1:30" ht="15" hidden="1" customHeight="1">
      <c r="A308" s="23" t="s">
        <v>2239</v>
      </c>
      <c r="B308" s="933" t="str">
        <f>GRAL!B309</f>
        <v>2015-2018</v>
      </c>
      <c r="C308" s="17">
        <f>OBRA!I307</f>
        <v>2018</v>
      </c>
      <c r="D308" s="1676"/>
      <c r="E308" s="18" t="str">
        <f>OBRA!K307</f>
        <v>RAMO 33</v>
      </c>
      <c r="F308" s="525"/>
      <c r="G308" s="390"/>
      <c r="H308" s="1"/>
      <c r="I308" s="390"/>
      <c r="J308" s="56" t="str">
        <f>OBRA!U307</f>
        <v>N/A</v>
      </c>
      <c r="K308" s="57" t="str">
        <f>OBRA!V307</f>
        <v>ARQ. CESAR ANTONIO ALONSO JIMENEZ</v>
      </c>
      <c r="L308" s="35"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2">
        <f>OBRA!S307</f>
        <v>43294</v>
      </c>
      <c r="T308" s="55"/>
      <c r="U308" s="415" t="s">
        <v>1431</v>
      </c>
      <c r="V308" s="341"/>
      <c r="W308" s="12"/>
      <c r="X308" s="307">
        <f>OBRA!AP307</f>
        <v>0</v>
      </c>
      <c r="Y308" s="341"/>
      <c r="Z308" s="341"/>
      <c r="AA308" s="5"/>
      <c r="AB308" s="351">
        <f>OBRA!BT307</f>
        <v>0</v>
      </c>
      <c r="AC308" s="569"/>
      <c r="AD308" s="569"/>
    </row>
    <row r="309" spans="1:30" s="110" customFormat="1" ht="15" hidden="1" customHeight="1">
      <c r="A309" s="87" t="s">
        <v>2239</v>
      </c>
      <c r="B309" s="946" t="str">
        <f>GRAL!B310</f>
        <v>2015-2018</v>
      </c>
      <c r="C309" s="88">
        <f>OBRA!I308</f>
        <v>2018</v>
      </c>
      <c r="D309" s="893"/>
      <c r="E309" s="103" t="str">
        <f>OBRA!K308</f>
        <v>RAMO 33</v>
      </c>
      <c r="F309" s="526"/>
      <c r="G309" s="392"/>
      <c r="H309" s="102"/>
      <c r="I309" s="392"/>
      <c r="J309" s="159" t="str">
        <f>OBRA!U308</f>
        <v>-</v>
      </c>
      <c r="K309" s="160" t="str">
        <f>OBRA!V308</f>
        <v>-</v>
      </c>
      <c r="L309" s="340" t="str">
        <f>OBRA!L308</f>
        <v>DOP/AD/015/2018</v>
      </c>
      <c r="M309" s="203" t="str">
        <f>OBRA!M308</f>
        <v>CANCELADA</v>
      </c>
      <c r="N309" s="112" t="str">
        <f>OBRA!N308</f>
        <v>FABRICACION DE BANQUETAS EN CALLE "EL HUASOYO" EN LA LOCALIDAD DE CHANTEPEC, DEL MUNICIPIO DE JOCOTEPEC, JALISCO</v>
      </c>
      <c r="O309" s="132"/>
      <c r="P309" s="93">
        <f>OBRA!Q308</f>
        <v>43276</v>
      </c>
      <c r="Q309" s="92">
        <f>OBRA!P308</f>
        <v>88593.05</v>
      </c>
      <c r="R309" s="94">
        <f>OBRA!R308</f>
        <v>43276</v>
      </c>
      <c r="S309" s="95">
        <f>OBRA!S308</f>
        <v>43288</v>
      </c>
      <c r="T309" s="97"/>
      <c r="U309" s="785" t="s">
        <v>1431</v>
      </c>
      <c r="V309" s="343"/>
      <c r="W309" s="95"/>
      <c r="X309" s="954">
        <f>OBRA!AP308</f>
        <v>0</v>
      </c>
      <c r="Y309" s="343"/>
      <c r="Z309" s="343"/>
      <c r="AA309" s="94"/>
      <c r="AB309" s="511">
        <f>OBRA!BT308</f>
        <v>0</v>
      </c>
      <c r="AC309" s="570"/>
      <c r="AD309" s="570"/>
    </row>
    <row r="310" spans="1:30" ht="15" hidden="1" customHeight="1">
      <c r="A310" s="23" t="s">
        <v>2239</v>
      </c>
      <c r="B310" s="933" t="str">
        <f>GRAL!B311</f>
        <v>2015-2018</v>
      </c>
      <c r="C310" s="17">
        <f>OBRA!I309</f>
        <v>2018</v>
      </c>
      <c r="D310" s="1676"/>
      <c r="E310" s="18" t="str">
        <f>OBRA!K309</f>
        <v>Fondo de proyectos para el Desarrollo Regional</v>
      </c>
      <c r="F310" s="525"/>
      <c r="G310" s="390"/>
      <c r="H310" s="1"/>
      <c r="I310" s="390"/>
      <c r="J310" s="56" t="str">
        <f>OBRA!U309</f>
        <v>N/A</v>
      </c>
      <c r="K310" s="57" t="str">
        <f>OBRA!V309</f>
        <v>ING. J. GUADALUPE IBARRA RAMIREZ</v>
      </c>
      <c r="L310" s="35"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2">
        <f>OBRA!S309</f>
        <v>43311</v>
      </c>
      <c r="T310" s="55"/>
      <c r="U310" s="415" t="s">
        <v>1431</v>
      </c>
      <c r="V310" s="341"/>
      <c r="W310" s="12"/>
      <c r="X310" s="307">
        <f>OBRA!AP309</f>
        <v>0</v>
      </c>
      <c r="Y310" s="341"/>
      <c r="Z310" s="341"/>
      <c r="AA310" s="5"/>
      <c r="AB310" s="351" t="str">
        <f>OBRA!BT309</f>
        <v>FOTOS FIN</v>
      </c>
      <c r="AC310" s="569"/>
      <c r="AD310" s="569"/>
    </row>
    <row r="311" spans="1:30" ht="15" hidden="1" customHeight="1">
      <c r="A311" s="23" t="s">
        <v>2239</v>
      </c>
      <c r="B311" s="933" t="str">
        <f>GRAL!B312</f>
        <v>2015-2018</v>
      </c>
      <c r="C311" s="17">
        <f>OBRA!I310</f>
        <v>2018</v>
      </c>
      <c r="D311" s="1676"/>
      <c r="E311" s="18" t="str">
        <f>OBRA!K310</f>
        <v>Fondo de proyectos para el Desarrollo Regional</v>
      </c>
      <c r="F311" s="525"/>
      <c r="G311" s="390"/>
      <c r="H311" s="1"/>
      <c r="I311" s="390"/>
      <c r="J311" s="56" t="str">
        <f>OBRA!U310</f>
        <v>N/A</v>
      </c>
      <c r="K311" s="57" t="str">
        <f>OBRA!V310</f>
        <v>ING. JUAN MANUEL GARCIA ESCOTO</v>
      </c>
      <c r="L311" s="35"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2">
        <f>OBRA!S310</f>
        <v>43329</v>
      </c>
      <c r="T311" s="55"/>
      <c r="U311" s="415" t="s">
        <v>1431</v>
      </c>
      <c r="V311" s="341"/>
      <c r="W311" s="12"/>
      <c r="X311" s="307">
        <f>OBRA!AP310</f>
        <v>0</v>
      </c>
      <c r="Y311" s="341"/>
      <c r="Z311" s="341"/>
      <c r="AA311" s="5"/>
      <c r="AB311" s="351" t="str">
        <f>OBRA!BT310</f>
        <v>FOTOS FIN</v>
      </c>
      <c r="AC311" s="569"/>
      <c r="AD311" s="569"/>
    </row>
    <row r="312" spans="1:30" ht="15" hidden="1" customHeight="1">
      <c r="A312" s="23" t="s">
        <v>2239</v>
      </c>
      <c r="B312" s="933" t="str">
        <f>GRAL!B313</f>
        <v>2015-2018</v>
      </c>
      <c r="C312" s="17">
        <f>OBRA!I311</f>
        <v>2018</v>
      </c>
      <c r="D312" s="1676"/>
      <c r="E312" s="18" t="str">
        <f>OBRA!K311</f>
        <v>RAMO 33</v>
      </c>
      <c r="F312" s="525"/>
      <c r="G312" s="390"/>
      <c r="H312" s="1"/>
      <c r="I312" s="390"/>
      <c r="J312" s="56" t="str">
        <f>OBRA!U311</f>
        <v>N/A</v>
      </c>
      <c r="K312" s="57" t="str">
        <f>OBRA!V311</f>
        <v>-</v>
      </c>
      <c r="L312" s="35"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2">
        <f>OBRA!S311</f>
        <v>43357</v>
      </c>
      <c r="T312" s="55"/>
      <c r="U312" s="415" t="s">
        <v>1431</v>
      </c>
      <c r="V312" s="341"/>
      <c r="W312" s="12"/>
      <c r="X312" s="307">
        <f>OBRA!AP311</f>
        <v>0</v>
      </c>
      <c r="Y312" s="341"/>
      <c r="Z312" s="341"/>
      <c r="AA312" s="5"/>
      <c r="AB312" s="351">
        <f>OBRA!BT311</f>
        <v>0</v>
      </c>
      <c r="AC312" s="569"/>
      <c r="AD312" s="569"/>
    </row>
    <row r="313" spans="1:30" s="110" customFormat="1" ht="15" hidden="1" customHeight="1">
      <c r="A313" s="87" t="s">
        <v>2239</v>
      </c>
      <c r="B313" s="946" t="str">
        <f>GRAL!B314</f>
        <v>2015-2018</v>
      </c>
      <c r="C313" s="88">
        <f>OBRA!I312</f>
        <v>2018</v>
      </c>
      <c r="D313" s="893"/>
      <c r="E313" s="103">
        <f>OBRA!K312</f>
        <v>0</v>
      </c>
      <c r="F313" s="526"/>
      <c r="G313" s="392"/>
      <c r="H313" s="102"/>
      <c r="I313" s="392"/>
      <c r="J313" s="159" t="str">
        <f>OBRA!U312</f>
        <v>N/A</v>
      </c>
      <c r="K313" s="160" t="str">
        <f>OBRA!V312</f>
        <v>-</v>
      </c>
      <c r="L313" s="340" t="str">
        <f>OBRA!L312</f>
        <v>DOP/AD/019/2018</v>
      </c>
      <c r="M313" s="203" t="str">
        <f>OBRA!M312</f>
        <v>CANCELADA</v>
      </c>
      <c r="N313" s="112">
        <f>OBRA!N312</f>
        <v>0</v>
      </c>
      <c r="O313" s="132"/>
      <c r="P313" s="93">
        <f>OBRA!Q312</f>
        <v>0</v>
      </c>
      <c r="Q313" s="92">
        <f>OBRA!P312</f>
        <v>0</v>
      </c>
      <c r="R313" s="94">
        <f>OBRA!R312</f>
        <v>0</v>
      </c>
      <c r="S313" s="95">
        <f>OBRA!S312</f>
        <v>0</v>
      </c>
      <c r="T313" s="97"/>
      <c r="U313" s="785" t="s">
        <v>1431</v>
      </c>
      <c r="V313" s="343"/>
      <c r="W313" s="95"/>
      <c r="X313" s="954">
        <f>OBRA!AP312</f>
        <v>0</v>
      </c>
      <c r="Y313" s="343"/>
      <c r="Z313" s="343"/>
      <c r="AA313" s="94"/>
      <c r="AB313" s="511">
        <f>OBRA!BT312</f>
        <v>0</v>
      </c>
      <c r="AC313" s="570"/>
      <c r="AD313" s="570"/>
    </row>
    <row r="314" spans="1:30" ht="30" hidden="1" customHeight="1">
      <c r="A314" s="23" t="s">
        <v>2239</v>
      </c>
      <c r="B314" s="933" t="str">
        <f>GRAL!B315</f>
        <v>2015-2018</v>
      </c>
      <c r="C314" s="17">
        <f>OBRA!I313</f>
        <v>2018</v>
      </c>
      <c r="D314" s="1676"/>
      <c r="E314" s="18" t="str">
        <f>OBRA!K313</f>
        <v>CUENTA CORRIENTE</v>
      </c>
      <c r="F314" s="525"/>
      <c r="G314" s="390"/>
      <c r="H314" s="1"/>
      <c r="I314" s="390"/>
      <c r="J314" s="56" t="str">
        <f>OBRA!U313</f>
        <v>N/A</v>
      </c>
      <c r="K314" s="57" t="str">
        <f>OBRA!V313</f>
        <v>-</v>
      </c>
      <c r="L314" s="35"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2">
        <f>OBRA!S313</f>
        <v>43365</v>
      </c>
      <c r="T314" s="55"/>
      <c r="U314" s="415" t="s">
        <v>1431</v>
      </c>
      <c r="V314" s="341"/>
      <c r="W314" s="12"/>
      <c r="X314" s="307">
        <f>OBRA!AP313</f>
        <v>0</v>
      </c>
      <c r="Y314" s="341"/>
      <c r="Z314" s="341"/>
      <c r="AA314" s="5"/>
      <c r="AB314" s="351">
        <f>OBRA!BT313</f>
        <v>0</v>
      </c>
      <c r="AC314" s="569"/>
      <c r="AD314" s="569"/>
    </row>
    <row r="315" spans="1:30" ht="138.75" hidden="1" customHeight="1">
      <c r="A315" s="23" t="s">
        <v>2239</v>
      </c>
      <c r="B315" s="933" t="str">
        <f>GRAL!B316</f>
        <v>2015-2018</v>
      </c>
      <c r="C315" s="17">
        <f>OBRA!I314</f>
        <v>2018</v>
      </c>
      <c r="D315" s="1676"/>
      <c r="E315" s="18" t="str">
        <f>OBRA!K314</f>
        <v>RAMO 33</v>
      </c>
      <c r="F315" s="525" t="s">
        <v>1431</v>
      </c>
      <c r="G315" s="557"/>
      <c r="H315" s="1012"/>
      <c r="I315" s="557"/>
      <c r="J315" s="339" t="str">
        <f>OBRA!U314</f>
        <v>C. NORMA GORETY DOMINGUEZ CALVARIO</v>
      </c>
      <c r="K315" s="57" t="str">
        <f>OBRA!V314</f>
        <v>ING. JUAN MANUEL GARCIA ESCOTO</v>
      </c>
      <c r="L315" s="35"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54" t="s">
        <v>3529</v>
      </c>
      <c r="P315" s="6">
        <f>OBRA!Q314</f>
        <v>43137</v>
      </c>
      <c r="Q315" s="4">
        <f>OBRA!P314</f>
        <v>844622.8</v>
      </c>
      <c r="R315" s="5">
        <f>OBRA!R314</f>
        <v>43137</v>
      </c>
      <c r="S315" s="12">
        <f>OBRA!S314</f>
        <v>43168</v>
      </c>
      <c r="T315" s="1601" t="s">
        <v>3860</v>
      </c>
      <c r="U315" s="216" t="s">
        <v>1431</v>
      </c>
      <c r="V315" s="654"/>
      <c r="W315" s="1443"/>
      <c r="X315" s="1157">
        <f>OBRA!AP314</f>
        <v>168924.56</v>
      </c>
      <c r="Y315" s="341"/>
      <c r="Z315" s="341"/>
      <c r="AA315" s="5"/>
      <c r="AB315" s="351">
        <f>OBRA!BT314</f>
        <v>0</v>
      </c>
      <c r="AC315" s="569"/>
      <c r="AD315" s="569"/>
    </row>
    <row r="316" spans="1:30" ht="15" hidden="1" customHeight="1">
      <c r="A316" s="23" t="s">
        <v>2239</v>
      </c>
      <c r="B316" s="933" t="str">
        <f>GRAL!B317</f>
        <v>2015-2018</v>
      </c>
      <c r="C316" s="17">
        <f>OBRA!I315</f>
        <v>2018</v>
      </c>
      <c r="D316" s="1676"/>
      <c r="E316" s="18" t="str">
        <f>OBRA!K315</f>
        <v>RAMO 33</v>
      </c>
      <c r="F316" s="525"/>
      <c r="G316" s="390"/>
      <c r="H316" s="1"/>
      <c r="I316" s="390"/>
      <c r="J316" s="56" t="str">
        <f>OBRA!U315</f>
        <v xml:space="preserve">DRABSA CONSTRUCTORA S.A. DE C.V. </v>
      </c>
      <c r="K316" s="57" t="str">
        <f>OBRA!V315</f>
        <v>ING. JUAN MANUEL GARCIA ESCOTO</v>
      </c>
      <c r="L316" s="35"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54"/>
      <c r="P316" s="6">
        <f>OBRA!Q315</f>
        <v>43208</v>
      </c>
      <c r="Q316" s="4">
        <f>OBRA!P315</f>
        <v>1341538.44</v>
      </c>
      <c r="R316" s="5">
        <f>OBRA!R315</f>
        <v>43209</v>
      </c>
      <c r="S316" s="12">
        <f>OBRA!S315</f>
        <v>43239</v>
      </c>
      <c r="T316" s="55"/>
      <c r="U316" s="415" t="s">
        <v>1431</v>
      </c>
      <c r="V316" s="341"/>
      <c r="W316" s="12"/>
      <c r="X316" s="307">
        <f>OBRA!AP315</f>
        <v>469538.44999999995</v>
      </c>
      <c r="Y316" s="341"/>
      <c r="Z316" s="341"/>
      <c r="AA316" s="5"/>
      <c r="AB316" s="351">
        <f>OBRA!BT315</f>
        <v>0</v>
      </c>
      <c r="AC316" s="569"/>
      <c r="AD316" s="569"/>
    </row>
    <row r="317" spans="1:30" ht="15" hidden="1" customHeight="1">
      <c r="A317" s="23" t="s">
        <v>2239</v>
      </c>
      <c r="B317" s="933" t="str">
        <f>GRAL!B318</f>
        <v>2015-2018</v>
      </c>
      <c r="C317" s="17">
        <f>OBRA!I316</f>
        <v>2018</v>
      </c>
      <c r="D317" s="1676"/>
      <c r="E317" s="18" t="str">
        <f>OBRA!K316</f>
        <v>RAMO 33</v>
      </c>
      <c r="F317" s="525"/>
      <c r="G317" s="390"/>
      <c r="H317" s="1"/>
      <c r="I317" s="390"/>
      <c r="J317" s="56" t="str">
        <f>OBRA!U316</f>
        <v xml:space="preserve">DRABSA CONSTRUCTORA S.A. DE C.V. </v>
      </c>
      <c r="K317" s="57" t="str">
        <f>OBRA!V316</f>
        <v>ING. JUAN MANUEL GARCIA ESCOTO</v>
      </c>
      <c r="L317" s="35"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54"/>
      <c r="P317" s="6">
        <f>OBRA!Q316</f>
        <v>43208</v>
      </c>
      <c r="Q317" s="4">
        <f>OBRA!P316</f>
        <v>1303478.02</v>
      </c>
      <c r="R317" s="5">
        <f>OBRA!R316</f>
        <v>43208</v>
      </c>
      <c r="S317" s="12">
        <f>OBRA!S316</f>
        <v>43239</v>
      </c>
      <c r="T317" s="55"/>
      <c r="U317" s="415" t="s">
        <v>1431</v>
      </c>
      <c r="V317" s="341"/>
      <c r="W317" s="12"/>
      <c r="X317" s="307">
        <f>OBRA!AP316</f>
        <v>130347.8</v>
      </c>
      <c r="Y317" s="341"/>
      <c r="Z317" s="341"/>
      <c r="AA317" s="5"/>
      <c r="AB317" s="351">
        <f>OBRA!BT316</f>
        <v>0</v>
      </c>
      <c r="AC317" s="569"/>
      <c r="AD317" s="569"/>
    </row>
    <row r="318" spans="1:30" ht="91.5" hidden="1" customHeight="1">
      <c r="A318" s="23" t="s">
        <v>2239</v>
      </c>
      <c r="B318" s="933" t="str">
        <f>GRAL!B319</f>
        <v>2015-2018</v>
      </c>
      <c r="C318" s="17">
        <f>OBRA!I317</f>
        <v>2018</v>
      </c>
      <c r="D318" s="1676"/>
      <c r="E318" s="18" t="str">
        <f>OBRA!K317</f>
        <v>CUENTA CORRIENTE</v>
      </c>
      <c r="F318" s="695" t="s">
        <v>1431</v>
      </c>
      <c r="G318" s="552" t="s">
        <v>3710</v>
      </c>
      <c r="H318" s="545" t="s">
        <v>3710</v>
      </c>
      <c r="I318" s="552" t="s">
        <v>3710</v>
      </c>
      <c r="J318" s="56" t="str">
        <f>OBRA!U317</f>
        <v>JOSE LUIS RANGEL GALVEZ</v>
      </c>
      <c r="K318" s="57" t="str">
        <f>OBRA!V317</f>
        <v>ARQ. CESAR ANTONIO ALONSO JIMENEZ</v>
      </c>
      <c r="L318" s="35" t="str">
        <f>OBRA!L317</f>
        <v>GMJ 004C OP/2018</v>
      </c>
      <c r="M318" s="2" t="str">
        <f>OBRA!M317</f>
        <v>ADJUDICACIÓN DIRECTA</v>
      </c>
      <c r="N318" s="3" t="str">
        <f>OBRA!N317</f>
        <v>CONSTRUCCION DE AMPLIACIÓN DEL PANTEON 2DA ETAPA EN LA CABECERA MUNICIPAL, DEL MUNICIPIO DE JOCOTEPEC, JALISCO</v>
      </c>
      <c r="O318" s="554" t="s">
        <v>3529</v>
      </c>
      <c r="P318" s="6">
        <f>OBRA!Q317</f>
        <v>43224</v>
      </c>
      <c r="Q318" s="4">
        <f>OBRA!P317</f>
        <v>500000</v>
      </c>
      <c r="R318" s="5">
        <f>OBRA!R317</f>
        <v>43228</v>
      </c>
      <c r="S318" s="12">
        <f>OBRA!S317</f>
        <v>43321</v>
      </c>
      <c r="T318" s="227" t="s">
        <v>3859</v>
      </c>
      <c r="U318" s="415" t="s">
        <v>1431</v>
      </c>
      <c r="V318" s="591"/>
      <c r="W318" s="479"/>
      <c r="X318" s="1155">
        <f>OBRA!AP317</f>
        <v>125000</v>
      </c>
      <c r="Y318" s="341"/>
      <c r="Z318" s="341"/>
      <c r="AA318" s="5"/>
      <c r="AB318" s="351">
        <f>OBRA!BT317</f>
        <v>0</v>
      </c>
      <c r="AC318" s="569"/>
      <c r="AD318" s="569"/>
    </row>
    <row r="319" spans="1:30" ht="141.75" hidden="1" customHeight="1">
      <c r="A319" s="23" t="s">
        <v>2239</v>
      </c>
      <c r="B319" s="933" t="str">
        <f>GRAL!B320</f>
        <v>2015-2018</v>
      </c>
      <c r="C319" s="17">
        <f>OBRA!I318</f>
        <v>2018</v>
      </c>
      <c r="D319" s="1676"/>
      <c r="E319" s="18" t="str">
        <f>OBRA!K318</f>
        <v>RAMO 33</v>
      </c>
      <c r="F319" s="695" t="s">
        <v>1431</v>
      </c>
      <c r="G319" s="552" t="s">
        <v>3711</v>
      </c>
      <c r="H319" s="580" t="s">
        <v>3711</v>
      </c>
      <c r="I319" s="552" t="s">
        <v>3711</v>
      </c>
      <c r="J319" s="339" t="str">
        <f>OBRA!U318</f>
        <v xml:space="preserve">GRUPO DESARROLLADOR INMOBILIARIO CEMERAMA S.A. DE C.V. </v>
      </c>
      <c r="K319" s="172" t="str">
        <f>OBRA!V318</f>
        <v>LIC. SALVADOR CONTRERAS OLGUÍN</v>
      </c>
      <c r="L319" s="180" t="str">
        <f>OBRA!L318</f>
        <v>GMJ 005C OP/2018</v>
      </c>
      <c r="M319" s="202" t="str">
        <f>OBRA!M318</f>
        <v>ADJUDICACIÓN DIRECTA</v>
      </c>
      <c r="N319" s="328" t="str">
        <f>OBRA!N318</f>
        <v>AMPLIACION DE RED DE AGUA POTABLE DE 2 I/2" A 4" EN LA LATERAL DE CARRETERA CHAPALA-JOCOTEPEC, ENTRE LA CALLE ITURBIDE A CALLE NARCIZO MENDOZA EN LA LOCALIDAD DE SAN JUAN COSALA, DEL MUNICIPIO DE JOCOTEPEC, JALISCO</v>
      </c>
      <c r="O319" s="554" t="s">
        <v>3529</v>
      </c>
      <c r="P319" s="69">
        <f>OBRA!Q318</f>
        <v>43221</v>
      </c>
      <c r="Q319" s="85">
        <f>OBRA!P318</f>
        <v>688990.42</v>
      </c>
      <c r="R319" s="255">
        <f>OBRA!R318</f>
        <v>43224</v>
      </c>
      <c r="S319" s="245">
        <f>OBRA!S318</f>
        <v>43285</v>
      </c>
      <c r="T319" s="1601" t="s">
        <v>3860</v>
      </c>
      <c r="U319" s="216" t="s">
        <v>1431</v>
      </c>
      <c r="V319" s="549" t="s">
        <v>3711</v>
      </c>
      <c r="W319" s="668" t="s">
        <v>3711</v>
      </c>
      <c r="X319" s="1155">
        <f>OBRA!AP318</f>
        <v>68899.039999999994</v>
      </c>
      <c r="Y319" s="341"/>
      <c r="Z319" s="341"/>
      <c r="AA319" s="5"/>
      <c r="AB319" s="351">
        <f>OBRA!BT318</f>
        <v>0</v>
      </c>
      <c r="AC319" s="569"/>
      <c r="AD319" s="569"/>
    </row>
    <row r="320" spans="1:30" ht="134.25" hidden="1" customHeight="1">
      <c r="A320" s="23" t="s">
        <v>2239</v>
      </c>
      <c r="B320" s="933" t="str">
        <f>GRAL!B321</f>
        <v>2015-2018</v>
      </c>
      <c r="C320" s="17">
        <f>OBRA!I319</f>
        <v>2018</v>
      </c>
      <c r="D320" s="1676"/>
      <c r="E320" s="18" t="str">
        <f>OBRA!K319</f>
        <v>RAMO 33</v>
      </c>
      <c r="F320" s="695" t="s">
        <v>1431</v>
      </c>
      <c r="G320" s="557"/>
      <c r="H320" s="580" t="s">
        <v>3712</v>
      </c>
      <c r="I320" s="552" t="s">
        <v>3712</v>
      </c>
      <c r="J320" s="339" t="str">
        <f>OBRA!U319</f>
        <v>ING. MACIEL MOZQUEDA GONZALEZ</v>
      </c>
      <c r="K320" s="172" t="str">
        <f>OBRA!V319</f>
        <v>ARQ. CESAR ANTONIO ALONSO JIMENEZ</v>
      </c>
      <c r="L320" s="180" t="str">
        <f>OBRA!L319</f>
        <v>GMJ 006C OP/2018</v>
      </c>
      <c r="M320" s="202" t="str">
        <f>OBRA!M319</f>
        <v>ADJUDICACIÓN DIRECTA</v>
      </c>
      <c r="N320" s="328" t="str">
        <f>OBRA!N319</f>
        <v>REHABILITACION DE LINEA DE AGUA POTABLE EN CALLE CARDENAL DESDE CARRETERA AL PANTEON, CON REPOSICION DE EMPEDRADO NORMAL EN LA LOCALIDAD DE SAN JUAN COSALA, DEL MUNICIPIO DE JOCOTEPEC, JALISCO</v>
      </c>
      <c r="O320" s="554" t="s">
        <v>3529</v>
      </c>
      <c r="P320" s="69">
        <f>OBRA!Q319</f>
        <v>43255</v>
      </c>
      <c r="Q320" s="85">
        <f>OBRA!P319</f>
        <v>343705.8</v>
      </c>
      <c r="R320" s="255">
        <f>OBRA!R319</f>
        <v>43257</v>
      </c>
      <c r="S320" s="245">
        <f>OBRA!S319</f>
        <v>43322</v>
      </c>
      <c r="T320" s="1601" t="s">
        <v>3860</v>
      </c>
      <c r="U320" s="216" t="s">
        <v>1431</v>
      </c>
      <c r="V320" s="549" t="s">
        <v>3712</v>
      </c>
      <c r="W320" s="668" t="s">
        <v>3712</v>
      </c>
      <c r="X320" s="1157">
        <f>OBRA!AP319</f>
        <v>68741.16</v>
      </c>
      <c r="Y320" s="341"/>
      <c r="Z320" s="341"/>
      <c r="AA320" s="5"/>
      <c r="AB320" s="351">
        <f>OBRA!BT319</f>
        <v>0</v>
      </c>
      <c r="AC320" s="569"/>
      <c r="AD320" s="569"/>
    </row>
    <row r="321" spans="1:30" s="110" customFormat="1" ht="15" hidden="1" customHeight="1">
      <c r="A321" s="87" t="s">
        <v>2239</v>
      </c>
      <c r="B321" s="946" t="str">
        <f>GRAL!B322</f>
        <v>2015-2018</v>
      </c>
      <c r="C321" s="88">
        <f>OBRA!I320</f>
        <v>2018</v>
      </c>
      <c r="D321" s="893"/>
      <c r="E321" s="103">
        <f>OBRA!K320</f>
        <v>0</v>
      </c>
      <c r="F321" s="526"/>
      <c r="G321" s="392"/>
      <c r="H321" s="102"/>
      <c r="I321" s="392"/>
      <c r="J321" s="159" t="str">
        <f>OBRA!U320</f>
        <v>-</v>
      </c>
      <c r="K321" s="160" t="str">
        <f>OBRA!V320</f>
        <v>-</v>
      </c>
      <c r="L321" s="340" t="str">
        <f>OBRA!L320</f>
        <v>GMJ 007C OP/2018</v>
      </c>
      <c r="M321" s="203" t="str">
        <f>OBRA!M320</f>
        <v>CANCELADA</v>
      </c>
      <c r="N321" s="112">
        <f>OBRA!N320</f>
        <v>0</v>
      </c>
      <c r="O321" s="938"/>
      <c r="P321" s="93">
        <f>OBRA!Q320</f>
        <v>0</v>
      </c>
      <c r="Q321" s="92">
        <f>OBRA!P320</f>
        <v>0</v>
      </c>
      <c r="R321" s="94">
        <f>OBRA!R320</f>
        <v>0</v>
      </c>
      <c r="S321" s="95">
        <f>OBRA!S320</f>
        <v>0</v>
      </c>
      <c r="T321" s="97"/>
      <c r="U321" s="785" t="s">
        <v>1431</v>
      </c>
      <c r="V321" s="343"/>
      <c r="W321" s="95"/>
      <c r="X321" s="954">
        <f>OBRA!AP320</f>
        <v>0</v>
      </c>
      <c r="Y321" s="343"/>
      <c r="Z321" s="343"/>
      <c r="AA321" s="94"/>
      <c r="AB321" s="511">
        <f>OBRA!BT320</f>
        <v>0</v>
      </c>
      <c r="AC321" s="570"/>
      <c r="AD321" s="570"/>
    </row>
    <row r="322" spans="1:30" ht="145.5" hidden="1" customHeight="1">
      <c r="A322" s="23" t="s">
        <v>2239</v>
      </c>
      <c r="B322" s="933" t="str">
        <f>GRAL!B323</f>
        <v>2015-2018</v>
      </c>
      <c r="C322" s="17">
        <f>OBRA!I321</f>
        <v>2018</v>
      </c>
      <c r="D322" s="1676"/>
      <c r="E322" s="18" t="str">
        <f>OBRA!K321</f>
        <v>RAMO 33</v>
      </c>
      <c r="F322" s="525" t="s">
        <v>1431</v>
      </c>
      <c r="G322" s="552" t="s">
        <v>3713</v>
      </c>
      <c r="H322" s="580" t="s">
        <v>3713</v>
      </c>
      <c r="I322" s="552" t="s">
        <v>3713</v>
      </c>
      <c r="J322" s="339" t="str">
        <f>OBRA!U321</f>
        <v xml:space="preserve">GRUPO DESARROLLADOR INMOBILIARIO CEMERAMA S.A. DE C.V. </v>
      </c>
      <c r="K322" s="172" t="str">
        <f>OBRA!V321</f>
        <v>LIC. SALVADOR CONTRERAS OLGUÍN</v>
      </c>
      <c r="L322" s="35"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54" t="s">
        <v>3529</v>
      </c>
      <c r="P322" s="6">
        <f>OBRA!Q321</f>
        <v>43222</v>
      </c>
      <c r="Q322" s="4">
        <f>OBRA!P321</f>
        <v>142361.85</v>
      </c>
      <c r="R322" s="5">
        <f>OBRA!R321</f>
        <v>43224</v>
      </c>
      <c r="S322" s="12">
        <f>OBRA!S321</f>
        <v>43255</v>
      </c>
      <c r="T322" s="1601" t="s">
        <v>3860</v>
      </c>
      <c r="U322" s="415" t="s">
        <v>1431</v>
      </c>
      <c r="V322" s="591"/>
      <c r="W322" s="668" t="s">
        <v>3713</v>
      </c>
      <c r="X322" s="1157">
        <f>OBRA!AP321</f>
        <v>393883.2</v>
      </c>
      <c r="Y322" s="341"/>
      <c r="Z322" s="341"/>
      <c r="AA322" s="5"/>
      <c r="AB322" s="351">
        <f>OBRA!BT321</f>
        <v>0</v>
      </c>
      <c r="AC322" s="569"/>
      <c r="AD322" s="569"/>
    </row>
    <row r="323" spans="1:30" ht="160.5" hidden="1" customHeight="1">
      <c r="A323" s="23" t="s">
        <v>2239</v>
      </c>
      <c r="B323" s="933" t="str">
        <f>GRAL!B324</f>
        <v>2015-2018</v>
      </c>
      <c r="C323" s="17">
        <f>OBRA!I322</f>
        <v>2018</v>
      </c>
      <c r="D323" s="1676"/>
      <c r="E323" s="18" t="str">
        <f>OBRA!K322</f>
        <v>FONDEREG</v>
      </c>
      <c r="F323" s="750" t="s">
        <v>3708</v>
      </c>
      <c r="G323" s="552" t="s">
        <v>3717</v>
      </c>
      <c r="H323" s="580" t="s">
        <v>3717</v>
      </c>
      <c r="I323" s="552" t="s">
        <v>3717</v>
      </c>
      <c r="J323" s="339" t="str">
        <f>OBRA!U322</f>
        <v>ING. JOSE VALENTIN ZARATE RIVERA</v>
      </c>
      <c r="K323" s="172" t="str">
        <f>OBRA!V322</f>
        <v>ING. JUAN MANUEL GARCIA ESCOTO</v>
      </c>
      <c r="L323" s="180" t="str">
        <f>OBRA!L322</f>
        <v>GMJ 009C OP/2018</v>
      </c>
      <c r="M323" s="202" t="str">
        <f>OBRA!M322</f>
        <v>ADJUDICACIÓN DIRECTA</v>
      </c>
      <c r="N323" s="328" t="str">
        <f>OBRA!N322</f>
        <v>REHABILITACION DE IMAGEN URBANA DE CALLE VICENTE GUERRERO, EN EL INGRESO PONIENTE A JOCOTEPEC, DE LA CALLE INDEPENDENCIA A LA CALLE PASEO DE LAS ROSAS (ALUMBRADO PUBLICO) EN LA CABECERA MUNICIPAL DEL MUNICIPIO DE JOCOTEPEC, JALISCO</v>
      </c>
      <c r="O323" s="554" t="s">
        <v>3529</v>
      </c>
      <c r="P323" s="69">
        <f>OBRA!Q322</f>
        <v>43253</v>
      </c>
      <c r="Q323" s="85">
        <f>OBRA!P322</f>
        <v>526676.22</v>
      </c>
      <c r="R323" s="255">
        <f>OBRA!R322</f>
        <v>43261</v>
      </c>
      <c r="S323" s="245">
        <f>OBRA!S322</f>
        <v>43322</v>
      </c>
      <c r="T323" s="1601" t="s">
        <v>3860</v>
      </c>
      <c r="U323" s="552" t="s">
        <v>3717</v>
      </c>
      <c r="V323" s="548" t="s">
        <v>3717</v>
      </c>
      <c r="W323" s="668" t="s">
        <v>3717</v>
      </c>
      <c r="X323" s="1157">
        <f>OBRA!AP322</f>
        <v>105335.24</v>
      </c>
      <c r="Y323" s="341"/>
      <c r="Z323" s="341"/>
      <c r="AA323" s="5"/>
      <c r="AB323" s="351">
        <f>OBRA!BT322</f>
        <v>0</v>
      </c>
      <c r="AC323" s="569"/>
      <c r="AD323" s="569" t="s">
        <v>551</v>
      </c>
    </row>
    <row r="324" spans="1:30" ht="113.25" hidden="1" customHeight="1">
      <c r="A324" s="23" t="s">
        <v>2239</v>
      </c>
      <c r="B324" s="933" t="str">
        <f>GRAL!B325</f>
        <v>2015-2018</v>
      </c>
      <c r="C324" s="17">
        <f>OBRA!I323</f>
        <v>2018</v>
      </c>
      <c r="D324" s="1676"/>
      <c r="E324" s="18" t="str">
        <f>OBRA!K323</f>
        <v>RAMO 33</v>
      </c>
      <c r="F324" s="525" t="s">
        <v>1431</v>
      </c>
      <c r="G324" s="552" t="s">
        <v>3714</v>
      </c>
      <c r="H324" s="580" t="s">
        <v>3714</v>
      </c>
      <c r="I324" s="552" t="s">
        <v>3714</v>
      </c>
      <c r="J324" s="339" t="str">
        <f>OBRA!U323</f>
        <v>LIC. CARLOS MANUEL PELAYO CERVERA</v>
      </c>
      <c r="K324" s="172" t="str">
        <f>OBRA!V323</f>
        <v>ARQ. CESAR ANTONIO ALONSO JIMENEZ</v>
      </c>
      <c r="L324" s="180" t="str">
        <f>OBRA!L323</f>
        <v>GMJ 010C OP/2018</v>
      </c>
      <c r="M324" s="202" t="str">
        <f>OBRA!M323</f>
        <v>ADJUDICACIÓN DIRECTA</v>
      </c>
      <c r="N324" s="328" t="str">
        <f>OBRA!N323</f>
        <v>REHABILITACION DE RED DE AGUA POTABLE EN LA CALLE EMILIANO ZAPATA, EN LA LOCALIDAD DE ZAPOTITAN DE HIDALGO DEL MUNICIPIO DE JOCOTEPEC, JALISCO</v>
      </c>
      <c r="O324" s="554" t="s">
        <v>3529</v>
      </c>
      <c r="P324" s="69">
        <f>OBRA!Q323</f>
        <v>43242</v>
      </c>
      <c r="Q324" s="85">
        <f>OBRA!P323</f>
        <v>177478.77</v>
      </c>
      <c r="R324" s="255">
        <f>OBRA!R323</f>
        <v>43243</v>
      </c>
      <c r="S324" s="245">
        <f>OBRA!S323</f>
        <v>43283</v>
      </c>
      <c r="T324" s="1601" t="s">
        <v>3860</v>
      </c>
      <c r="U324" s="216" t="s">
        <v>1431</v>
      </c>
      <c r="V324" s="549" t="s">
        <v>3714</v>
      </c>
      <c r="W324" s="668" t="s">
        <v>3714</v>
      </c>
      <c r="X324" s="1155">
        <f>OBRA!AP323</f>
        <v>0</v>
      </c>
      <c r="Y324" s="341"/>
      <c r="Z324" s="341"/>
      <c r="AA324" s="5"/>
      <c r="AB324" s="351">
        <f>OBRA!BT323</f>
        <v>0</v>
      </c>
      <c r="AC324" s="569"/>
      <c r="AD324" s="569"/>
    </row>
    <row r="325" spans="1:30" ht="107.25" hidden="1" customHeight="1">
      <c r="A325" s="23" t="s">
        <v>2239</v>
      </c>
      <c r="B325" s="933" t="str">
        <f>GRAL!B326</f>
        <v>2015-2018</v>
      </c>
      <c r="C325" s="17">
        <f>OBRA!I324</f>
        <v>2018</v>
      </c>
      <c r="D325" s="1676"/>
      <c r="E325" s="18" t="str">
        <f>OBRA!K324</f>
        <v>RAMO 33</v>
      </c>
      <c r="F325" s="695" t="s">
        <v>1431</v>
      </c>
      <c r="G325" s="552" t="s">
        <v>3715</v>
      </c>
      <c r="H325" s="580" t="s">
        <v>3715</v>
      </c>
      <c r="I325" s="552" t="s">
        <v>3715</v>
      </c>
      <c r="J325" s="339" t="str">
        <f>OBRA!U324</f>
        <v>LIC. CARLOS MANUEL PELAYO CERVERA</v>
      </c>
      <c r="K325" s="172" t="str">
        <f>OBRA!V324</f>
        <v>ARQ. CESAR ANTONIO ALONSO JIMENEZ</v>
      </c>
      <c r="L325" s="180" t="str">
        <f>OBRA!L324</f>
        <v>GMJ 011C OP/2018</v>
      </c>
      <c r="M325" s="202" t="str">
        <f>OBRA!M324</f>
        <v>ADJUDICACIÓN DIRECTA</v>
      </c>
      <c r="N325" s="328" t="str">
        <f>OBRA!N324</f>
        <v>REHABILITACION DE LINEA DE DRENAJE EN LA CALLE EMILIANO ZAPATA, EN LA LOCALIDAD DE ZAPOTITAN DE HIDALGO DEL MUNICIPIO DE JOCOTEPEC, JALISCO</v>
      </c>
      <c r="O325" s="554" t="s">
        <v>3530</v>
      </c>
      <c r="P325" s="69">
        <f>OBRA!Q324</f>
        <v>43242</v>
      </c>
      <c r="Q325" s="85">
        <f>OBRA!P324</f>
        <v>247048.85</v>
      </c>
      <c r="R325" s="255">
        <f>OBRA!R324</f>
        <v>43243</v>
      </c>
      <c r="S325" s="245">
        <f>OBRA!S324</f>
        <v>43283</v>
      </c>
      <c r="T325" s="1601" t="s">
        <v>3860</v>
      </c>
      <c r="U325" s="216" t="s">
        <v>1431</v>
      </c>
      <c r="V325" s="549" t="s">
        <v>3715</v>
      </c>
      <c r="W325" s="668" t="s">
        <v>3715</v>
      </c>
      <c r="X325" s="1155">
        <f>OBRA!AP324</f>
        <v>24704.880000000001</v>
      </c>
      <c r="Y325" s="341"/>
      <c r="Z325" s="341"/>
      <c r="AA325" s="5"/>
      <c r="AB325" s="351">
        <f>OBRA!BT324</f>
        <v>0</v>
      </c>
      <c r="AC325" s="569"/>
      <c r="AD325" s="569"/>
    </row>
    <row r="326" spans="1:30" ht="171.75" hidden="1" customHeight="1">
      <c r="A326" s="23" t="s">
        <v>2239</v>
      </c>
      <c r="B326" s="933" t="str">
        <f>GRAL!B327</f>
        <v>2015-2018</v>
      </c>
      <c r="C326" s="17">
        <f>OBRA!I325</f>
        <v>2018</v>
      </c>
      <c r="D326" s="1676"/>
      <c r="E326" s="18" t="str">
        <f>OBRA!K325</f>
        <v>FONDEREG</v>
      </c>
      <c r="F326" s="750" t="s">
        <v>3708</v>
      </c>
      <c r="G326" s="552" t="s">
        <v>3716</v>
      </c>
      <c r="H326" s="580" t="s">
        <v>3716</v>
      </c>
      <c r="I326" s="552" t="s">
        <v>3716</v>
      </c>
      <c r="J326" s="339" t="str">
        <f>OBRA!U325</f>
        <v>BIRMEK CONSTRUCCIONES S.A. DE C.V.</v>
      </c>
      <c r="K326" s="172" t="str">
        <f>OBRA!V325</f>
        <v>ING. RIGOBERTO OLMEDO RAMOS</v>
      </c>
      <c r="L326" s="180" t="str">
        <f>OBRA!L325</f>
        <v>GMJ 012C OP/2018</v>
      </c>
      <c r="M326" s="202" t="str">
        <f>OBRA!M325</f>
        <v>ADJUDICACIÓN DIRECTA</v>
      </c>
      <c r="N326" s="328" t="str">
        <f>OBRA!N325</f>
        <v>CONSTRUCCION DE ALUMBRADO PUBLICO EN  LA CARRETERA JOCOTEPEC-CHAPALA DE LA CALLE LIBERTAD (NEXTIPAC), HASTA CALLE JUAREZ (CHANTEPEC), 1RA ETAPA EN EL INGRESO ORIENTE, A LA CABECERA MUNICIPAL, DEL MUNICIPIO DE  JOCOTEPEC, JALISCO,</v>
      </c>
      <c r="O326" s="554" t="s">
        <v>3530</v>
      </c>
      <c r="P326" s="69">
        <f>OBRA!Q325</f>
        <v>43304</v>
      </c>
      <c r="Q326" s="85">
        <f>OBRA!P325</f>
        <v>724057.5</v>
      </c>
      <c r="R326" s="255">
        <f>OBRA!R325</f>
        <v>43306</v>
      </c>
      <c r="S326" s="245">
        <f>OBRA!S325</f>
        <v>43342</v>
      </c>
      <c r="T326" s="1601" t="s">
        <v>3860</v>
      </c>
      <c r="U326" s="552" t="s">
        <v>3716</v>
      </c>
      <c r="V326" s="548" t="s">
        <v>3716</v>
      </c>
      <c r="W326" s="668" t="s">
        <v>3716</v>
      </c>
      <c r="X326" s="1157">
        <f>OBRA!AP325</f>
        <v>144810.44</v>
      </c>
      <c r="Y326" s="341"/>
      <c r="Z326" s="341"/>
      <c r="AA326" s="5"/>
      <c r="AB326" s="351">
        <f>OBRA!BT325</f>
        <v>0</v>
      </c>
      <c r="AC326" s="569"/>
      <c r="AD326" s="569" t="s">
        <v>551</v>
      </c>
    </row>
    <row r="327" spans="1:30" ht="15" hidden="1" customHeight="1">
      <c r="A327" s="23" t="s">
        <v>2239</v>
      </c>
      <c r="B327" s="933" t="str">
        <f>GRAL!B328</f>
        <v>2015-2018</v>
      </c>
      <c r="C327" s="17">
        <f>OBRA!I326</f>
        <v>2018</v>
      </c>
      <c r="D327" s="1676"/>
      <c r="E327" s="18" t="str">
        <f>OBRA!K326</f>
        <v>FONDEREG</v>
      </c>
      <c r="F327" s="525"/>
      <c r="G327" s="390"/>
      <c r="H327" s="1"/>
      <c r="I327" s="390"/>
      <c r="J327" s="56" t="str">
        <f>OBRA!U326</f>
        <v>ING. SERGIO CABRERA</v>
      </c>
      <c r="K327" s="57" t="str">
        <f>OBRA!V326</f>
        <v>ING. JUAN MANUEL GARCIA ESCOTO</v>
      </c>
      <c r="L327" s="35"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2">
        <f>OBRA!S326</f>
        <v>43288</v>
      </c>
      <c r="T327" s="55"/>
      <c r="U327" s="415" t="s">
        <v>1431</v>
      </c>
      <c r="V327" s="341"/>
      <c r="W327" s="12"/>
      <c r="X327" s="307">
        <f>OBRA!AP326</f>
        <v>988893.95</v>
      </c>
      <c r="Y327" s="341"/>
      <c r="Z327" s="341"/>
      <c r="AA327" s="5"/>
      <c r="AB327" s="351">
        <f>OBRA!BT326</f>
        <v>0</v>
      </c>
      <c r="AC327" s="569"/>
      <c r="AD327" s="569"/>
    </row>
    <row r="328" spans="1:30" s="110" customFormat="1" ht="15" hidden="1" customHeight="1">
      <c r="A328" s="87" t="s">
        <v>2239</v>
      </c>
      <c r="B328" s="946" t="str">
        <f>GRAL!B329</f>
        <v>2015-2018</v>
      </c>
      <c r="C328" s="88">
        <f>OBRA!I327</f>
        <v>2018</v>
      </c>
      <c r="D328" s="893"/>
      <c r="E328" s="103" t="str">
        <f>OBRA!K327</f>
        <v>Fondo de proyectos para el Desarrollo Regional</v>
      </c>
      <c r="F328" s="526"/>
      <c r="G328" s="392"/>
      <c r="H328" s="102"/>
      <c r="I328" s="392"/>
      <c r="J328" s="159" t="str">
        <f>OBRA!U327</f>
        <v>ING. SERGIO CABRERA</v>
      </c>
      <c r="K328" s="160" t="str">
        <f>OBRA!V327</f>
        <v>ING. J. GUADALUPE IBARRA RAMIREZ</v>
      </c>
      <c r="L328" s="340" t="str">
        <f>OBRA!L327</f>
        <v>GMJ 014C OP/2018</v>
      </c>
      <c r="M328" s="203" t="str">
        <f>OBRA!M327</f>
        <v>CANCELADA</v>
      </c>
      <c r="N328" s="112" t="str">
        <f>OBRA!N327</f>
        <v>CONSTRUCCION DE EMPEDRADO AHOGADO EN CEMENTO, CONSTRUCCION DE HUELLAS DE CONCRETO Y CONSTRUCCION DE GUARNICIÓN DE LA CALLE CUAUHTEMOC, EN LA LOCALIDAD DE POTRERILLOS DEL MUNICIPIO DE JOCOTEPEC, JALISCO.</v>
      </c>
      <c r="O328" s="132"/>
      <c r="P328" s="93">
        <f>OBRA!Q327</f>
        <v>43251</v>
      </c>
      <c r="Q328" s="92">
        <f>OBRA!P327</f>
        <v>989000</v>
      </c>
      <c r="R328" s="94">
        <f>OBRA!R327</f>
        <v>43252</v>
      </c>
      <c r="S328" s="95">
        <f>OBRA!S327</f>
        <v>43301</v>
      </c>
      <c r="T328" s="97"/>
      <c r="U328" s="785" t="s">
        <v>1431</v>
      </c>
      <c r="V328" s="343"/>
      <c r="W328" s="95"/>
      <c r="X328" s="954">
        <f>OBRA!AP327</f>
        <v>346150</v>
      </c>
      <c r="Y328" s="343"/>
      <c r="Z328" s="343"/>
      <c r="AA328" s="94"/>
      <c r="AB328" s="511">
        <f>OBRA!BT327</f>
        <v>0</v>
      </c>
      <c r="AC328" s="570"/>
      <c r="AD328" s="570"/>
    </row>
    <row r="329" spans="1:30" ht="132" hidden="1" customHeight="1">
      <c r="A329" s="23" t="s">
        <v>2239</v>
      </c>
      <c r="B329" s="933" t="str">
        <f>GRAL!B330</f>
        <v>2015-2018</v>
      </c>
      <c r="C329" s="17">
        <f>OBRA!I328</f>
        <v>2018</v>
      </c>
      <c r="D329" s="1676"/>
      <c r="E329" s="18" t="str">
        <f>OBRA!K328</f>
        <v>RAMO 33</v>
      </c>
      <c r="F329" s="525" t="s">
        <v>1431</v>
      </c>
      <c r="G329" s="552" t="s">
        <v>3718</v>
      </c>
      <c r="H329" s="580" t="s">
        <v>3718</v>
      </c>
      <c r="I329" s="552" t="s">
        <v>3718</v>
      </c>
      <c r="J329" s="339" t="str">
        <f>OBRA!U328</f>
        <v>ING. MACIEL MOZQUEDA GONZALEZ</v>
      </c>
      <c r="K329" s="172" t="str">
        <f>OBRA!V328</f>
        <v>ARQ. CESAR ANTONIO ALONSO JIMENEZ</v>
      </c>
      <c r="L329" s="180" t="str">
        <f>OBRA!L328</f>
        <v>GMJ 015C OP/2018</v>
      </c>
      <c r="M329" s="202" t="str">
        <f>OBRA!M328</f>
        <v>ADJUDICACIÓN DIRECTA</v>
      </c>
      <c r="N329" s="328" t="str">
        <f>OBRA!N328</f>
        <v>REHABILITACION DE LINEA DE DRENAJE EN CALLE CARDENAL DESDE CARRETERA AL PANTEON, CON REPOSICION DE EMPEDRADO NORMAL EN LA LOCALIDAD DE SAN JUAN COSALA, DEL MUNICIPIO DE JOCOTEPEC, JALISCO.</v>
      </c>
      <c r="O329" s="554" t="s">
        <v>3530</v>
      </c>
      <c r="P329" s="69">
        <f>OBRA!Q328</f>
        <v>43255</v>
      </c>
      <c r="Q329" s="85">
        <f>OBRA!P328</f>
        <v>398019.86</v>
      </c>
      <c r="R329" s="255">
        <f>OBRA!R328</f>
        <v>43257</v>
      </c>
      <c r="S329" s="245">
        <f>OBRA!S328</f>
        <v>43322</v>
      </c>
      <c r="T329" s="1601" t="s">
        <v>3860</v>
      </c>
      <c r="U329" s="216" t="s">
        <v>1431</v>
      </c>
      <c r="V329" s="549" t="s">
        <v>3718</v>
      </c>
      <c r="W329" s="668" t="s">
        <v>3718</v>
      </c>
      <c r="X329" s="1157">
        <f>OBRA!AP328</f>
        <v>78541.47</v>
      </c>
      <c r="Y329" s="341"/>
      <c r="Z329" s="341"/>
      <c r="AA329" s="5"/>
      <c r="AB329" s="351">
        <f>OBRA!BT328</f>
        <v>0</v>
      </c>
      <c r="AC329" s="569"/>
      <c r="AD329" s="569" t="s">
        <v>551</v>
      </c>
    </row>
    <row r="330" spans="1:30" ht="125.25" hidden="1" customHeight="1">
      <c r="A330" s="23" t="s">
        <v>2239</v>
      </c>
      <c r="B330" s="933" t="str">
        <f>GRAL!B331</f>
        <v>2015-2018</v>
      </c>
      <c r="C330" s="17">
        <f>OBRA!I329</f>
        <v>2018</v>
      </c>
      <c r="D330" s="1676"/>
      <c r="E330" s="18" t="str">
        <f>OBRA!K329</f>
        <v>CUENTA CORRIENTE</v>
      </c>
      <c r="F330" s="525" t="s">
        <v>1431</v>
      </c>
      <c r="G330" s="557"/>
      <c r="H330" s="1012"/>
      <c r="I330" s="557"/>
      <c r="J330" s="339" t="str">
        <f>OBRA!U329</f>
        <v>C. NORMA GORETY DOMINGUEZ CALVARIO</v>
      </c>
      <c r="K330" s="172" t="str">
        <f>OBRA!V329</f>
        <v>ING. JUAN MANUEL GARCIA ESCOTO</v>
      </c>
      <c r="L330" s="180" t="str">
        <f>OBRA!L329</f>
        <v>GMJ 016C OP/2018</v>
      </c>
      <c r="M330" s="202" t="str">
        <f>OBRA!M329</f>
        <v>ADJUDICACIÓN DIRECTA</v>
      </c>
      <c r="N330" s="328" t="str">
        <f>OBRA!N329</f>
        <v>OBRAS COMPLEMENTARIAS PARA LA CONSTRUCCION DE LA SUPERFICIE DE RODAMIENTO DE LA CALLE MORELOS PONIENTE ENTRE ZARAGOZA Y PANTEON, EN LA CABECERA MUNICIPAL</v>
      </c>
      <c r="O330" s="554" t="s">
        <v>3530</v>
      </c>
      <c r="P330" s="69">
        <f>OBRA!Q329</f>
        <v>43102</v>
      </c>
      <c r="Q330" s="85">
        <f>OBRA!P329</f>
        <v>816694.91</v>
      </c>
      <c r="R330" s="255">
        <f>OBRA!R329</f>
        <v>43104</v>
      </c>
      <c r="S330" s="245">
        <f>OBRA!S329</f>
        <v>43120</v>
      </c>
      <c r="T330" s="227" t="s">
        <v>3859</v>
      </c>
      <c r="U330" s="216" t="s">
        <v>1431</v>
      </c>
      <c r="V330" s="654"/>
      <c r="W330" s="1443"/>
      <c r="X330" s="1157">
        <f>OBRA!AP329</f>
        <v>162698.40000000002</v>
      </c>
      <c r="Y330" s="341"/>
      <c r="Z330" s="341"/>
      <c r="AA330" s="5"/>
      <c r="AB330" s="351">
        <f>OBRA!BT329</f>
        <v>0</v>
      </c>
      <c r="AC330" s="569"/>
      <c r="AD330" s="569"/>
    </row>
    <row r="331" spans="1:30" ht="117.75" hidden="1" customHeight="1">
      <c r="A331" s="23" t="s">
        <v>2239</v>
      </c>
      <c r="B331" s="933" t="str">
        <f>GRAL!B332</f>
        <v>2015-2018</v>
      </c>
      <c r="C331" s="17">
        <f>OBRA!I330</f>
        <v>2018</v>
      </c>
      <c r="D331" s="1676"/>
      <c r="E331" s="18" t="str">
        <f>OBRA!K330</f>
        <v>CUENTA CORRIENTE</v>
      </c>
      <c r="F331" s="695" t="s">
        <v>1431</v>
      </c>
      <c r="G331" s="552" t="s">
        <v>3719</v>
      </c>
      <c r="H331" s="580" t="s">
        <v>3719</v>
      </c>
      <c r="I331" s="552" t="s">
        <v>3719</v>
      </c>
      <c r="J331" s="339" t="str">
        <f>OBRA!U330</f>
        <v>C. JOSÉ MIGUEL GARCIA VALLE</v>
      </c>
      <c r="K331" s="172" t="str">
        <f>OBRA!V330</f>
        <v>ING. JUAN MANUEL GARCIA ESCOTO</v>
      </c>
      <c r="L331" s="180" t="str">
        <f>OBRA!L330</f>
        <v>GMJ 017C OP/2018</v>
      </c>
      <c r="M331" s="202" t="str">
        <f>OBRA!M330</f>
        <v>ADJUDICACIÓN DIRECTA</v>
      </c>
      <c r="N331" s="328" t="str">
        <f>OBRA!N330</f>
        <v>CONSTRUCCION DE MACHUELOS Y BANQUETAS EN LA CALLE MORELOS DE ZARAGOZA AL PANTEON EN LA CABECERA MUNICIPAL, DEL MUNICIPIO DE JOCOTEPEC, JALISCO</v>
      </c>
      <c r="O331" s="554" t="s">
        <v>3530</v>
      </c>
      <c r="P331" s="69">
        <f>OBRA!Q330</f>
        <v>43116</v>
      </c>
      <c r="Q331" s="85">
        <f>OBRA!P330</f>
        <v>1079507.02</v>
      </c>
      <c r="R331" s="255">
        <f>OBRA!R330</f>
        <v>43117</v>
      </c>
      <c r="S331" s="245">
        <f>OBRA!S330</f>
        <v>43155</v>
      </c>
      <c r="T331" s="227" t="s">
        <v>3859</v>
      </c>
      <c r="U331" s="216" t="s">
        <v>1431</v>
      </c>
      <c r="V331" s="549" t="s">
        <v>3719</v>
      </c>
      <c r="W331" s="668" t="s">
        <v>3719</v>
      </c>
      <c r="X331" s="1157">
        <f>OBRA!AP330</f>
        <v>215901.01</v>
      </c>
      <c r="Y331" s="341"/>
      <c r="Z331" s="341"/>
      <c r="AA331" s="5"/>
      <c r="AB331" s="351">
        <f>OBRA!BT330</f>
        <v>0</v>
      </c>
      <c r="AC331" s="569"/>
      <c r="AD331" s="569" t="s">
        <v>551</v>
      </c>
    </row>
    <row r="332" spans="1:30" ht="108" hidden="1" customHeight="1">
      <c r="A332" s="23" t="s">
        <v>2239</v>
      </c>
      <c r="B332" s="933" t="str">
        <f>GRAL!B333</f>
        <v>2015-2018</v>
      </c>
      <c r="C332" s="17">
        <f>OBRA!I331</f>
        <v>2018</v>
      </c>
      <c r="D332" s="1676"/>
      <c r="E332" s="18" t="str">
        <f>OBRA!K331</f>
        <v>CUENTA CORRIENTE</v>
      </c>
      <c r="F332" s="695" t="s">
        <v>1431</v>
      </c>
      <c r="G332" s="552" t="s">
        <v>3720</v>
      </c>
      <c r="H332" s="580" t="s">
        <v>3720</v>
      </c>
      <c r="I332" s="552" t="s">
        <v>3720</v>
      </c>
      <c r="J332" s="339" t="str">
        <f>OBRA!U331</f>
        <v>C. NORMA GORETY DOMINGUEZ CALVARIO</v>
      </c>
      <c r="K332" s="172" t="str">
        <f>OBRA!V331</f>
        <v>ING. JUAN MANUEL GARCIA ESCOTO</v>
      </c>
      <c r="L332" s="180" t="str">
        <f>OBRA!L331</f>
        <v>GMJ 018C OP/2018</v>
      </c>
      <c r="M332" s="202" t="str">
        <f>OBRA!M331</f>
        <v>ADJUDICACIÓN DIRECTA</v>
      </c>
      <c r="N332" s="328" t="str">
        <f>OBRA!N331</f>
        <v>REHABILITACION DE IMAGEN URBANA EN CALLE MORELOS PONIENTE ENTRE ZARAGOZA Y PANTEON, EN LA CABECERA MUNICIPAL DEL MUNICIPIO DE JOCOTEPEC, JALISCO</v>
      </c>
      <c r="O332" s="554" t="s">
        <v>3530</v>
      </c>
      <c r="P332" s="69">
        <f>OBRA!Q331</f>
        <v>43123</v>
      </c>
      <c r="Q332" s="85">
        <f>OBRA!P331</f>
        <v>550277.97</v>
      </c>
      <c r="R332" s="255">
        <f>OBRA!R331</f>
        <v>43157</v>
      </c>
      <c r="S332" s="245">
        <f>OBRA!S331</f>
        <v>43169</v>
      </c>
      <c r="T332" s="227" t="s">
        <v>3859</v>
      </c>
      <c r="U332" s="216" t="s">
        <v>1431</v>
      </c>
      <c r="V332" s="549" t="s">
        <v>3720</v>
      </c>
      <c r="W332" s="668" t="s">
        <v>3720</v>
      </c>
      <c r="X332" s="1157">
        <f>OBRA!AP331</f>
        <v>96019.58</v>
      </c>
      <c r="Y332" s="341"/>
      <c r="Z332" s="341"/>
      <c r="AA332" s="5"/>
      <c r="AB332" s="351">
        <f>OBRA!BT331</f>
        <v>0</v>
      </c>
      <c r="AC332" s="569"/>
      <c r="AD332" s="569" t="s">
        <v>551</v>
      </c>
    </row>
    <row r="333" spans="1:30" ht="165.75" hidden="1" customHeight="1">
      <c r="A333" s="23" t="s">
        <v>2239</v>
      </c>
      <c r="B333" s="933" t="str">
        <f>GRAL!B334</f>
        <v>2015-2018</v>
      </c>
      <c r="C333" s="17">
        <f>OBRA!I332</f>
        <v>2018</v>
      </c>
      <c r="D333" s="1676"/>
      <c r="E333" s="18" t="str">
        <f>OBRA!K332</f>
        <v>RAMO 33</v>
      </c>
      <c r="F333" s="695" t="s">
        <v>1431</v>
      </c>
      <c r="G333" s="552" t="s">
        <v>3721</v>
      </c>
      <c r="H333" s="580" t="s">
        <v>3721</v>
      </c>
      <c r="I333" s="546" t="s">
        <v>3721</v>
      </c>
      <c r="J333" s="339" t="str">
        <f>OBRA!U332</f>
        <v>C. NORMA GORETY DOMINGUEZ CALVARIO</v>
      </c>
      <c r="K333" s="172" t="str">
        <f>OBRA!V332</f>
        <v>ING. JUAN MANUEL GARCIA ESCOTO</v>
      </c>
      <c r="L333" s="180" t="str">
        <f>OBRA!L332</f>
        <v>GMJ 019C OP/2018</v>
      </c>
      <c r="M333" s="202" t="str">
        <f>OBRA!M332</f>
        <v>ADJUDICACIÓN DIRECTA</v>
      </c>
      <c r="N333" s="328" t="str">
        <f>OBRA!N332</f>
        <v>REHABILITACION DE LINEA DE AGUA POTABLE EN CALLE MORELOS PONIENTE ENTRE ZARAGOZA Y PANTEON CON REPOSICION DE SUPERFICIE DE RODAMIENTO, (OBRAS COMPLEMENTARIAS) EN LA CABECERA MUNICIPAL, DEL MUNICIPIO DE JOCOTEPEC, JALISCO</v>
      </c>
      <c r="O333" s="554" t="s">
        <v>3530</v>
      </c>
      <c r="P333" s="69">
        <f>OBRA!Q332</f>
        <v>43105</v>
      </c>
      <c r="Q333" s="85">
        <f>OBRA!P332</f>
        <v>35653.230000000003</v>
      </c>
      <c r="R333" s="255">
        <f>OBRA!R332</f>
        <v>43108</v>
      </c>
      <c r="S333" s="245">
        <f>OBRA!S332</f>
        <v>43120</v>
      </c>
      <c r="T333" s="1601" t="s">
        <v>3860</v>
      </c>
      <c r="U333" s="216" t="s">
        <v>1431</v>
      </c>
      <c r="V333" s="549" t="s">
        <v>3721</v>
      </c>
      <c r="W333" s="668" t="s">
        <v>3721</v>
      </c>
      <c r="X333" s="1157">
        <f>OBRA!AP332</f>
        <v>7130.64</v>
      </c>
      <c r="Y333" s="341"/>
      <c r="Z333" s="341"/>
      <c r="AA333" s="5"/>
      <c r="AB333" s="351">
        <f>OBRA!BT332</f>
        <v>0</v>
      </c>
      <c r="AC333" s="569"/>
      <c r="AD333" s="569" t="s">
        <v>551</v>
      </c>
    </row>
    <row r="334" spans="1:30" ht="140.25" hidden="1" customHeight="1">
      <c r="A334" s="23" t="s">
        <v>2239</v>
      </c>
      <c r="B334" s="933" t="str">
        <f>GRAL!B335</f>
        <v>2015-2018</v>
      </c>
      <c r="C334" s="17">
        <f>OBRA!I333</f>
        <v>2018</v>
      </c>
      <c r="D334" s="1676"/>
      <c r="E334" s="18" t="str">
        <f>OBRA!K333</f>
        <v>RAMO 33</v>
      </c>
      <c r="F334" s="525" t="s">
        <v>1431</v>
      </c>
      <c r="G334" s="552" t="s">
        <v>3722</v>
      </c>
      <c r="H334" s="580" t="s">
        <v>3722</v>
      </c>
      <c r="I334" s="552" t="s">
        <v>3722</v>
      </c>
      <c r="J334" s="339" t="str">
        <f>OBRA!U333</f>
        <v>C. JOSÉ MIGUEL GARCIA VALLE</v>
      </c>
      <c r="K334" s="172" t="str">
        <f>OBRA!V333</f>
        <v>ARQ. JAIME CONDE GOMEZ</v>
      </c>
      <c r="L334" s="180" t="str">
        <f>OBRA!L333</f>
        <v>GMJ 020C OP/2018</v>
      </c>
      <c r="M334" s="202" t="str">
        <f>OBRA!M333</f>
        <v>ADJUDICACIÓN DIRECTA</v>
      </c>
      <c r="N334" s="328" t="str">
        <f>OBRA!N333</f>
        <v>REHABILITACION DE LINEA DE ABASTECIMIENTO DE AGUA POTABLE DE 8" EN LA CALLE VICENTE GUERRERO ENTRE CARRETERA E HIDALGO EN LA LOCALIDAD DE SAN JUAN COSALA DEL MUNICIPIO DE JOCOTEPEC, JALISCO</v>
      </c>
      <c r="O334" s="554" t="s">
        <v>3530</v>
      </c>
      <c r="P334" s="69">
        <f>OBRA!Q333</f>
        <v>43258</v>
      </c>
      <c r="Q334" s="85">
        <f>OBRA!P333</f>
        <v>142196.43</v>
      </c>
      <c r="R334" s="255">
        <f>OBRA!R333</f>
        <v>43258</v>
      </c>
      <c r="S334" s="245">
        <f>OBRA!S333</f>
        <v>43287</v>
      </c>
      <c r="T334" s="1601" t="s">
        <v>3860</v>
      </c>
      <c r="U334" s="216" t="s">
        <v>1431</v>
      </c>
      <c r="V334" s="549" t="s">
        <v>3722</v>
      </c>
      <c r="W334" s="668" t="s">
        <v>3722</v>
      </c>
      <c r="X334" s="1157">
        <f>OBRA!AP333</f>
        <v>28439.279999999999</v>
      </c>
      <c r="Y334" s="341"/>
      <c r="Z334" s="341"/>
      <c r="AA334" s="5"/>
      <c r="AB334" s="351">
        <f>OBRA!BT333</f>
        <v>0</v>
      </c>
      <c r="AC334" s="569"/>
      <c r="AD334" s="569" t="s">
        <v>551</v>
      </c>
    </row>
    <row r="335" spans="1:30" ht="110.25" hidden="1" customHeight="1">
      <c r="A335" s="23" t="s">
        <v>2239</v>
      </c>
      <c r="B335" s="933" t="str">
        <f>GRAL!B336</f>
        <v>2015-2018</v>
      </c>
      <c r="C335" s="17">
        <f>OBRA!I334</f>
        <v>2018</v>
      </c>
      <c r="D335" s="1676"/>
      <c r="E335" s="18" t="str">
        <f>OBRA!K334</f>
        <v>RAMO 33</v>
      </c>
      <c r="F335" s="695" t="s">
        <v>1431</v>
      </c>
      <c r="G335" s="557"/>
      <c r="H335" s="1012"/>
      <c r="I335" s="557"/>
      <c r="J335" s="56" t="str">
        <f>OBRA!U334</f>
        <v>C. JOSÉ MIGUEL GARCIA VALLE</v>
      </c>
      <c r="K335" s="57" t="str">
        <f>OBRA!V334</f>
        <v>LIC. SALVADOR CONTRERAS OLGUÍN</v>
      </c>
      <c r="L335" s="35" t="str">
        <f>OBRA!L334</f>
        <v>GMJ 021C OP/2018</v>
      </c>
      <c r="M335" s="2" t="str">
        <f>OBRA!M334</f>
        <v>ADJUDICACIÓN DIRECTA</v>
      </c>
      <c r="N335" s="328" t="str">
        <f>OBRA!N334</f>
        <v>REHABILITACION DE LINEA DE AGUA POTABLE EN CALLE INDEPENDENCIA EN LA LOCALIDAD DE SAN JUAN COSALA DEL MUNICIPIO DE JOCOTEPEC, JALISCO.</v>
      </c>
      <c r="O335" s="510" t="s">
        <v>3531</v>
      </c>
      <c r="P335" s="6">
        <f>OBRA!Q334</f>
        <v>43258</v>
      </c>
      <c r="Q335" s="4">
        <f>OBRA!P334</f>
        <v>32872.07</v>
      </c>
      <c r="R335" s="5">
        <f>OBRA!R334</f>
        <v>43262</v>
      </c>
      <c r="S335" s="12">
        <f>OBRA!S334</f>
        <v>43267</v>
      </c>
      <c r="T335" s="1601" t="s">
        <v>3860</v>
      </c>
      <c r="U335" s="415" t="s">
        <v>1431</v>
      </c>
      <c r="V335" s="557"/>
      <c r="W335" s="557"/>
      <c r="X335" s="1157">
        <f>OBRA!AP334</f>
        <v>6574.41</v>
      </c>
      <c r="Y335" s="341"/>
      <c r="Z335" s="341"/>
      <c r="AA335" s="5"/>
      <c r="AB335" s="351">
        <f>OBRA!BT334</f>
        <v>0</v>
      </c>
      <c r="AC335" s="569"/>
      <c r="AD335" s="569"/>
    </row>
    <row r="336" spans="1:30" ht="150" hidden="1" customHeight="1">
      <c r="A336" s="23" t="s">
        <v>2239</v>
      </c>
      <c r="B336" s="933" t="str">
        <f>GRAL!B337</f>
        <v>2015-2018</v>
      </c>
      <c r="C336" s="17">
        <f>OBRA!I335</f>
        <v>2018</v>
      </c>
      <c r="D336" s="1676"/>
      <c r="E336" s="18" t="str">
        <f>OBRA!K335</f>
        <v>CUENTA CORRIENTE</v>
      </c>
      <c r="F336" s="525" t="s">
        <v>1431</v>
      </c>
      <c r="G336" s="171"/>
      <c r="H336" s="580" t="s">
        <v>3723</v>
      </c>
      <c r="I336" s="171"/>
      <c r="J336" s="56" t="str">
        <f>OBRA!U335</f>
        <v xml:space="preserve">GRUPO DESARROLLADOR INMOBILIARIO CEMERAMA S.A. DE C.V. </v>
      </c>
      <c r="K336" s="172" t="str">
        <f>OBRA!V335</f>
        <v>ING. JUAN MANUEL GARCIA ESCOTO</v>
      </c>
      <c r="L336" s="35"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510" t="s">
        <v>3531</v>
      </c>
      <c r="P336" s="6">
        <f>OBRA!Q335</f>
        <v>43274</v>
      </c>
      <c r="Q336" s="4">
        <f>OBRA!P335</f>
        <v>243028.37</v>
      </c>
      <c r="R336" s="5">
        <f>OBRA!R335</f>
        <v>43274</v>
      </c>
      <c r="S336" s="12">
        <f>OBRA!S335</f>
        <v>43304</v>
      </c>
      <c r="T336" s="227" t="s">
        <v>3859</v>
      </c>
      <c r="U336" s="415" t="s">
        <v>1431</v>
      </c>
      <c r="V336" s="591"/>
      <c r="W336" s="668" t="s">
        <v>3723</v>
      </c>
      <c r="X336" s="1157">
        <f>OBRA!AP335</f>
        <v>48605.66</v>
      </c>
      <c r="Y336" s="341"/>
      <c r="Z336" s="341"/>
      <c r="AA336" s="5"/>
      <c r="AB336" s="351">
        <f>OBRA!BT335</f>
        <v>0</v>
      </c>
      <c r="AC336" s="569"/>
      <c r="AD336" s="569"/>
    </row>
    <row r="337" spans="1:30" ht="198.75" hidden="1" customHeight="1">
      <c r="A337" s="23" t="s">
        <v>2239</v>
      </c>
      <c r="B337" s="933" t="str">
        <f>GRAL!B338</f>
        <v>2015-2018</v>
      </c>
      <c r="C337" s="17">
        <f>OBRA!I336</f>
        <v>2018</v>
      </c>
      <c r="D337" s="1676"/>
      <c r="E337" s="18" t="str">
        <f>OBRA!K336</f>
        <v>CUENTA CORRIENTE</v>
      </c>
      <c r="F337" s="695" t="s">
        <v>1431</v>
      </c>
      <c r="G337" s="557"/>
      <c r="H337" s="1012"/>
      <c r="I337" s="171"/>
      <c r="J337" s="56" t="str">
        <f>OBRA!U336</f>
        <v xml:space="preserve">DRABSA CONSTRUCTORA S.A. DE C.V. </v>
      </c>
      <c r="K337" s="172" t="str">
        <f>OBRA!V336</f>
        <v>ING. JUAN MANUEL GARCIA ESCOTO</v>
      </c>
      <c r="L337" s="35"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510" t="s">
        <v>3531</v>
      </c>
      <c r="P337" s="6">
        <f>OBRA!Q336</f>
        <v>43300</v>
      </c>
      <c r="Q337" s="4">
        <f>OBRA!P336</f>
        <v>1099823.45</v>
      </c>
      <c r="R337" s="5">
        <f>OBRA!R336</f>
        <v>43300</v>
      </c>
      <c r="S337" s="12">
        <f>OBRA!S336</f>
        <v>43364</v>
      </c>
      <c r="T337" s="227" t="s">
        <v>3859</v>
      </c>
      <c r="U337" s="216" t="s">
        <v>1431</v>
      </c>
      <c r="V337" s="654"/>
      <c r="W337" s="1443"/>
      <c r="X337" s="1157">
        <f>OBRA!AP336</f>
        <v>384938.19999999995</v>
      </c>
      <c r="Y337" s="341"/>
      <c r="Z337" s="341"/>
      <c r="AA337" s="5"/>
      <c r="AB337" s="351">
        <f>OBRA!BT336</f>
        <v>0</v>
      </c>
      <c r="AC337" s="569"/>
      <c r="AD337" s="569"/>
    </row>
    <row r="338" spans="1:30" ht="15" hidden="1" customHeight="1">
      <c r="A338" s="23" t="s">
        <v>2239</v>
      </c>
      <c r="B338" s="933" t="str">
        <f>GRAL!B339</f>
        <v>2015-2018</v>
      </c>
      <c r="C338" s="17">
        <f>OBRA!I337</f>
        <v>2018</v>
      </c>
      <c r="D338" s="1676"/>
      <c r="E338" s="18" t="str">
        <f>OBRA!K337</f>
        <v>FOCOCI</v>
      </c>
      <c r="F338" s="525"/>
      <c r="G338" s="390"/>
      <c r="H338" s="1"/>
      <c r="I338" s="390"/>
      <c r="J338" s="56" t="str">
        <f>OBRA!U337</f>
        <v>DRABSA CONSTRUCTORA S.A. DE C.V.</v>
      </c>
      <c r="K338" s="57" t="str">
        <f>OBRA!V337</f>
        <v>ING. RIGOBERTO OLMEDO RAMOS</v>
      </c>
      <c r="L338" s="20"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2">
        <f>OBRA!S337</f>
        <v>43373</v>
      </c>
      <c r="T338" s="55"/>
      <c r="U338" s="415" t="s">
        <v>1431</v>
      </c>
      <c r="V338" s="341"/>
      <c r="W338" s="12"/>
      <c r="X338" s="306">
        <f>OBRA!AP337</f>
        <v>1029000</v>
      </c>
      <c r="Y338" s="341"/>
      <c r="Z338" s="341"/>
      <c r="AA338" s="5"/>
      <c r="AB338" s="351">
        <f>OBRA!BT337</f>
        <v>0</v>
      </c>
      <c r="AC338" s="569"/>
      <c r="AD338" s="569"/>
    </row>
    <row r="339" spans="1:30" ht="84" hidden="1" customHeight="1">
      <c r="A339" s="23" t="s">
        <v>2239</v>
      </c>
      <c r="B339" s="933" t="str">
        <f>GRAL!B340</f>
        <v>2015-2018</v>
      </c>
      <c r="C339" s="17">
        <f>OBRA!I338</f>
        <v>2018</v>
      </c>
      <c r="D339" s="1676"/>
      <c r="E339" s="18" t="str">
        <f>OBRA!K338</f>
        <v>RAMO 33</v>
      </c>
      <c r="F339" s="695" t="s">
        <v>1431</v>
      </c>
      <c r="G339" s="552" t="s">
        <v>3724</v>
      </c>
      <c r="H339" s="580" t="s">
        <v>3724</v>
      </c>
      <c r="I339" s="552" t="s">
        <v>3724</v>
      </c>
      <c r="J339" s="339" t="str">
        <f>OBRA!U338</f>
        <v>BIRMEK CONSTRUCCIONES S.A. DE C.V.</v>
      </c>
      <c r="K339" s="172" t="str">
        <f>OBRA!V338</f>
        <v>ING. LUIS RIGOBERTO OLMEDO NAVARRO</v>
      </c>
      <c r="L339" s="180" t="str">
        <f>OBRA!L338</f>
        <v>GMJ 025C OP/2018</v>
      </c>
      <c r="M339" s="202" t="str">
        <f>OBRA!M338</f>
        <v>ADJUDICACIÓN DIRECTA</v>
      </c>
      <c r="N339" s="328" t="str">
        <f>OBRA!N338</f>
        <v>ELECTRIFICACION DE POZO DE PROFUNDO EL DOMINGUILLO EN LA LOCALIDAD DE SAN JUAN COSALA, DEL MUNICIPIO DE JOCOTEPEC, JALISCO</v>
      </c>
      <c r="O339" s="510" t="s">
        <v>3531</v>
      </c>
      <c r="P339" s="69">
        <f>OBRA!Q338</f>
        <v>43326</v>
      </c>
      <c r="Q339" s="85">
        <f>OBRA!P338</f>
        <v>452456.16</v>
      </c>
      <c r="R339" s="255">
        <f>OBRA!R338</f>
        <v>43326</v>
      </c>
      <c r="S339" s="245">
        <f>OBRA!S338</f>
        <v>43357</v>
      </c>
      <c r="T339" s="1601" t="s">
        <v>3860</v>
      </c>
      <c r="U339" s="216" t="s">
        <v>1431</v>
      </c>
      <c r="V339" s="510" t="s">
        <v>3724</v>
      </c>
      <c r="W339" s="1529" t="s">
        <v>3724</v>
      </c>
      <c r="X339" s="1157">
        <f>OBRA!AP338</f>
        <v>90491.24</v>
      </c>
      <c r="Y339" s="341"/>
      <c r="Z339" s="341"/>
      <c r="AA339" s="5"/>
      <c r="AB339" s="351">
        <f>OBRA!BT338</f>
        <v>0</v>
      </c>
      <c r="AC339" s="569"/>
      <c r="AD339" s="569" t="s">
        <v>551</v>
      </c>
    </row>
    <row r="340" spans="1:30" ht="82.5" hidden="1" customHeight="1">
      <c r="A340" s="23" t="s">
        <v>2239</v>
      </c>
      <c r="B340" s="933" t="str">
        <f>GRAL!B341</f>
        <v>2015-2018</v>
      </c>
      <c r="C340" s="17">
        <f>OBRA!I339</f>
        <v>2018</v>
      </c>
      <c r="D340" s="1676"/>
      <c r="E340" s="18" t="str">
        <f>OBRA!K339</f>
        <v>RAMO 33</v>
      </c>
      <c r="F340" s="525" t="s">
        <v>1431</v>
      </c>
      <c r="G340" s="552" t="s">
        <v>3725</v>
      </c>
      <c r="H340" s="580" t="s">
        <v>3725</v>
      </c>
      <c r="I340" s="552" t="s">
        <v>3725</v>
      </c>
      <c r="J340" s="339" t="str">
        <f>OBRA!U339</f>
        <v xml:space="preserve">OBRAS Y EQUIPAMIENTOS HIDRAULICOS S.A. DE C.V. </v>
      </c>
      <c r="K340" s="172" t="str">
        <f>OBRA!V339</f>
        <v>ING. LUIS RIGOBERTO OLMEDO NAVARRO</v>
      </c>
      <c r="L340" s="180" t="str">
        <f>OBRA!L339</f>
        <v>GMJ 026C OP/2018</v>
      </c>
      <c r="M340" s="202" t="str">
        <f>OBRA!M339</f>
        <v>ADJUDICACIÓN DIRECTA</v>
      </c>
      <c r="N340" s="328" t="str">
        <f>OBRA!N339</f>
        <v>EQUIPAMIENTO  DE POZO PROFUNDO EL DOMINGUILLO EN LA LOCALIDAD DE SAN JUAN COSALA, DEL MUNICIPIO DE JOCOTEPEC, JALISCO</v>
      </c>
      <c r="O340" s="510" t="s">
        <v>3531</v>
      </c>
      <c r="P340" s="69">
        <f>OBRA!Q339</f>
        <v>43326</v>
      </c>
      <c r="Q340" s="85">
        <f>OBRA!P339</f>
        <v>412725.64</v>
      </c>
      <c r="R340" s="255">
        <f>OBRA!R339</f>
        <v>43326</v>
      </c>
      <c r="S340" s="245">
        <f>OBRA!S339</f>
        <v>43357</v>
      </c>
      <c r="T340" s="1601" t="s">
        <v>3860</v>
      </c>
      <c r="U340" s="216" t="s">
        <v>1431</v>
      </c>
      <c r="V340" s="510" t="s">
        <v>3725</v>
      </c>
      <c r="W340" s="1529" t="s">
        <v>3725</v>
      </c>
      <c r="X340" s="1157">
        <f>OBRA!AP339</f>
        <v>41242.559999999998</v>
      </c>
      <c r="Y340" s="341"/>
      <c r="Z340" s="341"/>
      <c r="AA340" s="5"/>
      <c r="AB340" s="351">
        <f>OBRA!BT339</f>
        <v>0</v>
      </c>
      <c r="AC340" s="569"/>
      <c r="AD340" s="569" t="s">
        <v>551</v>
      </c>
    </row>
    <row r="341" spans="1:30" ht="144" hidden="1" customHeight="1">
      <c r="A341" s="23" t="s">
        <v>2239</v>
      </c>
      <c r="B341" s="933" t="str">
        <f>GRAL!B342</f>
        <v>2015-2018</v>
      </c>
      <c r="C341" s="17">
        <f>OBRA!I340</f>
        <v>2018</v>
      </c>
      <c r="D341" s="1676"/>
      <c r="E341" s="18" t="str">
        <f>OBRA!K340</f>
        <v>RAMO 33</v>
      </c>
      <c r="F341" s="525" t="s">
        <v>1431</v>
      </c>
      <c r="G341" s="552" t="s">
        <v>3726</v>
      </c>
      <c r="H341" s="580" t="s">
        <v>3726</v>
      </c>
      <c r="I341" s="552" t="s">
        <v>3726</v>
      </c>
      <c r="J341" s="339" t="str">
        <f>OBRA!U340</f>
        <v>BRAILOGA CONSTRUCTORES S.A. DE C.V.</v>
      </c>
      <c r="K341" s="172" t="str">
        <f>OBRA!V340</f>
        <v>ARQ. CESAR ANTONIO ALONSO JIMENEZ</v>
      </c>
      <c r="L341" s="180" t="str">
        <f>OBRA!L340</f>
        <v>GMJ 027C OP/2018</v>
      </c>
      <c r="M341" s="202" t="str">
        <f>OBRA!M340</f>
        <v>ADJUDICACIÓN DIRECTA</v>
      </c>
      <c r="N341" s="328" t="str">
        <f>OBRA!N340</f>
        <v>REHABILITACION DE LINEA DE DRENAJE EN CALLE XOCHILT DE CARRETERA A C. CUAUHTEMOC, PRIMERA ETAPA CON REPOSICION DE SUPERFICIE DE RODAMIENO EN LA LOCALIDAD DE CHANTEPEC, DEL MUNICIPIO DE JOCOTEPEC, JALISCO</v>
      </c>
      <c r="O341" s="510" t="s">
        <v>3531</v>
      </c>
      <c r="P341" s="69">
        <f>OBRA!Q340</f>
        <v>43326</v>
      </c>
      <c r="Q341" s="85">
        <f>OBRA!P340</f>
        <v>732027.5</v>
      </c>
      <c r="R341" s="255">
        <f>OBRA!R340</f>
        <v>43326</v>
      </c>
      <c r="S341" s="245">
        <f>OBRA!S340</f>
        <v>43348</v>
      </c>
      <c r="T341" s="1601" t="s">
        <v>3860</v>
      </c>
      <c r="U341" s="216" t="s">
        <v>1431</v>
      </c>
      <c r="V341" s="510" t="s">
        <v>3726</v>
      </c>
      <c r="W341" s="801" t="s">
        <v>3726</v>
      </c>
      <c r="X341" s="1157">
        <f>OBRA!AP340</f>
        <v>327920.73</v>
      </c>
      <c r="Y341" s="341"/>
      <c r="Z341" s="341"/>
      <c r="AA341" s="5"/>
      <c r="AB341" s="351">
        <f>OBRA!BT340</f>
        <v>0</v>
      </c>
      <c r="AC341" s="569"/>
      <c r="AD341" s="569" t="s">
        <v>551</v>
      </c>
    </row>
    <row r="342" spans="1:30" ht="105.75" hidden="1" customHeight="1">
      <c r="A342" s="23" t="s">
        <v>2239</v>
      </c>
      <c r="B342" s="933" t="str">
        <f>GRAL!B343</f>
        <v>2015-2018</v>
      </c>
      <c r="C342" s="17">
        <f>OBRA!I341</f>
        <v>2018</v>
      </c>
      <c r="D342" s="1676"/>
      <c r="E342" s="18" t="str">
        <f>OBRA!K341</f>
        <v>RAMO 33</v>
      </c>
      <c r="F342" s="695" t="s">
        <v>1431</v>
      </c>
      <c r="G342" s="552" t="s">
        <v>3727</v>
      </c>
      <c r="H342" s="580" t="s">
        <v>3727</v>
      </c>
      <c r="I342" s="552" t="s">
        <v>3727</v>
      </c>
      <c r="J342" s="339" t="str">
        <f>OBRA!U341</f>
        <v xml:space="preserve">GRUPO DESARROLLADOR INMOBILIARIO CEMERAMA S.A. DE C.V. </v>
      </c>
      <c r="K342" s="172" t="str">
        <f>OBRA!V341</f>
        <v>LIC. SALVADOR CONTRERAS OLGUÍN</v>
      </c>
      <c r="L342" s="180" t="str">
        <f>OBRA!L341</f>
        <v>GMJ 028C OP/2018</v>
      </c>
      <c r="M342" s="202" t="str">
        <f>OBRA!M341</f>
        <v>ADJUDICACIÓN DIRECTA</v>
      </c>
      <c r="N342" s="328" t="str">
        <f>OBRA!N341</f>
        <v>CONSTRUCCION DE CASETA DE CONTROL Y CLORACIÓN EN EL POZO EL DOMINGUILLO EN LA LOCALIDAD DE SAN JUAN COSALA, DEL MUNICIPIO DE JOCOTEPEC, JALISCO</v>
      </c>
      <c r="O342" s="510" t="s">
        <v>3531</v>
      </c>
      <c r="P342" s="69">
        <f>OBRA!Q341</f>
        <v>43326</v>
      </c>
      <c r="Q342" s="85">
        <f>OBRA!P341</f>
        <v>87399.62</v>
      </c>
      <c r="R342" s="255">
        <f>OBRA!R341</f>
        <v>43333</v>
      </c>
      <c r="S342" s="245">
        <f>OBRA!S341</f>
        <v>43358</v>
      </c>
      <c r="T342" s="1601" t="s">
        <v>3860</v>
      </c>
      <c r="U342" s="216" t="s">
        <v>1431</v>
      </c>
      <c r="V342" s="552" t="s">
        <v>3727</v>
      </c>
      <c r="W342" s="692" t="s">
        <v>3727</v>
      </c>
      <c r="X342" s="1157">
        <f>OBRA!AP341</f>
        <v>17479.919999999998</v>
      </c>
      <c r="Y342" s="341"/>
      <c r="Z342" s="341"/>
      <c r="AA342" s="5"/>
      <c r="AB342" s="351">
        <f>OBRA!BT341</f>
        <v>0</v>
      </c>
      <c r="AC342" s="569"/>
      <c r="AD342" s="569" t="s">
        <v>551</v>
      </c>
    </row>
    <row r="343" spans="1:30" ht="162.75" hidden="1" customHeight="1">
      <c r="A343" s="23" t="s">
        <v>2239</v>
      </c>
      <c r="B343" s="933" t="str">
        <f>GRAL!B344</f>
        <v>2015-2018</v>
      </c>
      <c r="C343" s="17">
        <f>OBRA!I342</f>
        <v>2018</v>
      </c>
      <c r="D343" s="1676"/>
      <c r="E343" s="18" t="str">
        <f>OBRA!K342</f>
        <v>RAMO 33</v>
      </c>
      <c r="F343" s="525" t="s">
        <v>1431</v>
      </c>
      <c r="G343" s="552" t="s">
        <v>3728</v>
      </c>
      <c r="H343" s="580" t="s">
        <v>3728</v>
      </c>
      <c r="I343" s="552" t="s">
        <v>3728</v>
      </c>
      <c r="J343" s="339" t="str">
        <f>OBRA!U342</f>
        <v>BRAILOGA CONSTRUCTORES S.A. DE C.V.</v>
      </c>
      <c r="K343" s="172" t="str">
        <f>OBRA!V342</f>
        <v>ARQ. CESAR ANTONIO ALONSO JIMENEZ</v>
      </c>
      <c r="L343" s="180" t="str">
        <f>OBRA!L342</f>
        <v>GMJ 029C OP/2018</v>
      </c>
      <c r="M343" s="202" t="str">
        <f>OBRA!M342</f>
        <v>ADJUDICACIÓN DIRECTA</v>
      </c>
      <c r="N343" s="328" t="str">
        <f>OBRA!N342</f>
        <v>REHABILITACION DE LINEA DE ABASTECIMIENTO DE AGUA POTABLE DE 4" EN CALLE XOCHILT DE CARRETERA A C. CUAUHTEMOC, PRIMERA ETAPA CON REPOSICION DE SUPERFICIE DE RODAMIENTO EN LA LOCALIDAD DE CHANTEPEC, DEL MUNICIPIO DE JOCOTEPEC, JALISCO</v>
      </c>
      <c r="O343" s="510" t="s">
        <v>3531</v>
      </c>
      <c r="P343" s="69">
        <f>OBRA!Q342</f>
        <v>43346</v>
      </c>
      <c r="Q343" s="85">
        <f>OBRA!P342</f>
        <v>458709.95</v>
      </c>
      <c r="R343" s="255">
        <f>OBRA!R342</f>
        <v>43349</v>
      </c>
      <c r="S343" s="245">
        <f>OBRA!S342</f>
        <v>43367</v>
      </c>
      <c r="T343" s="1601" t="s">
        <v>3860</v>
      </c>
      <c r="U343" s="216" t="s">
        <v>1431</v>
      </c>
      <c r="V343" s="510" t="s">
        <v>3728</v>
      </c>
      <c r="W343" s="801" t="s">
        <v>3728</v>
      </c>
      <c r="X343" s="1157">
        <f>OBRA!AP342</f>
        <v>207461.57</v>
      </c>
      <c r="Y343" s="341"/>
      <c r="Z343" s="341"/>
      <c r="AA343" s="5"/>
      <c r="AB343" s="351">
        <f>OBRA!BT342</f>
        <v>0</v>
      </c>
      <c r="AC343" s="569"/>
      <c r="AD343" s="569" t="s">
        <v>551</v>
      </c>
    </row>
    <row r="344" spans="1:30" ht="151.5" hidden="1" customHeight="1">
      <c r="A344" s="23" t="s">
        <v>2239</v>
      </c>
      <c r="B344" s="933" t="str">
        <f>GRAL!B345</f>
        <v>2015-2018</v>
      </c>
      <c r="C344" s="17">
        <f>OBRA!I343</f>
        <v>2018</v>
      </c>
      <c r="D344" s="1676"/>
      <c r="E344" s="18" t="str">
        <f>OBRA!K343</f>
        <v>RAMO 33</v>
      </c>
      <c r="F344" s="525" t="s">
        <v>1431</v>
      </c>
      <c r="G344" s="552" t="s">
        <v>3729</v>
      </c>
      <c r="H344" s="580" t="s">
        <v>3729</v>
      </c>
      <c r="I344" s="552" t="s">
        <v>3729</v>
      </c>
      <c r="J344" s="339" t="str">
        <f>OBRA!U343</f>
        <v>C. JOSÉ MIGUEL GARCIA VALLE</v>
      </c>
      <c r="K344" s="172" t="str">
        <f>OBRA!V343</f>
        <v>ARQ. CESAR ANTONIO ALONSO JIMENEZ</v>
      </c>
      <c r="L344" s="180" t="str">
        <f>OBRA!L343</f>
        <v>GMJ 030C OP/2018</v>
      </c>
      <c r="M344" s="202" t="str">
        <f>OBRA!M343</f>
        <v>ADJUDICACIÓN DIRECTA</v>
      </c>
      <c r="N344" s="328" t="str">
        <f>OBRA!N343</f>
        <v>REHABILITACION DE LINEA DE AGUA POTABLE EN CALLE XOCHILT DE CARRETERA A CALLE CUAUHTEMOC, PRIMERA ETAPA CON REPOSICION DE SUPERFICIE DE RODAMIENTO LA LOCALIDAD DE CHANTEPEC, DEL MUNICIPIO DE JOCOTPEC, JALISCO</v>
      </c>
      <c r="O344" s="510" t="s">
        <v>3531</v>
      </c>
      <c r="P344" s="69">
        <f>OBRA!Q343</f>
        <v>43326</v>
      </c>
      <c r="Q344" s="85">
        <f>OBRA!P343</f>
        <v>615855.56999999995</v>
      </c>
      <c r="R344" s="255">
        <f>OBRA!R343</f>
        <v>43326</v>
      </c>
      <c r="S344" s="245">
        <f>OBRA!S343</f>
        <v>43348</v>
      </c>
      <c r="T344" s="1601" t="s">
        <v>3860</v>
      </c>
      <c r="U344" s="216" t="s">
        <v>1431</v>
      </c>
      <c r="V344" s="510" t="s">
        <v>3729</v>
      </c>
      <c r="W344" s="1529" t="s">
        <v>3729</v>
      </c>
      <c r="X344" s="1157">
        <f>OBRA!AP343</f>
        <v>277684.53000000003</v>
      </c>
      <c r="Y344" s="341"/>
      <c r="Z344" s="341"/>
      <c r="AA344" s="5"/>
      <c r="AB344" s="351">
        <f>OBRA!BT343</f>
        <v>0</v>
      </c>
      <c r="AC344" s="569"/>
      <c r="AD344" s="569" t="s">
        <v>551</v>
      </c>
    </row>
    <row r="345" spans="1:30" ht="153.75" hidden="1" customHeight="1">
      <c r="A345" s="23" t="s">
        <v>2239</v>
      </c>
      <c r="B345" s="933" t="str">
        <f>GRAL!B346</f>
        <v>2015-2018</v>
      </c>
      <c r="C345" s="17">
        <f>OBRA!I344</f>
        <v>2018</v>
      </c>
      <c r="D345" s="1676"/>
      <c r="E345" s="18" t="str">
        <f>OBRA!K344</f>
        <v>RAMO 33</v>
      </c>
      <c r="F345" s="525" t="s">
        <v>1431</v>
      </c>
      <c r="G345" s="552" t="s">
        <v>3730</v>
      </c>
      <c r="H345" s="580" t="s">
        <v>3730</v>
      </c>
      <c r="I345" s="171"/>
      <c r="J345" s="56" t="str">
        <f>OBRA!U344</f>
        <v>C. NORMA GORETY DOMINGUEZ CALVARIO</v>
      </c>
      <c r="K345" s="57" t="str">
        <f>OBRA!V344</f>
        <v>ING. JUAN MANUEL GARCIA ESCOTO</v>
      </c>
      <c r="L345" s="35" t="str">
        <f>OBRA!L344</f>
        <v>GMJ 031C OP/2018</v>
      </c>
      <c r="M345" s="2" t="str">
        <f>OBRA!M344</f>
        <v>ADJUDICACIÓN DIRECTA</v>
      </c>
      <c r="N345" s="328" t="str">
        <f>OBRA!N344</f>
        <v>REHABILITACION DE LINEA DE AGUA POTABLE EN CALLE CHURUBUSCO ENTRE CHAPULTEPEC Y CERRADA CON REPOSICION DE EMPEDRADO EXISTENTE EN LA LOCALIDAD DE LA LOMA DEL MUNICIPIO DE JOCOTEPEC, JALISCO</v>
      </c>
      <c r="O345" s="510" t="s">
        <v>3531</v>
      </c>
      <c r="P345" s="6">
        <f>OBRA!Q344</f>
        <v>43320</v>
      </c>
      <c r="Q345" s="4">
        <f>OBRA!P344</f>
        <v>413195.74</v>
      </c>
      <c r="R345" s="5">
        <f>OBRA!R344</f>
        <v>43322</v>
      </c>
      <c r="S345" s="12">
        <f>OBRA!S344</f>
        <v>43341</v>
      </c>
      <c r="T345" s="1601" t="s">
        <v>3860</v>
      </c>
      <c r="U345" s="415" t="s">
        <v>1431</v>
      </c>
      <c r="V345" s="510" t="s">
        <v>3730</v>
      </c>
      <c r="W345" s="801" t="s">
        <v>3730</v>
      </c>
      <c r="X345" s="1157">
        <f>OBRA!AP344</f>
        <v>82552.760000000009</v>
      </c>
      <c r="Y345" s="341"/>
      <c r="Z345" s="341"/>
      <c r="AA345" s="5"/>
      <c r="AB345" s="351">
        <f>OBRA!BT344</f>
        <v>0</v>
      </c>
      <c r="AC345" s="569"/>
      <c r="AD345" s="569"/>
    </row>
    <row r="346" spans="1:30" ht="120" hidden="1" customHeight="1">
      <c r="A346" s="23" t="s">
        <v>2239</v>
      </c>
      <c r="B346" s="933" t="str">
        <f>GRAL!B347</f>
        <v>2015-2018</v>
      </c>
      <c r="C346" s="17">
        <f>OBRA!I345</f>
        <v>2018</v>
      </c>
      <c r="D346" s="1676"/>
      <c r="E346" s="18" t="str">
        <f>OBRA!K345</f>
        <v>RAMO 33</v>
      </c>
      <c r="F346" s="525" t="s">
        <v>1431</v>
      </c>
      <c r="G346" s="171"/>
      <c r="H346" s="580" t="s">
        <v>3731</v>
      </c>
      <c r="I346" s="171"/>
      <c r="J346" s="56" t="str">
        <f>OBRA!U345</f>
        <v>ING. SERGIO CABRERA</v>
      </c>
      <c r="K346" s="172" t="str">
        <f>OBRA!V345</f>
        <v>ING. JUAN MANUEL GARCIA ESCOTO</v>
      </c>
      <c r="L346" s="35" t="str">
        <f>OBRA!L345</f>
        <v>GMJ 032C OP/2018</v>
      </c>
      <c r="M346" s="2" t="str">
        <f>OBRA!M345</f>
        <v>ADJUDICACIÓN DIRECTA</v>
      </c>
      <c r="N346" s="3" t="str">
        <f>OBRA!N345</f>
        <v>CONSTRUCCION DE LINEA DE DRENAJE DE 125 ML QUE VA A CONECTAR POR LA PARTE ORIENTE AL FRACCIONAMIENTO PASEO DEL CARDENAL EN SAN JUAN COSALA</v>
      </c>
      <c r="O346" s="510" t="s">
        <v>3531</v>
      </c>
      <c r="P346" s="6">
        <f>OBRA!Q345</f>
        <v>43329</v>
      </c>
      <c r="Q346" s="4">
        <f>OBRA!P345</f>
        <v>229200</v>
      </c>
      <c r="R346" s="5">
        <f>OBRA!R345</f>
        <v>43332</v>
      </c>
      <c r="S346" s="12">
        <f>OBRA!S345</f>
        <v>43353</v>
      </c>
      <c r="T346" s="1601" t="s">
        <v>3860</v>
      </c>
      <c r="U346" s="415" t="s">
        <v>1431</v>
      </c>
      <c r="V346" s="510" t="s">
        <v>3731</v>
      </c>
      <c r="W346" s="801" t="s">
        <v>3731</v>
      </c>
      <c r="X346" s="1155">
        <f>OBRA!AP345</f>
        <v>57300</v>
      </c>
      <c r="Y346" s="341"/>
      <c r="Z346" s="341"/>
      <c r="AA346" s="5"/>
      <c r="AB346" s="351">
        <f>OBRA!BT345</f>
        <v>0</v>
      </c>
      <c r="AC346" s="569"/>
      <c r="AD346" s="569"/>
    </row>
    <row r="347" spans="1:30" ht="15" hidden="1" customHeight="1">
      <c r="A347" s="23" t="s">
        <v>2239</v>
      </c>
      <c r="B347" s="933" t="str">
        <f>GRAL!B348</f>
        <v>2018-2021</v>
      </c>
      <c r="C347" s="17">
        <f>OBRA!I346</f>
        <v>2018</v>
      </c>
      <c r="D347" s="1676"/>
      <c r="E347" s="18" t="str">
        <f>OBRA!K346</f>
        <v>RAMO 33</v>
      </c>
      <c r="F347" s="525"/>
      <c r="G347" s="390"/>
      <c r="H347" s="1"/>
      <c r="I347" s="390"/>
      <c r="J347" s="56" t="str">
        <f>OBRA!U346</f>
        <v>N/A</v>
      </c>
      <c r="K347" s="57" t="str">
        <f>OBRA!V346</f>
        <v>ARQ. JAIME CONDE GOMEZ</v>
      </c>
      <c r="L347" s="20"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2">
        <f>OBRA!S346</f>
        <v>43456</v>
      </c>
      <c r="T347" s="55"/>
      <c r="U347" s="415" t="s">
        <v>1431</v>
      </c>
      <c r="V347" s="341"/>
      <c r="W347" s="12"/>
      <c r="X347" s="306">
        <f>OBRA!AP346</f>
        <v>0</v>
      </c>
      <c r="Y347" s="341"/>
      <c r="Z347" s="341"/>
      <c r="AA347" s="5"/>
      <c r="AB347" s="351">
        <f>OBRA!BT346</f>
        <v>0</v>
      </c>
      <c r="AC347" s="569"/>
      <c r="AD347" s="569"/>
    </row>
    <row r="348" spans="1:30" ht="15" hidden="1" customHeight="1">
      <c r="A348" s="23" t="s">
        <v>2239</v>
      </c>
      <c r="B348" s="933" t="str">
        <f>GRAL!B349</f>
        <v>2018-2021</v>
      </c>
      <c r="C348" s="17">
        <f>OBRA!I347</f>
        <v>2018</v>
      </c>
      <c r="D348" s="1676"/>
      <c r="E348" s="18" t="str">
        <f>OBRA!K347</f>
        <v>RAMO 33</v>
      </c>
      <c r="F348" s="525"/>
      <c r="G348" s="390"/>
      <c r="H348" s="1"/>
      <c r="I348" s="390"/>
      <c r="J348" s="56" t="str">
        <f>OBRA!U347</f>
        <v>N/A</v>
      </c>
      <c r="K348" s="57" t="str">
        <f>OBRA!V347</f>
        <v>ARQ. JAIME CONDE GOMEZ</v>
      </c>
      <c r="L348" s="20"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2">
        <f>OBRA!S347</f>
        <v>43456</v>
      </c>
      <c r="T348" s="55"/>
      <c r="U348" s="415" t="s">
        <v>1431</v>
      </c>
      <c r="V348" s="341"/>
      <c r="W348" s="12"/>
      <c r="X348" s="306">
        <f>OBRA!AP347</f>
        <v>0</v>
      </c>
      <c r="Y348" s="341"/>
      <c r="Z348" s="341"/>
      <c r="AA348" s="5"/>
      <c r="AB348" s="351">
        <f>OBRA!BT347</f>
        <v>0</v>
      </c>
      <c r="AC348" s="569"/>
      <c r="AD348" s="569"/>
    </row>
    <row r="349" spans="1:30" ht="15" hidden="1" customHeight="1">
      <c r="A349" s="23" t="s">
        <v>2239</v>
      </c>
      <c r="B349" s="933" t="str">
        <f>GRAL!B350</f>
        <v>2018-2021</v>
      </c>
      <c r="C349" s="17">
        <f>OBRA!I348</f>
        <v>2018</v>
      </c>
      <c r="D349" s="1676"/>
      <c r="E349" s="18" t="str">
        <f>OBRA!K348</f>
        <v>RAMO 33</v>
      </c>
      <c r="F349" s="525"/>
      <c r="G349" s="390"/>
      <c r="H349" s="1"/>
      <c r="I349" s="390"/>
      <c r="J349" s="56" t="str">
        <f>OBRA!U348</f>
        <v>N/A</v>
      </c>
      <c r="K349" s="57" t="str">
        <f>OBRA!V348</f>
        <v>ARQ. JAIME CONDE GOMEZ</v>
      </c>
      <c r="L349" s="20"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2">
        <f>OBRA!S348</f>
        <v>43465</v>
      </c>
      <c r="T349" s="55"/>
      <c r="U349" s="415" t="s">
        <v>1431</v>
      </c>
      <c r="V349" s="341"/>
      <c r="W349" s="12"/>
      <c r="X349" s="306">
        <f>OBRA!AP348</f>
        <v>0</v>
      </c>
      <c r="Y349" s="341"/>
      <c r="Z349" s="341"/>
      <c r="AA349" s="5"/>
      <c r="AB349" s="351">
        <f>OBRA!BT348</f>
        <v>0</v>
      </c>
      <c r="AC349" s="569"/>
      <c r="AD349" s="569"/>
    </row>
    <row r="350" spans="1:30" ht="15" hidden="1" customHeight="1">
      <c r="A350" s="23" t="s">
        <v>2239</v>
      </c>
      <c r="B350" s="933" t="str">
        <f>GRAL!B351</f>
        <v>2018-2021</v>
      </c>
      <c r="C350" s="17">
        <f>OBRA!I349</f>
        <v>2018</v>
      </c>
      <c r="D350" s="1676"/>
      <c r="E350" s="18" t="str">
        <f>OBRA!K349</f>
        <v>RAMO 33</v>
      </c>
      <c r="F350" s="525"/>
      <c r="G350" s="390"/>
      <c r="H350" s="1"/>
      <c r="I350" s="390"/>
      <c r="J350" s="56" t="str">
        <f>OBRA!U349</f>
        <v>N/A</v>
      </c>
      <c r="K350" s="57" t="str">
        <f>OBRA!V349</f>
        <v>ARQ. JAIME CONDE GOMEZ</v>
      </c>
      <c r="L350" s="20"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2">
        <f>OBRA!S349</f>
        <v>43465</v>
      </c>
      <c r="T350" s="55"/>
      <c r="U350" s="415" t="s">
        <v>1431</v>
      </c>
      <c r="V350" s="341"/>
      <c r="W350" s="12"/>
      <c r="X350" s="306">
        <f>OBRA!AP349</f>
        <v>0</v>
      </c>
      <c r="Y350" s="341"/>
      <c r="Z350" s="341"/>
      <c r="AA350" s="5"/>
      <c r="AB350" s="351">
        <f>OBRA!BT349</f>
        <v>0</v>
      </c>
      <c r="AC350" s="569"/>
      <c r="AD350" s="569"/>
    </row>
    <row r="351" spans="1:30" ht="15" hidden="1" customHeight="1">
      <c r="A351" s="23" t="s">
        <v>2239</v>
      </c>
      <c r="B351" s="933" t="str">
        <f>GRAL!B352</f>
        <v>2018-2021</v>
      </c>
      <c r="C351" s="17">
        <f>OBRA!I350</f>
        <v>2019</v>
      </c>
      <c r="D351" s="1676"/>
      <c r="E351" s="18" t="str">
        <f>OBRA!K350</f>
        <v>C.E.A.</v>
      </c>
      <c r="F351" s="525"/>
      <c r="G351" s="390"/>
      <c r="H351" s="1"/>
      <c r="I351" s="390"/>
      <c r="J351" s="56" t="str">
        <f>OBRA!U350</f>
        <v>N/A</v>
      </c>
      <c r="K351" s="57" t="str">
        <f>OBRA!V350</f>
        <v>ING. JUAN MANUEL GARCIA ESCOTO</v>
      </c>
      <c r="L351" s="20"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2">
        <f>OBRA!S350</f>
        <v>43812</v>
      </c>
      <c r="T351" s="55"/>
      <c r="U351" s="415" t="s">
        <v>1431</v>
      </c>
      <c r="V351" s="341"/>
      <c r="W351" s="12"/>
      <c r="X351" s="306">
        <f>OBRA!AP350</f>
        <v>0</v>
      </c>
      <c r="Y351" s="341"/>
      <c r="Z351" s="341"/>
      <c r="AA351" s="5"/>
      <c r="AB351" s="351">
        <f>OBRA!BT350</f>
        <v>0</v>
      </c>
      <c r="AC351" s="569"/>
      <c r="AD351" s="569"/>
    </row>
    <row r="352" spans="1:30" ht="15" hidden="1" customHeight="1">
      <c r="A352" s="23" t="s">
        <v>2239</v>
      </c>
      <c r="B352" s="933" t="str">
        <f>GRAL!B353</f>
        <v>2018-2021</v>
      </c>
      <c r="C352" s="17">
        <f>OBRA!I351</f>
        <v>2019</v>
      </c>
      <c r="D352" s="1676"/>
      <c r="E352" s="18" t="str">
        <f>OBRA!K351</f>
        <v>P.I.D.</v>
      </c>
      <c r="F352" s="525"/>
      <c r="G352" s="390"/>
      <c r="H352" s="1"/>
      <c r="I352" s="390"/>
      <c r="J352" s="56" t="str">
        <f>OBRA!U351</f>
        <v>N/A</v>
      </c>
      <c r="K352" s="57" t="str">
        <f>OBRA!V351</f>
        <v>-</v>
      </c>
      <c r="L352" s="20"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2">
        <f>OBRA!S351</f>
        <v>43830</v>
      </c>
      <c r="T352" s="55"/>
      <c r="U352" s="415" t="s">
        <v>1431</v>
      </c>
      <c r="V352" s="341"/>
      <c r="W352" s="12"/>
      <c r="X352" s="306">
        <f>OBRA!AP351</f>
        <v>0</v>
      </c>
      <c r="Y352" s="341"/>
      <c r="Z352" s="341"/>
      <c r="AA352" s="5"/>
      <c r="AB352" s="351">
        <f>OBRA!BT351</f>
        <v>0</v>
      </c>
      <c r="AC352" s="569"/>
      <c r="AD352" s="569"/>
    </row>
    <row r="353" spans="1:30" ht="15" hidden="1" customHeight="1">
      <c r="A353" s="23" t="s">
        <v>2239</v>
      </c>
      <c r="B353" s="933" t="str">
        <f>GRAL!B354</f>
        <v>2018-2021</v>
      </c>
      <c r="C353" s="17">
        <f>OBRA!I352</f>
        <v>2019</v>
      </c>
      <c r="D353" s="1676"/>
      <c r="E353" s="18" t="str">
        <f>OBRA!K352</f>
        <v>RASTRO DIGNO / CTA-CTE</v>
      </c>
      <c r="F353" s="525"/>
      <c r="G353" s="390"/>
      <c r="H353" s="1"/>
      <c r="I353" s="390"/>
      <c r="J353" s="56" t="str">
        <f>OBRA!U352</f>
        <v>N/A</v>
      </c>
      <c r="K353" s="57" t="str">
        <f>OBRA!V352</f>
        <v>ARQ. JAIME CONDE GOMEZ</v>
      </c>
      <c r="L353" s="20"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2">
        <f>OBRA!S352</f>
        <v>43830</v>
      </c>
      <c r="T353" s="55"/>
      <c r="U353" s="415" t="s">
        <v>1431</v>
      </c>
      <c r="V353" s="341"/>
      <c r="W353" s="12"/>
      <c r="X353" s="306">
        <f>OBRA!AP352</f>
        <v>0</v>
      </c>
      <c r="Y353" s="341"/>
      <c r="Z353" s="341"/>
      <c r="AA353" s="5"/>
      <c r="AB353" s="351">
        <f>OBRA!BT352</f>
        <v>0</v>
      </c>
      <c r="AC353" s="569"/>
      <c r="AD353" s="569"/>
    </row>
    <row r="354" spans="1:30" ht="15" hidden="1" customHeight="1">
      <c r="A354" s="23" t="s">
        <v>2239</v>
      </c>
      <c r="B354" s="933" t="str">
        <f>GRAL!B355</f>
        <v>2018-2021</v>
      </c>
      <c r="C354" s="17">
        <f>OBRA!I353</f>
        <v>2019</v>
      </c>
      <c r="D354" s="1676"/>
      <c r="E354" s="18" t="str">
        <f>OBRA!K353</f>
        <v>CUENTA CORRIENTE</v>
      </c>
      <c r="F354" s="525"/>
      <c r="G354" s="390"/>
      <c r="H354" s="1"/>
      <c r="I354" s="390"/>
      <c r="J354" s="56" t="str">
        <f>OBRA!U353</f>
        <v>N/A</v>
      </c>
      <c r="K354" s="57" t="str">
        <f>OBRA!V353</f>
        <v>ING. RIGOBERTO OLMEDO RAMOS</v>
      </c>
      <c r="L354" s="20"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2">
        <f>OBRA!S353</f>
        <v>43555</v>
      </c>
      <c r="T354" s="55"/>
      <c r="U354" s="415" t="s">
        <v>1431</v>
      </c>
      <c r="V354" s="341"/>
      <c r="W354" s="12"/>
      <c r="X354" s="306">
        <f>OBRA!AP353</f>
        <v>0</v>
      </c>
      <c r="Y354" s="341"/>
      <c r="Z354" s="341"/>
      <c r="AA354" s="5"/>
      <c r="AB354" s="351">
        <f>OBRA!BT353</f>
        <v>0</v>
      </c>
      <c r="AC354" s="569"/>
      <c r="AD354" s="569"/>
    </row>
    <row r="355" spans="1:30" s="110" customFormat="1" ht="15" hidden="1" customHeight="1">
      <c r="A355" s="87" t="s">
        <v>2239</v>
      </c>
      <c r="B355" s="946" t="str">
        <f>GRAL!B356</f>
        <v>2018-2021</v>
      </c>
      <c r="C355" s="88">
        <f>OBRA!I354</f>
        <v>2019</v>
      </c>
      <c r="D355" s="893"/>
      <c r="E355" s="103" t="str">
        <f>OBRA!K354</f>
        <v>CUENTA CORRIENTE</v>
      </c>
      <c r="F355" s="526"/>
      <c r="G355" s="392"/>
      <c r="H355" s="102"/>
      <c r="I355" s="392"/>
      <c r="J355" s="159" t="str">
        <f>OBRA!U354</f>
        <v>-</v>
      </c>
      <c r="K355" s="160" t="str">
        <f>OBRA!V354</f>
        <v>LIC. SALVADOR CONTRERAS OLGUÍN</v>
      </c>
      <c r="L355" s="90" t="str">
        <f>OBRA!L354</f>
        <v>DOP/AD/002/2019</v>
      </c>
      <c r="M355" s="91" t="str">
        <f>OBRA!M354</f>
        <v>CANCELADA</v>
      </c>
      <c r="N355" s="132" t="str">
        <f>OBRA!N354</f>
        <v>"CONSERVACIÓN Y MANTENIMIENTO DE HUELLAS DE ADOQUÍN EN CALLE MATAMOROS SUR DE C. DONATO GUERRA A HOSPITAL DE URGENCIAS" EN LA CABECERA MUNICIPAL DE JOCOTEPEPC, JALISCO"</v>
      </c>
      <c r="O355" s="132"/>
      <c r="P355" s="93" t="str">
        <f>OBRA!Q354</f>
        <v>-</v>
      </c>
      <c r="Q355" s="92">
        <f>OBRA!P354</f>
        <v>75251.929999999993</v>
      </c>
      <c r="R355" s="94" t="str">
        <f>OBRA!R354</f>
        <v>-</v>
      </c>
      <c r="S355" s="95" t="str">
        <f>OBRA!S354</f>
        <v>-</v>
      </c>
      <c r="T355" s="97"/>
      <c r="U355" s="785" t="s">
        <v>1431</v>
      </c>
      <c r="V355" s="343"/>
      <c r="W355" s="95"/>
      <c r="X355" s="311">
        <f>OBRA!AP354</f>
        <v>0</v>
      </c>
      <c r="Y355" s="343"/>
      <c r="Z355" s="343"/>
      <c r="AA355" s="94"/>
      <c r="AB355" s="511" t="str">
        <f>OBRA!BT354</f>
        <v>-</v>
      </c>
      <c r="AC355" s="570"/>
      <c r="AD355" s="570"/>
    </row>
    <row r="356" spans="1:30" s="110" customFormat="1" ht="15" hidden="1" customHeight="1">
      <c r="A356" s="87" t="s">
        <v>2239</v>
      </c>
      <c r="B356" s="946" t="str">
        <f>GRAL!B357</f>
        <v>2018-2021</v>
      </c>
      <c r="C356" s="88">
        <f>OBRA!I355</f>
        <v>2019</v>
      </c>
      <c r="D356" s="893"/>
      <c r="E356" s="103" t="str">
        <f>OBRA!K355</f>
        <v>CUENTA CORRIENTE</v>
      </c>
      <c r="F356" s="526"/>
      <c r="G356" s="392"/>
      <c r="H356" s="102"/>
      <c r="I356" s="392"/>
      <c r="J356" s="159" t="str">
        <f>OBRA!U355</f>
        <v>-</v>
      </c>
      <c r="K356" s="160" t="str">
        <f>OBRA!V355</f>
        <v>LIC. SALVADOR CONTRERAS OLGUÍN</v>
      </c>
      <c r="L356" s="90" t="str">
        <f>OBRA!L355</f>
        <v>DOP/AD/003/2019</v>
      </c>
      <c r="M356" s="91" t="str">
        <f>OBRA!M355</f>
        <v>CANCELADA</v>
      </c>
      <c r="N356" s="132" t="str">
        <f>OBRA!N355</f>
        <v>CONSERVACIÓN Y MANTENIMIENTO INCLUYENTE DE BANQUETA Y ACCESO HOSPITAL DE URGENCIAS" EN LA CABECERA MUNICIPAL DE JOCOTEPEC, JALISCO</v>
      </c>
      <c r="O356" s="132"/>
      <c r="P356" s="93" t="str">
        <f>OBRA!Q355</f>
        <v>-</v>
      </c>
      <c r="Q356" s="92">
        <f>OBRA!P355</f>
        <v>140710.85999999999</v>
      </c>
      <c r="R356" s="94" t="str">
        <f>OBRA!R355</f>
        <v>-</v>
      </c>
      <c r="S356" s="95" t="str">
        <f>OBRA!S355</f>
        <v>-</v>
      </c>
      <c r="T356" s="97"/>
      <c r="U356" s="785" t="s">
        <v>1431</v>
      </c>
      <c r="V356" s="343"/>
      <c r="W356" s="95"/>
      <c r="X356" s="311">
        <f>OBRA!AP355</f>
        <v>0</v>
      </c>
      <c r="Y356" s="343"/>
      <c r="Z356" s="343"/>
      <c r="AA356" s="94"/>
      <c r="AB356" s="511" t="str">
        <f>OBRA!BT355</f>
        <v>-</v>
      </c>
      <c r="AC356" s="570"/>
      <c r="AD356" s="570"/>
    </row>
    <row r="357" spans="1:30" ht="15" hidden="1" customHeight="1">
      <c r="A357" s="23" t="s">
        <v>2239</v>
      </c>
      <c r="B357" s="933" t="str">
        <f>GRAL!B358</f>
        <v>2018-2021</v>
      </c>
      <c r="C357" s="17">
        <f>OBRA!I356</f>
        <v>2019</v>
      </c>
      <c r="D357" s="1676"/>
      <c r="E357" s="18" t="str">
        <f>OBRA!K356</f>
        <v>CUENTA CORRIENTE</v>
      </c>
      <c r="F357" s="525"/>
      <c r="G357" s="390"/>
      <c r="H357" s="1"/>
      <c r="I357" s="390"/>
      <c r="J357" s="56" t="str">
        <f>OBRA!U356</f>
        <v>N/A</v>
      </c>
      <c r="K357" s="57" t="str">
        <f>OBRA!V356</f>
        <v>LIC. SALVADOR CONTRERAS OLGUÍN</v>
      </c>
      <c r="L357" s="20"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2">
        <f>OBRA!S356</f>
        <v>43623</v>
      </c>
      <c r="T357" s="55"/>
      <c r="U357" s="415" t="s">
        <v>1431</v>
      </c>
      <c r="V357" s="341"/>
      <c r="W357" s="12"/>
      <c r="X357" s="306">
        <f>OBRA!AP356</f>
        <v>0</v>
      </c>
      <c r="Y357" s="341"/>
      <c r="Z357" s="341"/>
      <c r="AA357" s="5"/>
      <c r="AB357" s="351">
        <f>OBRA!BT356</f>
        <v>0</v>
      </c>
      <c r="AC357" s="569"/>
      <c r="AD357" s="569"/>
    </row>
    <row r="358" spans="1:30" ht="15" hidden="1" customHeight="1">
      <c r="A358" s="23" t="s">
        <v>2239</v>
      </c>
      <c r="B358" s="933" t="str">
        <f>GRAL!B359</f>
        <v>2018-2021</v>
      </c>
      <c r="C358" s="17">
        <f>OBRA!I357</f>
        <v>2019</v>
      </c>
      <c r="D358" s="1676"/>
      <c r="E358" s="18" t="str">
        <f>OBRA!K357</f>
        <v>CUENTA CORRIENTE</v>
      </c>
      <c r="F358" s="525"/>
      <c r="G358" s="390"/>
      <c r="H358" s="1"/>
      <c r="I358" s="390"/>
      <c r="J358" s="56" t="str">
        <f>OBRA!U357</f>
        <v>N/A</v>
      </c>
      <c r="K358" s="57" t="str">
        <f>OBRA!V357</f>
        <v>LIC. SALVADOR CONTRERAS OLGUÍN</v>
      </c>
      <c r="L358" s="20"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2">
        <f>OBRA!S357</f>
        <v>43623</v>
      </c>
      <c r="T358" s="55"/>
      <c r="U358" s="415" t="s">
        <v>1431</v>
      </c>
      <c r="V358" s="341"/>
      <c r="W358" s="12"/>
      <c r="X358" s="306">
        <f>OBRA!AP357</f>
        <v>0</v>
      </c>
      <c r="Y358" s="341"/>
      <c r="Z358" s="341"/>
      <c r="AA358" s="5"/>
      <c r="AB358" s="351">
        <f>OBRA!BT357</f>
        <v>0</v>
      </c>
      <c r="AC358" s="569"/>
      <c r="AD358" s="569"/>
    </row>
    <row r="359" spans="1:30" ht="15" hidden="1" customHeight="1">
      <c r="A359" s="23" t="s">
        <v>2239</v>
      </c>
      <c r="B359" s="933" t="str">
        <f>GRAL!B360</f>
        <v>2018-2021</v>
      </c>
      <c r="C359" s="17">
        <f>OBRA!I358</f>
        <v>2019</v>
      </c>
      <c r="D359" s="1676"/>
      <c r="E359" s="18" t="str">
        <f>OBRA!K358</f>
        <v>CUENTA CORRIENTE</v>
      </c>
      <c r="F359" s="525"/>
      <c r="G359" s="390"/>
      <c r="H359" s="1"/>
      <c r="I359" s="390"/>
      <c r="J359" s="56" t="str">
        <f>OBRA!U358</f>
        <v>N/A</v>
      </c>
      <c r="K359" s="57" t="str">
        <f>OBRA!V358</f>
        <v>LIC. SALVADOR CONTRERAS OLGUÍN</v>
      </c>
      <c r="L359" s="20"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2">
        <f>OBRA!S358</f>
        <v>43623</v>
      </c>
      <c r="T359" s="55"/>
      <c r="U359" s="415" t="s">
        <v>1431</v>
      </c>
      <c r="V359" s="341"/>
      <c r="W359" s="12"/>
      <c r="X359" s="306">
        <f>OBRA!AP358</f>
        <v>0</v>
      </c>
      <c r="Y359" s="341"/>
      <c r="Z359" s="341"/>
      <c r="AA359" s="5"/>
      <c r="AB359" s="351">
        <f>OBRA!BT358</f>
        <v>0</v>
      </c>
      <c r="AC359" s="569"/>
      <c r="AD359" s="569"/>
    </row>
    <row r="360" spans="1:30" ht="15" hidden="1" customHeight="1">
      <c r="A360" s="23" t="s">
        <v>2239</v>
      </c>
      <c r="B360" s="933" t="str">
        <f>GRAL!B361</f>
        <v>2018-2021</v>
      </c>
      <c r="C360" s="17">
        <f>OBRA!I359</f>
        <v>2019</v>
      </c>
      <c r="D360" s="1676"/>
      <c r="E360" s="18" t="str">
        <f>OBRA!K359</f>
        <v>CUENTA CORRIENTE</v>
      </c>
      <c r="F360" s="525"/>
      <c r="G360" s="390"/>
      <c r="H360" s="1"/>
      <c r="I360" s="390"/>
      <c r="J360" s="56" t="str">
        <f>OBRA!U359</f>
        <v>N/A</v>
      </c>
      <c r="K360" s="57" t="str">
        <f>OBRA!V359</f>
        <v>ING. LUIS RIGOBERTO OLMEDO NAVARRO</v>
      </c>
      <c r="L360" s="20"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2">
        <f>OBRA!S359</f>
        <v>43830</v>
      </c>
      <c r="T360" s="55"/>
      <c r="U360" s="415" t="s">
        <v>1431</v>
      </c>
      <c r="V360" s="341"/>
      <c r="W360" s="12"/>
      <c r="X360" s="306">
        <f>OBRA!AP359</f>
        <v>0</v>
      </c>
      <c r="Y360" s="341"/>
      <c r="Z360" s="341"/>
      <c r="AA360" s="5"/>
      <c r="AB360" s="351">
        <f>OBRA!BT359</f>
        <v>0</v>
      </c>
      <c r="AC360" s="569"/>
      <c r="AD360" s="569"/>
    </row>
    <row r="361" spans="1:30" ht="15" hidden="1" customHeight="1">
      <c r="A361" s="23" t="s">
        <v>2239</v>
      </c>
      <c r="B361" s="933" t="str">
        <f>GRAL!B362</f>
        <v>2018-2021</v>
      </c>
      <c r="C361" s="17">
        <f>OBRA!I360</f>
        <v>2019</v>
      </c>
      <c r="D361" s="1676"/>
      <c r="E361" s="18" t="str">
        <f>OBRA!K360</f>
        <v>CEA / CUENTA CORRIENTE</v>
      </c>
      <c r="F361" s="525"/>
      <c r="G361" s="390"/>
      <c r="H361" s="1"/>
      <c r="I361" s="390"/>
      <c r="J361" s="56" t="str">
        <f>OBRA!U360</f>
        <v>N/A</v>
      </c>
      <c r="K361" s="57" t="str">
        <f>OBRA!V360</f>
        <v>ING. JUAN MANUEL GARCIA ESCOTO</v>
      </c>
      <c r="L361" s="20"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2">
        <f>OBRA!S360</f>
        <v>43830</v>
      </c>
      <c r="T361" s="55"/>
      <c r="U361" s="415" t="s">
        <v>1431</v>
      </c>
      <c r="V361" s="341"/>
      <c r="W361" s="12"/>
      <c r="X361" s="306">
        <f>OBRA!AP360</f>
        <v>0</v>
      </c>
      <c r="Y361" s="341"/>
      <c r="Z361" s="341"/>
      <c r="AA361" s="5"/>
      <c r="AB361" s="351">
        <f>OBRA!BT360</f>
        <v>0</v>
      </c>
      <c r="AC361" s="569"/>
      <c r="AD361" s="569"/>
    </row>
    <row r="362" spans="1:30" ht="15" hidden="1" customHeight="1">
      <c r="A362" s="23" t="s">
        <v>2239</v>
      </c>
      <c r="B362" s="933" t="str">
        <f>GRAL!B363</f>
        <v>2018-2021</v>
      </c>
      <c r="C362" s="17">
        <f>OBRA!I361</f>
        <v>2019</v>
      </c>
      <c r="D362" s="1676"/>
      <c r="E362" s="18" t="str">
        <f>OBRA!K361</f>
        <v>CUENTA CORRIENTE</v>
      </c>
      <c r="F362" s="525"/>
      <c r="G362" s="390"/>
      <c r="H362" s="1"/>
      <c r="I362" s="390"/>
      <c r="J362" s="56" t="str">
        <f>OBRA!U361</f>
        <v>N/A</v>
      </c>
      <c r="K362" s="57" t="str">
        <f>OBRA!V361</f>
        <v>ING. JUAN MANUEL GARCIA ESCOTO</v>
      </c>
      <c r="L362" s="20"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2">
        <f>OBRA!S361</f>
        <v>43830</v>
      </c>
      <c r="T362" s="55"/>
      <c r="U362" s="415" t="s">
        <v>1431</v>
      </c>
      <c r="V362" s="341"/>
      <c r="W362" s="12"/>
      <c r="X362" s="306">
        <f>OBRA!AP361</f>
        <v>0</v>
      </c>
      <c r="Y362" s="341"/>
      <c r="Z362" s="341"/>
      <c r="AA362" s="5"/>
      <c r="AB362" s="351">
        <f>OBRA!BT361</f>
        <v>0</v>
      </c>
      <c r="AC362" s="569"/>
      <c r="AD362" s="569"/>
    </row>
    <row r="363" spans="1:30" ht="15" hidden="1" customHeight="1">
      <c r="A363" s="23" t="s">
        <v>2239</v>
      </c>
      <c r="B363" s="933" t="str">
        <f>GRAL!B364</f>
        <v>2018-2021</v>
      </c>
      <c r="C363" s="17">
        <f>OBRA!I362</f>
        <v>2019</v>
      </c>
      <c r="D363" s="1676"/>
      <c r="E363" s="18" t="str">
        <f>OBRA!K362</f>
        <v>CUENTA CORRIENTE</v>
      </c>
      <c r="F363" s="525"/>
      <c r="G363" s="390"/>
      <c r="H363" s="1"/>
      <c r="I363" s="390"/>
      <c r="J363" s="56" t="str">
        <f>OBRA!U362</f>
        <v>N/A</v>
      </c>
      <c r="K363" s="57" t="str">
        <f>OBRA!V362</f>
        <v>ING. J. GUADALUPE IBARRA RAMIREZ</v>
      </c>
      <c r="L363" s="20"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2">
        <f>OBRA!S362</f>
        <v>43798</v>
      </c>
      <c r="T363" s="55"/>
      <c r="U363" s="415" t="s">
        <v>1431</v>
      </c>
      <c r="V363" s="341"/>
      <c r="W363" s="12"/>
      <c r="X363" s="306">
        <f>OBRA!AP362</f>
        <v>0</v>
      </c>
      <c r="Y363" s="341"/>
      <c r="Z363" s="341"/>
      <c r="AA363" s="5"/>
      <c r="AB363" s="351">
        <f>OBRA!BT362</f>
        <v>0</v>
      </c>
      <c r="AC363" s="569"/>
      <c r="AD363" s="569"/>
    </row>
    <row r="364" spans="1:30" ht="15" hidden="1" customHeight="1">
      <c r="A364" s="23" t="s">
        <v>2239</v>
      </c>
      <c r="B364" s="933" t="str">
        <f>GRAL!B365</f>
        <v>2018-2021</v>
      </c>
      <c r="C364" s="17">
        <f>OBRA!I363</f>
        <v>2019</v>
      </c>
      <c r="D364" s="1676"/>
      <c r="E364" s="18" t="str">
        <f>OBRA!K363</f>
        <v>RAMO 33</v>
      </c>
      <c r="F364" s="525"/>
      <c r="G364" s="390"/>
      <c r="H364" s="1"/>
      <c r="I364" s="390"/>
      <c r="J364" s="56" t="str">
        <f>OBRA!U363</f>
        <v>N/A</v>
      </c>
      <c r="K364" s="57" t="str">
        <f>OBRA!V363</f>
        <v>ING. J. GUADALUPE IBARRA RAMIREZ</v>
      </c>
      <c r="L364" s="20"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2">
        <f>OBRA!S363</f>
        <v>43814</v>
      </c>
      <c r="T364" s="55"/>
      <c r="U364" s="415" t="s">
        <v>1431</v>
      </c>
      <c r="V364" s="341"/>
      <c r="W364" s="12"/>
      <c r="X364" s="306">
        <f>OBRA!AP363</f>
        <v>0</v>
      </c>
      <c r="Y364" s="341"/>
      <c r="Z364" s="341"/>
      <c r="AA364" s="5"/>
      <c r="AB364" s="351">
        <f>OBRA!BT363</f>
        <v>0</v>
      </c>
      <c r="AC364" s="569"/>
      <c r="AD364" s="569"/>
    </row>
    <row r="365" spans="1:30" ht="15" hidden="1" customHeight="1">
      <c r="A365" s="23" t="s">
        <v>2239</v>
      </c>
      <c r="B365" s="933" t="str">
        <f>GRAL!B366</f>
        <v>2018-2021</v>
      </c>
      <c r="C365" s="17">
        <f>OBRA!I364</f>
        <v>2019</v>
      </c>
      <c r="D365" s="1676"/>
      <c r="E365" s="18" t="str">
        <f>OBRA!K364</f>
        <v>RAMO 33</v>
      </c>
      <c r="F365" s="525"/>
      <c r="G365" s="390"/>
      <c r="H365" s="1"/>
      <c r="I365" s="390"/>
      <c r="J365" s="56" t="str">
        <f>OBRA!U364</f>
        <v>N/A</v>
      </c>
      <c r="K365" s="57" t="str">
        <f>OBRA!V364</f>
        <v>ING. J. GUADALUPE IBARRA RAMIREZ</v>
      </c>
      <c r="L365" s="20"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2">
        <f>OBRA!S364</f>
        <v>43814</v>
      </c>
      <c r="T365" s="55"/>
      <c r="U365" s="415" t="s">
        <v>1431</v>
      </c>
      <c r="V365" s="341"/>
      <c r="W365" s="12"/>
      <c r="X365" s="306">
        <f>OBRA!AP364</f>
        <v>0</v>
      </c>
      <c r="Y365" s="341"/>
      <c r="Z365" s="341"/>
      <c r="AA365" s="5"/>
      <c r="AB365" s="351">
        <f>OBRA!BT364</f>
        <v>0</v>
      </c>
      <c r="AC365" s="569"/>
      <c r="AD365" s="569"/>
    </row>
    <row r="366" spans="1:30" ht="15" hidden="1" customHeight="1">
      <c r="A366" s="23" t="s">
        <v>2239</v>
      </c>
      <c r="B366" s="933" t="str">
        <f>GRAL!B367</f>
        <v>2018-2021</v>
      </c>
      <c r="C366" s="17">
        <f>OBRA!I365</f>
        <v>2019</v>
      </c>
      <c r="D366" s="1676"/>
      <c r="E366" s="18" t="str">
        <f>OBRA!K365</f>
        <v>RAMO 33</v>
      </c>
      <c r="F366" s="525"/>
      <c r="G366" s="390"/>
      <c r="H366" s="1"/>
      <c r="I366" s="390"/>
      <c r="J366" s="56" t="str">
        <f>OBRA!U365</f>
        <v>N/A</v>
      </c>
      <c r="K366" s="57" t="str">
        <f>OBRA!V365</f>
        <v>ING. J. GUADALUPE IBARRA RAMIREZ</v>
      </c>
      <c r="L366" s="20"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2">
        <f>OBRA!S365</f>
        <v>43798</v>
      </c>
      <c r="T366" s="55"/>
      <c r="U366" s="415" t="s">
        <v>1431</v>
      </c>
      <c r="V366" s="341"/>
      <c r="W366" s="12"/>
      <c r="X366" s="306">
        <f>OBRA!AP365</f>
        <v>0</v>
      </c>
      <c r="Y366" s="341"/>
      <c r="Z366" s="341"/>
      <c r="AA366" s="5"/>
      <c r="AB366" s="351">
        <f>OBRA!BT365</f>
        <v>0</v>
      </c>
      <c r="AC366" s="569"/>
      <c r="AD366" s="569"/>
    </row>
    <row r="367" spans="1:30" ht="15" hidden="1" customHeight="1">
      <c r="A367" s="23" t="s">
        <v>2239</v>
      </c>
      <c r="B367" s="933" t="str">
        <f>GRAL!B368</f>
        <v>2018-2021</v>
      </c>
      <c r="C367" s="17">
        <f>OBRA!I366</f>
        <v>2019</v>
      </c>
      <c r="D367" s="1676"/>
      <c r="E367" s="18" t="str">
        <f>OBRA!K366</f>
        <v>RAMO 33</v>
      </c>
      <c r="F367" s="525"/>
      <c r="G367" s="390"/>
      <c r="H367" s="1"/>
      <c r="I367" s="390"/>
      <c r="J367" s="56" t="str">
        <f>OBRA!U366</f>
        <v>N/A</v>
      </c>
      <c r="K367" s="57" t="str">
        <f>OBRA!V366</f>
        <v>ING. J. GUADALUPE IBARRA RAMIREZ</v>
      </c>
      <c r="L367" s="20"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2">
        <f>OBRA!S366</f>
        <v>43798</v>
      </c>
      <c r="T367" s="55"/>
      <c r="U367" s="415" t="s">
        <v>1431</v>
      </c>
      <c r="V367" s="341"/>
      <c r="W367" s="12"/>
      <c r="X367" s="306">
        <f>OBRA!AP366</f>
        <v>0</v>
      </c>
      <c r="Y367" s="341"/>
      <c r="Z367" s="341"/>
      <c r="AA367" s="5"/>
      <c r="AB367" s="351">
        <f>OBRA!BT366</f>
        <v>0</v>
      </c>
      <c r="AC367" s="569"/>
      <c r="AD367" s="569"/>
    </row>
    <row r="368" spans="1:30" ht="15" hidden="1" customHeight="1">
      <c r="A368" s="23" t="s">
        <v>2239</v>
      </c>
      <c r="B368" s="933" t="str">
        <f>GRAL!B369</f>
        <v>2018-2021</v>
      </c>
      <c r="C368" s="17">
        <f>OBRA!I367</f>
        <v>2019</v>
      </c>
      <c r="D368" s="1676"/>
      <c r="E368" s="18" t="str">
        <f>OBRA!K367</f>
        <v>RAMO 33</v>
      </c>
      <c r="F368" s="525"/>
      <c r="G368" s="390"/>
      <c r="H368" s="1"/>
      <c r="I368" s="390"/>
      <c r="J368" s="56" t="str">
        <f>OBRA!U367</f>
        <v>N/A</v>
      </c>
      <c r="K368" s="57" t="str">
        <f>OBRA!V367</f>
        <v>ING. J. GUADALUPE IBARRA RAMIREZ</v>
      </c>
      <c r="L368" s="20"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2">
        <f>OBRA!S367</f>
        <v>43798</v>
      </c>
      <c r="T368" s="55"/>
      <c r="U368" s="415" t="s">
        <v>1431</v>
      </c>
      <c r="V368" s="341"/>
      <c r="W368" s="12"/>
      <c r="X368" s="306">
        <f>OBRA!AP367</f>
        <v>0</v>
      </c>
      <c r="Y368" s="341"/>
      <c r="Z368" s="341"/>
      <c r="AA368" s="5"/>
      <c r="AB368" s="351">
        <f>OBRA!BT367</f>
        <v>0</v>
      </c>
      <c r="AC368" s="569"/>
      <c r="AD368" s="569"/>
    </row>
    <row r="369" spans="1:30" s="110" customFormat="1" ht="15" hidden="1" customHeight="1">
      <c r="A369" s="87" t="s">
        <v>2239</v>
      </c>
      <c r="B369" s="946" t="str">
        <f>GRAL!B370</f>
        <v>2018-2021</v>
      </c>
      <c r="C369" s="88">
        <f>OBRA!I368</f>
        <v>2019</v>
      </c>
      <c r="D369" s="893"/>
      <c r="E369" s="103">
        <f>OBRA!K368</f>
        <v>0</v>
      </c>
      <c r="F369" s="526"/>
      <c r="G369" s="392"/>
      <c r="H369" s="102"/>
      <c r="I369" s="392"/>
      <c r="J369" s="159" t="str">
        <f>OBRA!U368</f>
        <v>-</v>
      </c>
      <c r="K369" s="160">
        <f>OBRA!V368</f>
        <v>0</v>
      </c>
      <c r="L369" s="90" t="str">
        <f>OBRA!L368</f>
        <v>DOP/AD/016/2019</v>
      </c>
      <c r="M369" s="91" t="str">
        <f>OBRA!M368</f>
        <v>CANCELADA</v>
      </c>
      <c r="N369" s="132">
        <f>OBRA!N368</f>
        <v>0</v>
      </c>
      <c r="O369" s="132"/>
      <c r="P369" s="93">
        <f>OBRA!Q368</f>
        <v>0</v>
      </c>
      <c r="Q369" s="92">
        <f>OBRA!P368</f>
        <v>0</v>
      </c>
      <c r="R369" s="94">
        <f>OBRA!R368</f>
        <v>0</v>
      </c>
      <c r="S369" s="95">
        <f>OBRA!S368</f>
        <v>0</v>
      </c>
      <c r="T369" s="97"/>
      <c r="U369" s="785" t="s">
        <v>1431</v>
      </c>
      <c r="V369" s="343"/>
      <c r="W369" s="95"/>
      <c r="X369" s="311">
        <f>OBRA!AP368</f>
        <v>0</v>
      </c>
      <c r="Y369" s="343"/>
      <c r="Z369" s="343"/>
      <c r="AA369" s="94"/>
      <c r="AB369" s="511">
        <f>OBRA!BT368</f>
        <v>0</v>
      </c>
      <c r="AC369" s="570"/>
      <c r="AD369" s="570"/>
    </row>
    <row r="370" spans="1:30" ht="15" hidden="1" customHeight="1">
      <c r="A370" s="23" t="s">
        <v>2239</v>
      </c>
      <c r="B370" s="933" t="str">
        <f>GRAL!B371</f>
        <v>2018-2021</v>
      </c>
      <c r="C370" s="17">
        <f>OBRA!I369</f>
        <v>2019</v>
      </c>
      <c r="D370" s="1676"/>
      <c r="E370" s="18" t="str">
        <f>OBRA!K369</f>
        <v>P.I.D.</v>
      </c>
      <c r="F370" s="525"/>
      <c r="G370" s="390"/>
      <c r="H370" s="1"/>
      <c r="I370" s="390"/>
      <c r="J370" s="56" t="str">
        <f>OBRA!U369</f>
        <v>N/A</v>
      </c>
      <c r="K370" s="57" t="str">
        <f>OBRA!V369</f>
        <v>ARQ. CESAR ANTONIO ALONSO JIMENEZ</v>
      </c>
      <c r="L370" s="20"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2">
        <f>OBRA!S369</f>
        <v>43814</v>
      </c>
      <c r="T370" s="55"/>
      <c r="U370" s="415" t="s">
        <v>1431</v>
      </c>
      <c r="V370" s="341"/>
      <c r="W370" s="12"/>
      <c r="X370" s="306">
        <f>OBRA!AP369</f>
        <v>0</v>
      </c>
      <c r="Y370" s="341"/>
      <c r="Z370" s="341"/>
      <c r="AA370" s="5"/>
      <c r="AB370" s="351">
        <f>OBRA!BT369</f>
        <v>0</v>
      </c>
      <c r="AC370" s="569"/>
      <c r="AD370" s="569"/>
    </row>
    <row r="371" spans="1:30" ht="15" hidden="1" customHeight="1">
      <c r="A371" s="23" t="s">
        <v>2239</v>
      </c>
      <c r="B371" s="933" t="str">
        <f>GRAL!B372</f>
        <v>2018-2021</v>
      </c>
      <c r="C371" s="17">
        <f>OBRA!I370</f>
        <v>2019</v>
      </c>
      <c r="D371" s="1676"/>
      <c r="E371" s="18" t="str">
        <f>OBRA!K370</f>
        <v>RAMO 33</v>
      </c>
      <c r="F371" s="525"/>
      <c r="G371" s="390"/>
      <c r="H371" s="1"/>
      <c r="I371" s="390"/>
      <c r="J371" s="56" t="str">
        <f>OBRA!U370</f>
        <v>N/A</v>
      </c>
      <c r="K371" s="57" t="str">
        <f>OBRA!V370</f>
        <v>ING. J. GUADALUPE IBARRA RAMIREZ</v>
      </c>
      <c r="L371" s="20"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2">
        <f>OBRA!S370</f>
        <v>43814</v>
      </c>
      <c r="T371" s="55"/>
      <c r="U371" s="415" t="s">
        <v>1431</v>
      </c>
      <c r="V371" s="341"/>
      <c r="W371" s="12"/>
      <c r="X371" s="306">
        <f>OBRA!AP370</f>
        <v>0</v>
      </c>
      <c r="Y371" s="341"/>
      <c r="Z371" s="341"/>
      <c r="AA371" s="5"/>
      <c r="AB371" s="351">
        <f>OBRA!BT370</f>
        <v>0</v>
      </c>
      <c r="AC371" s="569"/>
      <c r="AD371" s="569"/>
    </row>
    <row r="372" spans="1:30" s="110" customFormat="1" ht="15" hidden="1" customHeight="1">
      <c r="A372" s="87" t="s">
        <v>2239</v>
      </c>
      <c r="B372" s="946" t="str">
        <f>GRAL!B373</f>
        <v>2018-2021</v>
      </c>
      <c r="C372" s="88">
        <f>OBRA!I371</f>
        <v>2019</v>
      </c>
      <c r="D372" s="893"/>
      <c r="E372" s="103">
        <f>OBRA!K371</f>
        <v>0</v>
      </c>
      <c r="F372" s="526"/>
      <c r="G372" s="392"/>
      <c r="H372" s="102"/>
      <c r="I372" s="392"/>
      <c r="J372" s="159" t="str">
        <f>OBRA!U371</f>
        <v>-</v>
      </c>
      <c r="K372" s="160">
        <f>OBRA!V371</f>
        <v>0</v>
      </c>
      <c r="L372" s="90" t="str">
        <f>OBRA!L371</f>
        <v>DOP/AD/019/2019</v>
      </c>
      <c r="M372" s="91" t="str">
        <f>OBRA!M371</f>
        <v>CANCELADA</v>
      </c>
      <c r="N372" s="132">
        <f>OBRA!N371</f>
        <v>0</v>
      </c>
      <c r="O372" s="132"/>
      <c r="P372" s="93">
        <f>OBRA!Q371</f>
        <v>0</v>
      </c>
      <c r="Q372" s="92">
        <f>OBRA!P371</f>
        <v>0</v>
      </c>
      <c r="R372" s="94">
        <f>OBRA!R371</f>
        <v>0</v>
      </c>
      <c r="S372" s="95">
        <f>OBRA!S371</f>
        <v>0</v>
      </c>
      <c r="T372" s="97"/>
      <c r="U372" s="785" t="s">
        <v>1431</v>
      </c>
      <c r="V372" s="343"/>
      <c r="W372" s="95"/>
      <c r="X372" s="311">
        <f>OBRA!AP371</f>
        <v>0</v>
      </c>
      <c r="Y372" s="343"/>
      <c r="Z372" s="343"/>
      <c r="AA372" s="94"/>
      <c r="AB372" s="511">
        <f>OBRA!BT371</f>
        <v>0</v>
      </c>
      <c r="AC372" s="570"/>
      <c r="AD372" s="570"/>
    </row>
    <row r="373" spans="1:30" ht="15" hidden="1" customHeight="1">
      <c r="A373" s="23" t="s">
        <v>2239</v>
      </c>
      <c r="B373" s="933" t="str">
        <f>GRAL!B374</f>
        <v>2018-2021</v>
      </c>
      <c r="C373" s="17">
        <f>OBRA!I372</f>
        <v>2019</v>
      </c>
      <c r="D373" s="1676"/>
      <c r="E373" s="18" t="str">
        <f>OBRA!K372</f>
        <v>RAMO 33</v>
      </c>
      <c r="F373" s="525"/>
      <c r="G373" s="390"/>
      <c r="H373" s="1"/>
      <c r="I373" s="390"/>
      <c r="J373" s="56" t="str">
        <f>OBRA!U372</f>
        <v>N/A</v>
      </c>
      <c r="K373" s="57" t="str">
        <f>OBRA!V372</f>
        <v>ING. JUAN MANUEL GARCIA ESCOTO</v>
      </c>
      <c r="L373" s="20"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2">
        <f>OBRA!S372</f>
        <v>43814</v>
      </c>
      <c r="T373" s="55"/>
      <c r="U373" s="415" t="s">
        <v>1431</v>
      </c>
      <c r="V373" s="341"/>
      <c r="W373" s="12"/>
      <c r="X373" s="306">
        <f>OBRA!AP372</f>
        <v>0</v>
      </c>
      <c r="Y373" s="341"/>
      <c r="Z373" s="341"/>
      <c r="AA373" s="5"/>
      <c r="AB373" s="351">
        <f>OBRA!BT372</f>
        <v>0</v>
      </c>
      <c r="AC373" s="569"/>
      <c r="AD373" s="569"/>
    </row>
    <row r="374" spans="1:30" ht="15" hidden="1" customHeight="1">
      <c r="A374" s="23" t="s">
        <v>2239</v>
      </c>
      <c r="B374" s="933" t="str">
        <f>GRAL!B375</f>
        <v>2018-2021</v>
      </c>
      <c r="C374" s="17">
        <f>OBRA!I373</f>
        <v>2019</v>
      </c>
      <c r="D374" s="1676"/>
      <c r="E374" s="18" t="str">
        <f>OBRA!K373</f>
        <v>P.I.D.</v>
      </c>
      <c r="F374" s="525"/>
      <c r="G374" s="390"/>
      <c r="H374" s="1"/>
      <c r="I374" s="390"/>
      <c r="J374" s="56" t="str">
        <f>OBRA!U373</f>
        <v>N/A</v>
      </c>
      <c r="K374" s="57">
        <f>OBRA!V373</f>
        <v>0</v>
      </c>
      <c r="L374" s="20"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2">
        <f>OBRA!S373</f>
        <v>0</v>
      </c>
      <c r="T374" s="55"/>
      <c r="U374" s="415" t="s">
        <v>1431</v>
      </c>
      <c r="V374" s="341"/>
      <c r="W374" s="12"/>
      <c r="X374" s="306">
        <f>OBRA!AP373</f>
        <v>0</v>
      </c>
      <c r="Y374" s="341"/>
      <c r="Z374" s="341"/>
      <c r="AA374" s="5"/>
      <c r="AB374" s="351">
        <f>OBRA!BT373</f>
        <v>0</v>
      </c>
      <c r="AC374" s="569"/>
      <c r="AD374" s="569"/>
    </row>
    <row r="375" spans="1:30" ht="15" hidden="1" customHeight="1">
      <c r="A375" s="23" t="s">
        <v>2239</v>
      </c>
      <c r="B375" s="933" t="str">
        <f>GRAL!B376</f>
        <v>2018-2021</v>
      </c>
      <c r="C375" s="17">
        <f>OBRA!I374</f>
        <v>2019</v>
      </c>
      <c r="D375" s="1676"/>
      <c r="E375" s="18" t="str">
        <f>OBRA!K374</f>
        <v>RAMO 33</v>
      </c>
      <c r="F375" s="525"/>
      <c r="G375" s="390"/>
      <c r="H375" s="1"/>
      <c r="I375" s="390"/>
      <c r="J375" s="56" t="str">
        <f>OBRA!U374</f>
        <v>N/A</v>
      </c>
      <c r="K375" s="57" t="str">
        <f>OBRA!V374</f>
        <v>ING. J. GUADALUPE IBARRA RAMIREZ</v>
      </c>
      <c r="L375" s="20"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2">
        <f>OBRA!S374</f>
        <v>43830</v>
      </c>
      <c r="T375" s="55"/>
      <c r="U375" s="415" t="s">
        <v>1431</v>
      </c>
      <c r="V375" s="341"/>
      <c r="W375" s="12"/>
      <c r="X375" s="306">
        <f>OBRA!AP374</f>
        <v>0</v>
      </c>
      <c r="Y375" s="341"/>
      <c r="Z375" s="341"/>
      <c r="AA375" s="5"/>
      <c r="AB375" s="351">
        <f>OBRA!BT374</f>
        <v>0</v>
      </c>
      <c r="AC375" s="569"/>
      <c r="AD375" s="569"/>
    </row>
    <row r="376" spans="1:30" ht="15" hidden="1" customHeight="1">
      <c r="A376" s="23" t="s">
        <v>2239</v>
      </c>
      <c r="B376" s="933" t="str">
        <f>GRAL!B377</f>
        <v>2018-2021</v>
      </c>
      <c r="C376" s="17">
        <f>OBRA!I375</f>
        <v>2019</v>
      </c>
      <c r="D376" s="1676"/>
      <c r="E376" s="18">
        <f>OBRA!K375</f>
        <v>0</v>
      </c>
      <c r="F376" s="525"/>
      <c r="G376" s="390"/>
      <c r="H376" s="1"/>
      <c r="I376" s="390"/>
      <c r="J376" s="56" t="str">
        <f>OBRA!U375</f>
        <v>N/A</v>
      </c>
      <c r="K376" s="57">
        <f>OBRA!V375</f>
        <v>0</v>
      </c>
      <c r="L376" s="20" t="str">
        <f>OBRA!L375</f>
        <v>DOP/AD/023/2019</v>
      </c>
      <c r="M376" s="2" t="str">
        <f>OBRA!M375</f>
        <v>CANCELADA</v>
      </c>
      <c r="N376" s="3">
        <f>OBRA!N375</f>
        <v>0</v>
      </c>
      <c r="O376" s="3"/>
      <c r="P376" s="6">
        <f>OBRA!Q375</f>
        <v>0</v>
      </c>
      <c r="Q376" s="4">
        <f>OBRA!P375</f>
        <v>0</v>
      </c>
      <c r="R376" s="5">
        <f>OBRA!R375</f>
        <v>0</v>
      </c>
      <c r="S376" s="12">
        <f>OBRA!S375</f>
        <v>0</v>
      </c>
      <c r="T376" s="55"/>
      <c r="U376" s="415" t="s">
        <v>1431</v>
      </c>
      <c r="V376" s="341"/>
      <c r="W376" s="12"/>
      <c r="X376" s="306">
        <f>OBRA!AP375</f>
        <v>0</v>
      </c>
      <c r="Y376" s="341"/>
      <c r="Z376" s="341"/>
      <c r="AA376" s="5"/>
      <c r="AB376" s="351">
        <f>OBRA!BT375</f>
        <v>0</v>
      </c>
      <c r="AC376" s="569"/>
      <c r="AD376" s="569"/>
    </row>
    <row r="377" spans="1:30" ht="15" hidden="1" customHeight="1">
      <c r="A377" s="23" t="s">
        <v>2239</v>
      </c>
      <c r="B377" s="933" t="str">
        <f>GRAL!B378</f>
        <v>2018-2021</v>
      </c>
      <c r="C377" s="17">
        <f>OBRA!I376</f>
        <v>2019</v>
      </c>
      <c r="D377" s="1676"/>
      <c r="E377" s="18" t="str">
        <f>OBRA!K376</f>
        <v>RAMO 33</v>
      </c>
      <c r="F377" s="525"/>
      <c r="G377" s="390"/>
      <c r="H377" s="1"/>
      <c r="I377" s="390"/>
      <c r="J377" s="56" t="str">
        <f>OBRA!U376</f>
        <v>N/A</v>
      </c>
      <c r="K377" s="57" t="str">
        <f>OBRA!V376</f>
        <v>LIC. SALVADOR CONTRERAS OLGUÍN</v>
      </c>
      <c r="L377" s="20"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2">
        <f>OBRA!S376</f>
        <v>43830</v>
      </c>
      <c r="T377" s="55"/>
      <c r="U377" s="415" t="s">
        <v>1431</v>
      </c>
      <c r="V377" s="341"/>
      <c r="W377" s="12"/>
      <c r="X377" s="306">
        <f>OBRA!AP376</f>
        <v>0</v>
      </c>
      <c r="Y377" s="341"/>
      <c r="Z377" s="341"/>
      <c r="AA377" s="5"/>
      <c r="AB377" s="351">
        <f>OBRA!BT376</f>
        <v>0</v>
      </c>
      <c r="AC377" s="569"/>
      <c r="AD377" s="569"/>
    </row>
    <row r="378" spans="1:30" ht="15" hidden="1" customHeight="1">
      <c r="A378" s="23" t="s">
        <v>2239</v>
      </c>
      <c r="B378" s="933" t="str">
        <f>GRAL!B379</f>
        <v>2018-2021</v>
      </c>
      <c r="C378" s="17">
        <f>OBRA!I377</f>
        <v>2019</v>
      </c>
      <c r="D378" s="1676"/>
      <c r="E378" s="18">
        <f>OBRA!K377</f>
        <v>0</v>
      </c>
      <c r="F378" s="525"/>
      <c r="G378" s="390"/>
      <c r="H378" s="1"/>
      <c r="I378" s="390"/>
      <c r="J378" s="56" t="str">
        <f>OBRA!U377</f>
        <v>-</v>
      </c>
      <c r="K378" s="57">
        <f>OBRA!V377</f>
        <v>0</v>
      </c>
      <c r="L378" s="20" t="str">
        <f>OBRA!L377</f>
        <v>DOP/AD/025/2019</v>
      </c>
      <c r="M378" s="2" t="str">
        <f>OBRA!M377</f>
        <v>CANCELADA</v>
      </c>
      <c r="N378" s="3">
        <f>OBRA!N377</f>
        <v>0</v>
      </c>
      <c r="O378" s="3"/>
      <c r="P378" s="6">
        <f>OBRA!Q377</f>
        <v>0</v>
      </c>
      <c r="Q378" s="4">
        <f>OBRA!P377</f>
        <v>0</v>
      </c>
      <c r="R378" s="5">
        <f>OBRA!R377</f>
        <v>0</v>
      </c>
      <c r="S378" s="12">
        <f>OBRA!S377</f>
        <v>0</v>
      </c>
      <c r="T378" s="55"/>
      <c r="U378" s="415" t="s">
        <v>1431</v>
      </c>
      <c r="V378" s="341"/>
      <c r="W378" s="12"/>
      <c r="X378" s="306">
        <f>OBRA!AP377</f>
        <v>0</v>
      </c>
      <c r="Y378" s="341"/>
      <c r="Z378" s="341"/>
      <c r="AA378" s="5"/>
      <c r="AB378" s="351">
        <f>OBRA!BT377</f>
        <v>0</v>
      </c>
      <c r="AC378" s="569"/>
      <c r="AD378" s="569"/>
    </row>
    <row r="379" spans="1:30" ht="15" hidden="1" customHeight="1">
      <c r="A379" s="23" t="s">
        <v>2239</v>
      </c>
      <c r="B379" s="933" t="str">
        <f>GRAL!B380</f>
        <v>2018-2021</v>
      </c>
      <c r="C379" s="17">
        <f>OBRA!I378</f>
        <v>2019</v>
      </c>
      <c r="D379" s="1676"/>
      <c r="E379" s="18" t="str">
        <f>OBRA!K378</f>
        <v>RASTRO DIGNO / CTA-CTE</v>
      </c>
      <c r="F379" s="525"/>
      <c r="G379" s="390"/>
      <c r="H379" s="1"/>
      <c r="I379" s="390"/>
      <c r="J379" s="56" t="str">
        <f>OBRA!U378</f>
        <v>BIOESTERES DE MÉXICO S.A. DE C.V.</v>
      </c>
      <c r="K379" s="57" t="str">
        <f>OBRA!V378</f>
        <v>ARQ. JAIME CONDE GOMEZ</v>
      </c>
      <c r="L379" s="20" t="str">
        <f>OBRA!L378</f>
        <v>RASTRO DIGNO 2019</v>
      </c>
      <c r="M379" s="2" t="str">
        <f>OBRA!M378</f>
        <v>ADQUISICIÓN</v>
      </c>
      <c r="N379" s="3" t="str">
        <f>OBRA!N378</f>
        <v>ADQUISICIÓN DE: "UN REACTOR ANAEROBIO UASB-IC, PARA EL SISTEMA DE AGUAS RESIDUALES DEL RASTRO MUNICIPAL" DE LA CABECERA MUNICIPAL DE JOCOTEPEC, JALISCO.</v>
      </c>
      <c r="O379" s="554" t="s">
        <v>3534</v>
      </c>
      <c r="P379" s="6">
        <f>OBRA!Q378</f>
        <v>43776</v>
      </c>
      <c r="Q379" s="4">
        <f>OBRA!P378</f>
        <v>1688681.79</v>
      </c>
      <c r="R379" s="5">
        <f>OBRA!R378</f>
        <v>43783</v>
      </c>
      <c r="S379" s="12">
        <f>OBRA!S378</f>
        <v>43814</v>
      </c>
      <c r="T379" s="55"/>
      <c r="U379" s="415" t="s">
        <v>1431</v>
      </c>
      <c r="V379" s="341"/>
      <c r="W379" s="12"/>
      <c r="X379" s="306">
        <f>OBRA!AP378</f>
        <v>0</v>
      </c>
      <c r="Y379" s="341"/>
      <c r="Z379" s="341"/>
      <c r="AA379" s="5"/>
      <c r="AB379" s="351">
        <f>OBRA!BT378</f>
        <v>0</v>
      </c>
      <c r="AC379" s="569"/>
      <c r="AD379" s="569"/>
    </row>
    <row r="380" spans="1:30" ht="15" hidden="1" customHeight="1">
      <c r="A380" s="23" t="s">
        <v>2239</v>
      </c>
      <c r="B380" s="933" t="str">
        <f>GRAL!B381</f>
        <v>2018-2021</v>
      </c>
      <c r="C380" s="17">
        <f>OBRA!I379</f>
        <v>2019</v>
      </c>
      <c r="D380" s="1676"/>
      <c r="E380" s="18" t="str">
        <f>OBRA!K379</f>
        <v>P.I.D.</v>
      </c>
      <c r="F380" s="525"/>
      <c r="G380" s="390"/>
      <c r="H380" s="1"/>
      <c r="I380" s="390"/>
      <c r="J380" s="56" t="str">
        <f>OBRA!U379</f>
        <v>C. JESÚS RAMÍREZ JIMÉNEZ</v>
      </c>
      <c r="K380" s="57" t="str">
        <f>OBRA!V379</f>
        <v>LIC. SALVADOR CONTRERAS OLGUÍN</v>
      </c>
      <c r="L380" s="20" t="str">
        <f>OBRA!L379</f>
        <v>PID/2019 - NEXTIPAC</v>
      </c>
      <c r="M380" s="2" t="str">
        <f>OBRA!M379</f>
        <v>ADQUISICIÓN</v>
      </c>
      <c r="N380" s="3" t="str">
        <f>OBRA!N379</f>
        <v>ADQUISICIÓN DE: UN MUELLE FLOTANTE Y ESTACIÓN DE RECICLADO, PARA LA LOCALIDAD DE NEXTIPAC.</v>
      </c>
      <c r="O380" s="554" t="s">
        <v>3534</v>
      </c>
      <c r="P380" s="6">
        <f>OBRA!Q379</f>
        <v>43759</v>
      </c>
      <c r="Q380" s="4">
        <f>OBRA!P379</f>
        <v>256520.08</v>
      </c>
      <c r="R380" s="5" t="str">
        <f>OBRA!R379</f>
        <v>-</v>
      </c>
      <c r="S380" s="12" t="str">
        <f>OBRA!S379</f>
        <v>-</v>
      </c>
      <c r="T380" s="55"/>
      <c r="U380" s="415" t="s">
        <v>1431</v>
      </c>
      <c r="V380" s="341"/>
      <c r="W380" s="12"/>
      <c r="X380" s="306">
        <f>OBRA!AP379</f>
        <v>0</v>
      </c>
      <c r="Y380" s="341"/>
      <c r="Z380" s="341"/>
      <c r="AA380" s="5"/>
      <c r="AB380" s="351">
        <f>OBRA!BT379</f>
        <v>0</v>
      </c>
      <c r="AC380" s="569"/>
      <c r="AD380" s="569"/>
    </row>
    <row r="381" spans="1:30" ht="15" hidden="1" customHeight="1">
      <c r="A381" s="23" t="s">
        <v>2239</v>
      </c>
      <c r="B381" s="933" t="str">
        <f>GRAL!B382</f>
        <v>2018-2021</v>
      </c>
      <c r="C381" s="17">
        <f>OBRA!I380</f>
        <v>2019</v>
      </c>
      <c r="D381" s="1676"/>
      <c r="E381" s="18" t="str">
        <f>OBRA!K380</f>
        <v>P.I.D.</v>
      </c>
      <c r="F381" s="525"/>
      <c r="G381" s="390"/>
      <c r="H381" s="1"/>
      <c r="I381" s="390"/>
      <c r="J381" s="56" t="str">
        <f>OBRA!U380</f>
        <v>C. JESÚS RAMÍREZ JIMÉNEZ</v>
      </c>
      <c r="K381" s="57" t="str">
        <f>OBRA!V380</f>
        <v>ARQ. CESAR ANTONIO ALONSO JIMENEZ</v>
      </c>
      <c r="L381" s="20" t="str">
        <f>OBRA!L380</f>
        <v>PID/2019 - SJC</v>
      </c>
      <c r="M381" s="2" t="str">
        <f>OBRA!M380</f>
        <v>ADQUISICIÓN</v>
      </c>
      <c r="N381" s="3" t="str">
        <f>OBRA!N380</f>
        <v>ADQUISICIÓN DE: UN MUELLE FLOTANTE Y ESTACIÓN DE RECICLADO, PARA LA LOCALIDAD DE SAN JUAN CÓSALA.</v>
      </c>
      <c r="O381" s="554" t="s">
        <v>3534</v>
      </c>
      <c r="P381" s="6">
        <f>OBRA!Q380</f>
        <v>43759</v>
      </c>
      <c r="Q381" s="4">
        <f>OBRA!P380</f>
        <v>256520.08</v>
      </c>
      <c r="R381" s="5" t="str">
        <f>OBRA!R380</f>
        <v>-</v>
      </c>
      <c r="S381" s="12" t="str">
        <f>OBRA!S380</f>
        <v>-</v>
      </c>
      <c r="T381" s="55"/>
      <c r="U381" s="415" t="s">
        <v>1431</v>
      </c>
      <c r="V381" s="341"/>
      <c r="W381" s="12"/>
      <c r="X381" s="306">
        <f>OBRA!AP380</f>
        <v>0</v>
      </c>
      <c r="Y381" s="341"/>
      <c r="Z381" s="341"/>
      <c r="AA381" s="5"/>
      <c r="AB381" s="351">
        <f>OBRA!BT380</f>
        <v>0</v>
      </c>
      <c r="AC381" s="569"/>
      <c r="AD381" s="569"/>
    </row>
    <row r="382" spans="1:30" ht="15" hidden="1" customHeight="1">
      <c r="A382" s="23" t="s">
        <v>2239</v>
      </c>
      <c r="B382" s="933" t="str">
        <f>GRAL!B383</f>
        <v>2018-2021</v>
      </c>
      <c r="C382" s="17">
        <f>OBRA!I381</f>
        <v>2019</v>
      </c>
      <c r="D382" s="1676"/>
      <c r="E382" s="18" t="str">
        <f>OBRA!K381</f>
        <v>CUENTA CORRIENTE</v>
      </c>
      <c r="F382" s="525"/>
      <c r="G382" s="390"/>
      <c r="H382" s="1"/>
      <c r="I382" s="390"/>
      <c r="J382" s="56" t="str">
        <f>OBRA!U381</f>
        <v>C. VICENTE NAVARRO RUIZ</v>
      </c>
      <c r="K382" s="57" t="str">
        <f>OBRA!V381</f>
        <v>-</v>
      </c>
      <c r="L382" s="20" t="str">
        <f>OBRA!L381</f>
        <v>CTA-CTE/2019</v>
      </c>
      <c r="M382" s="2" t="str">
        <f>OBRA!M381</f>
        <v>ARRENDAMIENTO</v>
      </c>
      <c r="N382" s="3" t="str">
        <f>OBRA!N381</f>
        <v>ARRENTAMIENTO DEL: INMUEBLE UBICADO EN CALLE HIDALGO Nº 12, EN LA LOCALIDAD DEL MOLINO, PERTENECIENTE AL MUNICIPIO DE JOCOTEPEC, JALISCO.</v>
      </c>
      <c r="O382" s="597"/>
      <c r="P382" s="6">
        <f>OBRA!Q381</f>
        <v>43699</v>
      </c>
      <c r="Q382" s="4">
        <f>OBRA!P381</f>
        <v>4800</v>
      </c>
      <c r="R382" s="5">
        <f>OBRA!R381</f>
        <v>43699</v>
      </c>
      <c r="S382" s="12">
        <f>OBRA!S381</f>
        <v>43821</v>
      </c>
      <c r="T382" s="55"/>
      <c r="U382" s="415" t="s">
        <v>1431</v>
      </c>
      <c r="V382" s="341"/>
      <c r="W382" s="12"/>
      <c r="X382" s="306">
        <f>OBRA!AP381</f>
        <v>0</v>
      </c>
      <c r="Y382" s="341"/>
      <c r="Z382" s="341"/>
      <c r="AA382" s="5"/>
      <c r="AB382" s="351">
        <f>OBRA!BT381</f>
        <v>0</v>
      </c>
      <c r="AC382" s="569"/>
      <c r="AD382" s="569"/>
    </row>
    <row r="383" spans="1:30" ht="149.25" hidden="1" customHeight="1">
      <c r="A383" s="23" t="s">
        <v>2239</v>
      </c>
      <c r="B383" s="933" t="str">
        <f>GRAL!B384</f>
        <v>2018-2021</v>
      </c>
      <c r="C383" s="17">
        <f>OBRA!I382</f>
        <v>2019</v>
      </c>
      <c r="D383" s="1676"/>
      <c r="E383" s="18" t="str">
        <f>OBRA!K382</f>
        <v>RAMO 33</v>
      </c>
      <c r="F383" s="525" t="s">
        <v>1431</v>
      </c>
      <c r="G383" s="1300"/>
      <c r="H383" s="239"/>
      <c r="I383" s="1300"/>
      <c r="J383" s="56" t="str">
        <f>OBRA!U382</f>
        <v>CONSTRUCTORA PIMONT S.A. DE C.V.</v>
      </c>
      <c r="K383" s="57" t="str">
        <f>OBRA!V382</f>
        <v>-</v>
      </c>
      <c r="L383" s="35"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510" t="s">
        <v>3533</v>
      </c>
      <c r="P383" s="6">
        <f>OBRA!Q382</f>
        <v>43637</v>
      </c>
      <c r="Q383" s="4">
        <f>OBRA!P382</f>
        <v>250096</v>
      </c>
      <c r="R383" s="5">
        <f>OBRA!R382</f>
        <v>43640</v>
      </c>
      <c r="S383" s="12">
        <f>OBRA!S382</f>
        <v>43830</v>
      </c>
      <c r="T383" s="55"/>
      <c r="U383" s="415" t="s">
        <v>1431</v>
      </c>
      <c r="V383" s="558"/>
      <c r="W383" s="559"/>
      <c r="X383" s="1411">
        <f>OBRA!AP382</f>
        <v>0</v>
      </c>
      <c r="Y383" s="341"/>
      <c r="Z383" s="341"/>
      <c r="AA383" s="5"/>
      <c r="AB383" s="351">
        <f>OBRA!BT382</f>
        <v>0</v>
      </c>
      <c r="AC383" s="569"/>
      <c r="AD383" s="569"/>
    </row>
    <row r="384" spans="1:30" ht="186.75" hidden="1" customHeight="1">
      <c r="A384" s="23" t="s">
        <v>2239</v>
      </c>
      <c r="B384" s="933" t="str">
        <f>GRAL!B385</f>
        <v>2018-2021</v>
      </c>
      <c r="C384" s="17">
        <f>OBRA!I383</f>
        <v>2019</v>
      </c>
      <c r="D384" s="1676"/>
      <c r="E384" s="18" t="str">
        <f>OBRA!K383</f>
        <v>RAMO 33</v>
      </c>
      <c r="F384" s="525" t="s">
        <v>1431</v>
      </c>
      <c r="G384" s="510" t="s">
        <v>3736</v>
      </c>
      <c r="H384" s="580" t="s">
        <v>3736</v>
      </c>
      <c r="I384" s="801" t="s">
        <v>3736</v>
      </c>
      <c r="J384" s="339" t="str">
        <f>OBRA!U383</f>
        <v>CONSTRUCTORA PIMONT S.A. DE C.V.</v>
      </c>
      <c r="K384" s="172" t="str">
        <f>OBRA!V383</f>
        <v>ING. J. GUADALUPE IBARRA RAMIREZ</v>
      </c>
      <c r="L384" s="180" t="str">
        <f>OBRA!L383</f>
        <v>GMJ 001 C-OP/2019</v>
      </c>
      <c r="M384" s="202" t="str">
        <f>OBRA!M383</f>
        <v>ADJUDICACIÓN DIRECTA</v>
      </c>
      <c r="N384" s="328"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3535</v>
      </c>
      <c r="P384" s="69">
        <f>OBRA!Q383</f>
        <v>43529</v>
      </c>
      <c r="Q384" s="85">
        <f>OBRA!P383</f>
        <v>731445.69</v>
      </c>
      <c r="R384" s="255">
        <f>OBRA!R383</f>
        <v>43530</v>
      </c>
      <c r="S384" s="245">
        <f>OBRA!S383</f>
        <v>43616</v>
      </c>
      <c r="T384" s="1601" t="s">
        <v>3860</v>
      </c>
      <c r="U384" s="216" t="s">
        <v>1431</v>
      </c>
      <c r="V384" s="510" t="s">
        <v>3736</v>
      </c>
      <c r="W384" s="801" t="s">
        <v>3736</v>
      </c>
      <c r="X384" s="1153">
        <f>OBRA!AP383</f>
        <v>146289.12</v>
      </c>
      <c r="Y384" s="341"/>
      <c r="Z384" s="341"/>
      <c r="AA384" s="5"/>
      <c r="AB384" s="351">
        <f>OBRA!BT383</f>
        <v>0</v>
      </c>
      <c r="AC384" s="1519"/>
      <c r="AD384" s="569" t="s">
        <v>551</v>
      </c>
    </row>
    <row r="385" spans="1:30" ht="98.25" hidden="1" customHeight="1">
      <c r="A385" s="23" t="s">
        <v>2239</v>
      </c>
      <c r="B385" s="933" t="str">
        <f>GRAL!B386</f>
        <v>2018-2021</v>
      </c>
      <c r="C385" s="17">
        <f>OBRA!I384</f>
        <v>2019</v>
      </c>
      <c r="D385" s="1676"/>
      <c r="E385" s="18" t="str">
        <f>OBRA!K384</f>
        <v>CUENTA CORRIENTE</v>
      </c>
      <c r="F385" s="525" t="s">
        <v>1431</v>
      </c>
      <c r="G385" s="510" t="s">
        <v>3737</v>
      </c>
      <c r="H385" s="580" t="s">
        <v>3737</v>
      </c>
      <c r="I385" s="801" t="s">
        <v>3737</v>
      </c>
      <c r="J385" s="339" t="str">
        <f>OBRA!U384</f>
        <v>CONSTRUCTORA PIMONT S.A. DE C.V.</v>
      </c>
      <c r="K385" s="172" t="str">
        <f>OBRA!V384</f>
        <v>LIC. SALVADOR CONTRERAS OLGUÍN</v>
      </c>
      <c r="L385" s="180" t="str">
        <f>OBRA!L384</f>
        <v>GMJ 002 C-OP/2019</v>
      </c>
      <c r="M385" s="202" t="str">
        <f>OBRA!M384</f>
        <v>ADJUDICACIÓN DIRECTA</v>
      </c>
      <c r="N385" s="328" t="str">
        <f>OBRA!N384</f>
        <v>"CONSERVACIÓN Y MANTENIMIENTO INCLUYENTE DE BANQUETA Y ACCESO A HOSPITAL DE URGENCIAS EN LA CABECERA MUNICIPAL DE JOCOTEPEC, JALISCO"</v>
      </c>
      <c r="O385" s="510" t="s">
        <v>3535</v>
      </c>
      <c r="P385" s="69">
        <f>OBRA!Q384</f>
        <v>43592</v>
      </c>
      <c r="Q385" s="85">
        <f>OBRA!P384</f>
        <v>140710.85999999999</v>
      </c>
      <c r="R385" s="255">
        <f>OBRA!R384</f>
        <v>43593</v>
      </c>
      <c r="S385" s="245">
        <f>OBRA!S384</f>
        <v>43624</v>
      </c>
      <c r="T385" s="227" t="s">
        <v>3859</v>
      </c>
      <c r="U385" s="216" t="s">
        <v>1431</v>
      </c>
      <c r="V385" s="510" t="s">
        <v>3737</v>
      </c>
      <c r="W385" s="801" t="s">
        <v>3737</v>
      </c>
      <c r="X385" s="1153">
        <f>OBRA!AP384</f>
        <v>118142.16</v>
      </c>
      <c r="Y385" s="341"/>
      <c r="Z385" s="341"/>
      <c r="AA385" s="5"/>
      <c r="AB385" s="351">
        <f>OBRA!BT384</f>
        <v>0</v>
      </c>
      <c r="AC385" s="1519"/>
      <c r="AD385" s="569" t="s">
        <v>551</v>
      </c>
    </row>
    <row r="386" spans="1:30" s="197" customFormat="1" ht="99.95" hidden="1" customHeight="1">
      <c r="A386" s="335" t="s">
        <v>2239</v>
      </c>
      <c r="B386" s="1056" t="str">
        <f>GRAL!B387</f>
        <v>2018-2021</v>
      </c>
      <c r="C386" s="327">
        <f>OBRA!I385</f>
        <v>2019</v>
      </c>
      <c r="D386" s="1679"/>
      <c r="E386" s="532" t="str">
        <f>OBRA!K385</f>
        <v>RAMO 33</v>
      </c>
      <c r="F386" s="695" t="s">
        <v>1431</v>
      </c>
      <c r="G386" s="510" t="s">
        <v>3738</v>
      </c>
      <c r="H386" s="580" t="s">
        <v>3738</v>
      </c>
      <c r="I386" s="801" t="s">
        <v>3738</v>
      </c>
      <c r="J386" s="339" t="str">
        <f>OBRA!U385</f>
        <v>ARQUITECTURA INGENIERÍA MENDPAD S.A. DE C.V.</v>
      </c>
      <c r="K386" s="172" t="str">
        <f>OBRA!V385</f>
        <v>LIC. SALVADOR CONTRERAS OLGUÍN</v>
      </c>
      <c r="L386" s="180" t="str">
        <f>OBRA!L385</f>
        <v>GMJ 003 C-OP/2019</v>
      </c>
      <c r="M386" s="202" t="str">
        <f>OBRA!M385</f>
        <v>CANCELADA</v>
      </c>
      <c r="N386" s="328" t="str">
        <f>OBRA!N385</f>
        <v>"REHABILITACIÓN DE LÍNEAS HIDROSANITARIAS EN LA CALLE PRIVADA MORELOS DELEGACIÓN DE SAN JUAN COSALA MUNICIPIO DE JOCOTEPEC, JALISCO".</v>
      </c>
      <c r="O386" s="510" t="s">
        <v>3535</v>
      </c>
      <c r="P386" s="69">
        <f>OBRA!Q385</f>
        <v>43609</v>
      </c>
      <c r="Q386" s="85">
        <f>OBRA!P385</f>
        <v>400650.13</v>
      </c>
      <c r="R386" s="255">
        <f>OBRA!R385</f>
        <v>43612</v>
      </c>
      <c r="S386" s="245">
        <f>OBRA!S385</f>
        <v>43629</v>
      </c>
      <c r="T386" s="1601" t="s">
        <v>3860</v>
      </c>
      <c r="U386" s="216" t="s">
        <v>1431</v>
      </c>
      <c r="V386" s="510" t="s">
        <v>3738</v>
      </c>
      <c r="W386" s="801" t="s">
        <v>3738</v>
      </c>
      <c r="X386" s="1154">
        <f>OBRA!AP385</f>
        <v>80130.02</v>
      </c>
      <c r="Y386" s="344"/>
      <c r="Z386" s="344"/>
      <c r="AA386" s="255"/>
      <c r="AB386" s="1057">
        <f>OBRA!BT385</f>
        <v>0</v>
      </c>
      <c r="AC386" s="1058"/>
      <c r="AD386" s="1058" t="s">
        <v>551</v>
      </c>
    </row>
    <row r="387" spans="1:30" ht="99.95" hidden="1" customHeight="1">
      <c r="A387" s="23" t="s">
        <v>2239</v>
      </c>
      <c r="B387" s="933" t="str">
        <f>GRAL!B388</f>
        <v>2018-2021</v>
      </c>
      <c r="C387" s="17">
        <f>OBRA!I386</f>
        <v>2019</v>
      </c>
      <c r="D387" s="1676"/>
      <c r="E387" s="18" t="str">
        <f>OBRA!K386</f>
        <v>RAMO 33</v>
      </c>
      <c r="F387" s="525" t="s">
        <v>1431</v>
      </c>
      <c r="G387" s="510" t="s">
        <v>3739</v>
      </c>
      <c r="H387" s="580" t="s">
        <v>3739</v>
      </c>
      <c r="I387" s="801" t="s">
        <v>3739</v>
      </c>
      <c r="J387" s="339" t="str">
        <f>OBRA!U386</f>
        <v>CONSTRUCTORA PIMONT S.A. DE C.V.</v>
      </c>
      <c r="K387" s="172" t="str">
        <f>OBRA!V386</f>
        <v>LIC. SALVADOR CONTRERAS OLGUÍN</v>
      </c>
      <c r="L387" s="180" t="str">
        <f>OBRA!L386</f>
        <v>GMJ 004 C-OP/2019</v>
      </c>
      <c r="M387" s="202" t="str">
        <f>OBRA!M386</f>
        <v>ADJUDICACIÓN DIRECTA</v>
      </c>
      <c r="N387" s="328" t="str">
        <f>OBRA!N386</f>
        <v>"CONSTRUCCIÓN DE BANQUETAS EN CALLE CUAUHTÉMOC, DELEGACIÓN DEL CHANTE, MUNICIPIO DE JOCOTEPEC, JALISCO</v>
      </c>
      <c r="O387" s="510" t="s">
        <v>3535</v>
      </c>
      <c r="P387" s="69">
        <f>OBRA!Q386</f>
        <v>43609</v>
      </c>
      <c r="Q387" s="85">
        <f>OBRA!P386</f>
        <v>149018.54</v>
      </c>
      <c r="R387" s="255">
        <f>OBRA!R386</f>
        <v>43612</v>
      </c>
      <c r="S387" s="245">
        <f>OBRA!S386</f>
        <v>43626</v>
      </c>
      <c r="T387" s="1601" t="s">
        <v>3860</v>
      </c>
      <c r="U387" s="216" t="s">
        <v>1431</v>
      </c>
      <c r="V387" s="510" t="s">
        <v>3739</v>
      </c>
      <c r="W387" s="801" t="s">
        <v>3739</v>
      </c>
      <c r="X387" s="1154">
        <f>OBRA!AP386</f>
        <v>29803.7</v>
      </c>
      <c r="Y387" s="341"/>
      <c r="Z387" s="341"/>
      <c r="AA387" s="5"/>
      <c r="AB387" s="351">
        <f>OBRA!BT386</f>
        <v>0</v>
      </c>
      <c r="AC387" s="1519"/>
      <c r="AD387" s="569" t="s">
        <v>551</v>
      </c>
    </row>
    <row r="388" spans="1:30" ht="143.25" hidden="1" customHeight="1">
      <c r="A388" s="23" t="s">
        <v>2239</v>
      </c>
      <c r="B388" s="933" t="str">
        <f>GRAL!B389</f>
        <v>2018-2021</v>
      </c>
      <c r="C388" s="17">
        <f>OBRA!I387</f>
        <v>2019</v>
      </c>
      <c r="D388" s="1676"/>
      <c r="E388" s="18" t="str">
        <f>OBRA!K387</f>
        <v>RAMO 33</v>
      </c>
      <c r="F388" s="525" t="s">
        <v>1431</v>
      </c>
      <c r="G388" s="510" t="s">
        <v>3740</v>
      </c>
      <c r="H388" s="580" t="s">
        <v>3740</v>
      </c>
      <c r="I388" s="801" t="s">
        <v>3740</v>
      </c>
      <c r="J388" s="339" t="str">
        <f>OBRA!U387</f>
        <v>SIFRAL INGENIERIA S.A. DE C.V.</v>
      </c>
      <c r="K388" s="172" t="str">
        <f>OBRA!V387</f>
        <v>ING. J. GUADALUPE IBARRA RAMIREZ</v>
      </c>
      <c r="L388" s="180" t="str">
        <f>OBRA!L387</f>
        <v>GMJ 005 C-OP/2019</v>
      </c>
      <c r="M388" s="202" t="str">
        <f>OBRA!M387</f>
        <v>ADJUDICACIÓN DIRECTA</v>
      </c>
      <c r="N388" s="328" t="str">
        <f>OBRA!N387</f>
        <v xml:space="preserve">"REHABILITACIÓN DE LINEAS DE AGUA POTABLE EN CALLE 20 DE NOVIEMBRE DE ITURBIDE A PRIMAVERA CON REPOSICIÓN DE SUPERFICIE DE RODAMIENTO", CABECERA MUNICIPAL DEL MUNICIPIO DE JOCOTEPEC, JALISCO. </v>
      </c>
      <c r="O388" s="510" t="s">
        <v>3535</v>
      </c>
      <c r="P388" s="69">
        <f>OBRA!Q387</f>
        <v>43606</v>
      </c>
      <c r="Q388" s="85">
        <f>OBRA!P387</f>
        <v>603785.16</v>
      </c>
      <c r="R388" s="255">
        <f>OBRA!R387</f>
        <v>43608</v>
      </c>
      <c r="S388" s="245">
        <f>OBRA!S387</f>
        <v>43677</v>
      </c>
      <c r="T388" s="1601" t="s">
        <v>3860</v>
      </c>
      <c r="U388" s="216" t="s">
        <v>1431</v>
      </c>
      <c r="V388" s="549" t="s">
        <v>3740</v>
      </c>
      <c r="W388" s="668" t="s">
        <v>3740</v>
      </c>
      <c r="X388" s="1157">
        <f>OBRA!AP387</f>
        <v>271444.19</v>
      </c>
      <c r="Y388" s="341"/>
      <c r="Z388" s="341"/>
      <c r="AA388" s="5"/>
      <c r="AB388" s="351">
        <f>OBRA!BT387</f>
        <v>0</v>
      </c>
      <c r="AC388" s="1519"/>
      <c r="AD388" s="569" t="s">
        <v>551</v>
      </c>
    </row>
    <row r="389" spans="1:30" ht="144.75" hidden="1" customHeight="1">
      <c r="A389" s="23" t="s">
        <v>2239</v>
      </c>
      <c r="B389" s="933" t="str">
        <f>GRAL!B390</f>
        <v>2018-2021</v>
      </c>
      <c r="C389" s="17">
        <f>OBRA!I388</f>
        <v>2019</v>
      </c>
      <c r="D389" s="1676"/>
      <c r="E389" s="18" t="str">
        <f>OBRA!K388</f>
        <v>RAMO 33</v>
      </c>
      <c r="F389" s="525" t="s">
        <v>1431</v>
      </c>
      <c r="G389" s="510" t="s">
        <v>3741</v>
      </c>
      <c r="H389" s="580" t="s">
        <v>3741</v>
      </c>
      <c r="I389" s="801" t="s">
        <v>3741</v>
      </c>
      <c r="J389" s="339" t="str">
        <f>OBRA!U388</f>
        <v>SIFRAL INGENIERIA S.A. DE C.V.</v>
      </c>
      <c r="K389" s="172" t="str">
        <f>OBRA!V388</f>
        <v>ING. J. GUADALUPE IBARRA RAMIREZ</v>
      </c>
      <c r="L389" s="180" t="str">
        <f>OBRA!L388</f>
        <v>GMJ 006 C-OP/2019</v>
      </c>
      <c r="M389" s="202" t="str">
        <f>OBRA!M388</f>
        <v>ADJUDICACIÓN DIRECTA</v>
      </c>
      <c r="N389" s="328" t="str">
        <f>OBRA!N388</f>
        <v>"REHABILITACIÓN DE LÍNEA DE DRENAJE SANITARIO EN CALLE 20 DE NOVIEMBRE DE ITURBIDE A PRIMAVERA CON REPOSICIÓN DE SUPERFICIE DE RODAMIENTO", EN CABECERA MUNICIPAL DEL MUNICIPIO DE JOCOTEPEC, JALISCO.</v>
      </c>
      <c r="O389" s="510" t="s">
        <v>3535</v>
      </c>
      <c r="P389" s="69">
        <f>OBRA!Q388</f>
        <v>43606</v>
      </c>
      <c r="Q389" s="85">
        <f>OBRA!P388</f>
        <v>619003.23</v>
      </c>
      <c r="R389" s="255">
        <f>OBRA!R388</f>
        <v>43608</v>
      </c>
      <c r="S389" s="245">
        <f>OBRA!S388</f>
        <v>43677</v>
      </c>
      <c r="T389" s="1601" t="s">
        <v>3860</v>
      </c>
      <c r="U389" s="216" t="s">
        <v>1431</v>
      </c>
      <c r="V389" s="549" t="s">
        <v>3741</v>
      </c>
      <c r="W389" s="668" t="s">
        <v>3741</v>
      </c>
      <c r="X389" s="1157">
        <f>OBRA!AP388</f>
        <v>278285.78000000003</v>
      </c>
      <c r="Y389" s="341"/>
      <c r="Z389" s="341"/>
      <c r="AA389" s="5"/>
      <c r="AB389" s="351">
        <f>OBRA!BT388</f>
        <v>0</v>
      </c>
      <c r="AC389" s="1519"/>
      <c r="AD389" s="569" t="s">
        <v>551</v>
      </c>
    </row>
    <row r="390" spans="1:30" ht="113.25" hidden="1" customHeight="1">
      <c r="A390" s="23" t="s">
        <v>2239</v>
      </c>
      <c r="B390" s="933" t="str">
        <f>GRAL!B391</f>
        <v>2018-2021</v>
      </c>
      <c r="C390" s="17">
        <f>OBRA!I389</f>
        <v>2019</v>
      </c>
      <c r="D390" s="1676"/>
      <c r="E390" s="18" t="str">
        <f>OBRA!K389</f>
        <v>RAMO 33</v>
      </c>
      <c r="F390" s="525" t="s">
        <v>1431</v>
      </c>
      <c r="G390" s="510" t="s">
        <v>3742</v>
      </c>
      <c r="H390" s="580" t="s">
        <v>3742</v>
      </c>
      <c r="I390" s="801" t="s">
        <v>3742</v>
      </c>
      <c r="J390" s="339" t="str">
        <f>OBRA!U389</f>
        <v>ING. OCTAVIO AUGUSTO GONZALEZ TREJO</v>
      </c>
      <c r="K390" s="172" t="str">
        <f>OBRA!V389</f>
        <v>LIC. SALVADOR CONTRERAS OLGUÍN</v>
      </c>
      <c r="L390" s="180" t="str">
        <f>OBRA!L389</f>
        <v>GMJ 007 C-OP/2019</v>
      </c>
      <c r="M390" s="202" t="str">
        <f>OBRA!M389</f>
        <v>CANCELADA</v>
      </c>
      <c r="N390" s="328" t="str">
        <f>OBRA!N389</f>
        <v>"CONSTRUCCIÓN DE EMPEDRADO AHOGADO EN HUELLAS DE CONCRETO MR-42 EN CALLE CARDENAL NORTE", EN LA LOCALIDAD DE SAN JUAN COSALA, MUNICIPIO DE JOCOTEPEC, JALISCO.</v>
      </c>
      <c r="O390" s="510" t="s">
        <v>3535</v>
      </c>
      <c r="P390" s="69">
        <f>OBRA!Q389</f>
        <v>43606</v>
      </c>
      <c r="Q390" s="85">
        <f>OBRA!P389</f>
        <v>949742.46</v>
      </c>
      <c r="R390" s="255">
        <f>OBRA!R389</f>
        <v>43612</v>
      </c>
      <c r="S390" s="245">
        <f>OBRA!S389</f>
        <v>43643</v>
      </c>
      <c r="T390" s="1601" t="s">
        <v>3860</v>
      </c>
      <c r="U390" s="216" t="s">
        <v>1431</v>
      </c>
      <c r="V390" s="510" t="s">
        <v>3742</v>
      </c>
      <c r="W390" s="801" t="s">
        <v>3742</v>
      </c>
      <c r="X390" s="1154">
        <f>OBRA!AP389</f>
        <v>427384.1</v>
      </c>
      <c r="Y390" s="341"/>
      <c r="Z390" s="341"/>
      <c r="AA390" s="5"/>
      <c r="AB390" s="351">
        <f>OBRA!BT389</f>
        <v>0</v>
      </c>
      <c r="AC390" s="569"/>
      <c r="AD390" s="569" t="s">
        <v>551</v>
      </c>
    </row>
    <row r="391" spans="1:30" ht="93" hidden="1" customHeight="1">
      <c r="A391" s="23" t="s">
        <v>2239</v>
      </c>
      <c r="B391" s="933" t="str">
        <f>GRAL!B392</f>
        <v>2018-2021</v>
      </c>
      <c r="C391" s="17">
        <f>OBRA!I390</f>
        <v>2019</v>
      </c>
      <c r="D391" s="1676"/>
      <c r="E391" s="18" t="str">
        <f>OBRA!K390</f>
        <v>CUENTA CORRIENTE</v>
      </c>
      <c r="F391" s="525" t="s">
        <v>1431</v>
      </c>
      <c r="G391" s="510" t="s">
        <v>3743</v>
      </c>
      <c r="H391" s="580" t="s">
        <v>3743</v>
      </c>
      <c r="I391" s="801" t="s">
        <v>3743</v>
      </c>
      <c r="J391" s="339" t="str">
        <f>OBRA!U390</f>
        <v>ING. OCTAVIO AUGUSTO GONZALEZ TREJO</v>
      </c>
      <c r="K391" s="172" t="str">
        <f>OBRA!V390</f>
        <v>ING. RIGOBERTO OLMEDO RAMOS</v>
      </c>
      <c r="L391" s="180" t="str">
        <f>OBRA!L390</f>
        <v>GMJ 008 C-OP/2019</v>
      </c>
      <c r="M391" s="202" t="str">
        <f>OBRA!M390</f>
        <v>ADJUDICACIÓN DIRECTA</v>
      </c>
      <c r="N391" s="328" t="str">
        <f>OBRA!N390</f>
        <v>"CONSTRUCCION DE DEPOSITO PARA ALMACENAMIENTO DE AGUA POTABLE", EN LA LOCALIDAD DE HUEJOTITAN, MUNICIPIO DE JOCOTEPEC, JALISCO.</v>
      </c>
      <c r="O391" s="510" t="s">
        <v>3535</v>
      </c>
      <c r="P391" s="69">
        <f>OBRA!Q390</f>
        <v>43606</v>
      </c>
      <c r="Q391" s="85">
        <f>OBRA!P390</f>
        <v>643537.42000000004</v>
      </c>
      <c r="R391" s="255">
        <f>OBRA!R390</f>
        <v>43614</v>
      </c>
      <c r="S391" s="245">
        <f>OBRA!S390</f>
        <v>43675</v>
      </c>
      <c r="T391" s="227" t="s">
        <v>3859</v>
      </c>
      <c r="U391" s="216" t="s">
        <v>1431</v>
      </c>
      <c r="V391" s="549" t="s">
        <v>3743</v>
      </c>
      <c r="W391" s="668" t="s">
        <v>3743</v>
      </c>
      <c r="X391" s="1157">
        <f>OBRA!AP390</f>
        <v>289591.83999999997</v>
      </c>
      <c r="Y391" s="341"/>
      <c r="Z391" s="341"/>
      <c r="AA391" s="5"/>
      <c r="AB391" s="351">
        <f>OBRA!BT390</f>
        <v>0</v>
      </c>
      <c r="AC391" s="1519"/>
      <c r="AD391" s="569" t="s">
        <v>551</v>
      </c>
    </row>
    <row r="392" spans="1:30" ht="109.5" hidden="1" customHeight="1">
      <c r="A392" s="23" t="s">
        <v>2239</v>
      </c>
      <c r="B392" s="933" t="str">
        <f>GRAL!B393</f>
        <v>2018-2021</v>
      </c>
      <c r="C392" s="17">
        <f>OBRA!I391</f>
        <v>2019</v>
      </c>
      <c r="D392" s="1676"/>
      <c r="E392" s="18" t="str">
        <f>OBRA!K391</f>
        <v>CUENTA CORRIENTE</v>
      </c>
      <c r="F392" s="525" t="s">
        <v>1431</v>
      </c>
      <c r="G392" s="546" t="s">
        <v>3744</v>
      </c>
      <c r="H392" s="545" t="s">
        <v>3744</v>
      </c>
      <c r="I392" s="546" t="s">
        <v>3744</v>
      </c>
      <c r="J392" s="339" t="str">
        <f>OBRA!U391</f>
        <v>ING. OCTAVIO AUGUSTO GONZALEZ TREJO</v>
      </c>
      <c r="K392" s="172" t="str">
        <f>OBRA!V391</f>
        <v>ING. JUAN MANUEL GARCIA ESCOTO</v>
      </c>
      <c r="L392" s="180" t="str">
        <f>OBRA!L391</f>
        <v>GMJ 009 C-OP/2019</v>
      </c>
      <c r="M392" s="202" t="str">
        <f>OBRA!M391</f>
        <v>ADJUDICACIÓN DIRECTA</v>
      </c>
      <c r="N392" s="328" t="str">
        <f>OBRA!N391</f>
        <v>CONSTRUCCIÓN DE PLATAFORMA Y CAMINO DE ACCESO AL PREDIO DEL DEPOSITO DE AGUA EN ZONA NORTE DE LA CABECERA MUNICIPAL DE JOCOTEPEC, JALISCO.</v>
      </c>
      <c r="O392" s="510" t="s">
        <v>3535</v>
      </c>
      <c r="P392" s="69">
        <f>OBRA!Q391</f>
        <v>43607</v>
      </c>
      <c r="Q392" s="85">
        <f>OBRA!P391</f>
        <v>413006.4</v>
      </c>
      <c r="R392" s="255">
        <f>OBRA!R391</f>
        <v>43619</v>
      </c>
      <c r="S392" s="245">
        <f>OBRA!S391</f>
        <v>43645</v>
      </c>
      <c r="T392" s="227" t="s">
        <v>3859</v>
      </c>
      <c r="U392" s="216" t="s">
        <v>1431</v>
      </c>
      <c r="V392" s="549" t="s">
        <v>3744</v>
      </c>
      <c r="W392" s="668" t="s">
        <v>3744</v>
      </c>
      <c r="X392" s="1190">
        <f>OBRA!AP391</f>
        <v>82601.279999999999</v>
      </c>
      <c r="Y392" s="341"/>
      <c r="Z392" s="341"/>
      <c r="AA392" s="5"/>
      <c r="AB392" s="351">
        <f>OBRA!BT391</f>
        <v>0</v>
      </c>
      <c r="AC392" s="1519"/>
      <c r="AD392" s="569" t="s">
        <v>551</v>
      </c>
    </row>
    <row r="393" spans="1:30" ht="108.75" hidden="1" customHeight="1">
      <c r="A393" s="23" t="s">
        <v>2239</v>
      </c>
      <c r="B393" s="933" t="str">
        <f>GRAL!B394</f>
        <v>2018-2021</v>
      </c>
      <c r="C393" s="17">
        <f>OBRA!I392</f>
        <v>2019</v>
      </c>
      <c r="D393" s="1676"/>
      <c r="E393" s="18" t="str">
        <f>OBRA!K392</f>
        <v>CUENTA CORRIENTE</v>
      </c>
      <c r="F393" s="525" t="s">
        <v>1431</v>
      </c>
      <c r="G393" s="1048" t="s">
        <v>3745</v>
      </c>
      <c r="H393" s="545" t="s">
        <v>3745</v>
      </c>
      <c r="I393" s="1048" t="s">
        <v>3745</v>
      </c>
      <c r="J393" s="339" t="str">
        <f>OBRA!U392</f>
        <v>CONSTRUCTORA PIMONT S.A. DE C.V.</v>
      </c>
      <c r="K393" s="172" t="str">
        <f>OBRA!V392</f>
        <v>ING. J. GUADALUPE IBARRA RAMIREZ</v>
      </c>
      <c r="L393" s="180" t="str">
        <f>OBRA!L392</f>
        <v>GMJ 010 C-OP/2019</v>
      </c>
      <c r="M393" s="202" t="str">
        <f>OBRA!M392</f>
        <v>ADJUDICACIÓN DIRECTA</v>
      </c>
      <c r="N393" s="328" t="str">
        <f>OBRA!N392</f>
        <v>"CONSTRUCCIÓN DE DEPOSITO PARA ALMACENAMIENTO DE AGUA POTABLE", EN LA ZONA NORTE DE LA CABECERA MUNICIPAL DE JOCOTEPEC, JALISCO.</v>
      </c>
      <c r="O393" s="510" t="s">
        <v>3535</v>
      </c>
      <c r="P393" s="69">
        <f>OBRA!Q392</f>
        <v>43637</v>
      </c>
      <c r="Q393" s="85">
        <f>OBRA!P392</f>
        <v>1649201.51</v>
      </c>
      <c r="R393" s="255">
        <f>OBRA!R392</f>
        <v>43640</v>
      </c>
      <c r="S393" s="245">
        <f>OBRA!S392</f>
        <v>43707</v>
      </c>
      <c r="T393" s="227" t="s">
        <v>3859</v>
      </c>
      <c r="U393" s="216" t="s">
        <v>1431</v>
      </c>
      <c r="V393" s="1534" t="s">
        <v>3745</v>
      </c>
      <c r="W393" s="801" t="s">
        <v>3745</v>
      </c>
      <c r="X393" s="1157">
        <f>OBRA!AP392</f>
        <v>164920.15</v>
      </c>
      <c r="Y393" s="341"/>
      <c r="Z393" s="341"/>
      <c r="AA393" s="5"/>
      <c r="AB393" s="351">
        <f>OBRA!BT392</f>
        <v>0</v>
      </c>
      <c r="AC393" s="1519"/>
      <c r="AD393" s="569" t="s">
        <v>551</v>
      </c>
    </row>
    <row r="394" spans="1:30" ht="112.5" hidden="1" customHeight="1">
      <c r="A394" s="23" t="s">
        <v>2239</v>
      </c>
      <c r="B394" s="933" t="str">
        <f>GRAL!B395</f>
        <v>2018-2021</v>
      </c>
      <c r="C394" s="17">
        <f>OBRA!I393</f>
        <v>2019</v>
      </c>
      <c r="D394" s="1676"/>
      <c r="E394" s="18" t="str">
        <f>OBRA!K393</f>
        <v>CUENTA CORRIENTE</v>
      </c>
      <c r="F394" s="695" t="s">
        <v>1431</v>
      </c>
      <c r="G394" s="546" t="s">
        <v>3746</v>
      </c>
      <c r="H394" s="545" t="s">
        <v>3746</v>
      </c>
      <c r="I394" s="546" t="s">
        <v>3746</v>
      </c>
      <c r="J394" s="339" t="str">
        <f>OBRA!U393</f>
        <v xml:space="preserve">CONSTRUCTORA Y EDIFICACIONES REMI Y ASOCIADOS S.A. DE C.V. </v>
      </c>
      <c r="K394" s="172" t="str">
        <f>OBRA!V393</f>
        <v>ING. RIGOBERTO OLMEDO RAMOS</v>
      </c>
      <c r="L394" s="180" t="str">
        <f>OBRA!L393</f>
        <v>GMJ 011 C-OP/2019</v>
      </c>
      <c r="M394" s="202" t="str">
        <f>OBRA!M393</f>
        <v>ADJUDICACIÓN DIRECTA</v>
      </c>
      <c r="N394" s="328" t="str">
        <f>OBRA!N393</f>
        <v>"CONSTRUCCIÓN DE DEPOSITO PARA ALMACENAMIENTO DE AGUA POTABLE", EN LA LOCALIDAD DE SAN CRISTOBAL ZAPOTITLAN, MUNICIPIO DE JOCOTEPEC, JALISCO.</v>
      </c>
      <c r="O394" s="510" t="s">
        <v>3536</v>
      </c>
      <c r="P394" s="69">
        <f>OBRA!Q393</f>
        <v>43705</v>
      </c>
      <c r="Q394" s="85">
        <f>OBRA!P393</f>
        <v>643537.42000000004</v>
      </c>
      <c r="R394" s="255">
        <f>OBRA!R393</f>
        <v>43710</v>
      </c>
      <c r="S394" s="245">
        <f>OBRA!S393</f>
        <v>43785</v>
      </c>
      <c r="T394" s="227" t="s">
        <v>3859</v>
      </c>
      <c r="U394" s="216" t="s">
        <v>1431</v>
      </c>
      <c r="V394" s="1534" t="s">
        <v>3746</v>
      </c>
      <c r="W394" s="801" t="s">
        <v>3746</v>
      </c>
      <c r="X394" s="1157">
        <f>OBRA!AP393</f>
        <v>225238.09999999998</v>
      </c>
      <c r="Y394" s="341"/>
      <c r="Z394" s="341"/>
      <c r="AA394" s="5"/>
      <c r="AB394" s="351">
        <f>OBRA!BT393</f>
        <v>0</v>
      </c>
      <c r="AC394" s="1519"/>
      <c r="AD394" s="569" t="s">
        <v>551</v>
      </c>
    </row>
    <row r="395" spans="1:30" s="110" customFormat="1" ht="16.5" hidden="1" customHeight="1">
      <c r="A395" s="87" t="s">
        <v>2239</v>
      </c>
      <c r="B395" s="946" t="str">
        <f>GRAL!B396</f>
        <v>2018-2021</v>
      </c>
      <c r="C395" s="88">
        <f>OBRA!I394</f>
        <v>2019</v>
      </c>
      <c r="D395" s="893"/>
      <c r="E395" s="103">
        <f>OBRA!K394</f>
        <v>0</v>
      </c>
      <c r="F395" s="526"/>
      <c r="G395" s="392"/>
      <c r="H395" s="102"/>
      <c r="I395" s="392"/>
      <c r="J395" s="159">
        <f>OBRA!U394</f>
        <v>0</v>
      </c>
      <c r="K395" s="160">
        <f>OBRA!V394</f>
        <v>0</v>
      </c>
      <c r="L395" s="96" t="str">
        <f>OBRA!L394</f>
        <v>GMJ 012 C-OP/2019</v>
      </c>
      <c r="M395" s="91" t="str">
        <f>OBRA!M394</f>
        <v>CANCELADA</v>
      </c>
      <c r="N395" s="132">
        <f>OBRA!N394</f>
        <v>0</v>
      </c>
      <c r="O395" s="937"/>
      <c r="P395" s="93">
        <f>OBRA!Q394</f>
        <v>0</v>
      </c>
      <c r="Q395" s="92">
        <f>OBRA!P394</f>
        <v>0</v>
      </c>
      <c r="R395" s="94">
        <f>OBRA!R394</f>
        <v>0</v>
      </c>
      <c r="S395" s="95">
        <f>OBRA!S394</f>
        <v>0</v>
      </c>
      <c r="T395" s="97"/>
      <c r="U395" s="785" t="s">
        <v>1431</v>
      </c>
      <c r="V395" s="343"/>
      <c r="W395" s="95"/>
      <c r="X395" s="311">
        <f>OBRA!AP394</f>
        <v>0</v>
      </c>
      <c r="Y395" s="343"/>
      <c r="Z395" s="343"/>
      <c r="AA395" s="94"/>
      <c r="AB395" s="511">
        <f>OBRA!BT394</f>
        <v>0</v>
      </c>
      <c r="AC395" s="570"/>
      <c r="AD395" s="570"/>
    </row>
    <row r="396" spans="1:30" ht="103.5" hidden="1" customHeight="1">
      <c r="A396" s="23" t="s">
        <v>2239</v>
      </c>
      <c r="B396" s="933" t="str">
        <f>GRAL!B397</f>
        <v>2018-2021</v>
      </c>
      <c r="C396" s="17">
        <f>OBRA!I395</f>
        <v>2019</v>
      </c>
      <c r="D396" s="1676"/>
      <c r="E396" s="18" t="str">
        <f>OBRA!K395</f>
        <v>RAMO 33</v>
      </c>
      <c r="F396" s="525" t="s">
        <v>1431</v>
      </c>
      <c r="G396" s="510" t="s">
        <v>3747</v>
      </c>
      <c r="H396" s="580" t="s">
        <v>3747</v>
      </c>
      <c r="I396" s="801" t="s">
        <v>3747</v>
      </c>
      <c r="J396" s="339" t="str">
        <f>OBRA!U395</f>
        <v>CONSTRUCTORA PIMONT S.A. DE C.V.</v>
      </c>
      <c r="K396" s="172" t="str">
        <f>OBRA!V395</f>
        <v>LIC. SALVADOR CONTRERAS OLGUÍN</v>
      </c>
      <c r="L396" s="180" t="str">
        <f>OBRA!L395</f>
        <v>GMJ 013 C-OP/2019</v>
      </c>
      <c r="M396" s="202" t="str">
        <f>OBRA!M395</f>
        <v>ADJUDICACIÓN DIRECTA</v>
      </c>
      <c r="N396" s="328" t="str">
        <f>OBRA!N395</f>
        <v>"CONSTRUCCIÓN DE EMPEDRADO ECOLOGICO EN LA CALLE PRIVADA MORELOS, DELEGACIÓN DE CHANTE, MUNICIPIO DE JOCOTEPEC, JALISCO".</v>
      </c>
      <c r="O396" s="510" t="s">
        <v>3536</v>
      </c>
      <c r="P396" s="69">
        <f>OBRA!Q395</f>
        <v>43626</v>
      </c>
      <c r="Q396" s="85">
        <f>OBRA!P395</f>
        <v>75313.95</v>
      </c>
      <c r="R396" s="255">
        <f>OBRA!R395</f>
        <v>43627</v>
      </c>
      <c r="S396" s="245">
        <f>OBRA!S395</f>
        <v>43637</v>
      </c>
      <c r="T396" s="1601" t="s">
        <v>3860</v>
      </c>
      <c r="U396" s="216" t="s">
        <v>1431</v>
      </c>
      <c r="V396" s="510" t="s">
        <v>3747</v>
      </c>
      <c r="W396" s="801" t="s">
        <v>3747</v>
      </c>
      <c r="X396" s="1154">
        <f>OBRA!AP395</f>
        <v>15062.78</v>
      </c>
      <c r="Y396" s="341"/>
      <c r="Z396" s="341"/>
      <c r="AA396" s="5"/>
      <c r="AB396" s="351">
        <f>OBRA!BT395</f>
        <v>0</v>
      </c>
      <c r="AC396" s="1519"/>
      <c r="AD396" s="569" t="s">
        <v>551</v>
      </c>
    </row>
    <row r="397" spans="1:30" ht="91.5" hidden="1" customHeight="1">
      <c r="A397" s="23" t="s">
        <v>2239</v>
      </c>
      <c r="B397" s="933" t="str">
        <f>GRAL!B398</f>
        <v>2018-2021</v>
      </c>
      <c r="C397" s="17">
        <f>OBRA!I396</f>
        <v>2019</v>
      </c>
      <c r="D397" s="1676"/>
      <c r="E397" s="18" t="str">
        <f>OBRA!K396</f>
        <v>RAMO 33</v>
      </c>
      <c r="F397" s="525" t="s">
        <v>1431</v>
      </c>
      <c r="G397" s="510" t="s">
        <v>3749</v>
      </c>
      <c r="H397" s="580" t="s">
        <v>3749</v>
      </c>
      <c r="I397" s="801" t="s">
        <v>3749</v>
      </c>
      <c r="J397" s="339" t="str">
        <f>OBRA!U396</f>
        <v>INGENIERÍA ARQUITECTURA MENDPAD S.A. DE C.V.</v>
      </c>
      <c r="K397" s="172" t="str">
        <f>OBRA!V396</f>
        <v>LIC. SALVADOR CONTRERAS OLGUÍN</v>
      </c>
      <c r="L397" s="180" t="str">
        <f>OBRA!L396</f>
        <v>GMJ 014 C-OP/2019</v>
      </c>
      <c r="M397" s="202" t="str">
        <f>OBRA!M396</f>
        <v>ADJUDICACIÓN DIRECTA</v>
      </c>
      <c r="N397" s="328" t="str">
        <f>OBRA!N396</f>
        <v>"CONSTRUCCIÓN DE BANQUETAS EN CALLE CUAUHTÉMOC, 2ª ETAPA, DELEGACIÓN DEL CHANTE, MUNICIPIO DE JOCOTEPEC, JALISCO</v>
      </c>
      <c r="O397" s="510" t="s">
        <v>3536</v>
      </c>
      <c r="P397" s="69">
        <f>OBRA!Q396</f>
        <v>43670</v>
      </c>
      <c r="Q397" s="85">
        <f>OBRA!P396</f>
        <v>179219.86</v>
      </c>
      <c r="R397" s="255">
        <f>OBRA!R396</f>
        <v>43671</v>
      </c>
      <c r="S397" s="245">
        <f>OBRA!S396</f>
        <v>43687</v>
      </c>
      <c r="T397" s="1601" t="s">
        <v>3860</v>
      </c>
      <c r="U397" s="216" t="s">
        <v>1431</v>
      </c>
      <c r="V397" s="510" t="s">
        <v>3749</v>
      </c>
      <c r="W397" s="801" t="s">
        <v>3749</v>
      </c>
      <c r="X397" s="1155">
        <f>OBRA!AP396</f>
        <v>17921.98</v>
      </c>
      <c r="Y397" s="341"/>
      <c r="Z397" s="341"/>
      <c r="AA397" s="5"/>
      <c r="AB397" s="351">
        <f>OBRA!BT396</f>
        <v>0</v>
      </c>
      <c r="AC397" s="1519"/>
      <c r="AD397" s="569"/>
    </row>
    <row r="398" spans="1:30" ht="111.75" hidden="1" customHeight="1">
      <c r="A398" s="23" t="s">
        <v>2239</v>
      </c>
      <c r="B398" s="933" t="str">
        <f>GRAL!B399</f>
        <v>2018-2021</v>
      </c>
      <c r="C398" s="17">
        <f>OBRA!I397</f>
        <v>2019</v>
      </c>
      <c r="D398" s="1676"/>
      <c r="E398" s="18" t="str">
        <f>OBRA!K397</f>
        <v>RAMO 33</v>
      </c>
      <c r="F398" s="525" t="s">
        <v>1431</v>
      </c>
      <c r="G398" s="510" t="s">
        <v>3750</v>
      </c>
      <c r="H398" s="580" t="s">
        <v>3750</v>
      </c>
      <c r="I398" s="801" t="s">
        <v>3750</v>
      </c>
      <c r="J398" s="339" t="str">
        <f>OBRA!U397</f>
        <v>GALJACK ARQUITECTOS  Y CONSTRUCCIONES S.A. DE C.V.</v>
      </c>
      <c r="K398" s="172" t="str">
        <f>OBRA!V397</f>
        <v>LIC. SALVADOR CONTRERAS OLGUÍN</v>
      </c>
      <c r="L398" s="180" t="str">
        <f>OBRA!L397</f>
        <v>GMJ 015 C-OP/2019</v>
      </c>
      <c r="M398" s="202" t="str">
        <f>OBRA!M397</f>
        <v>ADJUDICACIÓN DIRECTA</v>
      </c>
      <c r="N398" s="328" t="str">
        <f>OBRA!N397</f>
        <v>REHABILITACIÓN DE LINEA DE AGUA POTABLE EN LA CALLE PRIVADA CARDENAL DE CARDENAL A CERRADA, EN LA DELEGACIÓN DE SAN JUAN COSALA, JOCOTEPEC, JALISCO.</v>
      </c>
      <c r="O398" s="510" t="s">
        <v>3536</v>
      </c>
      <c r="P398" s="69">
        <f>OBRA!Q397</f>
        <v>43694</v>
      </c>
      <c r="Q398" s="85">
        <f>OBRA!P397</f>
        <v>77778.12</v>
      </c>
      <c r="R398" s="255">
        <f>OBRA!R397</f>
        <v>43703</v>
      </c>
      <c r="S398" s="245">
        <f>OBRA!S397</f>
        <v>43742</v>
      </c>
      <c r="T398" s="1601" t="s">
        <v>3860</v>
      </c>
      <c r="U398" s="216" t="s">
        <v>1431</v>
      </c>
      <c r="V398" s="549" t="s">
        <v>3750</v>
      </c>
      <c r="W398" s="1535" t="s">
        <v>3750</v>
      </c>
      <c r="X398" s="1190">
        <f>OBRA!AP397</f>
        <v>35000.15</v>
      </c>
      <c r="Y398" s="341"/>
      <c r="Z398" s="341"/>
      <c r="AA398" s="5"/>
      <c r="AB398" s="351">
        <f>OBRA!BT397</f>
        <v>0</v>
      </c>
      <c r="AC398" s="1519"/>
      <c r="AD398" s="569" t="s">
        <v>551</v>
      </c>
    </row>
    <row r="399" spans="1:30" ht="126" hidden="1" customHeight="1">
      <c r="A399" s="23" t="s">
        <v>2239</v>
      </c>
      <c r="B399" s="933" t="str">
        <f>GRAL!B400</f>
        <v>2018-2021</v>
      </c>
      <c r="C399" s="17">
        <f>OBRA!I398</f>
        <v>2019</v>
      </c>
      <c r="D399" s="1676"/>
      <c r="E399" s="18" t="str">
        <f>OBRA!K398</f>
        <v>RAMO 33</v>
      </c>
      <c r="F399" s="525" t="s">
        <v>1431</v>
      </c>
      <c r="G399" s="510" t="s">
        <v>3751</v>
      </c>
      <c r="H399" s="580" t="s">
        <v>3751</v>
      </c>
      <c r="I399" s="801" t="s">
        <v>3751</v>
      </c>
      <c r="J399" s="339" t="str">
        <f>OBRA!U398</f>
        <v>GALJACK ARQUITECTOS S.A. DE C.V.</v>
      </c>
      <c r="K399" s="172" t="str">
        <f>OBRA!V398</f>
        <v>LIC. SALVADOR CONTRERAS OLGUÍN</v>
      </c>
      <c r="L399" s="180" t="str">
        <f>OBRA!L398</f>
        <v>GMJ 016 C-OP/2019</v>
      </c>
      <c r="M399" s="202" t="str">
        <f>OBRA!M398</f>
        <v>ADJUDICACIÓN DIRECTA</v>
      </c>
      <c r="N399" s="328" t="str">
        <f>OBRA!N398</f>
        <v>REHABILITACION DE LINEA DE DRENAJE SANITARIO, EN LA CALLE PRIVADA CARDENAL DE CARDENAL A CERRADA, EN SAN JUAN COSALA, EN EL MUNICIPIO DE JOCOTEPEC, JALISCO.</v>
      </c>
      <c r="O399" s="510" t="s">
        <v>3536</v>
      </c>
      <c r="P399" s="69">
        <f>OBRA!Q398</f>
        <v>43694</v>
      </c>
      <c r="Q399" s="85">
        <f>OBRA!P398</f>
        <v>108744.95</v>
      </c>
      <c r="R399" s="255">
        <f>OBRA!R398</f>
        <v>43703</v>
      </c>
      <c r="S399" s="245">
        <f>OBRA!S398</f>
        <v>43742</v>
      </c>
      <c r="T399" s="1601" t="s">
        <v>3860</v>
      </c>
      <c r="U399" s="216" t="s">
        <v>1431</v>
      </c>
      <c r="V399" s="510" t="s">
        <v>3751</v>
      </c>
      <c r="W399" s="801" t="s">
        <v>3751</v>
      </c>
      <c r="X399" s="1157">
        <f>OBRA!AP398</f>
        <v>48935.22</v>
      </c>
      <c r="Y399" s="341"/>
      <c r="Z399" s="341"/>
      <c r="AA399" s="5"/>
      <c r="AB399" s="351">
        <f>OBRA!BT398</f>
        <v>0</v>
      </c>
      <c r="AC399" s="1519"/>
      <c r="AD399" s="569" t="s">
        <v>551</v>
      </c>
    </row>
    <row r="400" spans="1:30" ht="133.5" hidden="1" customHeight="1">
      <c r="A400" s="23" t="s">
        <v>2239</v>
      </c>
      <c r="B400" s="933" t="str">
        <f>GRAL!B401</f>
        <v>2018-2021</v>
      </c>
      <c r="C400" s="17">
        <f>OBRA!I399</f>
        <v>2019</v>
      </c>
      <c r="D400" s="1676"/>
      <c r="E400" s="18" t="str">
        <f>OBRA!K399</f>
        <v>RAMO 33</v>
      </c>
      <c r="F400" s="525" t="s">
        <v>1431</v>
      </c>
      <c r="G400" s="546" t="s">
        <v>3752</v>
      </c>
      <c r="H400" s="545" t="s">
        <v>3752</v>
      </c>
      <c r="I400" s="546" t="s">
        <v>3752</v>
      </c>
      <c r="J400" s="339" t="str">
        <f>OBRA!U399</f>
        <v>ALSERCON SA DE CV</v>
      </c>
      <c r="K400" s="172" t="str">
        <f>OBRA!V399</f>
        <v>ING. J. GUADALUPE IBARRA RAMIREZ</v>
      </c>
      <c r="L400" s="180" t="str">
        <f>OBRA!L399</f>
        <v>GMJ 017 C-OP/2019</v>
      </c>
      <c r="M400" s="202" t="str">
        <f>OBRA!M399</f>
        <v>ADJUDICACIÓN DIRECTA</v>
      </c>
      <c r="N400" s="328" t="str">
        <f>OBRA!N399</f>
        <v>"REHABILITACIÓN DE LÍNEA DE DRENAJE CON REPOSICIÓN DE SUPERFICIE DE RODAMIENTO EN LA CALLE NIÑOS HEROES ENTRE CALLES ITURBIDE Y VERANO", EN LA CABECERA MUNICIPAL DE JOCOTEPEC, JALISCO.</v>
      </c>
      <c r="O400" s="510" t="s">
        <v>3536</v>
      </c>
      <c r="P400" s="69">
        <f>OBRA!Q399</f>
        <v>43707</v>
      </c>
      <c r="Q400" s="85">
        <f>OBRA!P399</f>
        <v>983216.32</v>
      </c>
      <c r="R400" s="255">
        <f>OBRA!R399</f>
        <v>43710</v>
      </c>
      <c r="S400" s="245">
        <f>OBRA!S399</f>
        <v>43785</v>
      </c>
      <c r="T400" s="1601" t="s">
        <v>3860</v>
      </c>
      <c r="U400" s="216" t="s">
        <v>1431</v>
      </c>
      <c r="V400" s="510" t="s">
        <v>3752</v>
      </c>
      <c r="W400" s="668" t="s">
        <v>3752</v>
      </c>
      <c r="X400" s="1157">
        <f>OBRA!AP399</f>
        <v>442447.33999999997</v>
      </c>
      <c r="Y400" s="341"/>
      <c r="Z400" s="341"/>
      <c r="AA400" s="5"/>
      <c r="AB400" s="351">
        <f>OBRA!BT399</f>
        <v>0</v>
      </c>
      <c r="AC400" s="1519"/>
      <c r="AD400" s="569" t="s">
        <v>551</v>
      </c>
    </row>
    <row r="401" spans="1:30" ht="141.75" hidden="1" customHeight="1">
      <c r="A401" s="23" t="s">
        <v>2239</v>
      </c>
      <c r="B401" s="933" t="str">
        <f>GRAL!B402</f>
        <v>2018-2021</v>
      </c>
      <c r="C401" s="17">
        <f>OBRA!I400</f>
        <v>2019</v>
      </c>
      <c r="D401" s="1676"/>
      <c r="E401" s="18" t="str">
        <f>OBRA!K400</f>
        <v>RAMO 33</v>
      </c>
      <c r="F401" s="525" t="s">
        <v>1431</v>
      </c>
      <c r="G401" s="546" t="s">
        <v>3753</v>
      </c>
      <c r="H401" s="545" t="s">
        <v>3753</v>
      </c>
      <c r="I401" s="546" t="s">
        <v>3753</v>
      </c>
      <c r="J401" s="339" t="str">
        <f>OBRA!U400</f>
        <v>ALSERCON SA DE CV</v>
      </c>
      <c r="K401" s="172" t="str">
        <f>OBRA!V400</f>
        <v>ING. J. GUADALUPE IBARRA RAMIREZ</v>
      </c>
      <c r="L401" s="180" t="str">
        <f>OBRA!L400</f>
        <v>GMJ 018 C-OP/2019</v>
      </c>
      <c r="M401" s="202" t="str">
        <f>OBRA!M400</f>
        <v>ADJUDICACIÓN DIRECTA</v>
      </c>
      <c r="N401" s="328" t="str">
        <f>OBRA!N400</f>
        <v>"REHABILITACIÓN DE RED DE AGUA POTABLE CON REPOSICIÓN DE SUPERFICIE DE RODAMIENTO EN LA CALLE NIÑOS HEROES ENTRE CALLES ITURBIDE Y VERANO", EN LA CABECERA MUNICIPAL DE JOCOTEPEC, JALISCO.</v>
      </c>
      <c r="O401" s="510" t="s">
        <v>3536</v>
      </c>
      <c r="P401" s="69">
        <f>OBRA!Q400</f>
        <v>43707</v>
      </c>
      <c r="Q401" s="85">
        <f>OBRA!P400</f>
        <v>872749.01</v>
      </c>
      <c r="R401" s="255">
        <f>OBRA!R400</f>
        <v>43710</v>
      </c>
      <c r="S401" s="245">
        <f>OBRA!S400</f>
        <v>43785</v>
      </c>
      <c r="T401" s="1601" t="s">
        <v>3860</v>
      </c>
      <c r="U401" s="216" t="s">
        <v>1431</v>
      </c>
      <c r="V401" s="549" t="s">
        <v>3753</v>
      </c>
      <c r="W401" s="668" t="s">
        <v>3753</v>
      </c>
      <c r="X401" s="1157">
        <f>OBRA!AP400</f>
        <v>392737.05000000005</v>
      </c>
      <c r="Y401" s="341"/>
      <c r="Z401" s="341"/>
      <c r="AA401" s="5"/>
      <c r="AB401" s="351">
        <f>OBRA!BT400</f>
        <v>0</v>
      </c>
      <c r="AC401" s="1519"/>
      <c r="AD401" s="569" t="s">
        <v>551</v>
      </c>
    </row>
    <row r="402" spans="1:30" ht="117.75" hidden="1" customHeight="1">
      <c r="A402" s="23" t="s">
        <v>2239</v>
      </c>
      <c r="B402" s="933" t="str">
        <f>GRAL!B403</f>
        <v>2018-2021</v>
      </c>
      <c r="C402" s="17">
        <f>OBRA!I401</f>
        <v>2019</v>
      </c>
      <c r="D402" s="1676"/>
      <c r="E402" s="18" t="str">
        <f>OBRA!K401</f>
        <v>RAMO 33</v>
      </c>
      <c r="F402" s="525" t="s">
        <v>1431</v>
      </c>
      <c r="G402" s="546" t="s">
        <v>3754</v>
      </c>
      <c r="H402" s="545" t="s">
        <v>3754</v>
      </c>
      <c r="I402" s="546" t="s">
        <v>3754</v>
      </c>
      <c r="J402" s="339" t="str">
        <f>OBRA!U401</f>
        <v>INGENIERÍA ARQUITECTURA MENDPAD S.A. DE C.V.</v>
      </c>
      <c r="K402" s="172" t="str">
        <f>OBRA!V401</f>
        <v>LIC. SALVADOR CONTRERAS OLGUÍN</v>
      </c>
      <c r="L402" s="180" t="str">
        <f>OBRA!L401</f>
        <v>GMJ 019 C-OP/2019</v>
      </c>
      <c r="M402" s="202" t="str">
        <f>OBRA!M401</f>
        <v>ADJUDICACIÓN DIRECTA</v>
      </c>
      <c r="N402" s="328" t="str">
        <f>OBRA!N401</f>
        <v>"REHABILITACIÓN RED DE DRENAJE SANITARIO EN LA CALLE PRIVADA ZARAGOZA DE CALLE ZARAGOZA A CERRADA DELEGACIÓN DE SAN JUAN COSALA MUNICIPIO DE JOCOTEPEC, JALISCO".</v>
      </c>
      <c r="O402" s="510" t="s">
        <v>3536</v>
      </c>
      <c r="P402" s="69">
        <f>OBRA!Q401</f>
        <v>43707</v>
      </c>
      <c r="Q402" s="85">
        <f>OBRA!P401</f>
        <v>99707.9</v>
      </c>
      <c r="R402" s="255">
        <f>OBRA!R401</f>
        <v>43710</v>
      </c>
      <c r="S402" s="245">
        <f>OBRA!S401</f>
        <v>43731</v>
      </c>
      <c r="T402" s="1601" t="s">
        <v>3860</v>
      </c>
      <c r="U402" s="216" t="s">
        <v>1431</v>
      </c>
      <c r="V402" s="549" t="s">
        <v>3754</v>
      </c>
      <c r="W402" s="668" t="s">
        <v>3754</v>
      </c>
      <c r="X402" s="1157">
        <f>OBRA!AP401</f>
        <v>43579.32</v>
      </c>
      <c r="Y402" s="341"/>
      <c r="Z402" s="341"/>
      <c r="AA402" s="5"/>
      <c r="AB402" s="351">
        <f>OBRA!BT401</f>
        <v>0</v>
      </c>
      <c r="AC402" s="1519"/>
      <c r="AD402" s="569" t="s">
        <v>551</v>
      </c>
    </row>
    <row r="403" spans="1:30" ht="117.75" hidden="1" customHeight="1">
      <c r="A403" s="23" t="s">
        <v>2239</v>
      </c>
      <c r="B403" s="933" t="str">
        <f>GRAL!B404</f>
        <v>2018-2021</v>
      </c>
      <c r="C403" s="17">
        <f>OBRA!I402</f>
        <v>2019</v>
      </c>
      <c r="D403" s="1676"/>
      <c r="E403" s="18" t="str">
        <f>OBRA!K402</f>
        <v>RAMO 33</v>
      </c>
      <c r="F403" s="525" t="s">
        <v>1431</v>
      </c>
      <c r="G403" s="546" t="s">
        <v>3754</v>
      </c>
      <c r="H403" s="545" t="s">
        <v>3754</v>
      </c>
      <c r="I403" s="546" t="s">
        <v>3754</v>
      </c>
      <c r="J403" s="339" t="str">
        <f>OBRA!U402</f>
        <v>INGENIERÍA ARQUITECTURA MENDPAD S.A. DE C.V.</v>
      </c>
      <c r="K403" s="172" t="str">
        <f>OBRA!V402</f>
        <v>LIC. SALVADOR CONTRERAS OLGUÍN</v>
      </c>
      <c r="L403" s="180" t="str">
        <f>OBRA!L402</f>
        <v>GMJ 019 C-OP/2019</v>
      </c>
      <c r="M403" s="202" t="str">
        <f>OBRA!M402</f>
        <v>ADJUDICACIÓN DIRECTA</v>
      </c>
      <c r="N403" s="328" t="str">
        <f>OBRA!N402</f>
        <v>"REHABILITACIÓN DE RED DE AGUA POTABLE EN PRIVADA ZARAGOZA DE CALLE ZARAGOZA A CERRADA DELEGACIÓN DE SAN JUAN COSALA MUNICIPIO DE JOCOTEPEC, JALISCO".</v>
      </c>
      <c r="O403" s="510" t="s">
        <v>3536</v>
      </c>
      <c r="P403" s="69">
        <f>OBRA!Q402</f>
        <v>43707</v>
      </c>
      <c r="Q403" s="85">
        <f>OBRA!P402</f>
        <v>118188.71</v>
      </c>
      <c r="R403" s="255">
        <f>OBRA!R402</f>
        <v>43710</v>
      </c>
      <c r="S403" s="245">
        <f>OBRA!S402</f>
        <v>43731</v>
      </c>
      <c r="T403" s="1601" t="s">
        <v>3860</v>
      </c>
      <c r="U403" s="216" t="s">
        <v>1431</v>
      </c>
      <c r="V403" s="549" t="s">
        <v>3754</v>
      </c>
      <c r="W403" s="668" t="s">
        <v>3754</v>
      </c>
      <c r="X403" s="1157">
        <f>OBRA!AP402</f>
        <v>43579.32</v>
      </c>
      <c r="Y403" s="341"/>
      <c r="Z403" s="341"/>
      <c r="AA403" s="5"/>
      <c r="AB403" s="351">
        <f>OBRA!BT402</f>
        <v>0</v>
      </c>
      <c r="AC403" s="1519"/>
      <c r="AD403" s="569" t="s">
        <v>551</v>
      </c>
    </row>
    <row r="404" spans="1:30" ht="108.75" hidden="1" customHeight="1">
      <c r="A404" s="23" t="s">
        <v>2239</v>
      </c>
      <c r="B404" s="933" t="str">
        <f>GRAL!B405</f>
        <v>2018-2021</v>
      </c>
      <c r="C404" s="17">
        <f>OBRA!I403</f>
        <v>2019</v>
      </c>
      <c r="D404" s="1676"/>
      <c r="E404" s="18" t="str">
        <f>OBRA!K403</f>
        <v>RAMO 33</v>
      </c>
      <c r="F404" s="525" t="s">
        <v>1431</v>
      </c>
      <c r="G404" s="510" t="s">
        <v>3755</v>
      </c>
      <c r="H404" s="580" t="s">
        <v>3755</v>
      </c>
      <c r="I404" s="801" t="s">
        <v>3755</v>
      </c>
      <c r="J404" s="339" t="str">
        <f>OBRA!U403</f>
        <v>INGENIERÍA ARQUITECTURA MENDPAD S.A. DE C.V.</v>
      </c>
      <c r="K404" s="172" t="str">
        <f>OBRA!V403</f>
        <v>LIC. SALVADOR CONTRERAS OLGUÍN</v>
      </c>
      <c r="L404" s="180" t="str">
        <f>OBRA!L403</f>
        <v>GMJ 020 C-OP/2019</v>
      </c>
      <c r="M404" s="202" t="str">
        <f>OBRA!M403</f>
        <v>ADJUDICACIÓN DIRECTA</v>
      </c>
      <c r="N404" s="328" t="str">
        <f>OBRA!N403</f>
        <v>"CONSTRUCCIÓN DE RED DE AGUA POTABLE EN CALLE PRIVADA GUADALUPE VICTORIA DELEGACIÓN DE SAN JUAN COSALA MUNICIPIO DE JOCOTEPEC, JALISCO"</v>
      </c>
      <c r="O404" s="510" t="s">
        <v>3536</v>
      </c>
      <c r="P404" s="69">
        <f>OBRA!Q403</f>
        <v>43740</v>
      </c>
      <c r="Q404" s="85">
        <f>OBRA!P403</f>
        <v>104942</v>
      </c>
      <c r="R404" s="255">
        <f>OBRA!R403</f>
        <v>43741</v>
      </c>
      <c r="S404" s="245">
        <f>OBRA!S403</f>
        <v>43768</v>
      </c>
      <c r="T404" s="1601" t="s">
        <v>3860</v>
      </c>
      <c r="U404" s="216" t="s">
        <v>1431</v>
      </c>
      <c r="V404" s="510" t="s">
        <v>3755</v>
      </c>
      <c r="W404" s="801" t="s">
        <v>3755</v>
      </c>
      <c r="X404" s="1153">
        <f>OBRA!AP403</f>
        <v>20988.400000000001</v>
      </c>
      <c r="Y404" s="341"/>
      <c r="Z404" s="341"/>
      <c r="AA404" s="5"/>
      <c r="AB404" s="351">
        <f>OBRA!BT403</f>
        <v>0</v>
      </c>
      <c r="AC404" s="1519"/>
      <c r="AD404" s="569" t="s">
        <v>551</v>
      </c>
    </row>
    <row r="405" spans="1:30" ht="106.5" hidden="1" customHeight="1">
      <c r="A405" s="23" t="s">
        <v>2239</v>
      </c>
      <c r="B405" s="933" t="str">
        <f>GRAL!B406</f>
        <v>2018-2021</v>
      </c>
      <c r="C405" s="17">
        <f>OBRA!I404</f>
        <v>2019</v>
      </c>
      <c r="D405" s="1676"/>
      <c r="E405" s="18" t="str">
        <f>OBRA!K404</f>
        <v>RAMO 33</v>
      </c>
      <c r="F405" s="525" t="s">
        <v>1431</v>
      </c>
      <c r="G405" s="510" t="s">
        <v>3756</v>
      </c>
      <c r="H405" s="580" t="s">
        <v>3756</v>
      </c>
      <c r="I405" s="801" t="s">
        <v>3756</v>
      </c>
      <c r="J405" s="339" t="str">
        <f>OBRA!U404</f>
        <v>INGENIERÍA ARQUITECTURA MENDPAD S.A. DE C.V.</v>
      </c>
      <c r="K405" s="172" t="str">
        <f>OBRA!V404</f>
        <v>LIC. SALVADOR CONTRERAS OLGUÍN</v>
      </c>
      <c r="L405" s="180" t="str">
        <f>OBRA!L404</f>
        <v>GMJ 021 C-OP/2019</v>
      </c>
      <c r="M405" s="202" t="str">
        <f>OBRA!M404</f>
        <v>ADJUDICACIÓN DIRECTA</v>
      </c>
      <c r="N405" s="328" t="str">
        <f>OBRA!N404</f>
        <v>"CONSTRUCCIÓN DE LÍNEA DE DRENAJE SANITARIO EN CALLE PRIVADA GUADALUPE VICTORIA DELELGACIÓN DE SAN JUAN COSALA MUNICIPIO DE JOCOTEPEC, JALISCO".</v>
      </c>
      <c r="O405" s="510" t="s">
        <v>3537</v>
      </c>
      <c r="P405" s="69">
        <f>OBRA!Q404</f>
        <v>43740</v>
      </c>
      <c r="Q405" s="85">
        <f>OBRA!P404</f>
        <v>124713.47</v>
      </c>
      <c r="R405" s="255">
        <f>OBRA!R404</f>
        <v>43741</v>
      </c>
      <c r="S405" s="245">
        <f>OBRA!S404</f>
        <v>43768</v>
      </c>
      <c r="T405" s="1601" t="s">
        <v>3860</v>
      </c>
      <c r="U405" s="216" t="s">
        <v>1431</v>
      </c>
      <c r="V405" s="510" t="s">
        <v>3756</v>
      </c>
      <c r="W405" s="801" t="s">
        <v>3756</v>
      </c>
      <c r="X405" s="1153">
        <f>OBRA!AP404</f>
        <v>52536.350000000006</v>
      </c>
      <c r="Y405" s="341"/>
      <c r="Z405" s="341"/>
      <c r="AA405" s="5"/>
      <c r="AB405" s="351">
        <f>OBRA!BT404</f>
        <v>0</v>
      </c>
      <c r="AC405" s="1519"/>
      <c r="AD405" s="569" t="s">
        <v>551</v>
      </c>
    </row>
    <row r="406" spans="1:30" s="110" customFormat="1" ht="30" hidden="1" customHeight="1">
      <c r="A406" s="87" t="s">
        <v>2239</v>
      </c>
      <c r="B406" s="946" t="str">
        <f>GRAL!B407</f>
        <v>2018-2021</v>
      </c>
      <c r="C406" s="88">
        <f>OBRA!I405</f>
        <v>2019</v>
      </c>
      <c r="D406" s="893"/>
      <c r="E406" s="89" t="str">
        <f>OBRA!K405</f>
        <v>RASTRO DIGNO / CTA-CTE</v>
      </c>
      <c r="F406" s="526"/>
      <c r="G406" s="392"/>
      <c r="H406" s="102"/>
      <c r="I406" s="392"/>
      <c r="J406" s="159" t="str">
        <f>OBRA!U405</f>
        <v>C. PAUL ANTONIO VENEGAS GARCÍA</v>
      </c>
      <c r="K406" s="160" t="str">
        <f>OBRA!V405</f>
        <v>ARQ. JAIME CONDE GOMEZ</v>
      </c>
      <c r="L406" s="96" t="str">
        <f>OBRA!L405</f>
        <v>GMJ 022 C-OP/2019</v>
      </c>
      <c r="M406" s="91" t="str">
        <f>OBRA!M405</f>
        <v>CANCELADA</v>
      </c>
      <c r="N406" s="132" t="str">
        <f>OBRA!N405</f>
        <v xml:space="preserve">"CONSTRUCCIÓN DE PLANTA DE TRATAMIENTO INCLUYENDO OBRA CIVIL Y EQUIPAMIENTO EN EL RASTRO MUNICIPAL", EN LA CABECERA MUNICIPAL DE JOCOTEPEC, JALISCO </v>
      </c>
      <c r="O406" s="132"/>
      <c r="P406" s="93">
        <f>OBRA!Q405</f>
        <v>43709</v>
      </c>
      <c r="Q406" s="92">
        <f>OBRA!P405</f>
        <v>1688433.48</v>
      </c>
      <c r="R406" s="94">
        <f>OBRA!R405</f>
        <v>43710</v>
      </c>
      <c r="S406" s="95">
        <f>OBRA!S405</f>
        <v>43785</v>
      </c>
      <c r="T406" s="97"/>
      <c r="U406" s="785"/>
      <c r="V406" s="343"/>
      <c r="W406" s="95"/>
      <c r="X406" s="1164">
        <f>OBRA!AP405</f>
        <v>0</v>
      </c>
      <c r="Y406" s="343"/>
      <c r="Z406" s="343"/>
      <c r="AA406" s="94"/>
      <c r="AB406" s="511">
        <f>OBRA!BT405</f>
        <v>0</v>
      </c>
      <c r="AC406" s="570"/>
      <c r="AD406" s="570"/>
    </row>
    <row r="407" spans="1:30" ht="100.5" hidden="1" customHeight="1">
      <c r="A407" s="23" t="s">
        <v>2239</v>
      </c>
      <c r="B407" s="933" t="str">
        <f>GRAL!B408</f>
        <v>2018-2021</v>
      </c>
      <c r="C407" s="17">
        <f>OBRA!I406</f>
        <v>2019</v>
      </c>
      <c r="D407" s="1676"/>
      <c r="E407" s="19" t="str">
        <f>OBRA!K406</f>
        <v>RASTRO DIGNO / CTA-CTE</v>
      </c>
      <c r="F407" s="681" t="s">
        <v>3748</v>
      </c>
      <c r="G407" s="546" t="s">
        <v>3757</v>
      </c>
      <c r="H407" s="545" t="s">
        <v>3757</v>
      </c>
      <c r="I407" s="546" t="s">
        <v>3757</v>
      </c>
      <c r="J407" s="339" t="str">
        <f>OBRA!U406</f>
        <v>SDT CONSTRUCTORA S.A. DE C.V.</v>
      </c>
      <c r="K407" s="57" t="str">
        <f>OBRA!V406</f>
        <v>ARQ. JAIME CONDE GOMEZ</v>
      </c>
      <c r="L407" s="35" t="str">
        <f>OBRA!L406</f>
        <v>GMJ 023 C-OP/2019</v>
      </c>
      <c r="M407" s="2" t="str">
        <f>OBRA!M406</f>
        <v>ADJUDICACIÓN DIRECTA</v>
      </c>
      <c r="N407" s="3" t="str">
        <f>OBRA!N406</f>
        <v>“CONSTRUCCIÓN DE ÁREA DE CORRALES MÓDULO 1 PRIMERA ETAPA EN EL RASTRO MUNICIPAL”, EN LA CABECERA MUNICIPAL, DE JOCOTEPEC, JALISCO.</v>
      </c>
      <c r="O407" s="510" t="s">
        <v>3537</v>
      </c>
      <c r="P407" s="6">
        <f>OBRA!Q406</f>
        <v>43755</v>
      </c>
      <c r="Q407" s="4">
        <f>OBRA!P406</f>
        <v>1393906.05</v>
      </c>
      <c r="R407" s="5">
        <f>OBRA!R406</f>
        <v>43759</v>
      </c>
      <c r="S407" s="12">
        <f>OBRA!S406</f>
        <v>43830</v>
      </c>
      <c r="T407" s="1601" t="s">
        <v>3860</v>
      </c>
      <c r="U407" s="223"/>
      <c r="V407" s="549" t="s">
        <v>3757</v>
      </c>
      <c r="W407" s="668" t="s">
        <v>3757</v>
      </c>
      <c r="X407" s="1157">
        <f>OBRA!AP406</f>
        <v>627257.56000000006</v>
      </c>
      <c r="Y407" s="341"/>
      <c r="Z407" s="341"/>
      <c r="AA407" s="5"/>
      <c r="AB407" s="351">
        <f>OBRA!BT406</f>
        <v>0</v>
      </c>
      <c r="AC407" s="1519"/>
      <c r="AD407" s="569"/>
    </row>
    <row r="408" spans="1:30" ht="141.75" hidden="1" customHeight="1">
      <c r="A408" s="23" t="s">
        <v>2239</v>
      </c>
      <c r="B408" s="933" t="str">
        <f>GRAL!B409</f>
        <v>2018-2021</v>
      </c>
      <c r="C408" s="17">
        <f>OBRA!I407</f>
        <v>2019</v>
      </c>
      <c r="D408" s="1676" t="s">
        <v>4066</v>
      </c>
      <c r="E408" s="19" t="str">
        <f>OBRA!K407</f>
        <v>RASTRO DIGNO / CTA-CTE</v>
      </c>
      <c r="F408" s="681" t="s">
        <v>3748</v>
      </c>
      <c r="G408" s="546" t="s">
        <v>3758</v>
      </c>
      <c r="H408" s="545" t="s">
        <v>3758</v>
      </c>
      <c r="I408" s="546" t="s">
        <v>3758</v>
      </c>
      <c r="J408" s="339" t="str">
        <f>OBRA!U407</f>
        <v>DACO, DESARROLLOS ARQUITECTÓNICOS Y CONSTRUCCIÓN OBRA CIVIL S.A. DE C.V.</v>
      </c>
      <c r="K408" s="57" t="str">
        <f>OBRA!V407</f>
        <v>ARQ. JAIME CONDE GOMEZ</v>
      </c>
      <c r="L408" s="35" t="str">
        <f>OBRA!L407</f>
        <v>GMJ 024 C-OP/2019</v>
      </c>
      <c r="M408" s="2" t="str">
        <f>OBRA!M407</f>
        <v>ADJUDICACIÓN DIRECTA</v>
      </c>
      <c r="N408" s="3" t="str">
        <f>OBRA!N407</f>
        <v>“REHABILITACIÓN DE ÁREA DE MATANZA EN ESTRUCTURA Y TECHUMBRE PRIMERA ETAPA EN EL RASTRO MUNICIPAL”, EN LA CABECERA MUNICIPAL, DE JOCOTEPEC, JALISCO.</v>
      </c>
      <c r="O408" s="510" t="s">
        <v>3537</v>
      </c>
      <c r="P408" s="6">
        <f>OBRA!Q407</f>
        <v>43755</v>
      </c>
      <c r="Q408" s="4">
        <f>OBRA!P407</f>
        <v>1414229.08</v>
      </c>
      <c r="R408" s="5">
        <f>OBRA!R407</f>
        <v>43759</v>
      </c>
      <c r="S408" s="12">
        <f>OBRA!S407</f>
        <v>43830</v>
      </c>
      <c r="T408" s="1601" t="s">
        <v>3860</v>
      </c>
      <c r="U408" s="223"/>
      <c r="V408" s="549" t="s">
        <v>3758</v>
      </c>
      <c r="W408" s="668" t="s">
        <v>3758</v>
      </c>
      <c r="X408" s="1157">
        <f>OBRA!AP407</f>
        <v>636403.09000000008</v>
      </c>
      <c r="Y408" s="341"/>
      <c r="Z408" s="341"/>
      <c r="AA408" s="5"/>
      <c r="AB408" s="351">
        <f>OBRA!BT407</f>
        <v>0</v>
      </c>
      <c r="AC408" s="1519"/>
      <c r="AD408" s="569"/>
    </row>
    <row r="409" spans="1:30" ht="95.25" hidden="1" customHeight="1">
      <c r="A409" s="23" t="s">
        <v>2239</v>
      </c>
      <c r="B409" s="933" t="str">
        <f>GRAL!B410</f>
        <v>2018-2021</v>
      </c>
      <c r="C409" s="17">
        <f>OBRA!I408</f>
        <v>2019</v>
      </c>
      <c r="D409" s="1676"/>
      <c r="E409" s="18" t="str">
        <f>OBRA!K408</f>
        <v>RAMO 33</v>
      </c>
      <c r="F409" s="525" t="s">
        <v>1431</v>
      </c>
      <c r="G409" s="1048" t="s">
        <v>3759</v>
      </c>
      <c r="H409" s="545" t="s">
        <v>3759</v>
      </c>
      <c r="I409" s="546" t="s">
        <v>3759</v>
      </c>
      <c r="J409" s="339" t="str">
        <f>OBRA!U408</f>
        <v>AV ATELIER DE ARQUITECTURA S.A. DE C.V.</v>
      </c>
      <c r="K409" s="57" t="str">
        <f>OBRA!V408</f>
        <v>LIC. SALVADOR CONTRERAS OLGUÍN</v>
      </c>
      <c r="L409" s="35" t="str">
        <f>OBRA!L408</f>
        <v>GMJ 025 C-OP/2019</v>
      </c>
      <c r="M409" s="2" t="str">
        <f>OBRA!M408</f>
        <v>ADJUDICACIÓN DIRECTA</v>
      </c>
      <c r="N409" s="3" t="str">
        <f>OBRA!N408</f>
        <v>"REHABILITACIÓN DE RED DE DRENAJE SANITARIO EN CALLE OTOÑO ENTRE CALLE NIÑOS HEROES Y ZARAGOZA" EN LA CABECERA MUNICIPAL DE JOCOTEPEC, JALISCO</v>
      </c>
      <c r="O409" s="510" t="s">
        <v>3537</v>
      </c>
      <c r="P409" s="6">
        <f>OBRA!Q408</f>
        <v>43755</v>
      </c>
      <c r="Q409" s="4">
        <f>OBRA!P408</f>
        <v>198328.91</v>
      </c>
      <c r="R409" s="5">
        <f>OBRA!R408</f>
        <v>43759</v>
      </c>
      <c r="S409" s="12">
        <f>OBRA!S408</f>
        <v>43809</v>
      </c>
      <c r="T409" s="1601" t="s">
        <v>3860</v>
      </c>
      <c r="U409" s="216" t="s">
        <v>1431</v>
      </c>
      <c r="V409" s="549" t="s">
        <v>3759</v>
      </c>
      <c r="W409" s="668" t="s">
        <v>3759</v>
      </c>
      <c r="X409" s="1157">
        <f>OBRA!AP408</f>
        <v>38382.93</v>
      </c>
      <c r="Y409" s="341"/>
      <c r="Z409" s="341"/>
      <c r="AA409" s="5"/>
      <c r="AB409" s="351">
        <f>OBRA!BT408</f>
        <v>0</v>
      </c>
      <c r="AC409" s="1519"/>
      <c r="AD409" s="569" t="s">
        <v>551</v>
      </c>
    </row>
    <row r="410" spans="1:30" ht="96" hidden="1" customHeight="1">
      <c r="A410" s="23" t="s">
        <v>2239</v>
      </c>
      <c r="B410" s="933" t="str">
        <f>GRAL!B411</f>
        <v>2018-2021</v>
      </c>
      <c r="C410" s="17">
        <f>OBRA!I409</f>
        <v>2019</v>
      </c>
      <c r="D410" s="1676"/>
      <c r="E410" s="18" t="str">
        <f>OBRA!K409</f>
        <v>RAMO 33</v>
      </c>
      <c r="F410" s="525" t="s">
        <v>1431</v>
      </c>
      <c r="G410" s="1048" t="s">
        <v>3760</v>
      </c>
      <c r="H410" s="510" t="s">
        <v>3760</v>
      </c>
      <c r="I410" s="546" t="s">
        <v>3760</v>
      </c>
      <c r="J410" s="339" t="str">
        <f>OBRA!U409</f>
        <v>AV ATELIER DE ARQUITECTURA S.A. DE C.V.</v>
      </c>
      <c r="K410" s="57" t="str">
        <f>OBRA!V409</f>
        <v>LIC. SALVADOR CONTRERAS OLGUÍN</v>
      </c>
      <c r="L410" s="35" t="str">
        <f>OBRA!L409</f>
        <v>GMJ 026 C-OP/2019</v>
      </c>
      <c r="M410" s="2" t="str">
        <f>OBRA!M409</f>
        <v>ADJUDICACIÓN DIRECTA</v>
      </c>
      <c r="N410" s="3" t="str">
        <f>OBRA!N409</f>
        <v>"REHABILITACIÓN DE RED DE AGUA POTABLE EN CALLE OTOÑO ENTRE CALLE NIÑOS HEROES Y ZARAGOZA" EN LA CABECERA MUNICIPAL DE JOCOTEPEC, JALISCO</v>
      </c>
      <c r="O410" s="510" t="s">
        <v>3537</v>
      </c>
      <c r="P410" s="6">
        <f>OBRA!Q409</f>
        <v>43755</v>
      </c>
      <c r="Q410" s="4">
        <f>OBRA!P409</f>
        <v>135637.59</v>
      </c>
      <c r="R410" s="5">
        <f>OBRA!R409</f>
        <v>43759</v>
      </c>
      <c r="S410" s="12">
        <f>OBRA!S409</f>
        <v>43809</v>
      </c>
      <c r="T410" s="1601" t="s">
        <v>3860</v>
      </c>
      <c r="U410" s="216" t="s">
        <v>1431</v>
      </c>
      <c r="V410" s="549" t="s">
        <v>3760</v>
      </c>
      <c r="W410" s="668" t="s">
        <v>3760</v>
      </c>
      <c r="X410" s="1157">
        <f>OBRA!AP409</f>
        <v>27591.190000000002</v>
      </c>
      <c r="Y410" s="341"/>
      <c r="Z410" s="341"/>
      <c r="AA410" s="5"/>
      <c r="AB410" s="351">
        <f>OBRA!BT409</f>
        <v>0</v>
      </c>
      <c r="AC410" s="1519"/>
      <c r="AD410" s="569" t="s">
        <v>551</v>
      </c>
    </row>
    <row r="411" spans="1:30" ht="126" hidden="1" customHeight="1">
      <c r="A411" s="23" t="s">
        <v>2239</v>
      </c>
      <c r="B411" s="933" t="str">
        <f>GRAL!B412</f>
        <v>2018-2021</v>
      </c>
      <c r="C411" s="17">
        <f>OBRA!I410</f>
        <v>2019</v>
      </c>
      <c r="D411" s="1676"/>
      <c r="E411" s="18" t="str">
        <f>OBRA!K410</f>
        <v>RAMO 33</v>
      </c>
      <c r="F411" s="525" t="s">
        <v>1431</v>
      </c>
      <c r="G411" s="546" t="s">
        <v>3761</v>
      </c>
      <c r="H411" s="545" t="s">
        <v>3761</v>
      </c>
      <c r="I411" s="546" t="s">
        <v>3761</v>
      </c>
      <c r="J411" s="339" t="str">
        <f>OBRA!U410</f>
        <v>AV ATELIER DE ARQUITECTURA S.A. DE C.V.</v>
      </c>
      <c r="K411" s="172" t="str">
        <f>OBRA!V410</f>
        <v>LIC. SALVADOR CONTRERAS OLGUÍN</v>
      </c>
      <c r="L411" s="35"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510" t="s">
        <v>3537</v>
      </c>
      <c r="P411" s="6">
        <f>OBRA!Q410</f>
        <v>43755</v>
      </c>
      <c r="Q411" s="4">
        <f>OBRA!P410</f>
        <v>883708.77</v>
      </c>
      <c r="R411" s="5">
        <f>OBRA!R410</f>
        <v>43759</v>
      </c>
      <c r="S411" s="12">
        <f>OBRA!S410</f>
        <v>43809</v>
      </c>
      <c r="T411" s="1601" t="s">
        <v>3860</v>
      </c>
      <c r="U411" s="216" t="s">
        <v>1431</v>
      </c>
      <c r="V411" s="549" t="s">
        <v>3761</v>
      </c>
      <c r="W411" s="668" t="s">
        <v>3761</v>
      </c>
      <c r="X411" s="1157">
        <f>OBRA!AP410</f>
        <v>170988.1</v>
      </c>
      <c r="Y411" s="341"/>
      <c r="Z411" s="341"/>
      <c r="AA411" s="5"/>
      <c r="AB411" s="1057">
        <f>OBRA!BT410</f>
        <v>0</v>
      </c>
      <c r="AC411" s="1853"/>
      <c r="AD411" s="569" t="s">
        <v>551</v>
      </c>
    </row>
    <row r="412" spans="1:30" ht="113.25" hidden="1" customHeight="1">
      <c r="A412" s="23" t="s">
        <v>2239</v>
      </c>
      <c r="B412" s="933" t="str">
        <f>GRAL!B413</f>
        <v>2018-2021</v>
      </c>
      <c r="C412" s="17">
        <f>OBRA!I411</f>
        <v>2019</v>
      </c>
      <c r="D412" s="1676"/>
      <c r="E412" s="18" t="str">
        <f>OBRA!K411</f>
        <v>RAMO 33</v>
      </c>
      <c r="F412" s="525" t="s">
        <v>1431</v>
      </c>
      <c r="G412" s="546" t="s">
        <v>3762</v>
      </c>
      <c r="H412" s="545" t="s">
        <v>3762</v>
      </c>
      <c r="I412" s="546" t="s">
        <v>3762</v>
      </c>
      <c r="J412" s="339" t="str">
        <f>OBRA!U411</f>
        <v>GRUPO CONSTRUCTOR HORUS, S.A. DE C.V.</v>
      </c>
      <c r="K412" s="172" t="str">
        <f>OBRA!V411</f>
        <v>ING. J. GUADALUPE IBARRA RAMIREZ</v>
      </c>
      <c r="L412" s="180" t="str">
        <f>OBRA!L411</f>
        <v>GMJ 028 C-OP/2019</v>
      </c>
      <c r="M412" s="202" t="str">
        <f>OBRA!M411</f>
        <v>ADJUDICACIÓN DIRECTA</v>
      </c>
      <c r="N412" s="328" t="str">
        <f>OBRA!N411</f>
        <v>“REHABILITACIÓN DE LÍNEA DE DRENAJE EN LA CALLE INVIERNO ENTRE CALLES FRANCISCO VILLA Y 20 DE NOVIEMBRE”  EN LA CABECERA MUNICIPAL DE JOCOTEPEC, JALISCO.</v>
      </c>
      <c r="O412" s="510" t="s">
        <v>3537</v>
      </c>
      <c r="P412" s="69">
        <f>OBRA!Q411</f>
        <v>43754</v>
      </c>
      <c r="Q412" s="85">
        <f>OBRA!P411</f>
        <v>269609.8</v>
      </c>
      <c r="R412" s="255">
        <f>OBRA!R411</f>
        <v>43755</v>
      </c>
      <c r="S412" s="245">
        <f>OBRA!S411</f>
        <v>43799</v>
      </c>
      <c r="T412" s="1601" t="s">
        <v>3860</v>
      </c>
      <c r="U412" s="216" t="s">
        <v>1431</v>
      </c>
      <c r="V412" s="549" t="s">
        <v>3762</v>
      </c>
      <c r="W412" s="1535" t="s">
        <v>3762</v>
      </c>
      <c r="X412" s="1190">
        <f>OBRA!AP411</f>
        <v>56556.3</v>
      </c>
      <c r="Y412" s="341"/>
      <c r="Z412" s="341"/>
      <c r="AA412" s="5"/>
      <c r="AB412" s="1057">
        <f>OBRA!BT411</f>
        <v>0</v>
      </c>
      <c r="AC412" s="1853"/>
      <c r="AD412" s="569" t="s">
        <v>551</v>
      </c>
    </row>
    <row r="413" spans="1:30" ht="121.5" hidden="1" customHeight="1">
      <c r="A413" s="23" t="s">
        <v>2239</v>
      </c>
      <c r="B413" s="933" t="str">
        <f>GRAL!B414</f>
        <v>2018-2021</v>
      </c>
      <c r="C413" s="17">
        <f>OBRA!I412</f>
        <v>2019</v>
      </c>
      <c r="D413" s="1676"/>
      <c r="E413" s="18" t="str">
        <f>OBRA!K412</f>
        <v>RAMO 33</v>
      </c>
      <c r="F413" s="525" t="s">
        <v>1431</v>
      </c>
      <c r="G413" s="546" t="s">
        <v>3763</v>
      </c>
      <c r="H413" s="545" t="s">
        <v>3763</v>
      </c>
      <c r="I413" s="552" t="s">
        <v>3763</v>
      </c>
      <c r="J413" s="339" t="str">
        <f>OBRA!U412</f>
        <v>GRUPO CONSTRUCTOR HORUS, S.A. DE C.V.</v>
      </c>
      <c r="K413" s="172" t="str">
        <f>OBRA!V412</f>
        <v>ING. J. GUADALUPE IBARRA RAMIREZ</v>
      </c>
      <c r="L413" s="180" t="str">
        <f>OBRA!L412</f>
        <v>GMJ 029 C-OP/2019</v>
      </c>
      <c r="M413" s="202" t="str">
        <f>OBRA!M412</f>
        <v>ADJUDICACIÓN DIRECTA</v>
      </c>
      <c r="N413" s="328" t="str">
        <f>OBRA!N412</f>
        <v>“REHABILITACIÓN DE RED DE AGUA POTABLE EN CALLE INVIERNO ENTRE CALLES FRANCISCO VILLA Y 20 DE NOVIEMBRE”  EN LA CABECERA MUNICIPAL DE JOCOTEPEC, JALISCO.</v>
      </c>
      <c r="O413" s="510" t="s">
        <v>3537</v>
      </c>
      <c r="P413" s="69">
        <f>OBRA!Q412</f>
        <v>43754</v>
      </c>
      <c r="Q413" s="85">
        <f>OBRA!P412</f>
        <v>104875.19</v>
      </c>
      <c r="R413" s="255">
        <f>OBRA!R412</f>
        <v>43762</v>
      </c>
      <c r="S413" s="245">
        <f>OBRA!S412</f>
        <v>43799</v>
      </c>
      <c r="T413" s="1601" t="s">
        <v>3860</v>
      </c>
      <c r="U413" s="216" t="s">
        <v>1431</v>
      </c>
      <c r="V413" s="549" t="s">
        <v>3763</v>
      </c>
      <c r="W413" s="668" t="s">
        <v>3763</v>
      </c>
      <c r="X413" s="1157">
        <f>OBRA!AP412</f>
        <v>20970.04</v>
      </c>
      <c r="Y413" s="341"/>
      <c r="Z413" s="341"/>
      <c r="AA413" s="5"/>
      <c r="AB413" s="1057">
        <f>OBRA!BT412</f>
        <v>0</v>
      </c>
      <c r="AC413" s="1853"/>
      <c r="AD413" s="569" t="s">
        <v>551</v>
      </c>
    </row>
    <row r="414" spans="1:30" ht="117.75" hidden="1" customHeight="1">
      <c r="A414" s="23" t="s">
        <v>2239</v>
      </c>
      <c r="B414" s="933" t="str">
        <f>GRAL!B415</f>
        <v>2018-2021</v>
      </c>
      <c r="C414" s="17">
        <f>OBRA!I413</f>
        <v>2019</v>
      </c>
      <c r="D414" s="1676"/>
      <c r="E414" s="18" t="str">
        <f>OBRA!K413</f>
        <v>RAMO 33</v>
      </c>
      <c r="F414" s="525" t="s">
        <v>1431</v>
      </c>
      <c r="G414" s="546" t="s">
        <v>3884</v>
      </c>
      <c r="H414" s="545" t="s">
        <v>3884</v>
      </c>
      <c r="I414" s="546" t="s">
        <v>3884</v>
      </c>
      <c r="J414" s="339" t="str">
        <f>OBRA!U413</f>
        <v>GRUPO CONSTRUCTOR HORUS, S.A. DE C.V.</v>
      </c>
      <c r="K414" s="172" t="str">
        <f>OBRA!V413</f>
        <v>ING. J. GUADALUPE IBARRA RAMIREZ</v>
      </c>
      <c r="L414" s="180" t="str">
        <f>OBRA!L413</f>
        <v>GMJ 030 C-OP/2019</v>
      </c>
      <c r="M414" s="202" t="str">
        <f>OBRA!M413</f>
        <v>ADJUDICACIÓN DIRECTA</v>
      </c>
      <c r="N414" s="328" t="str">
        <f>OBRA!N413</f>
        <v>“FABRICACIÓN DE EMPEDRADO AHOGADO EN CEMENTO  EN CALLE INVIERNO ENTRE CALLES FRANCISCO VILLA Y 20 DE NOVIEMBRE” EN LA CABECERA MUNICIPAL DE JOCOTEPEC, JALISCO</v>
      </c>
      <c r="O414" s="510" t="s">
        <v>3537</v>
      </c>
      <c r="P414" s="69">
        <f>OBRA!Q413</f>
        <v>43754</v>
      </c>
      <c r="Q414" s="85">
        <f>OBRA!P413</f>
        <v>702979.49</v>
      </c>
      <c r="R414" s="255">
        <f>OBRA!R413</f>
        <v>43762</v>
      </c>
      <c r="S414" s="245">
        <f>OBRA!S413</f>
        <v>43799</v>
      </c>
      <c r="T414" s="1609" t="s">
        <v>3860</v>
      </c>
      <c r="U414" s="216" t="s">
        <v>1431</v>
      </c>
      <c r="V414" s="549" t="s">
        <v>3884</v>
      </c>
      <c r="W414" s="668" t="s">
        <v>3884</v>
      </c>
      <c r="X414" s="1157">
        <f>OBRA!AP413</f>
        <v>144872.22</v>
      </c>
      <c r="Y414" s="341"/>
      <c r="Z414" s="341"/>
      <c r="AA414" s="5"/>
      <c r="AB414" s="1057">
        <f>OBRA!BT413</f>
        <v>0</v>
      </c>
      <c r="AC414" s="1853"/>
      <c r="AD414" s="569"/>
    </row>
    <row r="415" spans="1:30" ht="90" hidden="1" customHeight="1">
      <c r="A415" s="23" t="s">
        <v>2239</v>
      </c>
      <c r="B415" s="933" t="str">
        <f>GRAL!B416</f>
        <v>2018-2021</v>
      </c>
      <c r="C415" s="17">
        <f>OBRA!I414</f>
        <v>2019</v>
      </c>
      <c r="D415" s="1676"/>
      <c r="E415" s="18" t="str">
        <f>OBRA!K414</f>
        <v>RAMO 33</v>
      </c>
      <c r="F415" s="525" t="s">
        <v>1431</v>
      </c>
      <c r="G415" s="1048" t="s">
        <v>3764</v>
      </c>
      <c r="H415" s="545" t="s">
        <v>3764</v>
      </c>
      <c r="I415" s="546" t="s">
        <v>3764</v>
      </c>
      <c r="J415" s="339" t="str">
        <f>OBRA!U414</f>
        <v>CONSTRUCTORA PIMONT S.A. DE C.V.</v>
      </c>
      <c r="K415" s="172" t="str">
        <f>OBRA!V414</f>
        <v>LIC. SALVADOR CONTRERAS OLGUÍN</v>
      </c>
      <c r="L415" s="180" t="str">
        <f>OBRA!L414</f>
        <v>GMJ 031 C-OP/2019</v>
      </c>
      <c r="M415" s="202" t="str">
        <f>OBRA!M414</f>
        <v>ADJUDICACIÓN DIRECTA</v>
      </c>
      <c r="N415" s="328" t="str">
        <f>OBRA!N414</f>
        <v>"CONSTRUCCIÓN DE BANQUETAS EN CALLE MORELOS DELEGACIÓN DE CHANTEPEC MUNICIPIO DE JOCOTEPEC, JALISCO".</v>
      </c>
      <c r="O415" s="510" t="s">
        <v>3538</v>
      </c>
      <c r="P415" s="69">
        <f>OBRA!Q414</f>
        <v>43754</v>
      </c>
      <c r="Q415" s="85">
        <f>OBRA!P414</f>
        <v>311860.06</v>
      </c>
      <c r="R415" s="255">
        <f>OBRA!R414</f>
        <v>43759</v>
      </c>
      <c r="S415" s="245">
        <f>OBRA!S414</f>
        <v>43790</v>
      </c>
      <c r="T415" s="1601" t="s">
        <v>3860</v>
      </c>
      <c r="U415" s="216" t="s">
        <v>1431</v>
      </c>
      <c r="V415" s="549" t="s">
        <v>3764</v>
      </c>
      <c r="W415" s="668" t="s">
        <v>3764</v>
      </c>
      <c r="X415" s="1157">
        <f>OBRA!AP414</f>
        <v>62372</v>
      </c>
      <c r="Y415" s="341"/>
      <c r="Z415" s="341"/>
      <c r="AA415" s="5"/>
      <c r="AB415" s="351">
        <f>OBRA!BT414</f>
        <v>0</v>
      </c>
      <c r="AC415" s="1519"/>
      <c r="AD415" s="569" t="s">
        <v>551</v>
      </c>
    </row>
    <row r="416" spans="1:30" s="110" customFormat="1" ht="15" hidden="1" customHeight="1">
      <c r="A416" s="87" t="s">
        <v>2239</v>
      </c>
      <c r="B416" s="946" t="str">
        <f>GRAL!B417</f>
        <v>2018-2021</v>
      </c>
      <c r="C416" s="88">
        <f>OBRA!I415</f>
        <v>2019</v>
      </c>
      <c r="D416" s="893"/>
      <c r="E416" s="103">
        <f>OBRA!K415</f>
        <v>0</v>
      </c>
      <c r="F416" s="526" t="s">
        <v>1431</v>
      </c>
      <c r="G416" s="392"/>
      <c r="H416" s="102"/>
      <c r="I416" s="392"/>
      <c r="J416" s="159">
        <f>OBRA!U415</f>
        <v>0</v>
      </c>
      <c r="K416" s="160">
        <f>OBRA!V415</f>
        <v>0</v>
      </c>
      <c r="L416" s="96" t="str">
        <f>OBRA!L415</f>
        <v>GMJ 032 C-OP/2019</v>
      </c>
      <c r="M416" s="91" t="str">
        <f>OBRA!M415</f>
        <v>CANCELADA</v>
      </c>
      <c r="N416" s="132">
        <f>OBRA!N415</f>
        <v>0</v>
      </c>
      <c r="O416" s="132"/>
      <c r="P416" s="93">
        <f>OBRA!Q415</f>
        <v>0</v>
      </c>
      <c r="Q416" s="92">
        <f>OBRA!P415</f>
        <v>0</v>
      </c>
      <c r="R416" s="94">
        <f>OBRA!R415</f>
        <v>0</v>
      </c>
      <c r="S416" s="95">
        <f>OBRA!S415</f>
        <v>0</v>
      </c>
      <c r="T416" s="97"/>
      <c r="U416" s="785" t="s">
        <v>1431</v>
      </c>
      <c r="V416" s="343"/>
      <c r="W416" s="95"/>
      <c r="X416" s="311">
        <f>OBRA!AP415</f>
        <v>0</v>
      </c>
      <c r="Y416" s="343"/>
      <c r="Z416" s="343"/>
      <c r="AA416" s="94"/>
      <c r="AB416" s="511">
        <f>OBRA!BT415</f>
        <v>0</v>
      </c>
      <c r="AC416" s="570"/>
      <c r="AD416" s="570"/>
    </row>
    <row r="417" spans="1:30" s="110" customFormat="1" ht="15" hidden="1" customHeight="1">
      <c r="A417" s="87" t="s">
        <v>2239</v>
      </c>
      <c r="B417" s="946" t="str">
        <f>GRAL!B418</f>
        <v>2018-2021</v>
      </c>
      <c r="C417" s="88">
        <f>OBRA!I416</f>
        <v>2019</v>
      </c>
      <c r="D417" s="893"/>
      <c r="E417" s="103">
        <f>OBRA!K416</f>
        <v>0</v>
      </c>
      <c r="F417" s="526" t="s">
        <v>1431</v>
      </c>
      <c r="G417" s="392"/>
      <c r="H417" s="102"/>
      <c r="I417" s="392"/>
      <c r="J417" s="159">
        <f>OBRA!U416</f>
        <v>0</v>
      </c>
      <c r="K417" s="160">
        <f>OBRA!V416</f>
        <v>0</v>
      </c>
      <c r="L417" s="96" t="str">
        <f>OBRA!L416</f>
        <v>GMJ 033 C-OP/2019</v>
      </c>
      <c r="M417" s="91" t="str">
        <f>OBRA!M416</f>
        <v>CANCELADA</v>
      </c>
      <c r="N417" s="132">
        <f>OBRA!N416</f>
        <v>0</v>
      </c>
      <c r="O417" s="132"/>
      <c r="P417" s="93">
        <f>OBRA!Q416</f>
        <v>0</v>
      </c>
      <c r="Q417" s="92">
        <f>OBRA!P416</f>
        <v>0</v>
      </c>
      <c r="R417" s="94">
        <f>OBRA!R416</f>
        <v>0</v>
      </c>
      <c r="S417" s="95">
        <f>OBRA!S416</f>
        <v>0</v>
      </c>
      <c r="T417" s="97"/>
      <c r="U417" s="785" t="s">
        <v>1431</v>
      </c>
      <c r="V417" s="343"/>
      <c r="W417" s="95"/>
      <c r="X417" s="311">
        <f>OBRA!AP416</f>
        <v>0</v>
      </c>
      <c r="Y417" s="343"/>
      <c r="Z417" s="343"/>
      <c r="AA417" s="94"/>
      <c r="AB417" s="511">
        <f>OBRA!BT416</f>
        <v>0</v>
      </c>
      <c r="AC417" s="570"/>
      <c r="AD417" s="570"/>
    </row>
    <row r="418" spans="1:30" ht="129" hidden="1" customHeight="1">
      <c r="A418" s="23" t="s">
        <v>2239</v>
      </c>
      <c r="B418" s="933" t="str">
        <f>GRAL!B419</f>
        <v>2018-2021</v>
      </c>
      <c r="C418" s="17">
        <f>OBRA!I417</f>
        <v>2019</v>
      </c>
      <c r="D418" s="1676"/>
      <c r="E418" s="18" t="str">
        <f>OBRA!K417</f>
        <v>RAMO 33</v>
      </c>
      <c r="F418" s="525" t="s">
        <v>1431</v>
      </c>
      <c r="G418" s="629" t="s">
        <v>3765</v>
      </c>
      <c r="H418" s="545" t="s">
        <v>3765</v>
      </c>
      <c r="I418" s="629" t="s">
        <v>3765</v>
      </c>
      <c r="J418" s="339" t="str">
        <f>OBRA!U417</f>
        <v>INGENIERÍA ARQUITECTURA MENDPAD S.A. DE C.V.</v>
      </c>
      <c r="K418" s="172" t="str">
        <f>OBRA!V417</f>
        <v>LIC. SALVADOR CONTRERAS OLGUÍN</v>
      </c>
      <c r="L418" s="180" t="str">
        <f>OBRA!L417</f>
        <v>GMJ 034 C-OP/2019</v>
      </c>
      <c r="M418" s="202" t="str">
        <f>OBRA!M417</f>
        <v>ADJUDICACIÓN DIRECTA</v>
      </c>
      <c r="N418" s="328" t="str">
        <f>OBRA!N417</f>
        <v xml:space="preserve">"CONSTRUCCIÓN DE RED DE DRENAJE SANITARIO, 2DA. ETAPA EN PRIVADA ZARAGOZA DE CALLE ZARAGOZA A CERRADA DELEGACIÓN DE SAN JUAN COSALA MUNICIPIO DE JOCOTEPEC, JALISCO". </v>
      </c>
      <c r="O418" s="510" t="s">
        <v>3538</v>
      </c>
      <c r="P418" s="69">
        <f>OBRA!Q417</f>
        <v>43754</v>
      </c>
      <c r="Q418" s="85">
        <f>OBRA!P417</f>
        <v>82700.09</v>
      </c>
      <c r="R418" s="255">
        <f>OBRA!R417</f>
        <v>43755</v>
      </c>
      <c r="S418" s="245">
        <f>OBRA!S417</f>
        <v>43767</v>
      </c>
      <c r="T418" s="1601" t="s">
        <v>3860</v>
      </c>
      <c r="U418" s="216" t="s">
        <v>1431</v>
      </c>
      <c r="V418" s="549" t="s">
        <v>3765</v>
      </c>
      <c r="W418" s="668" t="s">
        <v>3765</v>
      </c>
      <c r="X418" s="1153">
        <f>OBRA!AP417</f>
        <v>48335.01</v>
      </c>
      <c r="Y418" s="341"/>
      <c r="Z418" s="341"/>
      <c r="AA418" s="5"/>
      <c r="AB418" s="351">
        <f>OBRA!BT417</f>
        <v>0</v>
      </c>
      <c r="AC418" s="1519"/>
      <c r="AD418" s="569" t="s">
        <v>551</v>
      </c>
    </row>
    <row r="419" spans="1:30" ht="109.5" hidden="1" customHeight="1">
      <c r="A419" s="23" t="s">
        <v>2239</v>
      </c>
      <c r="B419" s="933" t="str">
        <f>GRAL!B420</f>
        <v>2018-2021</v>
      </c>
      <c r="C419" s="17">
        <f>OBRA!I418</f>
        <v>2019</v>
      </c>
      <c r="D419" s="1676"/>
      <c r="E419" s="18" t="str">
        <f>OBRA!K418</f>
        <v>RAMO 33</v>
      </c>
      <c r="F419" s="525" t="s">
        <v>1431</v>
      </c>
      <c r="G419" s="629" t="s">
        <v>3766</v>
      </c>
      <c r="H419" s="545" t="s">
        <v>3766</v>
      </c>
      <c r="I419" s="629" t="s">
        <v>3766</v>
      </c>
      <c r="J419" s="339" t="str">
        <f>OBRA!U418</f>
        <v>INGENIERÍA ARQUITECTURA MENDPAD S.A. DE C.V.</v>
      </c>
      <c r="K419" s="172" t="str">
        <f>OBRA!V418</f>
        <v>LIC. SALVADOR CONTRERAS OLGUÍN</v>
      </c>
      <c r="L419" s="180" t="str">
        <f>OBRA!L418</f>
        <v>GMJ 035 C-OP/2019</v>
      </c>
      <c r="M419" s="202" t="str">
        <f>OBRA!M418</f>
        <v>ADJUDICACIÓN DIRECTA</v>
      </c>
      <c r="N419" s="328" t="str">
        <f>OBRA!N418</f>
        <v>"REHABILITACIÓN DE LÍNEA DE DRENAJE EN CALLE VERANO ENTRE CALLES NIÑOS HÉROES Y LÓPEZ RAYÓN CABECERA MUNICIPAL DE JOCOTEPEC, JALISCO".</v>
      </c>
      <c r="O419" s="510" t="s">
        <v>3538</v>
      </c>
      <c r="P419" s="69">
        <f>OBRA!Q418</f>
        <v>43794</v>
      </c>
      <c r="Q419" s="85">
        <f>OBRA!P418</f>
        <v>118488.2</v>
      </c>
      <c r="R419" s="255">
        <f>OBRA!R418</f>
        <v>43795</v>
      </c>
      <c r="S419" s="245">
        <f>OBRA!S418</f>
        <v>43813</v>
      </c>
      <c r="T419" s="1601" t="s">
        <v>3860</v>
      </c>
      <c r="U419" s="216" t="s">
        <v>1431</v>
      </c>
      <c r="V419" s="549" t="s">
        <v>3766</v>
      </c>
      <c r="W419" s="668" t="s">
        <v>3766</v>
      </c>
      <c r="X419" s="1157">
        <f>OBRA!AP418</f>
        <v>23697.64</v>
      </c>
      <c r="Y419" s="341"/>
      <c r="Z419" s="341"/>
      <c r="AA419" s="5"/>
      <c r="AB419" s="351">
        <f>OBRA!BT418</f>
        <v>0</v>
      </c>
      <c r="AC419" s="1519"/>
      <c r="AD419" s="569" t="s">
        <v>551</v>
      </c>
    </row>
    <row r="420" spans="1:30" ht="123.75" hidden="1" customHeight="1">
      <c r="A420" s="23" t="s">
        <v>2239</v>
      </c>
      <c r="B420" s="933" t="str">
        <f>GRAL!B421</f>
        <v>2018-2021</v>
      </c>
      <c r="C420" s="17">
        <f>OBRA!I419</f>
        <v>2019</v>
      </c>
      <c r="D420" s="1676"/>
      <c r="E420" s="18" t="str">
        <f>OBRA!K419</f>
        <v>RAMO 33</v>
      </c>
      <c r="F420" s="525" t="s">
        <v>1431</v>
      </c>
      <c r="G420" s="546" t="s">
        <v>3767</v>
      </c>
      <c r="H420" s="545" t="s">
        <v>3767</v>
      </c>
      <c r="I420" s="546" t="s">
        <v>3767</v>
      </c>
      <c r="J420" s="339" t="str">
        <f>OBRA!U419</f>
        <v>INGENIERÍA ARQUITECTURA MENDPAD S.A. DE C.V.</v>
      </c>
      <c r="K420" s="172" t="str">
        <f>OBRA!V419</f>
        <v>LIC. SALVADOR CONTRERAS OLGUÍN</v>
      </c>
      <c r="L420" s="180" t="str">
        <f>OBRA!L419</f>
        <v>GMJ 036 C-OP/2019</v>
      </c>
      <c r="M420" s="202" t="str">
        <f>OBRA!M419</f>
        <v>ADJUDICACIÓN DIRECTA</v>
      </c>
      <c r="N420" s="328" t="str">
        <f>OBRA!N419</f>
        <v>"CONSTRUCCIÓN DE EMPEDRADO AHOGADO EN CEMENTO EN CALLE VERANO ENTRE NIÑOS HÉROES Y EMPEDRADO EXISTENTE CABECERA MUNICIPAL DE JOCOTEPEC, JALISCO".</v>
      </c>
      <c r="O420" s="510" t="s">
        <v>3538</v>
      </c>
      <c r="P420" s="69">
        <f>OBRA!Q419</f>
        <v>43794</v>
      </c>
      <c r="Q420" s="85">
        <f>OBRA!P419</f>
        <v>267068.21999999997</v>
      </c>
      <c r="R420" s="255">
        <f>OBRA!R419</f>
        <v>43801</v>
      </c>
      <c r="S420" s="245">
        <f>OBRA!S419</f>
        <v>43830</v>
      </c>
      <c r="T420" s="1601" t="s">
        <v>3860</v>
      </c>
      <c r="U420" s="216" t="s">
        <v>1431</v>
      </c>
      <c r="V420" s="549" t="s">
        <v>3767</v>
      </c>
      <c r="W420" s="668" t="s">
        <v>3767</v>
      </c>
      <c r="X420" s="1157">
        <f>OBRA!AP419</f>
        <v>53413.64</v>
      </c>
      <c r="Y420" s="341"/>
      <c r="Z420" s="341"/>
      <c r="AA420" s="5"/>
      <c r="AB420" s="351">
        <f>OBRA!BT419</f>
        <v>0</v>
      </c>
      <c r="AC420" s="1519"/>
      <c r="AD420" s="569" t="s">
        <v>551</v>
      </c>
    </row>
    <row r="421" spans="1:30" ht="93" hidden="1" customHeight="1">
      <c r="A421" s="23" t="s">
        <v>2239</v>
      </c>
      <c r="B421" s="933" t="str">
        <f>GRAL!B423</f>
        <v>2018-2021</v>
      </c>
      <c r="C421" s="17">
        <f>OBRA!I421</f>
        <v>2019</v>
      </c>
      <c r="D421" s="1676" t="s">
        <v>4066</v>
      </c>
      <c r="E421" s="18" t="str">
        <f>OBRA!K421</f>
        <v>P.I.D.</v>
      </c>
      <c r="F421" s="1603" t="s">
        <v>3748</v>
      </c>
      <c r="G421" s="546" t="s">
        <v>3768</v>
      </c>
      <c r="H421" s="545" t="s">
        <v>3768</v>
      </c>
      <c r="I421" s="546" t="s">
        <v>3768</v>
      </c>
      <c r="J421" s="339" t="str">
        <f>OBRA!U421</f>
        <v>CONSTRUCTORA PIMONT S.A. DE C.V.</v>
      </c>
      <c r="K421" s="172" t="str">
        <f>OBRA!V421</f>
        <v>LIC. SALVADOR CONTRERAS OLGUÍN</v>
      </c>
      <c r="L421" s="180" t="str">
        <f>OBRA!L421</f>
        <v>GMJ 038 C-OP/2019</v>
      </c>
      <c r="M421" s="202" t="str">
        <f>OBRA!M421</f>
        <v>ADJUDICACIÓN DIRECTA</v>
      </c>
      <c r="N421" s="328" t="str">
        <f>OBRA!N421</f>
        <v>"CONSTRUCCIÓN DE PUERTO INOCUO DE DESEMBARQUE (P.I.D.) EN LA AGENCIA DE NEXTIPAC MUNICIPIO DE JOCOTEPEC, JALISCO.</v>
      </c>
      <c r="O421" s="510" t="s">
        <v>3538</v>
      </c>
      <c r="P421" s="69">
        <f>OBRA!Q421</f>
        <v>43783</v>
      </c>
      <c r="Q421" s="85">
        <f>OBRA!P421</f>
        <v>875313.77</v>
      </c>
      <c r="R421" s="255">
        <f>OBRA!R421</f>
        <v>43784</v>
      </c>
      <c r="S421" s="245">
        <f>OBRA!S421</f>
        <v>43829</v>
      </c>
      <c r="T421" s="1601" t="s">
        <v>3860</v>
      </c>
      <c r="U421" s="216" t="s">
        <v>1431</v>
      </c>
      <c r="V421" s="549" t="s">
        <v>3768</v>
      </c>
      <c r="W421" s="668" t="s">
        <v>3768</v>
      </c>
      <c r="X421" s="1157">
        <f>OBRA!AP421</f>
        <v>175062.74</v>
      </c>
      <c r="Y421" s="341"/>
      <c r="Z421" s="341"/>
      <c r="AA421" s="5"/>
      <c r="AB421" s="351">
        <f>OBRA!BT421</f>
        <v>0</v>
      </c>
      <c r="AC421" s="1519"/>
      <c r="AD421" s="569" t="s">
        <v>551</v>
      </c>
    </row>
    <row r="422" spans="1:30" ht="15" hidden="1" customHeight="1">
      <c r="A422" s="23" t="s">
        <v>2239</v>
      </c>
      <c r="B422" s="933" t="str">
        <f>GRAL!B424</f>
        <v>2018-2021</v>
      </c>
      <c r="C422" s="17">
        <f>OBRA!I422</f>
        <v>2020</v>
      </c>
      <c r="D422" s="1676"/>
      <c r="E422" s="18" t="str">
        <f>OBRA!K422</f>
        <v>CEAJ / CUENTA CORRIENTE</v>
      </c>
      <c r="F422" s="525"/>
      <c r="G422" s="390"/>
      <c r="H422" s="1"/>
      <c r="I422" s="390"/>
      <c r="J422" s="56" t="str">
        <f>OBRA!U422</f>
        <v>N/A</v>
      </c>
      <c r="K422" s="57" t="str">
        <f>OBRA!V422</f>
        <v>N/A</v>
      </c>
      <c r="L422" s="20"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2" t="str">
        <f>OBRA!S422</f>
        <v>-</v>
      </c>
      <c r="T422" s="55"/>
      <c r="U422" s="415" t="s">
        <v>1431</v>
      </c>
      <c r="V422" s="341"/>
      <c r="W422" s="12"/>
      <c r="X422" s="1153">
        <f>OBRA!AP422</f>
        <v>0</v>
      </c>
      <c r="Y422" s="341"/>
      <c r="Z422" s="341"/>
      <c r="AA422" s="5"/>
      <c r="AB422" s="351">
        <f>OBRA!BT422</f>
        <v>0</v>
      </c>
      <c r="AC422" s="569"/>
      <c r="AD422" s="569"/>
    </row>
    <row r="423" spans="1:30" ht="15" hidden="1" customHeight="1">
      <c r="A423" s="23" t="s">
        <v>2239</v>
      </c>
      <c r="B423" s="933" t="str">
        <f>GRAL!B425</f>
        <v>2018-2021</v>
      </c>
      <c r="C423" s="17">
        <f>OBRA!I423</f>
        <v>2020</v>
      </c>
      <c r="D423" s="1676"/>
      <c r="E423" s="18" t="str">
        <f>OBRA!K423</f>
        <v>RESCATE AL PATRIMONIO</v>
      </c>
      <c r="F423" s="525"/>
      <c r="G423" s="390"/>
      <c r="H423" s="1"/>
      <c r="I423" s="390"/>
      <c r="J423" s="56" t="str">
        <f>OBRA!U423</f>
        <v>N/A</v>
      </c>
      <c r="K423" s="57" t="str">
        <f>OBRA!V423</f>
        <v>N/A</v>
      </c>
      <c r="L423" s="20"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2" t="str">
        <f>OBRA!S423</f>
        <v>-</v>
      </c>
      <c r="T423" s="55"/>
      <c r="U423" s="415" t="s">
        <v>1431</v>
      </c>
      <c r="V423" s="341"/>
      <c r="W423" s="12"/>
      <c r="X423" s="1153">
        <f>OBRA!AP423</f>
        <v>0</v>
      </c>
      <c r="Y423" s="341"/>
      <c r="Z423" s="341"/>
      <c r="AA423" s="5"/>
      <c r="AB423" s="351">
        <f>OBRA!BT423</f>
        <v>0</v>
      </c>
      <c r="AC423" s="569"/>
      <c r="AD423" s="569"/>
    </row>
    <row r="424" spans="1:30" ht="15" hidden="1" customHeight="1">
      <c r="A424" s="23" t="s">
        <v>2239</v>
      </c>
      <c r="B424" s="933" t="str">
        <f>GRAL!B426</f>
        <v>2018-2021</v>
      </c>
      <c r="C424" s="17">
        <f>OBRA!I424</f>
        <v>2020</v>
      </c>
      <c r="D424" s="1676"/>
      <c r="E424" s="18" t="str">
        <f>OBRA!K424</f>
        <v>FOCOCI</v>
      </c>
      <c r="F424" s="525"/>
      <c r="G424" s="390"/>
      <c r="H424" s="1"/>
      <c r="I424" s="390"/>
      <c r="J424" s="56" t="str">
        <f>OBRA!U424</f>
        <v>N/A</v>
      </c>
      <c r="K424" s="57" t="str">
        <f>OBRA!V424</f>
        <v>N/A</v>
      </c>
      <c r="L424" s="20"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2" t="str">
        <f>OBRA!S424</f>
        <v>-</v>
      </c>
      <c r="T424" s="55"/>
      <c r="U424" s="415" t="s">
        <v>1431</v>
      </c>
      <c r="V424" s="341"/>
      <c r="W424" s="12"/>
      <c r="X424" s="1153">
        <f>OBRA!AP424</f>
        <v>0</v>
      </c>
      <c r="Y424" s="341"/>
      <c r="Z424" s="341"/>
      <c r="AA424" s="5"/>
      <c r="AB424" s="351">
        <f>OBRA!BT424</f>
        <v>0</v>
      </c>
      <c r="AC424" s="569"/>
      <c r="AD424" s="569"/>
    </row>
    <row r="425" spans="1:30" ht="15" hidden="1" customHeight="1">
      <c r="A425" s="23" t="s">
        <v>2239</v>
      </c>
      <c r="B425" s="933" t="str">
        <f>GRAL!B427</f>
        <v>2018-2021</v>
      </c>
      <c r="C425" s="17">
        <f>OBRA!I425</f>
        <v>2020</v>
      </c>
      <c r="D425" s="1676"/>
      <c r="E425" s="18" t="str">
        <f>OBRA!K425</f>
        <v xml:space="preserve">RASTRO DIGNO </v>
      </c>
      <c r="F425" s="525"/>
      <c r="G425" s="390"/>
      <c r="H425" s="1"/>
      <c r="I425" s="390"/>
      <c r="J425" s="56" t="str">
        <f>OBRA!U425</f>
        <v>N/A</v>
      </c>
      <c r="K425" s="57" t="str">
        <f>OBRA!V425</f>
        <v>N/A</v>
      </c>
      <c r="L425" s="20"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2" t="str">
        <f>OBRA!S425</f>
        <v>-</v>
      </c>
      <c r="T425" s="55"/>
      <c r="U425" s="415" t="s">
        <v>1431</v>
      </c>
      <c r="V425" s="341"/>
      <c r="W425" s="12"/>
      <c r="X425" s="1153">
        <f>OBRA!AP425</f>
        <v>0</v>
      </c>
      <c r="Y425" s="341"/>
      <c r="Z425" s="341"/>
      <c r="AA425" s="5"/>
      <c r="AB425" s="351">
        <f>OBRA!BT425</f>
        <v>0</v>
      </c>
      <c r="AC425" s="569"/>
      <c r="AD425" s="569"/>
    </row>
    <row r="426" spans="1:30" ht="15" hidden="1" customHeight="1">
      <c r="A426" s="23" t="s">
        <v>2239</v>
      </c>
      <c r="B426" s="933" t="str">
        <f>GRAL!B428</f>
        <v>2018-2021</v>
      </c>
      <c r="C426" s="17">
        <f>OBRA!I426</f>
        <v>2020</v>
      </c>
      <c r="D426" s="1676"/>
      <c r="E426" s="18" t="str">
        <f>OBRA!K426</f>
        <v>EMP P/LA REACTIVACIÓN ECONÓMICA EN MPIOS</v>
      </c>
      <c r="F426" s="525"/>
      <c r="G426" s="390"/>
      <c r="H426" s="1"/>
      <c r="I426" s="390"/>
      <c r="J426" s="56" t="str">
        <f>OBRA!U426</f>
        <v>N/A</v>
      </c>
      <c r="K426" s="57" t="str">
        <f>OBRA!V426</f>
        <v>N/A</v>
      </c>
      <c r="L426" s="20"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2" t="str">
        <f>OBRA!S426</f>
        <v>-</v>
      </c>
      <c r="T426" s="55"/>
      <c r="U426" s="415" t="s">
        <v>1431</v>
      </c>
      <c r="V426" s="341"/>
      <c r="W426" s="12"/>
      <c r="X426" s="1153">
        <f>OBRA!AP426</f>
        <v>0</v>
      </c>
      <c r="Y426" s="341"/>
      <c r="Z426" s="341"/>
      <c r="AA426" s="5"/>
      <c r="AB426" s="351">
        <f>OBRA!BT426</f>
        <v>0</v>
      </c>
      <c r="AC426" s="569"/>
      <c r="AD426" s="569"/>
    </row>
    <row r="427" spans="1:30" ht="15" hidden="1" customHeight="1">
      <c r="A427" s="23" t="s">
        <v>2239</v>
      </c>
      <c r="B427" s="933" t="str">
        <f>GRAL!B429</f>
        <v>2018-2021</v>
      </c>
      <c r="C427" s="17">
        <f>OBRA!I427</f>
        <v>2020</v>
      </c>
      <c r="D427" s="1676"/>
      <c r="E427" s="18" t="str">
        <f>OBRA!K427</f>
        <v>CUENTA CORRIENTE</v>
      </c>
      <c r="F427" s="525"/>
      <c r="G427" s="390"/>
      <c r="H427" s="1"/>
      <c r="I427" s="390"/>
      <c r="J427" s="56" t="str">
        <f>OBRA!U427</f>
        <v>N/A</v>
      </c>
      <c r="K427" s="57" t="str">
        <f>OBRA!V427</f>
        <v>ING. JUAN MANUEL GARCIA ESCOTO</v>
      </c>
      <c r="L427" s="20"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2">
        <f>OBRA!S427</f>
        <v>43982</v>
      </c>
      <c r="T427" s="55"/>
      <c r="U427" s="415" t="s">
        <v>1431</v>
      </c>
      <c r="V427" s="341"/>
      <c r="W427" s="12"/>
      <c r="X427" s="1153">
        <f>OBRA!AP427</f>
        <v>0</v>
      </c>
      <c r="Y427" s="341"/>
      <c r="Z427" s="341"/>
      <c r="AA427" s="5"/>
      <c r="AB427" s="351">
        <f>OBRA!BT427</f>
        <v>0</v>
      </c>
      <c r="AC427" s="569"/>
      <c r="AD427" s="569"/>
    </row>
    <row r="428" spans="1:30" ht="15" hidden="1" customHeight="1">
      <c r="A428" s="23" t="s">
        <v>2239</v>
      </c>
      <c r="B428" s="933" t="str">
        <f>GRAL!B430</f>
        <v>2018-2021</v>
      </c>
      <c r="C428" s="17">
        <f>OBRA!I428</f>
        <v>2020</v>
      </c>
      <c r="D428" s="1676"/>
      <c r="E428" s="18" t="str">
        <f>OBRA!K428</f>
        <v>CUENTA CORRIENTE</v>
      </c>
      <c r="F428" s="525"/>
      <c r="G428" s="390"/>
      <c r="H428" s="1"/>
      <c r="I428" s="390"/>
      <c r="J428" s="56" t="str">
        <f>OBRA!U428</f>
        <v>N/A</v>
      </c>
      <c r="K428" s="57" t="str">
        <f>OBRA!V428</f>
        <v>HACIENDA MPAL</v>
      </c>
      <c r="L428" s="20"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2">
        <f>OBRA!S428</f>
        <v>44043</v>
      </c>
      <c r="T428" s="55"/>
      <c r="U428" s="415" t="s">
        <v>1431</v>
      </c>
      <c r="V428" s="341"/>
      <c r="W428" s="12"/>
      <c r="X428" s="1153">
        <f>OBRA!AP428</f>
        <v>0</v>
      </c>
      <c r="Y428" s="341"/>
      <c r="Z428" s="341"/>
      <c r="AA428" s="5"/>
      <c r="AB428" s="351">
        <f>OBRA!BT428</f>
        <v>0</v>
      </c>
      <c r="AC428" s="569"/>
      <c r="AD428" s="569"/>
    </row>
    <row r="429" spans="1:30" ht="15" hidden="1" customHeight="1">
      <c r="A429" s="23" t="s">
        <v>2239</v>
      </c>
      <c r="B429" s="933" t="str">
        <f>GRAL!B431</f>
        <v>2018-2021</v>
      </c>
      <c r="C429" s="17">
        <f>OBRA!I429</f>
        <v>2020</v>
      </c>
      <c r="D429" s="1676"/>
      <c r="E429" s="18" t="str">
        <f>OBRA!K429</f>
        <v>CEAJ / CUENTA CORRIENTE</v>
      </c>
      <c r="F429" s="525"/>
      <c r="G429" s="390"/>
      <c r="H429" s="1"/>
      <c r="I429" s="390"/>
      <c r="J429" s="56" t="str">
        <f>OBRA!U429</f>
        <v>N/A</v>
      </c>
      <c r="K429" s="57" t="str">
        <f>OBRA!V429</f>
        <v>ARQ. JAIME CONDE GOMEZ</v>
      </c>
      <c r="L429" s="20"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2">
        <f>OBRA!S429</f>
        <v>44098</v>
      </c>
      <c r="T429" s="55"/>
      <c r="U429" s="415" t="s">
        <v>1431</v>
      </c>
      <c r="V429" s="341"/>
      <c r="W429" s="12"/>
      <c r="X429" s="1153">
        <f>OBRA!AP429</f>
        <v>0</v>
      </c>
      <c r="Y429" s="341"/>
      <c r="Z429" s="341"/>
      <c r="AA429" s="5"/>
      <c r="AB429" s="351">
        <f>OBRA!BT429</f>
        <v>0</v>
      </c>
      <c r="AC429" s="569"/>
      <c r="AD429" s="569"/>
    </row>
    <row r="430" spans="1:30" ht="15" hidden="1" customHeight="1">
      <c r="A430" s="23" t="s">
        <v>2239</v>
      </c>
      <c r="B430" s="933" t="str">
        <f>GRAL!B432</f>
        <v>2018-2021</v>
      </c>
      <c r="C430" s="17">
        <f>OBRA!I430</f>
        <v>2020</v>
      </c>
      <c r="D430" s="1676"/>
      <c r="E430" s="18" t="str">
        <f>OBRA!K430</f>
        <v>CUENTA CORRIENTE</v>
      </c>
      <c r="F430" s="525"/>
      <c r="G430" s="390"/>
      <c r="H430" s="1"/>
      <c r="I430" s="390"/>
      <c r="J430" s="56" t="str">
        <f>OBRA!U430</f>
        <v>N/A</v>
      </c>
      <c r="K430" s="57" t="str">
        <f>OBRA!V430</f>
        <v>TESORERÍA</v>
      </c>
      <c r="L430" s="20"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2">
        <f>OBRA!S430</f>
        <v>43960</v>
      </c>
      <c r="T430" s="55"/>
      <c r="U430" s="415" t="s">
        <v>1431</v>
      </c>
      <c r="V430" s="341"/>
      <c r="W430" s="12"/>
      <c r="X430" s="1153">
        <f>OBRA!AP430</f>
        <v>0</v>
      </c>
      <c r="Y430" s="341"/>
      <c r="Z430" s="341"/>
      <c r="AA430" s="5"/>
      <c r="AB430" s="351">
        <f>OBRA!BT430</f>
        <v>0</v>
      </c>
      <c r="AC430" s="569"/>
      <c r="AD430" s="569"/>
    </row>
    <row r="431" spans="1:30" ht="15" hidden="1" customHeight="1">
      <c r="A431" s="23" t="s">
        <v>2239</v>
      </c>
      <c r="B431" s="933" t="str">
        <f>GRAL!B433</f>
        <v>2018-2021</v>
      </c>
      <c r="C431" s="17">
        <f>OBRA!I431</f>
        <v>2020</v>
      </c>
      <c r="D431" s="1676"/>
      <c r="E431" s="18" t="str">
        <f>OBRA!K431</f>
        <v>CUENTA CORRIENTE</v>
      </c>
      <c r="F431" s="525"/>
      <c r="G431" s="390"/>
      <c r="H431" s="1"/>
      <c r="I431" s="390"/>
      <c r="J431" s="56" t="str">
        <f>OBRA!U431</f>
        <v>N/A</v>
      </c>
      <c r="K431" s="57" t="str">
        <f>OBRA!V431</f>
        <v>HACIENDA MPAL</v>
      </c>
      <c r="L431" s="20"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2">
        <f>OBRA!S431</f>
        <v>43961</v>
      </c>
      <c r="T431" s="55"/>
      <c r="U431" s="415" t="s">
        <v>1431</v>
      </c>
      <c r="V431" s="341"/>
      <c r="W431" s="12"/>
      <c r="X431" s="1153">
        <f>OBRA!AP431</f>
        <v>0</v>
      </c>
      <c r="Y431" s="341"/>
      <c r="Z431" s="341"/>
      <c r="AA431" s="5"/>
      <c r="AB431" s="351">
        <f>OBRA!BT431</f>
        <v>0</v>
      </c>
      <c r="AC431" s="569"/>
      <c r="AD431" s="569"/>
    </row>
    <row r="432" spans="1:30" ht="15" hidden="1" customHeight="1">
      <c r="A432" s="23" t="s">
        <v>2239</v>
      </c>
      <c r="B432" s="933" t="str">
        <f>GRAL!B434</f>
        <v>2018-2021</v>
      </c>
      <c r="C432" s="17">
        <f>OBRA!I432</f>
        <v>2020</v>
      </c>
      <c r="D432" s="1676"/>
      <c r="E432" s="18" t="str">
        <f>OBRA!K432</f>
        <v>RAMO 33</v>
      </c>
      <c r="F432" s="525"/>
      <c r="G432" s="390"/>
      <c r="H432" s="1"/>
      <c r="I432" s="390"/>
      <c r="J432" s="56" t="str">
        <f>OBRA!U432</f>
        <v>N/A</v>
      </c>
      <c r="K432" s="57" t="str">
        <f>OBRA!V432</f>
        <v>ING. J. GUADALUPE IBARRA RAMIREZ</v>
      </c>
      <c r="L432" s="20"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2">
        <f>OBRA!S432</f>
        <v>44120</v>
      </c>
      <c r="T432" s="55"/>
      <c r="U432" s="415" t="s">
        <v>1431</v>
      </c>
      <c r="V432" s="341"/>
      <c r="W432" s="12"/>
      <c r="X432" s="1153">
        <f>OBRA!AP432</f>
        <v>0</v>
      </c>
      <c r="Y432" s="341"/>
      <c r="Z432" s="341"/>
      <c r="AA432" s="5"/>
      <c r="AB432" s="351">
        <f>OBRA!BT432</f>
        <v>0</v>
      </c>
      <c r="AC432" s="569"/>
      <c r="AD432" s="569"/>
    </row>
    <row r="433" spans="1:30" ht="15" hidden="1" customHeight="1">
      <c r="A433" s="23" t="s">
        <v>2239</v>
      </c>
      <c r="B433" s="933" t="str">
        <f>GRAL!B435</f>
        <v>2018-2021</v>
      </c>
      <c r="C433" s="17">
        <f>OBRA!I433</f>
        <v>2020</v>
      </c>
      <c r="D433" s="1676"/>
      <c r="E433" s="18" t="str">
        <f>OBRA!K433</f>
        <v>EMP P/LA REACTIVACIÓN ECONÓMICA EN MPIOS</v>
      </c>
      <c r="F433" s="525"/>
      <c r="G433" s="390"/>
      <c r="H433" s="1"/>
      <c r="I433" s="390"/>
      <c r="J433" s="56" t="str">
        <f>OBRA!U433</f>
        <v>N/A</v>
      </c>
      <c r="K433" s="57" t="str">
        <f>OBRA!V433</f>
        <v>ING. J. GUADALUPE IBARRA RAMIREZ</v>
      </c>
      <c r="L433" s="20"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2">
        <f>OBRA!S433</f>
        <v>44191</v>
      </c>
      <c r="T433" s="55"/>
      <c r="U433" s="415" t="s">
        <v>1431</v>
      </c>
      <c r="V433" s="341"/>
      <c r="W433" s="12"/>
      <c r="X433" s="1153">
        <f>OBRA!AP433</f>
        <v>0</v>
      </c>
      <c r="Y433" s="341"/>
      <c r="Z433" s="341"/>
      <c r="AA433" s="5"/>
      <c r="AB433" s="351">
        <f>OBRA!BT433</f>
        <v>0</v>
      </c>
      <c r="AC433" s="569"/>
      <c r="AD433" s="569"/>
    </row>
    <row r="434" spans="1:30" ht="15" hidden="1" customHeight="1">
      <c r="A434" s="23" t="s">
        <v>2239</v>
      </c>
      <c r="B434" s="933" t="str">
        <f>GRAL!B436</f>
        <v>2018-2021</v>
      </c>
      <c r="C434" s="17">
        <f>OBRA!I434</f>
        <v>2020</v>
      </c>
      <c r="D434" s="1676"/>
      <c r="E434" s="18" t="str">
        <f>OBRA!K434</f>
        <v>CTA-CTE / EMP P REACT ECO MPIOS</v>
      </c>
      <c r="F434" s="525"/>
      <c r="G434" s="390"/>
      <c r="H434" s="1"/>
      <c r="I434" s="390"/>
      <c r="J434" s="56" t="str">
        <f>OBRA!U434</f>
        <v>N/A</v>
      </c>
      <c r="K434" s="57">
        <f>OBRA!V434</f>
        <v>0</v>
      </c>
      <c r="L434" s="20"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2">
        <f>OBRA!S434</f>
        <v>44191</v>
      </c>
      <c r="T434" s="55"/>
      <c r="U434" s="415" t="s">
        <v>1431</v>
      </c>
      <c r="V434" s="341"/>
      <c r="W434" s="12"/>
      <c r="X434" s="1153">
        <f>OBRA!AP434</f>
        <v>0</v>
      </c>
      <c r="Y434" s="341"/>
      <c r="Z434" s="341"/>
      <c r="AA434" s="5"/>
      <c r="AB434" s="351">
        <f>OBRA!BT434</f>
        <v>0</v>
      </c>
      <c r="AC434" s="569"/>
      <c r="AD434" s="569"/>
    </row>
    <row r="435" spans="1:30" ht="15" hidden="1" customHeight="1">
      <c r="A435" s="23" t="s">
        <v>2239</v>
      </c>
      <c r="B435" s="933" t="str">
        <f>GRAL!B437</f>
        <v>2018-2021</v>
      </c>
      <c r="C435" s="17">
        <f>OBRA!I435</f>
        <v>2020</v>
      </c>
      <c r="D435" s="1676"/>
      <c r="E435" s="18" t="str">
        <f>OBRA!K435</f>
        <v>EMP P/LA REACTIVACIÓN ECONÓMICA EN MPIOS</v>
      </c>
      <c r="F435" s="525"/>
      <c r="G435" s="390"/>
      <c r="H435" s="1"/>
      <c r="I435" s="390"/>
      <c r="J435" s="56" t="str">
        <f>OBRA!U435</f>
        <v>N/A</v>
      </c>
      <c r="K435" s="57" t="str">
        <f>OBRA!V435</f>
        <v>ING. J. GUADALUPE IBARRA RAMIREZ</v>
      </c>
      <c r="L435" s="20"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2">
        <f>OBRA!S435</f>
        <v>44196</v>
      </c>
      <c r="T435" s="55"/>
      <c r="U435" s="415" t="s">
        <v>1431</v>
      </c>
      <c r="V435" s="341"/>
      <c r="W435" s="12"/>
      <c r="X435" s="1153">
        <f>OBRA!AP435</f>
        <v>0</v>
      </c>
      <c r="Y435" s="341"/>
      <c r="Z435" s="341"/>
      <c r="AA435" s="5"/>
      <c r="AB435" s="351">
        <f>OBRA!BT435</f>
        <v>0</v>
      </c>
      <c r="AC435" s="569"/>
      <c r="AD435" s="569"/>
    </row>
    <row r="436" spans="1:30" ht="15" hidden="1" customHeight="1">
      <c r="A436" s="23" t="s">
        <v>2239</v>
      </c>
      <c r="B436" s="933" t="str">
        <f>GRAL!B438</f>
        <v>2018-2021</v>
      </c>
      <c r="C436" s="17">
        <f>OBRA!I436</f>
        <v>2020</v>
      </c>
      <c r="D436" s="1676"/>
      <c r="E436" s="18" t="str">
        <f>OBRA!K436</f>
        <v>CTA-CTE / EMP P REACT ECO MPIOS</v>
      </c>
      <c r="F436" s="525"/>
      <c r="G436" s="390"/>
      <c r="H436" s="1"/>
      <c r="I436" s="390"/>
      <c r="J436" s="56" t="str">
        <f>OBRA!U436</f>
        <v>N/A</v>
      </c>
      <c r="K436" s="57">
        <f>OBRA!V436</f>
        <v>0</v>
      </c>
      <c r="L436" s="20"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2">
        <f>OBRA!S436</f>
        <v>44196</v>
      </c>
      <c r="T436" s="55"/>
      <c r="U436" s="415" t="s">
        <v>1431</v>
      </c>
      <c r="V436" s="341"/>
      <c r="W436" s="12"/>
      <c r="X436" s="1153">
        <f>OBRA!AP436</f>
        <v>0</v>
      </c>
      <c r="Y436" s="341"/>
      <c r="Z436" s="341"/>
      <c r="AA436" s="5"/>
      <c r="AB436" s="351">
        <f>OBRA!BT436</f>
        <v>0</v>
      </c>
      <c r="AC436" s="569"/>
      <c r="AD436" s="569"/>
    </row>
    <row r="437" spans="1:30" ht="15" hidden="1" customHeight="1">
      <c r="A437" s="23" t="s">
        <v>2239</v>
      </c>
      <c r="B437" s="933" t="str">
        <f>GRAL!B439</f>
        <v>2018-2021</v>
      </c>
      <c r="C437" s="17">
        <f>OBRA!I437</f>
        <v>2020</v>
      </c>
      <c r="D437" s="1676"/>
      <c r="E437" s="18" t="str">
        <f>OBRA!K437</f>
        <v>EMP P/LA REACTIVACIÓN ECONÓMICA EN MPIOS</v>
      </c>
      <c r="F437" s="525"/>
      <c r="G437" s="390"/>
      <c r="H437" s="1"/>
      <c r="I437" s="390"/>
      <c r="J437" s="56" t="str">
        <f>OBRA!U437</f>
        <v>N/A</v>
      </c>
      <c r="K437" s="57" t="str">
        <f>OBRA!V437</f>
        <v>ING. J. GUADALUPE IBARRA RAMIREZ</v>
      </c>
      <c r="L437" s="20"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2">
        <f>OBRA!S437</f>
        <v>44191</v>
      </c>
      <c r="T437" s="55"/>
      <c r="U437" s="415" t="s">
        <v>1431</v>
      </c>
      <c r="V437" s="341"/>
      <c r="W437" s="12"/>
      <c r="X437" s="1153">
        <f>OBRA!AP437</f>
        <v>0</v>
      </c>
      <c r="Y437" s="341"/>
      <c r="Z437" s="341"/>
      <c r="AA437" s="5"/>
      <c r="AB437" s="351">
        <f>OBRA!BT437</f>
        <v>0</v>
      </c>
      <c r="AC437" s="569"/>
      <c r="AD437" s="569"/>
    </row>
    <row r="438" spans="1:30" ht="15" hidden="1" customHeight="1">
      <c r="A438" s="23" t="s">
        <v>2239</v>
      </c>
      <c r="B438" s="933" t="str">
        <f>GRAL!B440</f>
        <v>2018-2021</v>
      </c>
      <c r="C438" s="17">
        <f>OBRA!I438</f>
        <v>2020</v>
      </c>
      <c r="D438" s="1676"/>
      <c r="E438" s="18" t="str">
        <f>OBRA!K438</f>
        <v>EMP P/LA REACTIVACIÓN ECONÓMICA EN MPIOS</v>
      </c>
      <c r="F438" s="525"/>
      <c r="G438" s="390"/>
      <c r="H438" s="1"/>
      <c r="I438" s="390"/>
      <c r="J438" s="56" t="str">
        <f>OBRA!U438</f>
        <v>N/A</v>
      </c>
      <c r="K438" s="57" t="str">
        <f>OBRA!V438</f>
        <v>ING. J. GUADALUPE IBARRA RAMIREZ</v>
      </c>
      <c r="L438" s="20"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2">
        <f>OBRA!S438</f>
        <v>44191</v>
      </c>
      <c r="T438" s="55"/>
      <c r="U438" s="415" t="s">
        <v>1431</v>
      </c>
      <c r="V438" s="341"/>
      <c r="W438" s="12"/>
      <c r="X438" s="1153">
        <f>OBRA!AP438</f>
        <v>0</v>
      </c>
      <c r="Y438" s="341"/>
      <c r="Z438" s="341"/>
      <c r="AA438" s="5"/>
      <c r="AB438" s="351">
        <f>OBRA!BT438</f>
        <v>0</v>
      </c>
      <c r="AC438" s="569"/>
      <c r="AD438" s="569"/>
    </row>
    <row r="439" spans="1:30" ht="15" hidden="1" customHeight="1">
      <c r="A439" s="23" t="s">
        <v>2239</v>
      </c>
      <c r="B439" s="933" t="str">
        <f>GRAL!B441</f>
        <v>2018-2021</v>
      </c>
      <c r="C439" s="17">
        <f>OBRA!I439</f>
        <v>2020</v>
      </c>
      <c r="D439" s="1676"/>
      <c r="E439" s="18" t="str">
        <f>OBRA!K439</f>
        <v>CTA-CTE / EMP P REACT ECO MPIOS</v>
      </c>
      <c r="F439" s="525"/>
      <c r="G439" s="390"/>
      <c r="H439" s="1"/>
      <c r="I439" s="390"/>
      <c r="J439" s="56" t="str">
        <f>OBRA!U439</f>
        <v>N/A</v>
      </c>
      <c r="K439" s="57">
        <f>OBRA!V439</f>
        <v>0</v>
      </c>
      <c r="L439" s="20"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2">
        <f>OBRA!S439</f>
        <v>44191</v>
      </c>
      <c r="T439" s="55"/>
      <c r="U439" s="415" t="s">
        <v>1431</v>
      </c>
      <c r="V439" s="341"/>
      <c r="W439" s="12"/>
      <c r="X439" s="1153">
        <f>OBRA!AP439</f>
        <v>0</v>
      </c>
      <c r="Y439" s="341"/>
      <c r="Z439" s="341"/>
      <c r="AA439" s="5"/>
      <c r="AB439" s="351">
        <f>OBRA!BT439</f>
        <v>0</v>
      </c>
      <c r="AC439" s="569"/>
      <c r="AD439" s="569"/>
    </row>
    <row r="440" spans="1:30" ht="15" hidden="1" customHeight="1">
      <c r="A440" s="23" t="s">
        <v>2239</v>
      </c>
      <c r="B440" s="933" t="str">
        <f>GRAL!B442</f>
        <v>2018-2021</v>
      </c>
      <c r="C440" s="17">
        <f>OBRA!I440</f>
        <v>2020</v>
      </c>
      <c r="D440" s="1676"/>
      <c r="E440" s="18" t="str">
        <f>OBRA!K440</f>
        <v>EMP P/LA REACTIVACIÓN ECONÓMICA EN MPIOS</v>
      </c>
      <c r="F440" s="525"/>
      <c r="G440" s="390"/>
      <c r="H440" s="1"/>
      <c r="I440" s="390"/>
      <c r="J440" s="56" t="str">
        <f>OBRA!U440</f>
        <v>N/A</v>
      </c>
      <c r="K440" s="57" t="str">
        <f>OBRA!V440</f>
        <v>ING. J. GUADALUPE IBARRA RAMIREZ</v>
      </c>
      <c r="L440" s="20"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2">
        <f>OBRA!S440</f>
        <v>44196</v>
      </c>
      <c r="T440" s="55"/>
      <c r="U440" s="415" t="s">
        <v>1431</v>
      </c>
      <c r="V440" s="341"/>
      <c r="W440" s="12"/>
      <c r="X440" s="1153">
        <f>OBRA!AP440</f>
        <v>0</v>
      </c>
      <c r="Y440" s="341"/>
      <c r="Z440" s="341"/>
      <c r="AA440" s="5"/>
      <c r="AB440" s="351">
        <f>OBRA!BT440</f>
        <v>0</v>
      </c>
      <c r="AC440" s="569"/>
      <c r="AD440" s="569"/>
    </row>
    <row r="441" spans="1:30" ht="15" hidden="1" customHeight="1">
      <c r="A441" s="23" t="s">
        <v>2239</v>
      </c>
      <c r="B441" s="933" t="str">
        <f>GRAL!B443</f>
        <v>2018-2021</v>
      </c>
      <c r="C441" s="17">
        <f>OBRA!I441</f>
        <v>2020</v>
      </c>
      <c r="D441" s="1676"/>
      <c r="E441" s="18" t="str">
        <f>OBRA!K441</f>
        <v>CTA-CTE / EMP P REACT ECO MPIOS</v>
      </c>
      <c r="F441" s="525"/>
      <c r="G441" s="390"/>
      <c r="H441" s="1"/>
      <c r="I441" s="390"/>
      <c r="J441" s="56" t="str">
        <f>OBRA!U441</f>
        <v>N/A</v>
      </c>
      <c r="K441" s="57">
        <f>OBRA!V441</f>
        <v>0</v>
      </c>
      <c r="L441" s="20"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2">
        <f>OBRA!S441</f>
        <v>44196</v>
      </c>
      <c r="T441" s="55"/>
      <c r="U441" s="415" t="s">
        <v>1431</v>
      </c>
      <c r="V441" s="341"/>
      <c r="W441" s="12"/>
      <c r="X441" s="1153">
        <f>OBRA!AP441</f>
        <v>0</v>
      </c>
      <c r="Y441" s="341"/>
      <c r="Z441" s="341"/>
      <c r="AA441" s="5"/>
      <c r="AB441" s="351">
        <f>OBRA!BT441</f>
        <v>0</v>
      </c>
      <c r="AC441" s="569"/>
      <c r="AD441" s="569"/>
    </row>
    <row r="442" spans="1:30" ht="15" hidden="1" customHeight="1">
      <c r="A442" s="23" t="s">
        <v>2239</v>
      </c>
      <c r="B442" s="933" t="str">
        <f>GRAL!B444</f>
        <v>2018-2021</v>
      </c>
      <c r="C442" s="17">
        <f>OBRA!I442</f>
        <v>2020</v>
      </c>
      <c r="D442" s="1676"/>
      <c r="E442" s="18" t="str">
        <f>OBRA!K442</f>
        <v>EMP P/LA REACTIVACIÓN ECONÓMICA EN MPIOS</v>
      </c>
      <c r="F442" s="525"/>
      <c r="G442" s="390"/>
      <c r="H442" s="1"/>
      <c r="I442" s="390"/>
      <c r="J442" s="56" t="str">
        <f>OBRA!U442</f>
        <v>N/A</v>
      </c>
      <c r="K442" s="57" t="str">
        <f>OBRA!V442</f>
        <v>ING. J. GUADALUPE IBARRA RAMIREZ</v>
      </c>
      <c r="L442" s="20"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2">
        <f>OBRA!S442</f>
        <v>44181</v>
      </c>
      <c r="T442" s="55"/>
      <c r="U442" s="415" t="s">
        <v>1431</v>
      </c>
      <c r="V442" s="341"/>
      <c r="W442" s="12"/>
      <c r="X442" s="1153">
        <f>OBRA!AP442</f>
        <v>0</v>
      </c>
      <c r="Y442" s="341"/>
      <c r="Z442" s="341"/>
      <c r="AA442" s="5"/>
      <c r="AB442" s="351">
        <f>OBRA!BT442</f>
        <v>0</v>
      </c>
      <c r="AC442" s="569"/>
      <c r="AD442" s="569"/>
    </row>
    <row r="443" spans="1:30" ht="15" hidden="1" customHeight="1">
      <c r="A443" s="23" t="s">
        <v>2239</v>
      </c>
      <c r="B443" s="933" t="str">
        <f>GRAL!B445</f>
        <v>2018-2021</v>
      </c>
      <c r="C443" s="17">
        <f>OBRA!I443</f>
        <v>2020</v>
      </c>
      <c r="D443" s="1676"/>
      <c r="E443" s="18" t="str">
        <f>OBRA!K443</f>
        <v>CTA-CTE / EMP P REACT ECO MPIOS</v>
      </c>
      <c r="F443" s="525"/>
      <c r="G443" s="390"/>
      <c r="H443" s="1"/>
      <c r="I443" s="390"/>
      <c r="J443" s="56" t="str">
        <f>OBRA!U443</f>
        <v>N/A</v>
      </c>
      <c r="K443" s="57">
        <f>OBRA!V443</f>
        <v>0</v>
      </c>
      <c r="L443" s="20"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2">
        <f>OBRA!S443</f>
        <v>44181</v>
      </c>
      <c r="T443" s="55"/>
      <c r="U443" s="415" t="s">
        <v>1431</v>
      </c>
      <c r="V443" s="341"/>
      <c r="W443" s="12"/>
      <c r="X443" s="1153">
        <f>OBRA!AP443</f>
        <v>0</v>
      </c>
      <c r="Y443" s="341"/>
      <c r="Z443" s="341"/>
      <c r="AA443" s="5"/>
      <c r="AB443" s="351">
        <f>OBRA!BT443</f>
        <v>0</v>
      </c>
      <c r="AC443" s="569"/>
      <c r="AD443" s="569"/>
    </row>
    <row r="444" spans="1:30" ht="15" hidden="1" customHeight="1">
      <c r="A444" s="23" t="s">
        <v>2239</v>
      </c>
      <c r="B444" s="933" t="str">
        <f>GRAL!B446</f>
        <v>2018-2021</v>
      </c>
      <c r="C444" s="17">
        <f>OBRA!I444</f>
        <v>2020</v>
      </c>
      <c r="D444" s="1676"/>
      <c r="E444" s="18" t="str">
        <f>OBRA!K444</f>
        <v>EMP P/LA REACTIVACIÓN ECONÓMICA EN MPIOS</v>
      </c>
      <c r="F444" s="525"/>
      <c r="G444" s="390"/>
      <c r="H444" s="1"/>
      <c r="I444" s="390"/>
      <c r="J444" s="56" t="str">
        <f>OBRA!U444</f>
        <v>N/A</v>
      </c>
      <c r="K444" s="57" t="str">
        <f>OBRA!V444</f>
        <v>ING. J. GUADALUPE IBARRA RAMIREZ</v>
      </c>
      <c r="L444" s="20"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2">
        <f>OBRA!S444</f>
        <v>44196</v>
      </c>
      <c r="T444" s="55"/>
      <c r="U444" s="415" t="s">
        <v>1431</v>
      </c>
      <c r="V444" s="341"/>
      <c r="W444" s="12"/>
      <c r="X444" s="1153">
        <f>OBRA!AP444</f>
        <v>0</v>
      </c>
      <c r="Y444" s="341"/>
      <c r="Z444" s="341"/>
      <c r="AA444" s="5"/>
      <c r="AB444" s="351">
        <f>OBRA!BT444</f>
        <v>0</v>
      </c>
      <c r="AC444" s="569"/>
      <c r="AD444" s="569"/>
    </row>
    <row r="445" spans="1:30" ht="15" hidden="1" customHeight="1">
      <c r="A445" s="23" t="s">
        <v>2239</v>
      </c>
      <c r="B445" s="933" t="str">
        <f>GRAL!B447</f>
        <v>2018-2021</v>
      </c>
      <c r="C445" s="17">
        <f>OBRA!I445</f>
        <v>2020</v>
      </c>
      <c r="D445" s="1676"/>
      <c r="E445" s="18" t="str">
        <f>OBRA!K445</f>
        <v>CTA-CTE / EMP P REACT ECO MPIOS</v>
      </c>
      <c r="F445" s="525"/>
      <c r="G445" s="390"/>
      <c r="H445" s="1"/>
      <c r="I445" s="390"/>
      <c r="J445" s="56" t="str">
        <f>OBRA!U445</f>
        <v>N/A</v>
      </c>
      <c r="K445" s="57">
        <f>OBRA!V445</f>
        <v>0</v>
      </c>
      <c r="L445" s="20"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2">
        <f>OBRA!S445</f>
        <v>44196</v>
      </c>
      <c r="T445" s="55"/>
      <c r="U445" s="415" t="s">
        <v>1431</v>
      </c>
      <c r="V445" s="341"/>
      <c r="W445" s="12"/>
      <c r="X445" s="1153">
        <f>OBRA!AP445</f>
        <v>0</v>
      </c>
      <c r="Y445" s="341"/>
      <c r="Z445" s="341"/>
      <c r="AA445" s="5"/>
      <c r="AB445" s="351">
        <f>OBRA!BT445</f>
        <v>0</v>
      </c>
      <c r="AC445" s="569"/>
      <c r="AD445" s="569"/>
    </row>
    <row r="446" spans="1:30" ht="15" hidden="1" customHeight="1">
      <c r="A446" s="23" t="s">
        <v>2239</v>
      </c>
      <c r="B446" s="933" t="str">
        <f>GRAL!B448</f>
        <v>2018-2021</v>
      </c>
      <c r="C446" s="17">
        <f>OBRA!I446</f>
        <v>2020</v>
      </c>
      <c r="D446" s="1676"/>
      <c r="E446" s="18" t="str">
        <f>OBRA!K446</f>
        <v>EMP P/LA REACTIVACIÓN ECONÓMICA EN MPIOS</v>
      </c>
      <c r="F446" s="525"/>
      <c r="G446" s="390"/>
      <c r="H446" s="1"/>
      <c r="I446" s="390"/>
      <c r="J446" s="56" t="str">
        <f>OBRA!U446</f>
        <v>N/A</v>
      </c>
      <c r="K446" s="57" t="str">
        <f>OBRA!V446</f>
        <v>ING. J. GUADALUPE IBARRA RAMIREZ</v>
      </c>
      <c r="L446" s="20"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2">
        <f>OBRA!S446</f>
        <v>44191</v>
      </c>
      <c r="T446" s="55"/>
      <c r="U446" s="415" t="s">
        <v>1431</v>
      </c>
      <c r="V446" s="341"/>
      <c r="W446" s="12"/>
      <c r="X446" s="1153">
        <f>OBRA!AP446</f>
        <v>0</v>
      </c>
      <c r="Y446" s="341"/>
      <c r="Z446" s="341"/>
      <c r="AA446" s="5"/>
      <c r="AB446" s="351">
        <f>OBRA!BT446</f>
        <v>0</v>
      </c>
      <c r="AC446" s="569"/>
      <c r="AD446" s="569"/>
    </row>
    <row r="447" spans="1:30" ht="15" hidden="1" customHeight="1">
      <c r="A447" s="23" t="s">
        <v>2239</v>
      </c>
      <c r="B447" s="933" t="str">
        <f>GRAL!B449</f>
        <v>2018-2021</v>
      </c>
      <c r="C447" s="17">
        <f>OBRA!I447</f>
        <v>2020</v>
      </c>
      <c r="D447" s="1676"/>
      <c r="E447" s="18" t="str">
        <f>OBRA!K447</f>
        <v>CTA-CTE / EMP P REACT ECO MPIOS</v>
      </c>
      <c r="F447" s="525"/>
      <c r="G447" s="390"/>
      <c r="H447" s="1"/>
      <c r="I447" s="390"/>
      <c r="J447" s="56" t="str">
        <f>OBRA!U447</f>
        <v>N/A</v>
      </c>
      <c r="K447" s="57">
        <f>OBRA!V447</f>
        <v>0</v>
      </c>
      <c r="L447" s="20"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2">
        <f>OBRA!S447</f>
        <v>44191</v>
      </c>
      <c r="T447" s="55"/>
      <c r="U447" s="415" t="s">
        <v>1431</v>
      </c>
      <c r="V447" s="341"/>
      <c r="W447" s="12"/>
      <c r="X447" s="1153">
        <f>OBRA!AP447</f>
        <v>0</v>
      </c>
      <c r="Y447" s="341"/>
      <c r="Z447" s="341"/>
      <c r="AA447" s="5"/>
      <c r="AB447" s="351">
        <f>OBRA!BT447</f>
        <v>0</v>
      </c>
      <c r="AC447" s="569"/>
      <c r="AD447" s="569"/>
    </row>
    <row r="448" spans="1:30" ht="15" hidden="1" customHeight="1">
      <c r="A448" s="23" t="s">
        <v>2239</v>
      </c>
      <c r="B448" s="933" t="str">
        <f>GRAL!B450</f>
        <v>2018-2021</v>
      </c>
      <c r="C448" s="17">
        <f>OBRA!I448</f>
        <v>2020</v>
      </c>
      <c r="D448" s="1676"/>
      <c r="E448" s="18" t="str">
        <f>OBRA!K448</f>
        <v>EMP P/LA REACTIVACIÓN ECONÓMICA EN MPIOS</v>
      </c>
      <c r="F448" s="525"/>
      <c r="G448" s="390"/>
      <c r="H448" s="1"/>
      <c r="I448" s="390"/>
      <c r="J448" s="56" t="str">
        <f>OBRA!U448</f>
        <v>N/A</v>
      </c>
      <c r="K448" s="57" t="str">
        <f>OBRA!V448</f>
        <v>ING. J. GUADALUPE IBARRA RAMIREZ</v>
      </c>
      <c r="L448" s="20"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2">
        <f>OBRA!S448</f>
        <v>44196</v>
      </c>
      <c r="T448" s="55"/>
      <c r="U448" s="415" t="s">
        <v>1431</v>
      </c>
      <c r="V448" s="341"/>
      <c r="W448" s="12"/>
      <c r="X448" s="1153">
        <f>OBRA!AP448</f>
        <v>0</v>
      </c>
      <c r="Y448" s="341"/>
      <c r="Z448" s="341"/>
      <c r="AA448" s="5"/>
      <c r="AB448" s="351">
        <f>OBRA!BT448</f>
        <v>0</v>
      </c>
      <c r="AC448" s="569"/>
      <c r="AD448" s="569"/>
    </row>
    <row r="449" spans="1:30" ht="15" hidden="1" customHeight="1">
      <c r="A449" s="23" t="s">
        <v>2239</v>
      </c>
      <c r="B449" s="933" t="str">
        <f>GRAL!B451</f>
        <v>2018-2021</v>
      </c>
      <c r="C449" s="17">
        <f>OBRA!I449</f>
        <v>2020</v>
      </c>
      <c r="D449" s="1676"/>
      <c r="E449" s="18" t="str">
        <f>OBRA!K449</f>
        <v>CTA-CTE / EMP P REACT ECO MPIOS</v>
      </c>
      <c r="F449" s="525"/>
      <c r="G449" s="390"/>
      <c r="H449" s="1"/>
      <c r="I449" s="390"/>
      <c r="J449" s="56" t="str">
        <f>OBRA!U449</f>
        <v>N/A</v>
      </c>
      <c r="K449" s="57">
        <f>OBRA!V449</f>
        <v>0</v>
      </c>
      <c r="L449" s="20"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2">
        <f>OBRA!S449</f>
        <v>44196</v>
      </c>
      <c r="T449" s="55"/>
      <c r="U449" s="415" t="s">
        <v>1431</v>
      </c>
      <c r="V449" s="341"/>
      <c r="W449" s="12"/>
      <c r="X449" s="1153">
        <f>OBRA!AP449</f>
        <v>0</v>
      </c>
      <c r="Y449" s="341"/>
      <c r="Z449" s="341"/>
      <c r="AA449" s="5"/>
      <c r="AB449" s="351">
        <f>OBRA!BT449</f>
        <v>0</v>
      </c>
      <c r="AC449" s="569"/>
      <c r="AD449" s="569"/>
    </row>
    <row r="450" spans="1:30" ht="15" hidden="1" customHeight="1">
      <c r="A450" s="23" t="s">
        <v>2239</v>
      </c>
      <c r="B450" s="933" t="str">
        <f>GRAL!B452</f>
        <v>2018-2021</v>
      </c>
      <c r="C450" s="17">
        <f>OBRA!I450</f>
        <v>2020</v>
      </c>
      <c r="D450" s="1676"/>
      <c r="E450" s="18" t="str">
        <f>OBRA!K450</f>
        <v>EMP P/LA REACTIVACIÓN ECONÓMICA EN MPIOS</v>
      </c>
      <c r="F450" s="525"/>
      <c r="G450" s="390"/>
      <c r="H450" s="1"/>
      <c r="I450" s="390"/>
      <c r="J450" s="56" t="str">
        <f>OBRA!U450</f>
        <v>N/A</v>
      </c>
      <c r="K450" s="57" t="str">
        <f>OBRA!V450</f>
        <v>ING. J. GUADALUPE IBARRA RAMIREZ</v>
      </c>
      <c r="L450" s="20"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2">
        <f>OBRA!S450</f>
        <v>44191</v>
      </c>
      <c r="T450" s="55"/>
      <c r="U450" s="415" t="s">
        <v>1431</v>
      </c>
      <c r="V450" s="341"/>
      <c r="W450" s="12"/>
      <c r="X450" s="1153">
        <f>OBRA!AP450</f>
        <v>0</v>
      </c>
      <c r="Y450" s="341"/>
      <c r="Z450" s="341"/>
      <c r="AA450" s="5"/>
      <c r="AB450" s="351">
        <f>OBRA!BT450</f>
        <v>0</v>
      </c>
      <c r="AC450" s="569"/>
      <c r="AD450" s="569"/>
    </row>
    <row r="451" spans="1:30" ht="15" hidden="1" customHeight="1">
      <c r="A451" s="23" t="s">
        <v>2239</v>
      </c>
      <c r="B451" s="933" t="str">
        <f>GRAL!B453</f>
        <v>2018-2021</v>
      </c>
      <c r="C451" s="17">
        <f>OBRA!I451</f>
        <v>2020</v>
      </c>
      <c r="D451" s="1676"/>
      <c r="E451" s="18" t="str">
        <f>OBRA!K451</f>
        <v>EMP P/LA REACTIVACIÓN ECONÓMICA EN MPIOS</v>
      </c>
      <c r="F451" s="525"/>
      <c r="G451" s="390"/>
      <c r="H451" s="1"/>
      <c r="I451" s="390"/>
      <c r="J451" s="56" t="str">
        <f>OBRA!U451</f>
        <v>N/A</v>
      </c>
      <c r="K451" s="57" t="str">
        <f>OBRA!V451</f>
        <v>ING. J. GUADALUPE IBARRA RAMIREZ</v>
      </c>
      <c r="L451" s="20"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2">
        <f>OBRA!S451</f>
        <v>44191</v>
      </c>
      <c r="T451" s="55"/>
      <c r="U451" s="415" t="s">
        <v>1431</v>
      </c>
      <c r="V451" s="341"/>
      <c r="W451" s="12"/>
      <c r="X451" s="1153">
        <f>OBRA!AP451</f>
        <v>0</v>
      </c>
      <c r="Y451" s="341"/>
      <c r="Z451" s="341"/>
      <c r="AA451" s="5"/>
      <c r="AB451" s="351">
        <f>OBRA!BT451</f>
        <v>0</v>
      </c>
      <c r="AC451" s="569"/>
      <c r="AD451" s="569"/>
    </row>
    <row r="452" spans="1:30" ht="15" hidden="1" customHeight="1">
      <c r="A452" s="23" t="s">
        <v>2239</v>
      </c>
      <c r="B452" s="933" t="str">
        <f>GRAL!B454</f>
        <v>2018-2021</v>
      </c>
      <c r="C452" s="17">
        <f>OBRA!I452</f>
        <v>2020</v>
      </c>
      <c r="D452" s="1676"/>
      <c r="E452" s="18" t="str">
        <f>OBRA!K452</f>
        <v>CTA-CTE / EMP P REACT ECO MPIOS</v>
      </c>
      <c r="F452" s="525"/>
      <c r="G452" s="390"/>
      <c r="H452" s="1"/>
      <c r="I452" s="390"/>
      <c r="J452" s="56" t="str">
        <f>OBRA!U452</f>
        <v>N/A</v>
      </c>
      <c r="K452" s="57">
        <f>OBRA!V452</f>
        <v>0</v>
      </c>
      <c r="L452" s="20"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2">
        <f>OBRA!S452</f>
        <v>44191</v>
      </c>
      <c r="T452" s="55"/>
      <c r="U452" s="415" t="s">
        <v>1431</v>
      </c>
      <c r="V452" s="341"/>
      <c r="W452" s="12"/>
      <c r="X452" s="1153">
        <f>OBRA!AP452</f>
        <v>0</v>
      </c>
      <c r="Y452" s="341"/>
      <c r="Z452" s="341"/>
      <c r="AA452" s="5"/>
      <c r="AB452" s="351">
        <f>OBRA!BT452</f>
        <v>0</v>
      </c>
      <c r="AC452" s="569"/>
      <c r="AD452" s="569"/>
    </row>
    <row r="453" spans="1:30" ht="15" hidden="1" customHeight="1">
      <c r="A453" s="23" t="s">
        <v>2239</v>
      </c>
      <c r="B453" s="933" t="str">
        <f>GRAL!B455</f>
        <v>2018-2021</v>
      </c>
      <c r="C453" s="17">
        <f>OBRA!I453</f>
        <v>2020</v>
      </c>
      <c r="D453" s="1676"/>
      <c r="E453" s="18" t="str">
        <f>OBRA!K453</f>
        <v>EMP P/LA REACTIVACIÓN ECONÓMICA EN MPIOS</v>
      </c>
      <c r="F453" s="525"/>
      <c r="G453" s="390"/>
      <c r="H453" s="1"/>
      <c r="I453" s="390"/>
      <c r="J453" s="56" t="str">
        <f>OBRA!U453</f>
        <v>N/A</v>
      </c>
      <c r="K453" s="57" t="str">
        <f>OBRA!V453</f>
        <v>ING. J. GUADALUPE IBARRA RAMIREZ</v>
      </c>
      <c r="L453" s="20"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2">
        <f>OBRA!S453</f>
        <v>44196</v>
      </c>
      <c r="T453" s="55"/>
      <c r="U453" s="415" t="s">
        <v>1431</v>
      </c>
      <c r="V453" s="341"/>
      <c r="W453" s="12"/>
      <c r="X453" s="1153">
        <f>OBRA!AP453</f>
        <v>0</v>
      </c>
      <c r="Y453" s="341"/>
      <c r="Z453" s="341"/>
      <c r="AA453" s="5"/>
      <c r="AB453" s="351">
        <f>OBRA!BT453</f>
        <v>0</v>
      </c>
      <c r="AC453" s="569"/>
      <c r="AD453" s="569"/>
    </row>
    <row r="454" spans="1:30" ht="15" hidden="1" customHeight="1">
      <c r="A454" s="23" t="s">
        <v>2239</v>
      </c>
      <c r="B454" s="933" t="str">
        <f>GRAL!B456</f>
        <v>2018-2021</v>
      </c>
      <c r="C454" s="17">
        <f>OBRA!I454</f>
        <v>2020</v>
      </c>
      <c r="D454" s="1676"/>
      <c r="E454" s="18" t="str">
        <f>OBRA!K454</f>
        <v>CTA-CTE / EMP P REACT ECO MPIOS</v>
      </c>
      <c r="F454" s="525"/>
      <c r="G454" s="390"/>
      <c r="H454" s="1"/>
      <c r="I454" s="390"/>
      <c r="J454" s="56" t="str">
        <f>OBRA!U454</f>
        <v>N/A</v>
      </c>
      <c r="K454" s="57">
        <f>OBRA!V454</f>
        <v>0</v>
      </c>
      <c r="L454" s="20"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2">
        <f>OBRA!S454</f>
        <v>44196</v>
      </c>
      <c r="T454" s="55"/>
      <c r="U454" s="415" t="s">
        <v>1431</v>
      </c>
      <c r="V454" s="341"/>
      <c r="W454" s="12"/>
      <c r="X454" s="1153">
        <f>OBRA!AP454</f>
        <v>0</v>
      </c>
      <c r="Y454" s="341"/>
      <c r="Z454" s="341"/>
      <c r="AA454" s="5"/>
      <c r="AB454" s="351">
        <f>OBRA!BT454</f>
        <v>0</v>
      </c>
      <c r="AC454" s="569"/>
      <c r="AD454" s="569"/>
    </row>
    <row r="455" spans="1:30" ht="15" hidden="1" customHeight="1">
      <c r="A455" s="23" t="s">
        <v>2239</v>
      </c>
      <c r="B455" s="933" t="str">
        <f>GRAL!B457</f>
        <v>2018-2021</v>
      </c>
      <c r="C455" s="17">
        <f>OBRA!I455</f>
        <v>2020</v>
      </c>
      <c r="D455" s="1676"/>
      <c r="E455" s="18" t="str">
        <f>OBRA!K455</f>
        <v>CUENTA CORRIENTE</v>
      </c>
      <c r="F455" s="525"/>
      <c r="G455" s="390"/>
      <c r="H455" s="1"/>
      <c r="I455" s="390"/>
      <c r="J455" s="56" t="str">
        <f>OBRA!U455</f>
        <v xml:space="preserve">CICLOS GIP SC </v>
      </c>
      <c r="K455" s="57" t="str">
        <f>OBRA!V455</f>
        <v>ING. JUAN MANUEL GARCIA ESCOTO</v>
      </c>
      <c r="L455" s="20"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2">
        <f>OBRA!S455</f>
        <v>43879</v>
      </c>
      <c r="T455" s="55"/>
      <c r="U455" s="415" t="s">
        <v>1431</v>
      </c>
      <c r="V455" s="341"/>
      <c r="W455" s="12"/>
      <c r="X455" s="1153">
        <f>OBRA!AP455</f>
        <v>0</v>
      </c>
      <c r="Y455" s="341"/>
      <c r="Z455" s="341"/>
      <c r="AA455" s="5"/>
      <c r="AB455" s="351">
        <f>OBRA!BT455</f>
        <v>0</v>
      </c>
      <c r="AC455" s="569"/>
      <c r="AD455" s="569"/>
    </row>
    <row r="456" spans="1:30" ht="93" hidden="1" customHeight="1">
      <c r="A456" s="23" t="s">
        <v>45</v>
      </c>
      <c r="B456" s="933" t="str">
        <f>GRAL!B458</f>
        <v>2018-2021</v>
      </c>
      <c r="C456" s="17">
        <f>OBRA!I456</f>
        <v>2020</v>
      </c>
      <c r="D456" s="1676"/>
      <c r="E456" s="18" t="str">
        <f>OBRA!K456</f>
        <v>CUENTA CORRIENTE</v>
      </c>
      <c r="F456" s="1374"/>
      <c r="G456" s="1300"/>
      <c r="H456" s="239"/>
      <c r="I456" s="1300"/>
      <c r="J456" s="339" t="str">
        <f>OBRA!U456</f>
        <v>AJG INGENIERIA, SA DE CV</v>
      </c>
      <c r="K456" s="172" t="str">
        <f>OBRA!V456</f>
        <v>ING. JUAN MANUEL GARCIA ESCOTO</v>
      </c>
      <c r="L456" s="35"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3062</v>
      </c>
      <c r="P456" s="69">
        <f>OBRA!Q456</f>
        <v>44275</v>
      </c>
      <c r="Q456" s="4">
        <f>OBRA!P456</f>
        <v>139246.39999999999</v>
      </c>
      <c r="R456" s="5">
        <f>OBRA!R456</f>
        <v>44287</v>
      </c>
      <c r="S456" s="12">
        <f>OBRA!S456</f>
        <v>44289</v>
      </c>
      <c r="T456" s="55"/>
      <c r="U456" s="415" t="s">
        <v>1431</v>
      </c>
      <c r="V456" s="558"/>
      <c r="W456" s="559"/>
      <c r="X456" s="1409">
        <f>OBRA!AP456</f>
        <v>0</v>
      </c>
      <c r="Y456" s="344"/>
      <c r="Z456" s="344"/>
      <c r="AA456" s="255"/>
      <c r="AB456" s="351">
        <f>OBRA!BT456</f>
        <v>0</v>
      </c>
      <c r="AC456" s="569"/>
      <c r="AD456" s="569"/>
    </row>
    <row r="457" spans="1:30" ht="113.25" hidden="1" customHeight="1">
      <c r="A457" s="23" t="s">
        <v>45</v>
      </c>
      <c r="B457" s="933" t="str">
        <f>GRAL!B459</f>
        <v>2018-2021</v>
      </c>
      <c r="C457" s="17">
        <f>OBRA!I457</f>
        <v>2020</v>
      </c>
      <c r="D457" s="1676"/>
      <c r="E457" s="18">
        <f>OBRA!K457</f>
        <v>0</v>
      </c>
      <c r="F457" s="1374"/>
      <c r="G457" s="1300"/>
      <c r="H457" s="239"/>
      <c r="I457" s="1300"/>
      <c r="J457" s="339">
        <f>OBRA!U457</f>
        <v>0</v>
      </c>
      <c r="K457" s="172">
        <f>OBRA!V457</f>
        <v>0</v>
      </c>
      <c r="L457" s="35" t="str">
        <f>OBRA!L457</f>
        <v>C.P.S.P. DOP 003/2020</v>
      </c>
      <c r="M457" s="2" t="str">
        <f>OBRA!M457</f>
        <v>CANCELADA</v>
      </c>
      <c r="N457" s="3" t="str">
        <f>OBRA!N457</f>
        <v>CONTRATO CANCELADO</v>
      </c>
      <c r="O457" s="554" t="s">
        <v>3063</v>
      </c>
      <c r="P457" s="69">
        <f>OBRA!Q457</f>
        <v>0</v>
      </c>
      <c r="Q457" s="4">
        <f>OBRA!P457</f>
        <v>0</v>
      </c>
      <c r="R457" s="5">
        <f>OBRA!R457</f>
        <v>0</v>
      </c>
      <c r="S457" s="12">
        <f>OBRA!S457</f>
        <v>0</v>
      </c>
      <c r="T457" s="55"/>
      <c r="U457" s="415" t="s">
        <v>1431</v>
      </c>
      <c r="V457" s="558"/>
      <c r="W457" s="559"/>
      <c r="X457" s="1409">
        <f>OBRA!AP457</f>
        <v>0</v>
      </c>
      <c r="Y457" s="344"/>
      <c r="Z457" s="344"/>
      <c r="AA457" s="255"/>
      <c r="AB457" s="351">
        <f>OBRA!BT457</f>
        <v>0</v>
      </c>
      <c r="AC457" s="569"/>
      <c r="AD457" s="569"/>
    </row>
    <row r="458" spans="1:30" ht="132" hidden="1" customHeight="1">
      <c r="A458" s="23" t="s">
        <v>45</v>
      </c>
      <c r="B458" s="933" t="str">
        <f>GRAL!B461</f>
        <v>2018-2021</v>
      </c>
      <c r="C458" s="17">
        <f>OBRA!I458</f>
        <v>2020</v>
      </c>
      <c r="D458" s="1676"/>
      <c r="E458" s="18" t="str">
        <f>OBRA!K458</f>
        <v>CUENTA CORRIENTE</v>
      </c>
      <c r="F458" s="1374"/>
      <c r="G458" s="1300"/>
      <c r="H458" s="239"/>
      <c r="I458" s="1300"/>
      <c r="J458" s="339" t="str">
        <f>OBRA!U458</f>
        <v>SUPERVISIÓN PROYECTOS Y LABORATORIO PARA LA CONSTRUCCIÓN</v>
      </c>
      <c r="K458" s="172" t="str">
        <f>OBRA!V458</f>
        <v>ING. HECTOR JESUS HERNANDEZ</v>
      </c>
      <c r="L458" s="35"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54" t="s">
        <v>3064</v>
      </c>
      <c r="P458" s="69">
        <f>OBRA!Q458</f>
        <v>43979</v>
      </c>
      <c r="Q458" s="4">
        <f>OBRA!P458</f>
        <v>25520</v>
      </c>
      <c r="R458" s="5" t="str">
        <f>OBRA!R458</f>
        <v>NO APLICA</v>
      </c>
      <c r="S458" s="12" t="str">
        <f>OBRA!S458</f>
        <v>NO APLICA</v>
      </c>
      <c r="T458" s="55"/>
      <c r="U458" s="415" t="s">
        <v>1431</v>
      </c>
      <c r="V458" s="558"/>
      <c r="W458" s="559"/>
      <c r="X458" s="1409">
        <f>OBRA!AP458</f>
        <v>0</v>
      </c>
      <c r="Y458" s="344"/>
      <c r="Z458" s="344"/>
      <c r="AA458" s="255"/>
      <c r="AB458" s="351">
        <f>OBRA!BT458</f>
        <v>0</v>
      </c>
      <c r="AC458" s="569"/>
      <c r="AD458" s="569"/>
    </row>
    <row r="459" spans="1:30" ht="122.25" hidden="1" customHeight="1">
      <c r="A459" s="23" t="s">
        <v>45</v>
      </c>
      <c r="B459" s="933" t="str">
        <f>GRAL!B462</f>
        <v>2018-2021</v>
      </c>
      <c r="C459" s="17">
        <f>OBRA!I459</f>
        <v>2020</v>
      </c>
      <c r="D459" s="1676"/>
      <c r="E459" s="18" t="str">
        <f>OBRA!K459</f>
        <v>CUENTA CORRIENTE</v>
      </c>
      <c r="F459" s="1374"/>
      <c r="G459" s="1300"/>
      <c r="H459" s="239"/>
      <c r="I459" s="1300"/>
      <c r="J459" s="339" t="str">
        <f>OBRA!U459</f>
        <v>SUPERVISIÓN PROYECTOS Y LABORATORIO PARA LA CONSTRUCCIÓN</v>
      </c>
      <c r="K459" s="172" t="str">
        <f>OBRA!V459</f>
        <v>ING. HECTOR JESUS HERNANDEZ</v>
      </c>
      <c r="L459" s="35"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54" t="s">
        <v>3065</v>
      </c>
      <c r="P459" s="69">
        <f>OBRA!Q459</f>
        <v>43979</v>
      </c>
      <c r="Q459" s="4">
        <f>OBRA!P459</f>
        <v>36772</v>
      </c>
      <c r="R459" s="5" t="str">
        <f>OBRA!R459</f>
        <v>NO APLICA</v>
      </c>
      <c r="S459" s="12" t="str">
        <f>OBRA!S459</f>
        <v>NO APLICA</v>
      </c>
      <c r="T459" s="55"/>
      <c r="U459" s="415" t="s">
        <v>1431</v>
      </c>
      <c r="V459" s="558"/>
      <c r="W459" s="559"/>
      <c r="X459" s="1409">
        <f>OBRA!AP459</f>
        <v>0</v>
      </c>
      <c r="Y459" s="344"/>
      <c r="Z459" s="344"/>
      <c r="AA459" s="255"/>
      <c r="AB459" s="351">
        <f>OBRA!BT459</f>
        <v>0</v>
      </c>
      <c r="AC459" s="569"/>
      <c r="AD459" s="569"/>
    </row>
    <row r="460" spans="1:30" ht="117" hidden="1" customHeight="1">
      <c r="A460" s="23" t="s">
        <v>45</v>
      </c>
      <c r="B460" s="933" t="str">
        <f>GRAL!B463</f>
        <v>2018-2021</v>
      </c>
      <c r="C460" s="17">
        <f>OBRA!I460</f>
        <v>2020</v>
      </c>
      <c r="D460" s="1676"/>
      <c r="E460" s="18" t="str">
        <f>OBRA!K460</f>
        <v>CUENTA CORRIENTE</v>
      </c>
      <c r="F460" s="1374"/>
      <c r="G460" s="1300"/>
      <c r="H460" s="239"/>
      <c r="I460" s="1300"/>
      <c r="J460" s="339" t="str">
        <f>OBRA!U460</f>
        <v>SUPERVISIÓN PROYECTOS Y LABORATORIO PARA LA CONSTRUCCIÓN</v>
      </c>
      <c r="K460" s="172" t="str">
        <f>OBRA!V460</f>
        <v>ING. HECTOR JESUS HERNANDEZ</v>
      </c>
      <c r="L460" s="35"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54" t="s">
        <v>3067</v>
      </c>
      <c r="P460" s="69">
        <f>OBRA!Q460</f>
        <v>43979</v>
      </c>
      <c r="Q460" s="4">
        <f>OBRA!P460</f>
        <v>18096</v>
      </c>
      <c r="R460" s="5" t="str">
        <f>OBRA!R460</f>
        <v>NO APLICA</v>
      </c>
      <c r="S460" s="12" t="str">
        <f>OBRA!S460</f>
        <v>NO APLICA</v>
      </c>
      <c r="T460" s="55"/>
      <c r="U460" s="415" t="s">
        <v>1431</v>
      </c>
      <c r="V460" s="558"/>
      <c r="W460" s="559"/>
      <c r="X460" s="1409">
        <f>OBRA!AP460</f>
        <v>0</v>
      </c>
      <c r="Y460" s="344"/>
      <c r="Z460" s="344"/>
      <c r="AA460" s="255"/>
      <c r="AB460" s="351">
        <f>OBRA!BT460</f>
        <v>0</v>
      </c>
      <c r="AC460" s="569"/>
      <c r="AD460" s="569"/>
    </row>
    <row r="461" spans="1:30" ht="89.25" hidden="1" customHeight="1">
      <c r="A461" s="23" t="s">
        <v>45</v>
      </c>
      <c r="B461" s="933" t="str">
        <f>GRAL!B464</f>
        <v>2018-2021</v>
      </c>
      <c r="C461" s="17">
        <f>OBRA!I461</f>
        <v>2020</v>
      </c>
      <c r="D461" s="1676"/>
      <c r="E461" s="18" t="str">
        <f>OBRA!K461</f>
        <v>CUENTA CORRIENTE</v>
      </c>
      <c r="F461" s="1374"/>
      <c r="G461" s="1300"/>
      <c r="H461" s="239"/>
      <c r="I461" s="1300"/>
      <c r="J461" s="339" t="str">
        <f>OBRA!U461</f>
        <v>SUPERVISIÓN PROYECTOS Y LABORATORIO PARA LA CONSTRUCCIÓN</v>
      </c>
      <c r="K461" s="172" t="str">
        <f>OBRA!V461</f>
        <v>ING. HECTOR JESUS HERNANDEZ</v>
      </c>
      <c r="L461" s="35"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54" t="s">
        <v>3068</v>
      </c>
      <c r="P461" s="69">
        <f>OBRA!Q461</f>
        <v>43979</v>
      </c>
      <c r="Q461" s="4">
        <f>OBRA!P461</f>
        <v>22772</v>
      </c>
      <c r="R461" s="5" t="str">
        <f>OBRA!R461</f>
        <v>NO APLICA</v>
      </c>
      <c r="S461" s="12" t="str">
        <f>OBRA!S461</f>
        <v>NO APLICA</v>
      </c>
      <c r="T461" s="55"/>
      <c r="U461" s="415" t="s">
        <v>1431</v>
      </c>
      <c r="V461" s="558"/>
      <c r="W461" s="559"/>
      <c r="X461" s="1409">
        <f>OBRA!AP461</f>
        <v>0</v>
      </c>
      <c r="Y461" s="344"/>
      <c r="Z461" s="344"/>
      <c r="AA461" s="255"/>
      <c r="AB461" s="351">
        <f>OBRA!BT461</f>
        <v>0</v>
      </c>
      <c r="AC461" s="569"/>
      <c r="AD461" s="569"/>
    </row>
    <row r="462" spans="1:30" ht="93.75" hidden="1" customHeight="1">
      <c r="A462" s="23" t="s">
        <v>45</v>
      </c>
      <c r="B462" s="933" t="str">
        <f>GRAL!B465</f>
        <v>2018-2021</v>
      </c>
      <c r="C462" s="17">
        <f>OBRA!I462</f>
        <v>2020</v>
      </c>
      <c r="D462" s="1676"/>
      <c r="E462" s="18" t="str">
        <f>OBRA!K462</f>
        <v>CUENTA CORRIENTE</v>
      </c>
      <c r="F462" s="1374"/>
      <c r="G462" s="1300"/>
      <c r="H462" s="239"/>
      <c r="I462" s="1300"/>
      <c r="J462" s="339" t="str">
        <f>OBRA!U462</f>
        <v>SUPERVISIÓN PROYECTOS Y LABORATORIO PARA LA CONSTRUCCIÓN</v>
      </c>
      <c r="K462" s="172" t="str">
        <f>OBRA!V462</f>
        <v>ING. HECTOR JESUS HERNANDEZ</v>
      </c>
      <c r="L462" s="35"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54" t="s">
        <v>3069</v>
      </c>
      <c r="P462" s="69">
        <f>OBRA!Q462</f>
        <v>43979</v>
      </c>
      <c r="Q462" s="4">
        <f>OBRA!P462</f>
        <v>22772</v>
      </c>
      <c r="R462" s="5" t="str">
        <f>OBRA!R462</f>
        <v>NO APLICA</v>
      </c>
      <c r="S462" s="12" t="str">
        <f>OBRA!S462</f>
        <v>NO APLICA</v>
      </c>
      <c r="T462" s="55"/>
      <c r="U462" s="415" t="s">
        <v>1431</v>
      </c>
      <c r="V462" s="558"/>
      <c r="W462" s="559"/>
      <c r="X462" s="1409">
        <f>OBRA!AP462</f>
        <v>0</v>
      </c>
      <c r="Y462" s="344"/>
      <c r="Z462" s="344"/>
      <c r="AA462" s="255"/>
      <c r="AB462" s="351">
        <f>OBRA!BT462</f>
        <v>0</v>
      </c>
      <c r="AC462" s="569"/>
      <c r="AD462" s="569"/>
    </row>
    <row r="463" spans="1:30" ht="95.25" hidden="1" customHeight="1">
      <c r="A463" s="23" t="s">
        <v>45</v>
      </c>
      <c r="B463" s="933" t="str">
        <f>GRAL!B466</f>
        <v>2018-2021</v>
      </c>
      <c r="C463" s="17">
        <f>OBRA!I463</f>
        <v>2020</v>
      </c>
      <c r="D463" s="1676"/>
      <c r="E463" s="18" t="str">
        <f>OBRA!K463</f>
        <v>CUENTA CORRIENTE</v>
      </c>
      <c r="F463" s="1374"/>
      <c r="G463" s="1300"/>
      <c r="H463" s="239"/>
      <c r="I463" s="1300"/>
      <c r="J463" s="339" t="str">
        <f>OBRA!U463</f>
        <v xml:space="preserve">CICLOS GIP SC </v>
      </c>
      <c r="K463" s="172" t="str">
        <f>OBRA!V463</f>
        <v>ING. HECTOR JESUS HERNANDEZ</v>
      </c>
      <c r="L463" s="35"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54" t="s">
        <v>3070</v>
      </c>
      <c r="P463" s="69">
        <f>OBRA!Q463</f>
        <v>44050</v>
      </c>
      <c r="Q463" s="4">
        <f>OBRA!P463</f>
        <v>17400</v>
      </c>
      <c r="R463" s="5">
        <f>OBRA!R463</f>
        <v>44050</v>
      </c>
      <c r="S463" s="12">
        <f>OBRA!S463</f>
        <v>44055</v>
      </c>
      <c r="T463" s="55"/>
      <c r="U463" s="415" t="s">
        <v>1431</v>
      </c>
      <c r="V463" s="558"/>
      <c r="W463" s="559"/>
      <c r="X463" s="1409">
        <f>OBRA!AP463</f>
        <v>0</v>
      </c>
      <c r="Y463" s="344"/>
      <c r="Z463" s="344"/>
      <c r="AA463" s="255"/>
      <c r="AB463" s="351">
        <f>OBRA!BT463</f>
        <v>0</v>
      </c>
      <c r="AC463" s="569"/>
      <c r="AD463" s="569"/>
    </row>
    <row r="464" spans="1:30" ht="117" hidden="1" customHeight="1">
      <c r="A464" s="23" t="s">
        <v>45</v>
      </c>
      <c r="B464" s="933" t="str">
        <f>GRAL!B467</f>
        <v>2018-2021</v>
      </c>
      <c r="C464" s="17">
        <f>OBRA!I464</f>
        <v>2020</v>
      </c>
      <c r="D464" s="1676"/>
      <c r="E464" s="18" t="str">
        <f>OBRA!K464</f>
        <v>CUENTA CORRIENTE</v>
      </c>
      <c r="F464" s="1374"/>
      <c r="G464" s="1300"/>
      <c r="H464" s="239"/>
      <c r="I464" s="1300"/>
      <c r="J464" s="339" t="str">
        <f>OBRA!U464</f>
        <v>SUPERVISIÓN PROYECTOS Y LABORATORIO PARA LA CONSTRUCCIÓN</v>
      </c>
      <c r="K464" s="172" t="str">
        <f>OBRA!V464</f>
        <v>ARQ. EDUARDO ROMERO CARRILLO</v>
      </c>
      <c r="L464" s="35"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97"/>
      <c r="P464" s="6">
        <f>OBRA!Q464</f>
        <v>44026</v>
      </c>
      <c r="Q464" s="4">
        <f>OBRA!P464</f>
        <v>34046</v>
      </c>
      <c r="R464" s="5" t="str">
        <f>OBRA!R464</f>
        <v>NO APLICA</v>
      </c>
      <c r="S464" s="12" t="str">
        <f>OBRA!S464</f>
        <v>NO APLICA</v>
      </c>
      <c r="T464" s="55"/>
      <c r="U464" s="415" t="s">
        <v>1431</v>
      </c>
      <c r="V464" s="558"/>
      <c r="W464" s="559"/>
      <c r="X464" s="1409">
        <f>OBRA!AP464</f>
        <v>0</v>
      </c>
      <c r="Y464" s="344"/>
      <c r="Z464" s="344"/>
      <c r="AA464" s="255"/>
      <c r="AB464" s="351">
        <f>OBRA!BT464</f>
        <v>0</v>
      </c>
      <c r="AC464" s="569"/>
      <c r="AD464" s="569"/>
    </row>
    <row r="465" spans="1:30" ht="57.75" hidden="1" customHeight="1">
      <c r="A465" s="23" t="s">
        <v>45</v>
      </c>
      <c r="B465" s="933" t="str">
        <f>GRAL!B468</f>
        <v>2018-2021</v>
      </c>
      <c r="C465" s="17">
        <f>OBRA!I465</f>
        <v>2020</v>
      </c>
      <c r="D465" s="1676"/>
      <c r="E465" s="18" t="str">
        <f>OBRA!K465</f>
        <v>CUENTA CORRIENTE</v>
      </c>
      <c r="F465" s="1374"/>
      <c r="G465" s="1300"/>
      <c r="H465" s="239"/>
      <c r="I465" s="1300"/>
      <c r="J465" s="339" t="str">
        <f>OBRA!U465</f>
        <v>JUAN MANUEL GARCIA ESCOTO</v>
      </c>
      <c r="K465" s="172" t="str">
        <f>OBRA!V465</f>
        <v>ING. HECTOR JESUS HERNANDEZ</v>
      </c>
      <c r="L465" s="35" t="str">
        <f>OBRA!L465</f>
        <v>C.P.S.P. DOP 011/2020</v>
      </c>
      <c r="M465" s="2" t="str">
        <f>OBRA!M465</f>
        <v>SERVICIOS</v>
      </c>
      <c r="N465" s="3" t="str">
        <f>OBRA!N465</f>
        <v>LEVANTAMIENTO TOPOGRÁFICO DE ÁREA DE DONACIÓN Y UBICACIÓN DEL DEPÓSITO PARA AGUA POTABLE EN LADO NORTE DE LA CABECERA MUNICIPAL DE JOCOTEPEC, JALISCO.</v>
      </c>
      <c r="O465" s="597"/>
      <c r="P465" s="6">
        <f>OBRA!Q465</f>
        <v>44454</v>
      </c>
      <c r="Q465" s="4">
        <f>OBRA!P465</f>
        <v>4059.9999999999995</v>
      </c>
      <c r="R465" s="5" t="str">
        <f>OBRA!R465</f>
        <v>NO APLICA</v>
      </c>
      <c r="S465" s="12" t="str">
        <f>OBRA!S465</f>
        <v>NO APLICA</v>
      </c>
      <c r="T465" s="55"/>
      <c r="U465" s="415" t="s">
        <v>1431</v>
      </c>
      <c r="V465" s="558"/>
      <c r="W465" s="559"/>
      <c r="X465" s="1409">
        <f>OBRA!AP465</f>
        <v>0</v>
      </c>
      <c r="Y465" s="344"/>
      <c r="Z465" s="344"/>
      <c r="AA465" s="255"/>
      <c r="AB465" s="351">
        <f>OBRA!BT465</f>
        <v>0</v>
      </c>
      <c r="AC465" s="569"/>
      <c r="AD465" s="569"/>
    </row>
    <row r="466" spans="1:30" ht="157.5" hidden="1" customHeight="1">
      <c r="A466" s="23" t="s">
        <v>45</v>
      </c>
      <c r="B466" s="933" t="str">
        <f>GRAL!B469</f>
        <v>2018-2021</v>
      </c>
      <c r="C466" s="17">
        <f>OBRA!I466</f>
        <v>2020</v>
      </c>
      <c r="D466" s="1676"/>
      <c r="E466" s="18" t="str">
        <f>OBRA!K466</f>
        <v>CUENTA CORRIENTE</v>
      </c>
      <c r="F466" s="1374"/>
      <c r="G466" s="1300"/>
      <c r="H466" s="239"/>
      <c r="I466" s="1300"/>
      <c r="J466" s="339" t="str">
        <f>OBRA!U466</f>
        <v>AJG INGENIERIA, SA DE CV</v>
      </c>
      <c r="K466" s="172" t="str">
        <f>OBRA!V466</f>
        <v>ING. HECTOR JESUS HERNANDEZ</v>
      </c>
      <c r="L466" s="35"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OBRA!Q466</f>
        <v>44082</v>
      </c>
      <c r="Q466" s="4">
        <f>OBRA!P466</f>
        <v>139246</v>
      </c>
      <c r="R466" s="5">
        <f>OBRA!R466</f>
        <v>44088</v>
      </c>
      <c r="S466" s="12">
        <f>OBRA!S466</f>
        <v>44094</v>
      </c>
      <c r="T466" s="55"/>
      <c r="U466" s="415" t="s">
        <v>1431</v>
      </c>
      <c r="V466" s="558"/>
      <c r="W466" s="559"/>
      <c r="X466" s="1409">
        <f>OBRA!AP466</f>
        <v>0</v>
      </c>
      <c r="Y466" s="344"/>
      <c r="Z466" s="344"/>
      <c r="AA466" s="255"/>
      <c r="AB466" s="351">
        <f>OBRA!BT466</f>
        <v>0</v>
      </c>
      <c r="AC466" s="569"/>
      <c r="AD466" s="569"/>
    </row>
    <row r="467" spans="1:30" ht="145.5" hidden="1" customHeight="1">
      <c r="A467" s="23" t="s">
        <v>45</v>
      </c>
      <c r="B467" s="933" t="str">
        <f>GRAL!B470</f>
        <v>2018-2021</v>
      </c>
      <c r="C467" s="17">
        <f>OBRA!I467</f>
        <v>2020</v>
      </c>
      <c r="D467" s="1676"/>
      <c r="E467" s="18" t="str">
        <f>OBRA!K467</f>
        <v>CUENTA CORRIENTE</v>
      </c>
      <c r="F467" s="1374"/>
      <c r="G467" s="1300"/>
      <c r="H467" s="239"/>
      <c r="I467" s="1300"/>
      <c r="J467" s="339" t="str">
        <f>OBRA!U467</f>
        <v>AJG INGENIERIA, SA DE CV</v>
      </c>
      <c r="K467" s="172" t="str">
        <f>OBRA!V467</f>
        <v>ING. HECTOR JESUS HERNANDEZ</v>
      </c>
      <c r="L467" s="35"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OBRA!Q467</f>
        <v>44081</v>
      </c>
      <c r="Q467" s="4">
        <f>OBRA!P467</f>
        <v>139246</v>
      </c>
      <c r="R467" s="5">
        <f>OBRA!R467</f>
        <v>44082</v>
      </c>
      <c r="S467" s="12">
        <f>OBRA!S467</f>
        <v>44086</v>
      </c>
      <c r="T467" s="55"/>
      <c r="U467" s="415" t="s">
        <v>1431</v>
      </c>
      <c r="V467" s="558"/>
      <c r="W467" s="559"/>
      <c r="X467" s="1409">
        <f>OBRA!AP467</f>
        <v>0</v>
      </c>
      <c r="Y467" s="344"/>
      <c r="Z467" s="344"/>
      <c r="AA467" s="255"/>
      <c r="AB467" s="351">
        <f>OBRA!BT467</f>
        <v>0</v>
      </c>
      <c r="AC467" s="569"/>
      <c r="AD467" s="569"/>
    </row>
    <row r="468" spans="1:30" ht="151.5" hidden="1" customHeight="1">
      <c r="A468" s="23" t="s">
        <v>45</v>
      </c>
      <c r="B468" s="933" t="str">
        <f>GRAL!B471</f>
        <v>2018-2021</v>
      </c>
      <c r="C468" s="17">
        <f>OBRA!I468</f>
        <v>2020</v>
      </c>
      <c r="D468" s="1676"/>
      <c r="E468" s="18" t="str">
        <f>OBRA!K468</f>
        <v>CUENTA CORRIENTE</v>
      </c>
      <c r="F468" s="1374"/>
      <c r="G468" s="1300"/>
      <c r="H468" s="239"/>
      <c r="I468" s="1300"/>
      <c r="J468" s="339" t="str">
        <f>OBRA!U468</f>
        <v>SUPERVISIÓN PROYECTOS Y LABORATORIO PARA LA CONSTRUCCIÓN</v>
      </c>
      <c r="K468" s="172" t="str">
        <f>OBRA!V468</f>
        <v>LIC. SALVADOR CONTRERAS OLGUÍN</v>
      </c>
      <c r="L468" s="35"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OBRA!Q468</f>
        <v>44075</v>
      </c>
      <c r="Q468" s="4">
        <f>OBRA!P468</f>
        <v>32944</v>
      </c>
      <c r="R468" s="5" t="str">
        <f>OBRA!R468</f>
        <v>NO APLICA</v>
      </c>
      <c r="S468" s="12" t="str">
        <f>OBRA!S468</f>
        <v>NO APLICA</v>
      </c>
      <c r="T468" s="55"/>
      <c r="U468" s="415" t="s">
        <v>1431</v>
      </c>
      <c r="V468" s="558"/>
      <c r="W468" s="559"/>
      <c r="X468" s="1409">
        <f>OBRA!AP468</f>
        <v>0</v>
      </c>
      <c r="Y468" s="344"/>
      <c r="Z468" s="344"/>
      <c r="AA468" s="255"/>
      <c r="AB468" s="351">
        <f>OBRA!BT468</f>
        <v>0</v>
      </c>
      <c r="AC468" s="569"/>
      <c r="AD468" s="569"/>
    </row>
    <row r="469" spans="1:30" ht="182.25" hidden="1" customHeight="1">
      <c r="A469" s="23" t="s">
        <v>45</v>
      </c>
      <c r="B469" s="933" t="str">
        <f>GRAL!B472</f>
        <v>2018-2021</v>
      </c>
      <c r="C469" s="17">
        <f>OBRA!I469</f>
        <v>2020</v>
      </c>
      <c r="D469" s="1676"/>
      <c r="E469" s="18" t="str">
        <f>OBRA!K469</f>
        <v>CUENTA CORRIENTE</v>
      </c>
      <c r="F469" s="1374"/>
      <c r="G469" s="1300"/>
      <c r="H469" s="239"/>
      <c r="I469" s="1300"/>
      <c r="J469" s="339" t="str">
        <f>OBRA!U469</f>
        <v>SUPERVISIÓN PROYECTOS Y LABORATORIO PARA LA CONSTRUCCIÓN</v>
      </c>
      <c r="K469" s="172" t="str">
        <f>OBRA!V469</f>
        <v>ARQ. JAIME CONDE GOMEZ</v>
      </c>
      <c r="L469" s="35"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OBRA!Q469</f>
        <v>44075</v>
      </c>
      <c r="Q469" s="4">
        <f>OBRA!P469</f>
        <v>25520</v>
      </c>
      <c r="R469" s="5" t="str">
        <f>OBRA!R469</f>
        <v>NO APLICA</v>
      </c>
      <c r="S469" s="12" t="str">
        <f>OBRA!S469</f>
        <v>NO APLICA</v>
      </c>
      <c r="T469" s="55"/>
      <c r="U469" s="415" t="s">
        <v>1431</v>
      </c>
      <c r="V469" s="558"/>
      <c r="W469" s="559"/>
      <c r="X469" s="1409">
        <f>OBRA!AP469</f>
        <v>0</v>
      </c>
      <c r="Y469" s="344"/>
      <c r="Z469" s="344"/>
      <c r="AA469" s="255"/>
      <c r="AB469" s="351">
        <f>OBRA!BT469</f>
        <v>0</v>
      </c>
      <c r="AC469" s="569"/>
      <c r="AD469" s="569"/>
    </row>
    <row r="470" spans="1:30" ht="169.5" hidden="1" customHeight="1">
      <c r="A470" s="23" t="s">
        <v>45</v>
      </c>
      <c r="B470" s="933" t="str">
        <f>GRAL!B473</f>
        <v>2018-2021</v>
      </c>
      <c r="C470" s="17">
        <f>OBRA!I470</f>
        <v>2020</v>
      </c>
      <c r="D470" s="1676"/>
      <c r="E470" s="18" t="str">
        <f>OBRA!K470</f>
        <v>CUENTA CORRIENTE</v>
      </c>
      <c r="F470" s="1374"/>
      <c r="G470" s="1300"/>
      <c r="H470" s="239"/>
      <c r="I470" s="1300"/>
      <c r="J470" s="339" t="str">
        <f>OBRA!U470</f>
        <v>SUPERVISIÓN PROYECTOS Y LABORATORIO PARA LA CONSTRUCCIÓN</v>
      </c>
      <c r="K470" s="172" t="str">
        <f>OBRA!V470</f>
        <v>ING. J. GUADALUPE IBARRA RAMIREZ</v>
      </c>
      <c r="L470" s="35"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OBRA!Q470</f>
        <v>44124</v>
      </c>
      <c r="Q470" s="4">
        <f>OBRA!P470</f>
        <v>36656</v>
      </c>
      <c r="R470" s="5" t="str">
        <f>OBRA!R470</f>
        <v>NO APLICA</v>
      </c>
      <c r="S470" s="12" t="str">
        <f>OBRA!S470</f>
        <v>NO APLICA</v>
      </c>
      <c r="T470" s="55"/>
      <c r="U470" s="415" t="s">
        <v>1431</v>
      </c>
      <c r="V470" s="558"/>
      <c r="W470" s="559"/>
      <c r="X470" s="1409">
        <f>OBRA!AP470</f>
        <v>0</v>
      </c>
      <c r="Y470" s="344"/>
      <c r="Z470" s="344"/>
      <c r="AA470" s="255"/>
      <c r="AB470" s="351">
        <f>OBRA!BT470</f>
        <v>0</v>
      </c>
      <c r="AC470" s="569"/>
      <c r="AD470" s="569"/>
    </row>
    <row r="471" spans="1:30" ht="88.5" hidden="1" customHeight="1">
      <c r="A471" s="23" t="s">
        <v>45</v>
      </c>
      <c r="B471" s="933" t="str">
        <f>GRAL!B474</f>
        <v>2018-2021</v>
      </c>
      <c r="C471" s="17">
        <f>OBRA!I471</f>
        <v>2020</v>
      </c>
      <c r="D471" s="1676"/>
      <c r="E471" s="18" t="str">
        <f>OBRA!K471</f>
        <v>CUENTA CORRIENTE</v>
      </c>
      <c r="F471" s="1374"/>
      <c r="G471" s="1300"/>
      <c r="H471" s="239"/>
      <c r="I471" s="1300"/>
      <c r="J471" s="339" t="str">
        <f>OBRA!U471</f>
        <v>ING. JUAN MANUEL GARCÍA ESCOTO</v>
      </c>
      <c r="K471" s="172" t="str">
        <f>OBRA!V471</f>
        <v>ING. HECTOR JESUS HERNANDEZ</v>
      </c>
      <c r="L471" s="35" t="str">
        <f>OBRA!L471</f>
        <v>C.P.S.P. DOP 017/2020</v>
      </c>
      <c r="M471" s="2" t="str">
        <f>OBRA!M471</f>
        <v>SERVICIOS</v>
      </c>
      <c r="N471" s="328" t="str">
        <f>OBRA!N471</f>
        <v>LEVANTAMIENTOS TOPOGRÁFICOS DE ÁREA DE DONACIÓN Y UBICACIÓN DEL POZO DE AGUA POTABLE EN C. ALLENDE, EN LA CABECERA MUNICIPAL DE JOCOTEPEC, JALISCO.</v>
      </c>
      <c r="O471" s="597"/>
      <c r="P471" s="214">
        <f>OBRA!Q471</f>
        <v>44089</v>
      </c>
      <c r="Q471" s="65">
        <f>OBRA!P471</f>
        <v>4059.9999999999995</v>
      </c>
      <c r="R471" s="521" t="str">
        <f>OBRA!R471</f>
        <v>-</v>
      </c>
      <c r="S471" s="559" t="str">
        <f>OBRA!S471</f>
        <v>-</v>
      </c>
      <c r="T471" s="792"/>
      <c r="U471" s="415" t="s">
        <v>1431</v>
      </c>
      <c r="V471" s="558"/>
      <c r="W471" s="559"/>
      <c r="X471" s="1409">
        <f>OBRA!AP471</f>
        <v>0</v>
      </c>
      <c r="Y471" s="344"/>
      <c r="Z471" s="344"/>
      <c r="AA471" s="255"/>
      <c r="AB471" s="351">
        <f>OBRA!BT471</f>
        <v>0</v>
      </c>
      <c r="AC471" s="569"/>
      <c r="AD471" s="569"/>
    </row>
    <row r="472" spans="1:30" ht="84.75" hidden="1" customHeight="1">
      <c r="A472" s="23" t="s">
        <v>45</v>
      </c>
      <c r="B472" s="933" t="str">
        <f>GRAL!B475</f>
        <v>2018-2021</v>
      </c>
      <c r="C472" s="17">
        <f>OBRA!I472</f>
        <v>2020</v>
      </c>
      <c r="D472" s="1676"/>
      <c r="E472" s="18" t="str">
        <f>OBRA!K472</f>
        <v>CUENTA CORRIENTE</v>
      </c>
      <c r="F472" s="1374"/>
      <c r="G472" s="1300"/>
      <c r="H472" s="239"/>
      <c r="I472" s="1300"/>
      <c r="J472" s="339" t="str">
        <f>OBRA!U472</f>
        <v>ING. JUAN MANUEL GARCÍA ESCOTO</v>
      </c>
      <c r="K472" s="172" t="str">
        <f>OBRA!V472</f>
        <v>ING. HECTOR JESUS HERNANDEZ</v>
      </c>
      <c r="L472" s="35" t="str">
        <f>OBRA!L472</f>
        <v>C.P.S.P. DOP 018/2020</v>
      </c>
      <c r="M472" s="2" t="str">
        <f>OBRA!M472</f>
        <v>SERVICIOS</v>
      </c>
      <c r="N472" s="328" t="str">
        <f>OBRA!N472</f>
        <v>LEVANTAMIENTO TOPOGRÁFICO DE ÁREA DE DONACIÓN PARA PROYECTO DEL SENDERO "ANDADOR PANORÁMICO" EN ZONA NORTE, EN LA CABECERA MUNICIPAL DE JOCOTEPEC, JALISCO.</v>
      </c>
      <c r="O472" s="597"/>
      <c r="P472" s="214">
        <f>OBRA!Q472</f>
        <v>44089</v>
      </c>
      <c r="Q472" s="65">
        <f>OBRA!P472</f>
        <v>20880</v>
      </c>
      <c r="R472" s="521" t="str">
        <f>OBRA!R472</f>
        <v>-</v>
      </c>
      <c r="S472" s="559" t="str">
        <f>OBRA!S472</f>
        <v>-</v>
      </c>
      <c r="T472" s="792"/>
      <c r="U472" s="415" t="s">
        <v>1431</v>
      </c>
      <c r="V472" s="558"/>
      <c r="W472" s="559"/>
      <c r="X472" s="1409">
        <f>OBRA!AP472</f>
        <v>0</v>
      </c>
      <c r="Y472" s="344"/>
      <c r="Z472" s="344"/>
      <c r="AA472" s="255"/>
      <c r="AB472" s="351">
        <f>OBRA!BT472</f>
        <v>0</v>
      </c>
      <c r="AC472" s="569"/>
      <c r="AD472" s="569"/>
    </row>
    <row r="473" spans="1:30" ht="97.5" hidden="1" customHeight="1">
      <c r="A473" s="23" t="s">
        <v>45</v>
      </c>
      <c r="B473" s="933" t="str">
        <f>GRAL!B476</f>
        <v>2018-2021</v>
      </c>
      <c r="C473" s="17">
        <f>OBRA!I473</f>
        <v>2020</v>
      </c>
      <c r="D473" s="1676"/>
      <c r="E473" s="18" t="str">
        <f>OBRA!K473</f>
        <v>CUENTA CORRIENTE</v>
      </c>
      <c r="F473" s="1374"/>
      <c r="G473" s="1300"/>
      <c r="H473" s="239"/>
      <c r="I473" s="1300"/>
      <c r="J473" s="339" t="str">
        <f>OBRA!U473</f>
        <v>ING. JUAN MANUEL GARCÍA ESCOTO</v>
      </c>
      <c r="K473" s="172" t="str">
        <f>OBRA!V473</f>
        <v>ING. HECTOR JESUS HERNANDEZ</v>
      </c>
      <c r="L473" s="35" t="str">
        <f>OBRA!L473</f>
        <v>C.P.S.P. DOP 019/2020</v>
      </c>
      <c r="M473" s="2" t="str">
        <f>OBRA!M473</f>
        <v>SERVICIOS</v>
      </c>
      <c r="N473" s="328" t="str">
        <f>OBRA!N473</f>
        <v>LEVANTAMIENTO TOPOGRÁFICO DE ÁREA DE DONACIÓN DEL TERRENO PARA EL PROYECTO DE LA PLANTA DE RECICLADO, UBICADO EN EL CRUCERO A POTRERILLOS DEL MUNICIPIO DE JOCOTEPEC, JALISCO.</v>
      </c>
      <c r="O473" s="597"/>
      <c r="P473" s="214">
        <f>OBRA!Q473</f>
        <v>44089</v>
      </c>
      <c r="Q473" s="65">
        <f>OBRA!P473</f>
        <v>5800</v>
      </c>
      <c r="R473" s="521" t="str">
        <f>OBRA!R473</f>
        <v>-</v>
      </c>
      <c r="S473" s="559" t="str">
        <f>OBRA!S473</f>
        <v>-</v>
      </c>
      <c r="T473" s="792"/>
      <c r="U473" s="415" t="s">
        <v>1431</v>
      </c>
      <c r="V473" s="558"/>
      <c r="W473" s="559"/>
      <c r="X473" s="1409">
        <f>OBRA!AP473</f>
        <v>0</v>
      </c>
      <c r="Y473" s="344"/>
      <c r="Z473" s="344"/>
      <c r="AA473" s="255"/>
      <c r="AB473" s="351">
        <f>OBRA!BT473</f>
        <v>0</v>
      </c>
      <c r="AC473" s="569"/>
      <c r="AD473" s="569"/>
    </row>
    <row r="474" spans="1:30" ht="124.5" hidden="1" customHeight="1">
      <c r="A474" s="23" t="s">
        <v>45</v>
      </c>
      <c r="B474" s="933" t="str">
        <f>GRAL!B477</f>
        <v>2018-2021</v>
      </c>
      <c r="C474" s="17">
        <f>OBRA!I474</f>
        <v>2020</v>
      </c>
      <c r="D474" s="1676"/>
      <c r="E474" s="18" t="str">
        <f>OBRA!K474</f>
        <v>CUENTA CORRIENTE</v>
      </c>
      <c r="F474" s="1374"/>
      <c r="G474" s="1300"/>
      <c r="H474" s="239"/>
      <c r="I474" s="1300"/>
      <c r="J474" s="339" t="str">
        <f>OBRA!U474</f>
        <v>ING. JUAN MANUEL GARCÍA ESCOTO</v>
      </c>
      <c r="K474" s="172" t="str">
        <f>OBRA!V474</f>
        <v>ING. HECTOR JESUS HERNANDEZ</v>
      </c>
      <c r="L474" s="35" t="str">
        <f>OBRA!L474</f>
        <v>C.P.S.P. DOP 020/2020</v>
      </c>
      <c r="M474" s="2" t="str">
        <f>OBRA!M474</f>
        <v>SERVICIOS</v>
      </c>
      <c r="N474" s="328" t="str">
        <f>OBRA!N474</f>
        <v>LEVANTAMIENTO TOPORÁFICO DE ÁREA DE DONACIÓN DEL TERRENO PARA EL CAMPAMENTO DE LA GUARDIA NACIONAL, UBICADO EN EL EJIDO DE HUEJOTITÁN EN CRUCERO A POTRERILLOS, DEL MUNICIPIO DE JOCOTEPEC, JALISCO,</v>
      </c>
      <c r="O474" s="597"/>
      <c r="P474" s="214">
        <f>OBRA!Q474</f>
        <v>44089</v>
      </c>
      <c r="Q474" s="65">
        <f>OBRA!P474</f>
        <v>5220</v>
      </c>
      <c r="R474" s="521" t="str">
        <f>OBRA!R474</f>
        <v>-</v>
      </c>
      <c r="S474" s="559" t="str">
        <f>OBRA!S474</f>
        <v>-</v>
      </c>
      <c r="T474" s="792"/>
      <c r="U474" s="415" t="s">
        <v>1431</v>
      </c>
      <c r="V474" s="558"/>
      <c r="W474" s="559"/>
      <c r="X474" s="1409">
        <f>OBRA!AP474</f>
        <v>0</v>
      </c>
      <c r="Y474" s="344"/>
      <c r="Z474" s="344"/>
      <c r="AA474" s="255"/>
      <c r="AB474" s="351">
        <f>OBRA!BT474</f>
        <v>0</v>
      </c>
      <c r="AC474" s="569"/>
      <c r="AD474" s="569"/>
    </row>
    <row r="475" spans="1:30" ht="84.75" hidden="1" customHeight="1">
      <c r="A475" s="23" t="s">
        <v>45</v>
      </c>
      <c r="B475" s="933" t="str">
        <f>GRAL!B478</f>
        <v>2018-2021</v>
      </c>
      <c r="C475" s="17">
        <f>OBRA!I475</f>
        <v>2020</v>
      </c>
      <c r="D475" s="1676"/>
      <c r="E475" s="18" t="str">
        <f>OBRA!K475</f>
        <v>CUENTA CORRIENTE</v>
      </c>
      <c r="F475" s="1374"/>
      <c r="G475" s="1300"/>
      <c r="H475" s="239"/>
      <c r="I475" s="1300"/>
      <c r="J475" s="339" t="str">
        <f>OBRA!U475</f>
        <v>ING. JUAN MANUEL GARCÍA ESCOTO</v>
      </c>
      <c r="K475" s="172" t="str">
        <f>OBRA!V475</f>
        <v>ING. HECTOR JESUS HERNANDEZ</v>
      </c>
      <c r="L475" s="35" t="str">
        <f>OBRA!L475</f>
        <v>C.P.S.P. DOP 021/2020</v>
      </c>
      <c r="M475" s="2" t="str">
        <f>OBRA!M475</f>
        <v>SERVICIOS</v>
      </c>
      <c r="N475" s="328" t="str">
        <f>OBRA!N475</f>
        <v>LEVANTAMIENTO TOGRÁFICO DE ÁREA Y LÍMITES DE PROPIEDAD DE LA CALLE HIDALGO NORTE DE CALLE ALDAMA A FILÓSOFOS, EN LA CABECERA MUNICIPAL DE JOCOTEPEC, JALISCO.</v>
      </c>
      <c r="O475" s="597"/>
      <c r="P475" s="214">
        <f>OBRA!Q475</f>
        <v>44089</v>
      </c>
      <c r="Q475" s="65">
        <f>OBRA!P475</f>
        <v>5800</v>
      </c>
      <c r="R475" s="521" t="str">
        <f>OBRA!R475</f>
        <v>-</v>
      </c>
      <c r="S475" s="559" t="str">
        <f>OBRA!S475</f>
        <v>-</v>
      </c>
      <c r="T475" s="792"/>
      <c r="U475" s="415" t="s">
        <v>1431</v>
      </c>
      <c r="V475" s="558"/>
      <c r="W475" s="559"/>
      <c r="X475" s="1409">
        <f>OBRA!AP475</f>
        <v>0</v>
      </c>
      <c r="Y475" s="344"/>
      <c r="Z475" s="344"/>
      <c r="AA475" s="255"/>
      <c r="AB475" s="351">
        <f>OBRA!BT475</f>
        <v>0</v>
      </c>
      <c r="AC475" s="569"/>
      <c r="AD475" s="569"/>
    </row>
    <row r="476" spans="1:30" ht="114.75" hidden="1" customHeight="1">
      <c r="A476" s="23" t="s">
        <v>45</v>
      </c>
      <c r="B476" s="933" t="str">
        <f>GRAL!B479</f>
        <v>2018-2021</v>
      </c>
      <c r="C476" s="17">
        <f>OBRA!I476</f>
        <v>2020</v>
      </c>
      <c r="D476" s="1676"/>
      <c r="E476" s="18" t="str">
        <f>OBRA!K476</f>
        <v>CUENTA CORRIENTE</v>
      </c>
      <c r="F476" s="1374"/>
      <c r="G476" s="1300"/>
      <c r="H476" s="239"/>
      <c r="I476" s="1300"/>
      <c r="J476" s="339" t="str">
        <f>OBRA!U476</f>
        <v>ING. JUAN MANUEL GARCÍA ESCOTO</v>
      </c>
      <c r="K476" s="172" t="str">
        <f>OBRA!V476</f>
        <v>ING. HECTOR JESUS HERNANDEZ</v>
      </c>
      <c r="L476" s="35" t="str">
        <f>OBRA!L476</f>
        <v>C.P.S.P. DOP 022/2020</v>
      </c>
      <c r="M476" s="2" t="str">
        <f>OBRA!M476</f>
        <v>SERVICIOS</v>
      </c>
      <c r="N476" s="328" t="str">
        <f>OBRA!N476</f>
        <v>LEVANTAMIENTO TOPOGRÁFICO DEL PREDIO Y CONSTRUCCIÓN EXISTENTE PARA EL PROYECTO DE LA REMODELACIÓN DEL RASTRO MUNICIPAL UBICADO EN CALLE CHAPULTEPEC PTE, S/N, EN LA CABECERA MUNICIPAL DE JOCOTEPEC, JALISCO.</v>
      </c>
      <c r="O476" s="597"/>
      <c r="P476" s="214">
        <f>OBRA!Q476</f>
        <v>44089</v>
      </c>
      <c r="Q476" s="65">
        <f>OBRA!P476</f>
        <v>5220</v>
      </c>
      <c r="R476" s="521" t="str">
        <f>OBRA!R476</f>
        <v>-</v>
      </c>
      <c r="S476" s="559" t="str">
        <f>OBRA!S476</f>
        <v>-</v>
      </c>
      <c r="T476" s="792"/>
      <c r="U476" s="415" t="s">
        <v>1431</v>
      </c>
      <c r="V476" s="558"/>
      <c r="W476" s="559"/>
      <c r="X476" s="1409">
        <f>OBRA!AP476</f>
        <v>0</v>
      </c>
      <c r="Y476" s="344"/>
      <c r="Z476" s="344"/>
      <c r="AA476" s="255"/>
      <c r="AB476" s="351">
        <f>OBRA!BT476</f>
        <v>0</v>
      </c>
      <c r="AC476" s="569"/>
      <c r="AD476" s="569"/>
    </row>
    <row r="477" spans="1:30" ht="96.75" hidden="1" customHeight="1">
      <c r="A477" s="23" t="s">
        <v>45</v>
      </c>
      <c r="B477" s="933" t="str">
        <f>GRAL!B480</f>
        <v>2018-2021</v>
      </c>
      <c r="C477" s="17">
        <f>OBRA!I477</f>
        <v>2020</v>
      </c>
      <c r="D477" s="1676"/>
      <c r="E477" s="18" t="str">
        <f>OBRA!K477</f>
        <v>CUENTA CORRIENTE</v>
      </c>
      <c r="F477" s="1374"/>
      <c r="G477" s="1300"/>
      <c r="H477" s="239"/>
      <c r="I477" s="1300"/>
      <c r="J477" s="339" t="str">
        <f>OBRA!U477</f>
        <v>ING. JUAN MANUEL GARCÍA ESCOTO</v>
      </c>
      <c r="K477" s="172" t="str">
        <f>OBRA!V477</f>
        <v>ING. HECTOR JESUS HERNANDEZ</v>
      </c>
      <c r="L477" s="35" t="str">
        <f>OBRA!L477</f>
        <v>C.P.S.P. DOP 023/2020</v>
      </c>
      <c r="M477" s="2" t="str">
        <f>OBRA!M477</f>
        <v>SERVICIOS</v>
      </c>
      <c r="N477" s="328" t="str">
        <f>OBRA!N477</f>
        <v>LEVANTAMIENTO TOPOGRÁFICO EN ÁREA DE DONACIÓN DEL TERRENO PARA LA UBICACIÓN DEL DEPÓSITO NUEVO DE AGUA POTABLE, EN LA DELEGACIÓN DE SAN CRISTOBAL ZAPOTITLÁN, DEL MUNICIPIO DE JOCOTEPEC, JALISCO.</v>
      </c>
      <c r="O477" s="597"/>
      <c r="P477" s="214">
        <f>OBRA!Q477</f>
        <v>44089</v>
      </c>
      <c r="Q477" s="65">
        <f>OBRA!P477</f>
        <v>1739.9999999999998</v>
      </c>
      <c r="R477" s="521" t="str">
        <f>OBRA!R477</f>
        <v>-</v>
      </c>
      <c r="S477" s="559" t="str">
        <f>OBRA!S477</f>
        <v>-</v>
      </c>
      <c r="T477" s="792"/>
      <c r="U477" s="415" t="s">
        <v>1431</v>
      </c>
      <c r="V477" s="558"/>
      <c r="W477" s="559"/>
      <c r="X477" s="1409">
        <f>OBRA!AP477</f>
        <v>0</v>
      </c>
      <c r="Y477" s="344"/>
      <c r="Z477" s="344"/>
      <c r="AA477" s="255"/>
      <c r="AB477" s="351">
        <f>OBRA!BT477</f>
        <v>0</v>
      </c>
      <c r="AC477" s="569"/>
      <c r="AD477" s="569"/>
    </row>
    <row r="478" spans="1:30" ht="94.5" hidden="1" customHeight="1">
      <c r="A478" s="23" t="s">
        <v>45</v>
      </c>
      <c r="B478" s="933" t="str">
        <f>GRAL!B481</f>
        <v>2018-2021</v>
      </c>
      <c r="C478" s="17">
        <f>OBRA!I478</f>
        <v>2020</v>
      </c>
      <c r="D478" s="1676"/>
      <c r="E478" s="18" t="str">
        <f>OBRA!K478</f>
        <v>CUENTA CORRIENTE</v>
      </c>
      <c r="F478" s="1374"/>
      <c r="G478" s="1300"/>
      <c r="H478" s="239"/>
      <c r="I478" s="1300"/>
      <c r="J478" s="339" t="str">
        <f>OBRA!U478</f>
        <v>ING. JUAN MANUEL GARCÍA ESCOTO</v>
      </c>
      <c r="K478" s="172" t="str">
        <f>OBRA!V478</f>
        <v>ING. HECTOR JESUS HERNANDEZ</v>
      </c>
      <c r="L478" s="35" t="str">
        <f>OBRA!L478</f>
        <v>C.P.S.P. DOP 024/2020</v>
      </c>
      <c r="M478" s="2" t="str">
        <f>OBRA!M478</f>
        <v>SERVICIOS</v>
      </c>
      <c r="N478" s="328" t="str">
        <f>OBRA!N478</f>
        <v>LEVANTAMIENTO TOPOGRÁFICO DE PREDIO Y CONSTRUCCIÓN EXISTENTE EN CASA DE CULTURA UBICADO EN CALLE CARDENAL, EN LA DELEGACIÓN DE SAN JUAN COSALÁ, DEL MUNICIPIO DE JOCOTEPEC, JALISCO.</v>
      </c>
      <c r="O478" s="597"/>
      <c r="P478" s="214">
        <f>OBRA!Q478</f>
        <v>44089</v>
      </c>
      <c r="Q478" s="65">
        <f>OBRA!P478</f>
        <v>2900</v>
      </c>
      <c r="R478" s="521" t="str">
        <f>OBRA!R478</f>
        <v>-</v>
      </c>
      <c r="S478" s="559" t="str">
        <f>OBRA!S478</f>
        <v>-</v>
      </c>
      <c r="T478" s="792"/>
      <c r="U478" s="415" t="s">
        <v>1431</v>
      </c>
      <c r="V478" s="558"/>
      <c r="W478" s="559"/>
      <c r="X478" s="1409">
        <f>OBRA!AP478</f>
        <v>0</v>
      </c>
      <c r="Y478" s="344"/>
      <c r="Z478" s="344"/>
      <c r="AA478" s="255"/>
      <c r="AB478" s="351">
        <f>OBRA!BT478</f>
        <v>0</v>
      </c>
      <c r="AC478" s="569"/>
      <c r="AD478" s="569"/>
    </row>
    <row r="479" spans="1:30" ht="99.75" hidden="1" customHeight="1">
      <c r="A479" s="23" t="s">
        <v>45</v>
      </c>
      <c r="B479" s="933" t="str">
        <f>GRAL!B482</f>
        <v>2018-2021</v>
      </c>
      <c r="C479" s="17">
        <f>OBRA!I479</f>
        <v>2020</v>
      </c>
      <c r="D479" s="1676"/>
      <c r="E479" s="18" t="str">
        <f>OBRA!K479</f>
        <v>CUENTA CORRIENTE</v>
      </c>
      <c r="F479" s="1374"/>
      <c r="G479" s="1300"/>
      <c r="H479" s="239"/>
      <c r="I479" s="1300"/>
      <c r="J479" s="339" t="str">
        <f>OBRA!U479</f>
        <v>ING. JUAN MANUEL GARCÍA ESCOTO</v>
      </c>
      <c r="K479" s="172" t="str">
        <f>OBRA!V479</f>
        <v>ING. HECTOR JESUS HERNANDEZ</v>
      </c>
      <c r="L479" s="35" t="str">
        <f>OBRA!L479</f>
        <v>C.P.S.P. DOP 025/2020</v>
      </c>
      <c r="M479" s="2" t="str">
        <f>OBRA!M479</f>
        <v>SERVICIOS</v>
      </c>
      <c r="N479" s="328" t="str">
        <f>OBRA!N479</f>
        <v>LEVANTAMIENTO TOPOGRÁFICO EN CALLES Y UBICACIÓN DE ÁREAS CONCESIONADAS PARA PUESTOS DEL TIANGUIS NAVIDEÑO (ZONA CENTRO), EN LA CABECERA MUNICIPAL DE JOCOTEPEC, JALISCO.</v>
      </c>
      <c r="O479" s="597"/>
      <c r="P479" s="214">
        <f>OBRA!Q479</f>
        <v>44089</v>
      </c>
      <c r="Q479" s="65">
        <f>OBRA!P479</f>
        <v>2900</v>
      </c>
      <c r="R479" s="521" t="str">
        <f>OBRA!R479</f>
        <v>-</v>
      </c>
      <c r="S479" s="559" t="str">
        <f>OBRA!S479</f>
        <v>-</v>
      </c>
      <c r="T479" s="792"/>
      <c r="U479" s="415" t="s">
        <v>1431</v>
      </c>
      <c r="V479" s="558"/>
      <c r="W479" s="559"/>
      <c r="X479" s="1409">
        <f>OBRA!AP479</f>
        <v>0</v>
      </c>
      <c r="Y479" s="344"/>
      <c r="Z479" s="344"/>
      <c r="AA479" s="255"/>
      <c r="AB479" s="351">
        <f>OBRA!BT479</f>
        <v>0</v>
      </c>
      <c r="AC479" s="569"/>
      <c r="AD479" s="569"/>
    </row>
    <row r="480" spans="1:30" ht="99.75" hidden="1" customHeight="1">
      <c r="A480" s="23" t="s">
        <v>45</v>
      </c>
      <c r="B480" s="933" t="str">
        <f>GRAL!B483</f>
        <v>2018-2021</v>
      </c>
      <c r="C480" s="17">
        <f>OBRA!I480</f>
        <v>2020</v>
      </c>
      <c r="D480" s="1676"/>
      <c r="E480" s="18" t="str">
        <f>OBRA!K480</f>
        <v>CUENTA CORRIENTE</v>
      </c>
      <c r="F480" s="1374"/>
      <c r="G480" s="1300"/>
      <c r="H480" s="239"/>
      <c r="I480" s="1300"/>
      <c r="J480" s="339" t="str">
        <f>OBRA!U480</f>
        <v>ING. JUAN MANUEL GARCÍA ESCOTO</v>
      </c>
      <c r="K480" s="172" t="str">
        <f>OBRA!V480</f>
        <v>ING. HECTOR JESUS HERNANDEZ</v>
      </c>
      <c r="L480" s="35" t="str">
        <f>OBRA!L480</f>
        <v>C.P.S.P. DOP 026/2020</v>
      </c>
      <c r="M480" s="2" t="str">
        <f>OBRA!M480</f>
        <v>SERVICIOS</v>
      </c>
      <c r="N480" s="328" t="str">
        <f>OBRA!N480</f>
        <v>LEVANTAMIENTO TOPOGRÁFICO EN ÁREAS DE DONACIÓN DEL TERRENO PARA LA UBICACIÓN DEL POZO DE AGUA POTABLE, EN LA LOCALIDAD DE EL MOLINO, MUNICIPIO DE JOCOTEPEC, JALISCO.</v>
      </c>
      <c r="O480" s="597"/>
      <c r="P480" s="214">
        <f>OBRA!Q480</f>
        <v>44089</v>
      </c>
      <c r="Q480" s="65">
        <f>OBRA!P480</f>
        <v>4059.9999999999995</v>
      </c>
      <c r="R480" s="521" t="str">
        <f>OBRA!R480</f>
        <v>-</v>
      </c>
      <c r="S480" s="559" t="str">
        <f>OBRA!S480</f>
        <v>-</v>
      </c>
      <c r="T480" s="792"/>
      <c r="U480" s="415" t="s">
        <v>1431</v>
      </c>
      <c r="V480" s="558"/>
      <c r="W480" s="559"/>
      <c r="X480" s="1409">
        <f>OBRA!AP480</f>
        <v>0</v>
      </c>
      <c r="Y480" s="344"/>
      <c r="Z480" s="344"/>
      <c r="AA480" s="255"/>
      <c r="AB480" s="351">
        <f>OBRA!BT480</f>
        <v>0</v>
      </c>
      <c r="AC480" s="569"/>
      <c r="AD480" s="569"/>
    </row>
    <row r="481" spans="1:30" ht="83.25" hidden="1" customHeight="1">
      <c r="A481" s="23" t="s">
        <v>45</v>
      </c>
      <c r="B481" s="933" t="str">
        <f>GRAL!B484</f>
        <v>2018-2021</v>
      </c>
      <c r="C481" s="17">
        <f>OBRA!I481</f>
        <v>2020</v>
      </c>
      <c r="D481" s="1676"/>
      <c r="E481" s="18" t="str">
        <f>OBRA!K481</f>
        <v>CUENTA CORRIENTE</v>
      </c>
      <c r="F481" s="1374"/>
      <c r="G481" s="1300"/>
      <c r="H481" s="239"/>
      <c r="I481" s="1300"/>
      <c r="J481" s="339" t="str">
        <f>OBRA!U481</f>
        <v>ING. JUAN MANUEL GARCÍA ESCOTO</v>
      </c>
      <c r="K481" s="172" t="str">
        <f>OBRA!V481</f>
        <v>ING. HECTOR JESUS HERNANDEZ</v>
      </c>
      <c r="L481" s="35" t="str">
        <f>OBRA!L481</f>
        <v>C.P.S.P. DOP 027/2020</v>
      </c>
      <c r="M481" s="2" t="str">
        <f>OBRA!M481</f>
        <v>SERVICIOS</v>
      </c>
      <c r="N481" s="328" t="str">
        <f>OBRA!N481</f>
        <v>LEVANTAMIENTO TOPOGRÁFICO DE ÁREA DE DONACIÓN DEL TERRENO PARA EL DEPÓSITO DE AGUA POTABLE, EN LA DELGACIÓN DE HUEJOTITÁN, DEL MUNICIPIO DE JOCOTEPEC, JALISCO.</v>
      </c>
      <c r="O481" s="597"/>
      <c r="P481" s="214">
        <f>OBRA!Q481</f>
        <v>44089</v>
      </c>
      <c r="Q481" s="65">
        <f>OBRA!P481</f>
        <v>3711.9999999999995</v>
      </c>
      <c r="R481" s="521" t="str">
        <f>OBRA!R481</f>
        <v>-</v>
      </c>
      <c r="S481" s="559" t="str">
        <f>OBRA!S481</f>
        <v>-</v>
      </c>
      <c r="T481" s="792"/>
      <c r="U481" s="415" t="s">
        <v>1431</v>
      </c>
      <c r="V481" s="558"/>
      <c r="W481" s="559"/>
      <c r="X481" s="1409">
        <f>OBRA!AP481</f>
        <v>0</v>
      </c>
      <c r="Y481" s="344"/>
      <c r="Z481" s="344"/>
      <c r="AA481" s="255"/>
      <c r="AB481" s="351">
        <f>OBRA!BT481</f>
        <v>0</v>
      </c>
      <c r="AC481" s="569"/>
      <c r="AD481" s="569"/>
    </row>
    <row r="482" spans="1:30" ht="111.75" hidden="1" customHeight="1">
      <c r="A482" s="23" t="s">
        <v>45</v>
      </c>
      <c r="B482" s="933" t="str">
        <f>GRAL!B485</f>
        <v>2018-2021</v>
      </c>
      <c r="C482" s="17">
        <f>OBRA!I482</f>
        <v>2020</v>
      </c>
      <c r="D482" s="1676"/>
      <c r="E482" s="18" t="str">
        <f>OBRA!K482</f>
        <v>CUENTA CORRIENTE</v>
      </c>
      <c r="F482" s="1374"/>
      <c r="G482" s="1300"/>
      <c r="H482" s="239"/>
      <c r="I482" s="1300"/>
      <c r="J482" s="339" t="str">
        <f>OBRA!U482</f>
        <v>ING. JUAN MANUEL GARCÍA ESCOTO</v>
      </c>
      <c r="K482" s="172" t="str">
        <f>OBRA!V482</f>
        <v>ING. HECTOR JESUS HERNANDEZ</v>
      </c>
      <c r="L482" s="35" t="str">
        <f>OBRA!L482</f>
        <v>C.P.S.P. DOP 028/2020</v>
      </c>
      <c r="M482" s="2" t="str">
        <f>OBRA!M482</f>
        <v>SERVICIOS</v>
      </c>
      <c r="N482" s="328" t="str">
        <f>OBRA!N482</f>
        <v>LEVANAMIENTO TOPOGRÁFICO DE ÁREAS Y LÍMITES DE PROPIEDAD DEL CAMINO PROLONGACIÓN CALLE MATAMOROS DE DONATO QUERRA HASTA INGRESO AL FRACCIONAMIENTO ROCA AZUL, EN LA CABECERA MUNICIPAL DE JOCOTEPEC, JALISCO.</v>
      </c>
      <c r="O482" s="597"/>
      <c r="P482" s="214">
        <f>OBRA!Q482</f>
        <v>44089</v>
      </c>
      <c r="Q482" s="65">
        <f>OBRA!P482</f>
        <v>9860</v>
      </c>
      <c r="R482" s="521" t="str">
        <f>OBRA!R482</f>
        <v>-</v>
      </c>
      <c r="S482" s="559" t="str">
        <f>OBRA!S482</f>
        <v>-</v>
      </c>
      <c r="T482" s="792"/>
      <c r="U482" s="415" t="s">
        <v>1431</v>
      </c>
      <c r="V482" s="558"/>
      <c r="W482" s="559"/>
      <c r="X482" s="1409">
        <f>OBRA!AP482</f>
        <v>0</v>
      </c>
      <c r="Y482" s="344"/>
      <c r="Z482" s="344"/>
      <c r="AA482" s="255"/>
      <c r="AB482" s="351">
        <f>OBRA!BT482</f>
        <v>0</v>
      </c>
      <c r="AC482" s="569"/>
      <c r="AD482" s="569"/>
    </row>
    <row r="483" spans="1:30" ht="39.75" hidden="1" customHeight="1">
      <c r="A483" s="23" t="s">
        <v>45</v>
      </c>
      <c r="B483" s="933" t="str">
        <f>GRAL!B486</f>
        <v>2018-2021</v>
      </c>
      <c r="C483" s="17">
        <f>OBRA!I483</f>
        <v>2020</v>
      </c>
      <c r="D483" s="1676"/>
      <c r="E483" s="18" t="str">
        <f>OBRA!K483</f>
        <v>CUENTA CORRIENTE</v>
      </c>
      <c r="F483" s="1374"/>
      <c r="G483" s="1300"/>
      <c r="H483" s="239"/>
      <c r="I483" s="1300"/>
      <c r="J483" s="1410" t="str">
        <f>OBRA!U483</f>
        <v>ING. JUAN MANUEL GARCÍA ESCOTO</v>
      </c>
      <c r="K483" s="1279">
        <f>OBRA!V483</f>
        <v>0</v>
      </c>
      <c r="L483" s="35" t="str">
        <f>OBRA!L483</f>
        <v>C.P.S.P. DOP 029/2020</v>
      </c>
      <c r="M483" s="2" t="str">
        <f>OBRA!M483</f>
        <v>CANCELADA</v>
      </c>
      <c r="N483" s="597" t="str">
        <f>OBRA!N483</f>
        <v>CONTRATO CANCELADO</v>
      </c>
      <c r="O483" s="597"/>
      <c r="P483" s="214">
        <f>OBRA!Q483</f>
        <v>0</v>
      </c>
      <c r="Q483" s="65">
        <f>OBRA!P483</f>
        <v>0</v>
      </c>
      <c r="R483" s="521" t="str">
        <f>OBRA!R483</f>
        <v>-</v>
      </c>
      <c r="S483" s="559" t="str">
        <f>OBRA!S483</f>
        <v>-</v>
      </c>
      <c r="T483" s="792"/>
      <c r="U483" s="415" t="s">
        <v>1431</v>
      </c>
      <c r="V483" s="558"/>
      <c r="W483" s="559"/>
      <c r="X483" s="1409">
        <f>OBRA!AP483</f>
        <v>0</v>
      </c>
      <c r="Y483" s="344"/>
      <c r="Z483" s="344"/>
      <c r="AA483" s="255"/>
      <c r="AB483" s="351">
        <f>OBRA!BT483</f>
        <v>0</v>
      </c>
      <c r="AC483" s="569"/>
      <c r="AD483" s="569"/>
    </row>
    <row r="484" spans="1:30" ht="101.25" hidden="1" customHeight="1">
      <c r="A484" s="23" t="s">
        <v>45</v>
      </c>
      <c r="B484" s="933" t="str">
        <f>GRAL!B487</f>
        <v>2018-2021</v>
      </c>
      <c r="C484" s="17">
        <f>OBRA!I484</f>
        <v>2020</v>
      </c>
      <c r="D484" s="1676"/>
      <c r="E484" s="18" t="str">
        <f>OBRA!K484</f>
        <v>CUENTA CORRIENTE</v>
      </c>
      <c r="F484" s="1374"/>
      <c r="G484" s="1300"/>
      <c r="H484" s="239"/>
      <c r="I484" s="1300"/>
      <c r="J484" s="339" t="str">
        <f>OBRA!U484</f>
        <v>ING. JUAN MANUEL GARCÍA ESCOTO</v>
      </c>
      <c r="K484" s="172" t="str">
        <f>OBRA!V484</f>
        <v>ING. HECTOR JESUS HERNANDEZ</v>
      </c>
      <c r="L484" s="35" t="str">
        <f>OBRA!L484</f>
        <v>C.P.S.P. DOP 030/2020</v>
      </c>
      <c r="M484" s="2" t="str">
        <f>OBRA!M484</f>
        <v>SERVICIOS</v>
      </c>
      <c r="N484" s="328" t="str">
        <f>OBRA!N484</f>
        <v>LEVANTAMIENTO TOPOGRÁFICO DE ÁREA DEL PREDIO DEL VERTEDERO MUNICIPAL, UBICADO EN EL EJIDO DE LA LOMA DEL MUNICIPIO DE JOCOTEPEC, JALISCO.</v>
      </c>
      <c r="O484" s="597"/>
      <c r="P484" s="214">
        <f>OBRA!Q484</f>
        <v>44089</v>
      </c>
      <c r="Q484" s="65">
        <f>OBRA!P484</f>
        <v>9280</v>
      </c>
      <c r="R484" s="521" t="str">
        <f>OBRA!R484</f>
        <v>-</v>
      </c>
      <c r="S484" s="559" t="str">
        <f>OBRA!S484</f>
        <v>-</v>
      </c>
      <c r="T484" s="792"/>
      <c r="U484" s="415" t="s">
        <v>1431</v>
      </c>
      <c r="V484" s="558"/>
      <c r="W484" s="559"/>
      <c r="X484" s="1409">
        <f>OBRA!AP484</f>
        <v>0</v>
      </c>
      <c r="Y484" s="344"/>
      <c r="Z484" s="344"/>
      <c r="AA484" s="255"/>
      <c r="AB484" s="351">
        <f>OBRA!BT484</f>
        <v>0</v>
      </c>
      <c r="AC484" s="569"/>
      <c r="AD484" s="569"/>
    </row>
    <row r="485" spans="1:30" ht="96" hidden="1" customHeight="1">
      <c r="A485" s="23" t="s">
        <v>45</v>
      </c>
      <c r="B485" s="933" t="str">
        <f>GRAL!B488</f>
        <v>2018-2021</v>
      </c>
      <c r="C485" s="17">
        <f>OBRA!I485</f>
        <v>2020</v>
      </c>
      <c r="D485" s="1676"/>
      <c r="E485" s="18" t="str">
        <f>OBRA!K485</f>
        <v>CUENTA CORRIENTE</v>
      </c>
      <c r="F485" s="1374"/>
      <c r="G485" s="1300"/>
      <c r="H485" s="239"/>
      <c r="I485" s="1300"/>
      <c r="J485" s="339" t="str">
        <f>OBRA!U485</f>
        <v>ING. JUAN MANUEL GARCÍA ESCOTO</v>
      </c>
      <c r="K485" s="172" t="str">
        <f>OBRA!V485</f>
        <v>ING. HECTOR JESUS HERNANDEZ</v>
      </c>
      <c r="L485" s="35" t="str">
        <f>OBRA!L485</f>
        <v>C.P.S.P. DOP 031/2020</v>
      </c>
      <c r="M485" s="2" t="str">
        <f>OBRA!M485</f>
        <v>SERVICIOS</v>
      </c>
      <c r="N485" s="328" t="str">
        <f>OBRA!N485</f>
        <v>LEVANTAMIENTO TOPOGRÁFICO DE ÁREA Y LÍMITES DE PROPIEDAD EN CALLE 5 DE MAYO ENTRE AV. DE LA CRUZ Y AV. DEL PARQUE, EN LA DELEGACIÓN DE HUEJOTITÁN DEL MUNICIPIO DE JOCOTEPEC, JALISCO.</v>
      </c>
      <c r="O485" s="597"/>
      <c r="P485" s="214">
        <f>OBRA!Q485</f>
        <v>44089</v>
      </c>
      <c r="Q485" s="65">
        <f>OBRA!P485</f>
        <v>5220</v>
      </c>
      <c r="R485" s="521" t="str">
        <f>OBRA!R485</f>
        <v>-</v>
      </c>
      <c r="S485" s="559" t="str">
        <f>OBRA!S485</f>
        <v>-</v>
      </c>
      <c r="T485" s="792"/>
      <c r="U485" s="415" t="s">
        <v>1431</v>
      </c>
      <c r="V485" s="558"/>
      <c r="W485" s="559"/>
      <c r="X485" s="1409">
        <f>OBRA!AP485</f>
        <v>0</v>
      </c>
      <c r="Y485" s="344"/>
      <c r="Z485" s="344"/>
      <c r="AA485" s="255"/>
      <c r="AB485" s="351">
        <f>OBRA!BT485</f>
        <v>0</v>
      </c>
      <c r="AC485" s="569"/>
      <c r="AD485" s="569"/>
    </row>
    <row r="486" spans="1:30" ht="98.25" hidden="1" customHeight="1">
      <c r="A486" s="23" t="s">
        <v>45</v>
      </c>
      <c r="B486" s="933" t="str">
        <f>GRAL!B489</f>
        <v>2018-2021</v>
      </c>
      <c r="C486" s="17">
        <f>OBRA!I486</f>
        <v>2020</v>
      </c>
      <c r="D486" s="1676"/>
      <c r="E486" s="18" t="str">
        <f>OBRA!K486</f>
        <v>CUENTA CORRIENTE</v>
      </c>
      <c r="F486" s="1374"/>
      <c r="G486" s="1300"/>
      <c r="H486" s="239"/>
      <c r="I486" s="1300"/>
      <c r="J486" s="339" t="str">
        <f>OBRA!U486</f>
        <v>ING. JUAN MANUEL GARCÍA ESCOTO</v>
      </c>
      <c r="K486" s="172" t="str">
        <f>OBRA!V486</f>
        <v>ING. HECTOR JESUS HERNANDEZ</v>
      </c>
      <c r="L486" s="35" t="str">
        <f>OBRA!L486</f>
        <v>C.P.S.P. DOP 032/2020</v>
      </c>
      <c r="M486" s="2" t="str">
        <f>OBRA!M486</f>
        <v>SERVICIOS</v>
      </c>
      <c r="N486" s="328" t="str">
        <f>OBRA!N486</f>
        <v>LEVANTAMIENTO TOPOGRÁFICO DE PREDIO Y ÁREA DE UNIDAD DEPORTIVA SUR PARA EL PROYECTO "POLIDEPORTIVO" UBICADO EN CALLE DONATO GUERRA, EN LA CABECERA MUNICIPAL DE JOCOTEPEC, JALISCO.</v>
      </c>
      <c r="O486" s="597"/>
      <c r="P486" s="214">
        <f>OBRA!Q486</f>
        <v>44089</v>
      </c>
      <c r="Q486" s="65">
        <f>OBRA!P486</f>
        <v>9860</v>
      </c>
      <c r="R486" s="521" t="str">
        <f>OBRA!R486</f>
        <v>-</v>
      </c>
      <c r="S486" s="559" t="str">
        <f>OBRA!S486</f>
        <v>-</v>
      </c>
      <c r="T486" s="792"/>
      <c r="U486" s="415" t="s">
        <v>1431</v>
      </c>
      <c r="V486" s="558"/>
      <c r="W486" s="559"/>
      <c r="X486" s="1409">
        <f>OBRA!AP486</f>
        <v>0</v>
      </c>
      <c r="Y486" s="344"/>
      <c r="Z486" s="344"/>
      <c r="AA486" s="255"/>
      <c r="AB486" s="351">
        <f>OBRA!BT486</f>
        <v>0</v>
      </c>
      <c r="AC486" s="569"/>
      <c r="AD486" s="569"/>
    </row>
    <row r="487" spans="1:30" ht="87.75" hidden="1" customHeight="1">
      <c r="A487" s="23" t="s">
        <v>45</v>
      </c>
      <c r="B487" s="933" t="str">
        <f>GRAL!B490</f>
        <v>2018-2021</v>
      </c>
      <c r="C487" s="17">
        <f>OBRA!I487</f>
        <v>2020</v>
      </c>
      <c r="D487" s="1676"/>
      <c r="E487" s="18" t="str">
        <f>OBRA!K487</f>
        <v>CUENTA CORRIENTE</v>
      </c>
      <c r="F487" s="1374"/>
      <c r="G487" s="1300"/>
      <c r="H487" s="239"/>
      <c r="I487" s="1300"/>
      <c r="J487" s="339" t="str">
        <f>OBRA!U487</f>
        <v>ING. JUAN MANUEL GARCÍA ESCOTO</v>
      </c>
      <c r="K487" s="172" t="str">
        <f>OBRA!V487</f>
        <v>ING. HECTOR JESUS HERNANDEZ</v>
      </c>
      <c r="L487" s="35" t="str">
        <f>OBRA!L487</f>
        <v>C.P.S.P. DOP 033/2020</v>
      </c>
      <c r="M487" s="2" t="str">
        <f>OBRA!M487</f>
        <v>SERVICIOS</v>
      </c>
      <c r="N487" s="328" t="str">
        <f>OBRA!N487</f>
        <v>LEVANTAMIENTO TOPOGRÁFICO DE ÁREAS Y LÍMITES DE PROPIEDAD DE LA CALLE HIDALGO SUR DE CALLE DONATO GUERRA AL ARROYO, EN LA CABECERA MUNICIPAL DE JOCOTEPEC, JALISCO.</v>
      </c>
      <c r="O487" s="597"/>
      <c r="P487" s="214">
        <f>OBRA!Q487</f>
        <v>44089</v>
      </c>
      <c r="Q487" s="65">
        <f>OBRA!P487</f>
        <v>4059.9999999999995</v>
      </c>
      <c r="R487" s="521" t="str">
        <f>OBRA!R487</f>
        <v>-</v>
      </c>
      <c r="S487" s="559" t="str">
        <f>OBRA!S487</f>
        <v>-</v>
      </c>
      <c r="T487" s="792"/>
      <c r="U487" s="415" t="s">
        <v>1431</v>
      </c>
      <c r="V487" s="558"/>
      <c r="W487" s="559"/>
      <c r="X487" s="1409">
        <f>OBRA!AP487</f>
        <v>0</v>
      </c>
      <c r="Y487" s="344"/>
      <c r="Z487" s="344"/>
      <c r="AA487" s="255"/>
      <c r="AB487" s="351">
        <f>OBRA!BT487</f>
        <v>0</v>
      </c>
      <c r="AC487" s="569"/>
      <c r="AD487" s="569"/>
    </row>
    <row r="488" spans="1:30" ht="98.25" hidden="1" customHeight="1">
      <c r="A488" s="23" t="s">
        <v>2239</v>
      </c>
      <c r="B488" s="933" t="str">
        <f>GRAL!B491</f>
        <v>2018-2021</v>
      </c>
      <c r="C488" s="17">
        <f>OBRA!I488</f>
        <v>2020</v>
      </c>
      <c r="D488" s="1676"/>
      <c r="E488" s="18" t="str">
        <f>OBRA!K488</f>
        <v>CUENTA CORRIENTE</v>
      </c>
      <c r="F488" s="525" t="s">
        <v>1431</v>
      </c>
      <c r="G488" s="546" t="s">
        <v>3551</v>
      </c>
      <c r="H488" s="545" t="s">
        <v>3551</v>
      </c>
      <c r="I488" s="546" t="s">
        <v>3551</v>
      </c>
      <c r="J488" s="339" t="str">
        <f>OBRA!U488</f>
        <v xml:space="preserve">GRUPO CONSTRUCTORA PAVIMAQ, S.A. DE C.V. </v>
      </c>
      <c r="K488" s="57" t="str">
        <f>OBRA!V488</f>
        <v>ARQ. CESAR ANTONIO ALONSO JIMENEZ</v>
      </c>
      <c r="L488" s="35" t="str">
        <f>OBRA!L488</f>
        <v>GMJ 001C- OP/2020</v>
      </c>
      <c r="M488" s="2" t="str">
        <f>OBRA!M488</f>
        <v>ADJUDICACIÓN DIRECTA</v>
      </c>
      <c r="N488" s="3" t="str">
        <f>OBRA!N488</f>
        <v>CONSTRUCCIÓN DE LÍNEAS DE DRENAJE SANITARIO Y DRENAJE PLUVIAL EN LA CALLE RODRIGO DE TRIANA" EN LA CABECERA MUNICIPAL DE JOCOTEPEC, JALISCO".</v>
      </c>
      <c r="O488" s="554" t="s">
        <v>3543</v>
      </c>
      <c r="P488" s="6">
        <f>OBRA!Q488</f>
        <v>43894</v>
      </c>
      <c r="Q488" s="4">
        <f>OBRA!P488</f>
        <v>156714.98000000001</v>
      </c>
      <c r="R488" s="5">
        <f>OBRA!R488</f>
        <v>43894</v>
      </c>
      <c r="S488" s="12">
        <f>OBRA!S488</f>
        <v>43960</v>
      </c>
      <c r="T488" s="227" t="s">
        <v>3859</v>
      </c>
      <c r="U488" s="216" t="s">
        <v>1431</v>
      </c>
      <c r="V488" s="549" t="s">
        <v>3551</v>
      </c>
      <c r="W488" s="1443"/>
      <c r="X488" s="1154">
        <f>OBRA!AP488</f>
        <v>31343</v>
      </c>
      <c r="Y488" s="344"/>
      <c r="Z488" s="344"/>
      <c r="AA488" s="255"/>
      <c r="AB488" s="351">
        <f>OBRA!BT488</f>
        <v>0</v>
      </c>
      <c r="AC488" s="1514" t="s">
        <v>3707</v>
      </c>
      <c r="AD488" s="569"/>
    </row>
    <row r="489" spans="1:30" ht="102.75" hidden="1" customHeight="1">
      <c r="A489" s="23" t="s">
        <v>2239</v>
      </c>
      <c r="B489" s="933" t="str">
        <f>GRAL!B492</f>
        <v>2018-2021</v>
      </c>
      <c r="C489" s="17">
        <f>OBRA!I489</f>
        <v>2020</v>
      </c>
      <c r="D489" s="1676"/>
      <c r="E489" s="18" t="str">
        <f>OBRA!K489</f>
        <v>RAMO 33</v>
      </c>
      <c r="F489" s="525" t="s">
        <v>1431</v>
      </c>
      <c r="G489" s="546" t="s">
        <v>3552</v>
      </c>
      <c r="H489" s="545" t="s">
        <v>3552</v>
      </c>
      <c r="I489" s="546" t="s">
        <v>3552</v>
      </c>
      <c r="J489" s="339" t="str">
        <f>OBRA!U489</f>
        <v>ING. OCTAVIO AUGUSTO GONZALEZ TREJO</v>
      </c>
      <c r="K489" s="172" t="str">
        <f>OBRA!V489</f>
        <v>LIC. SALVADOR CONTRERAS OLGUÍN</v>
      </c>
      <c r="L489" s="180" t="str">
        <f>OBRA!L489</f>
        <v>GMJ 002C- OP/2020</v>
      </c>
      <c r="M489" s="202" t="str">
        <f>OBRA!M489</f>
        <v>ADJUDICACIÓN DIRECTA</v>
      </c>
      <c r="N489" s="328" t="str">
        <f>OBRA!N489</f>
        <v>"CONSTRUCCIÓN DE EMPEDRADO NORMAL CON HUELLAS DE ADOQUÍN EN CALLE CUAUHTÉMOC 3ERA. ETAPA DE CARCAMO A 160 ML AL ORIENTE" EN LA DELEGACIÓN DE CHANTEPEC, MUNICIPIO DE JOCOTEPEC, JALISCO.</v>
      </c>
      <c r="O489" s="554" t="s">
        <v>3543</v>
      </c>
      <c r="P489" s="69">
        <f>OBRA!Q489</f>
        <v>43936</v>
      </c>
      <c r="Q489" s="85">
        <f>OBRA!P489</f>
        <v>654632.78</v>
      </c>
      <c r="R489" s="255">
        <f>OBRA!R489</f>
        <v>43937</v>
      </c>
      <c r="S489" s="245">
        <f>OBRA!S489</f>
        <v>43958</v>
      </c>
      <c r="T489" s="1601" t="s">
        <v>3860</v>
      </c>
      <c r="U489" s="216" t="s">
        <v>1431</v>
      </c>
      <c r="V489" s="549" t="s">
        <v>3552</v>
      </c>
      <c r="W489" s="668" t="s">
        <v>3552</v>
      </c>
      <c r="X489" s="1157">
        <f>OBRA!AP489</f>
        <v>130926.54</v>
      </c>
      <c r="Y489" s="344"/>
      <c r="Z489" s="344"/>
      <c r="AA489" s="255"/>
      <c r="AB489" s="351">
        <f>OBRA!BT489</f>
        <v>0</v>
      </c>
      <c r="AC489" s="1519"/>
      <c r="AD489" s="569" t="s">
        <v>551</v>
      </c>
    </row>
    <row r="490" spans="1:30" ht="93.75" hidden="1" customHeight="1">
      <c r="A490" s="23" t="s">
        <v>2239</v>
      </c>
      <c r="B490" s="933" t="str">
        <f>GRAL!B493</f>
        <v>2018-2021</v>
      </c>
      <c r="C490" s="17">
        <f>OBRA!I490</f>
        <v>2020</v>
      </c>
      <c r="D490" s="1676"/>
      <c r="E490" s="18" t="str">
        <f>OBRA!K490</f>
        <v>RAMO 33</v>
      </c>
      <c r="F490" s="525" t="s">
        <v>1431</v>
      </c>
      <c r="G490" s="546" t="s">
        <v>3558</v>
      </c>
      <c r="H490" s="545" t="s">
        <v>3558</v>
      </c>
      <c r="I490" s="546" t="s">
        <v>3558</v>
      </c>
      <c r="J490" s="339" t="str">
        <f>OBRA!U490</f>
        <v>GRUPO CONSTRUCTOR EDVI S.A. DE C.V.</v>
      </c>
      <c r="K490" s="172" t="str">
        <f>OBRA!V490</f>
        <v>ARQ. CESAR ANTONIO ALONSO JIMENEZ</v>
      </c>
      <c r="L490" s="180" t="str">
        <f>OBRA!L490</f>
        <v>GMJ 003C- OP/2020</v>
      </c>
      <c r="M490" s="202" t="str">
        <f>OBRA!M490</f>
        <v>ADJUDICACIÓN DIRECTA</v>
      </c>
      <c r="N490" s="328" t="str">
        <f>OBRA!N490</f>
        <v>"CONSTRUCCIÓN DE EMPEDRADO NORMAL CON HUELLAS DE CONCRETO EN CALLE LIBERTAD DE RICO A CRISTÓBAL COLÓN" EN LA LOCALIDAD DE NEXTIPAC, MUNICIPIO DE JOCOTEPEC, JALISCO</v>
      </c>
      <c r="O490" s="554" t="s">
        <v>3543</v>
      </c>
      <c r="P490" s="69">
        <f>OBRA!Q490</f>
        <v>43948</v>
      </c>
      <c r="Q490" s="85">
        <f>OBRA!P490</f>
        <v>248927.96</v>
      </c>
      <c r="R490" s="255">
        <f>OBRA!R490</f>
        <v>43949</v>
      </c>
      <c r="S490" s="245">
        <f>OBRA!S490</f>
        <v>43980</v>
      </c>
      <c r="T490" s="1601" t="s">
        <v>3860</v>
      </c>
      <c r="U490" s="216" t="s">
        <v>1431</v>
      </c>
      <c r="V490" s="549" t="s">
        <v>3558</v>
      </c>
      <c r="W490" s="668" t="s">
        <v>3558</v>
      </c>
      <c r="X490" s="1157">
        <f>OBRA!AP490</f>
        <v>188222.83000000002</v>
      </c>
      <c r="Y490" s="341"/>
      <c r="Z490" s="341"/>
      <c r="AA490" s="5"/>
      <c r="AB490" s="351">
        <f>OBRA!BT490</f>
        <v>0</v>
      </c>
      <c r="AC490" s="1519"/>
      <c r="AD490" s="569" t="s">
        <v>551</v>
      </c>
    </row>
    <row r="491" spans="1:30" ht="90.75" hidden="1" customHeight="1">
      <c r="A491" s="23" t="s">
        <v>2239</v>
      </c>
      <c r="B491" s="933" t="str">
        <f>GRAL!B494</f>
        <v>2018-2021</v>
      </c>
      <c r="C491" s="17">
        <f>OBRA!I491</f>
        <v>2020</v>
      </c>
      <c r="D491" s="1676"/>
      <c r="E491" s="18" t="str">
        <f>OBRA!K491</f>
        <v>RAMO 33</v>
      </c>
      <c r="F491" s="695" t="s">
        <v>1431</v>
      </c>
      <c r="G491" s="546" t="s">
        <v>3556</v>
      </c>
      <c r="H491" s="545" t="s">
        <v>3556</v>
      </c>
      <c r="I491" s="546" t="s">
        <v>3556</v>
      </c>
      <c r="J491" s="339" t="str">
        <f>OBRA!U491</f>
        <v>SERVICIO Y CONSTRUCCIÓN NATENIO S.A. DE C.V.</v>
      </c>
      <c r="K491" s="57" t="str">
        <f>OBRA!V491</f>
        <v>ARQ. JAIME CONDE GOMEZ</v>
      </c>
      <c r="L491" s="35" t="str">
        <f>OBRA!L491</f>
        <v>GMJ 004C- OP/2020</v>
      </c>
      <c r="M491" s="2" t="str">
        <f>OBRA!M491</f>
        <v>ADJUDICACIÓN DIRECTA</v>
      </c>
      <c r="N491" s="3" t="str">
        <f>OBRA!N491</f>
        <v>"CONSTRUCCIÓN DE EMPEDRADO AHOGADO EN CEMENTO CON HUELLAS DE CONCRETO EN CALLE PADRE ADALBERTO MACIAS" EN LA CABECERA MUNICIPAL DE JOCOTEPEC, JALISCO.</v>
      </c>
      <c r="O491" s="554" t="s">
        <v>3543</v>
      </c>
      <c r="P491" s="6">
        <f>OBRA!Q491</f>
        <v>43951</v>
      </c>
      <c r="Q491" s="4">
        <f>OBRA!P491</f>
        <v>1010980.5</v>
      </c>
      <c r="R491" s="5">
        <f>OBRA!R491</f>
        <v>43962</v>
      </c>
      <c r="S491" s="12">
        <f>OBRA!S491</f>
        <v>44054</v>
      </c>
      <c r="T491" s="1601" t="s">
        <v>3860</v>
      </c>
      <c r="U491" s="415" t="s">
        <v>1431</v>
      </c>
      <c r="V491" s="591"/>
      <c r="W491" s="479"/>
      <c r="X491" s="1157">
        <f>OBRA!AP491</f>
        <v>454941.22</v>
      </c>
      <c r="Y491" s="341"/>
      <c r="Z491" s="341"/>
      <c r="AA491" s="5"/>
      <c r="AB491" s="351">
        <f>OBRA!BT491</f>
        <v>0</v>
      </c>
      <c r="AC491" s="1514" t="s">
        <v>3707</v>
      </c>
      <c r="AD491" s="569"/>
    </row>
    <row r="492" spans="1:30" ht="86.25" hidden="1" customHeight="1">
      <c r="A492" s="23" t="s">
        <v>2239</v>
      </c>
      <c r="B492" s="933" t="str">
        <f>GRAL!B495</f>
        <v>2018-2021</v>
      </c>
      <c r="C492" s="17">
        <f>OBRA!I492</f>
        <v>2020</v>
      </c>
      <c r="D492" s="1676"/>
      <c r="E492" s="18" t="str">
        <f>OBRA!K492</f>
        <v>RAMO 33</v>
      </c>
      <c r="F492" s="695" t="s">
        <v>1431</v>
      </c>
      <c r="G492" s="546" t="s">
        <v>3550</v>
      </c>
      <c r="H492" s="580" t="s">
        <v>3550</v>
      </c>
      <c r="I492" s="546" t="s">
        <v>3550</v>
      </c>
      <c r="J492" s="339" t="str">
        <f>OBRA!U492</f>
        <v>GRUPO CONSTRUCTOR EDVI SA DE CV</v>
      </c>
      <c r="K492" s="172" t="str">
        <f>OBRA!V492</f>
        <v>ARQ. CESAR ANTONIO ALONSO JIMENEZ</v>
      </c>
      <c r="L492" s="180" t="str">
        <f>OBRA!L492</f>
        <v>GMJ 005C- OP/2020</v>
      </c>
      <c r="M492" s="202" t="str">
        <f>OBRA!M492</f>
        <v>ADJUDICACIÓN DIRECTA</v>
      </c>
      <c r="N492" s="328" t="str">
        <f>OBRA!N492</f>
        <v>"CONSTRUCCIÓN DE LÍNEA DE DRENAJE SANITARIO EN CALLE LIBERTAD DE RICO A CRISTOBAL COLON" EN LA LOCALIDAD DE NEXTIPAC, MUNICIPIO DE JOCOTEPEC, JALISCO.</v>
      </c>
      <c r="O492" s="554" t="s">
        <v>3543</v>
      </c>
      <c r="P492" s="69">
        <f>OBRA!Q492</f>
        <v>43948</v>
      </c>
      <c r="Q492" s="85">
        <f>OBRA!P492</f>
        <v>125624.96000000001</v>
      </c>
      <c r="R492" s="255">
        <f>OBRA!R492</f>
        <v>43949</v>
      </c>
      <c r="S492" s="245">
        <f>OBRA!S492</f>
        <v>43980</v>
      </c>
      <c r="T492" s="1601" t="s">
        <v>3860</v>
      </c>
      <c r="U492" s="216" t="s">
        <v>1431</v>
      </c>
      <c r="V492" s="549" t="s">
        <v>3550</v>
      </c>
      <c r="W492" s="668" t="s">
        <v>3550</v>
      </c>
      <c r="X492" s="1157">
        <f>OBRA!AP492</f>
        <v>25124.98</v>
      </c>
      <c r="Y492" s="344"/>
      <c r="Z492" s="341"/>
      <c r="AA492" s="5"/>
      <c r="AB492" s="351">
        <f>OBRA!BT492</f>
        <v>0</v>
      </c>
      <c r="AC492" s="1519"/>
      <c r="AD492" s="569" t="s">
        <v>551</v>
      </c>
    </row>
    <row r="493" spans="1:30" ht="107.25" hidden="1" customHeight="1">
      <c r="A493" s="23" t="s">
        <v>2239</v>
      </c>
      <c r="B493" s="933" t="str">
        <f>GRAL!B496</f>
        <v>2018-2021</v>
      </c>
      <c r="C493" s="17">
        <f>OBRA!I493</f>
        <v>2020</v>
      </c>
      <c r="D493" s="1676"/>
      <c r="E493" s="18" t="str">
        <f>OBRA!K493</f>
        <v>RAMO 33</v>
      </c>
      <c r="F493" s="695" t="s">
        <v>1431</v>
      </c>
      <c r="G493" s="552" t="s">
        <v>3565</v>
      </c>
      <c r="H493" s="580" t="s">
        <v>3565</v>
      </c>
      <c r="I493" s="552" t="s">
        <v>3565</v>
      </c>
      <c r="J493" s="339" t="str">
        <f>OBRA!U493</f>
        <v>SONAYBER INGENIERIA Y CONSTRUCCIONES S.A. DE C.V.</v>
      </c>
      <c r="K493" s="172" t="str">
        <f>OBRA!V493</f>
        <v>ING. J. GUADALUPE IBARRA RAMIREZ</v>
      </c>
      <c r="L493" s="180" t="str">
        <f>OBRA!L493</f>
        <v>GMJ 006C- OP/2020</v>
      </c>
      <c r="M493" s="202" t="str">
        <f>OBRA!M493</f>
        <v>ADJUDICACIÓN DIRECTA</v>
      </c>
      <c r="N493" s="328" t="str">
        <f>OBRA!N493</f>
        <v>REHABILITACIÓN DE REDES HIDROSANITARIAS Y SUPERFICIE DE RODAMIENTO EN LA CALLE NICÓLAS BRAVO ENTRE CALLE ALDAMA Y CALLE LOS ANGELES" DE LA CABECERA MUNICIPAL, DE JOCOTEPEC, JALISCO.</v>
      </c>
      <c r="O493" s="554" t="s">
        <v>3543</v>
      </c>
      <c r="P493" s="69">
        <f>OBRA!Q493</f>
        <v>43977</v>
      </c>
      <c r="Q493" s="85">
        <f>OBRA!P493</f>
        <v>965741.4</v>
      </c>
      <c r="R493" s="255">
        <f>OBRA!R493</f>
        <v>43984</v>
      </c>
      <c r="S493" s="245">
        <f>OBRA!S493</f>
        <v>44040</v>
      </c>
      <c r="T493" s="1601" t="s">
        <v>3860</v>
      </c>
      <c r="U493" s="216" t="s">
        <v>1431</v>
      </c>
      <c r="V493" s="549" t="s">
        <v>3565</v>
      </c>
      <c r="W493" s="668" t="s">
        <v>3565</v>
      </c>
      <c r="X493" s="1157">
        <f>OBRA!AP493</f>
        <v>434583.63</v>
      </c>
      <c r="Y493" s="341"/>
      <c r="Z493" s="341"/>
      <c r="AA493" s="5"/>
      <c r="AB493" s="351">
        <f>OBRA!BT493</f>
        <v>0</v>
      </c>
      <c r="AC493" s="1519"/>
      <c r="AD493" s="569" t="s">
        <v>551</v>
      </c>
    </row>
    <row r="494" spans="1:30" ht="112.5" hidden="1" customHeight="1">
      <c r="A494" s="23" t="s">
        <v>2239</v>
      </c>
      <c r="B494" s="933" t="str">
        <f>GRAL!B497</f>
        <v>2018-2021</v>
      </c>
      <c r="C494" s="17">
        <f>OBRA!I494</f>
        <v>2020</v>
      </c>
      <c r="D494" s="1676"/>
      <c r="E494" s="18" t="str">
        <f>OBRA!K494</f>
        <v>RAMO 33</v>
      </c>
      <c r="F494" s="525" t="s">
        <v>1431</v>
      </c>
      <c r="G494" s="552" t="s">
        <v>3566</v>
      </c>
      <c r="H494" s="580" t="s">
        <v>3566</v>
      </c>
      <c r="I494" s="552" t="s">
        <v>3566</v>
      </c>
      <c r="J494" s="339" t="str">
        <f>OBRA!U494</f>
        <v>SONAYBER INGENIERIA Y CONSTRUCCIONES S.A. DE C.V.</v>
      </c>
      <c r="K494" s="172" t="str">
        <f>OBRA!V494</f>
        <v>ING. J. GUADALUPE IBARRA RAMIREZ</v>
      </c>
      <c r="L494" s="180" t="str">
        <f>OBRA!L494</f>
        <v>GMJ 007C- OP/2020</v>
      </c>
      <c r="M494" s="202" t="str">
        <f>OBRA!M494</f>
        <v>ADJUDICACIÓN DIRECTA</v>
      </c>
      <c r="N494" s="328" t="str">
        <f>OBRA!N494</f>
        <v>"REHABILITACIÓN DE REDES HIDROSANITARIAS Y FABRICACIÓN DE SUPERFICIE DE RODAMIENTO EN PRIV. NICOLAS BRAVO ENTRE NICÓLAS BRAVO A CERRADA" DE LA CABECERA MUNICIPAL, DE JOCOTEPEC, JALISCO.</v>
      </c>
      <c r="O494" s="554" t="s">
        <v>3543</v>
      </c>
      <c r="P494" s="69">
        <f>OBRA!Q494</f>
        <v>43977</v>
      </c>
      <c r="Q494" s="85">
        <f>OBRA!P494</f>
        <v>334158.86</v>
      </c>
      <c r="R494" s="255">
        <f>OBRA!R494</f>
        <v>43984</v>
      </c>
      <c r="S494" s="245">
        <f>OBRA!S494</f>
        <v>44040</v>
      </c>
      <c r="T494" s="1601" t="s">
        <v>3860</v>
      </c>
      <c r="U494" s="216" t="s">
        <v>1431</v>
      </c>
      <c r="V494" s="549" t="s">
        <v>3566</v>
      </c>
      <c r="W494" s="668" t="s">
        <v>3566</v>
      </c>
      <c r="X494" s="1157">
        <f>OBRA!AP494</f>
        <v>150371.5</v>
      </c>
      <c r="Y494" s="341"/>
      <c r="Z494" s="341"/>
      <c r="AA494" s="5"/>
      <c r="AB494" s="351">
        <f>OBRA!BT494</f>
        <v>0</v>
      </c>
      <c r="AC494" s="1519"/>
      <c r="AD494" s="569" t="s">
        <v>551</v>
      </c>
    </row>
    <row r="495" spans="1:30" ht="105" hidden="1" customHeight="1">
      <c r="A495" s="23" t="s">
        <v>2239</v>
      </c>
      <c r="B495" s="933" t="str">
        <f>GRAL!B498</f>
        <v>2018-2021</v>
      </c>
      <c r="C495" s="17">
        <f>OBRA!I495</f>
        <v>2020</v>
      </c>
      <c r="D495" s="1676"/>
      <c r="E495" s="18" t="str">
        <f>OBRA!K495</f>
        <v>RAMO 33</v>
      </c>
      <c r="F495" s="695" t="s">
        <v>1431</v>
      </c>
      <c r="G495" s="552" t="s">
        <v>3699</v>
      </c>
      <c r="H495" s="580" t="s">
        <v>3699</v>
      </c>
      <c r="I495" s="552" t="s">
        <v>3699</v>
      </c>
      <c r="J495" s="56" t="str">
        <f>OBRA!U495</f>
        <v>CONSTRUCCIÓN Y SUPERVISIÓN COMA S.A. DE C.V.</v>
      </c>
      <c r="K495" s="172" t="str">
        <f>OBRA!V495</f>
        <v>LIC. SALVADOR CONTRERAS OLGUÍN</v>
      </c>
      <c r="L495" s="35"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54" t="s">
        <v>3543</v>
      </c>
      <c r="P495" s="6">
        <f>OBRA!Q495</f>
        <v>43977</v>
      </c>
      <c r="Q495" s="4">
        <f>OBRA!P495</f>
        <v>755011.1</v>
      </c>
      <c r="R495" s="5">
        <f>OBRA!R495</f>
        <v>43984</v>
      </c>
      <c r="S495" s="12">
        <f>OBRA!S495</f>
        <v>44037</v>
      </c>
      <c r="T495" s="1601" t="s">
        <v>3860</v>
      </c>
      <c r="U495" s="415" t="s">
        <v>1431</v>
      </c>
      <c r="V495" s="549" t="s">
        <v>3699</v>
      </c>
      <c r="W495" s="668" t="s">
        <v>3699</v>
      </c>
      <c r="X495" s="1155">
        <f>OBRA!AP495</f>
        <v>151002.22</v>
      </c>
      <c r="Y495" s="341"/>
      <c r="Z495" s="341"/>
      <c r="AA495" s="5"/>
      <c r="AB495" s="351">
        <f>OBRA!BT495</f>
        <v>0</v>
      </c>
      <c r="AC495" s="1605" t="s">
        <v>3869</v>
      </c>
      <c r="AD495" s="569"/>
    </row>
    <row r="496" spans="1:30" ht="84.75" hidden="1" customHeight="1">
      <c r="A496" s="23" t="s">
        <v>2239</v>
      </c>
      <c r="B496" s="933" t="str">
        <f>GRAL!B499</f>
        <v>2018-2021</v>
      </c>
      <c r="C496" s="17">
        <f>OBRA!I496</f>
        <v>2020</v>
      </c>
      <c r="D496" s="1676"/>
      <c r="E496" s="18" t="str">
        <f>OBRA!K496</f>
        <v>RAMO 33</v>
      </c>
      <c r="F496" s="525" t="s">
        <v>1431</v>
      </c>
      <c r="G496" s="552" t="s">
        <v>3559</v>
      </c>
      <c r="H496" s="580" t="s">
        <v>3559</v>
      </c>
      <c r="I496" s="552" t="s">
        <v>3559</v>
      </c>
      <c r="J496" s="56" t="str">
        <f>OBRA!U496</f>
        <v>GRUPO ARANGE, S.A. DE C.V.</v>
      </c>
      <c r="K496" s="172" t="str">
        <f>OBRA!V496</f>
        <v>ING. LUIS RIGOBERTO OLMEDO NAVARRO</v>
      </c>
      <c r="L496" s="35"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54" t="s">
        <v>3543</v>
      </c>
      <c r="P496" s="6">
        <f>OBRA!Q496</f>
        <v>44005</v>
      </c>
      <c r="Q496" s="4">
        <f>OBRA!P496</f>
        <v>317000</v>
      </c>
      <c r="R496" s="5">
        <f>OBRA!R496</f>
        <v>44032</v>
      </c>
      <c r="S496" s="12">
        <f>OBRA!S496</f>
        <v>44063</v>
      </c>
      <c r="T496" s="1601" t="s">
        <v>3860</v>
      </c>
      <c r="U496" s="216" t="s">
        <v>1431</v>
      </c>
      <c r="V496" s="549" t="s">
        <v>3559</v>
      </c>
      <c r="W496" s="668" t="s">
        <v>3559</v>
      </c>
      <c r="X496" s="1157">
        <f>OBRA!AP496</f>
        <v>153450</v>
      </c>
      <c r="Y496" s="341"/>
      <c r="Z496" s="341"/>
      <c r="AA496" s="5"/>
      <c r="AB496" s="351">
        <f>OBRA!BT496</f>
        <v>0</v>
      </c>
      <c r="AC496" s="1519"/>
      <c r="AD496" s="569" t="s">
        <v>551</v>
      </c>
    </row>
    <row r="497" spans="1:30" ht="85.5" hidden="1" customHeight="1">
      <c r="A497" s="23" t="s">
        <v>2239</v>
      </c>
      <c r="B497" s="933" t="str">
        <f>GRAL!B500</f>
        <v>2018-2021</v>
      </c>
      <c r="C497" s="17">
        <f>OBRA!I497</f>
        <v>2020</v>
      </c>
      <c r="D497" s="1676"/>
      <c r="E497" s="18" t="str">
        <f>OBRA!K497</f>
        <v>RAMO 33</v>
      </c>
      <c r="F497" s="695" t="s">
        <v>1431</v>
      </c>
      <c r="G497" s="546" t="s">
        <v>3553</v>
      </c>
      <c r="H497" s="545" t="s">
        <v>3553</v>
      </c>
      <c r="I497" s="546" t="s">
        <v>3628</v>
      </c>
      <c r="J497" s="56" t="str">
        <f>OBRA!U497</f>
        <v>ING. OCTAVIO AUGUSTO GONZALEZ TREJO</v>
      </c>
      <c r="K497" s="172" t="str">
        <f>OBRA!V497</f>
        <v>LIC. SALVADOR CONTRERAS OLGUÍN</v>
      </c>
      <c r="L497" s="35"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54" t="s">
        <v>3543</v>
      </c>
      <c r="P497" s="6">
        <f>OBRA!Q497</f>
        <v>43974</v>
      </c>
      <c r="Q497" s="4">
        <f>OBRA!P497</f>
        <v>239360.13</v>
      </c>
      <c r="R497" s="5">
        <f>OBRA!R497</f>
        <v>43976</v>
      </c>
      <c r="S497" s="12">
        <f>OBRA!S497</f>
        <v>43983</v>
      </c>
      <c r="T497" s="1601" t="s">
        <v>3860</v>
      </c>
      <c r="U497" s="415" t="s">
        <v>1431</v>
      </c>
      <c r="V497" s="549" t="s">
        <v>3628</v>
      </c>
      <c r="W497" s="668" t="s">
        <v>3628</v>
      </c>
      <c r="X497" s="1157">
        <f>OBRA!AP497</f>
        <v>47872.02</v>
      </c>
      <c r="Y497" s="341"/>
      <c r="Z497" s="341"/>
      <c r="AA497" s="5"/>
      <c r="AB497" s="351">
        <f>OBRA!BT497</f>
        <v>0</v>
      </c>
      <c r="AC497" s="1519"/>
      <c r="AD497" s="569" t="s">
        <v>551</v>
      </c>
    </row>
    <row r="498" spans="1:30" ht="88.5" hidden="1" customHeight="1">
      <c r="A498" s="23" t="s">
        <v>2239</v>
      </c>
      <c r="B498" s="933" t="str">
        <f>GRAL!B501</f>
        <v>2018-2021</v>
      </c>
      <c r="C498" s="17">
        <f>OBRA!I498</f>
        <v>2020</v>
      </c>
      <c r="D498" s="1676"/>
      <c r="E498" s="18" t="str">
        <f>OBRA!K498</f>
        <v>CUENTA CORRIENTE</v>
      </c>
      <c r="F498" s="525" t="s">
        <v>1431</v>
      </c>
      <c r="G498" s="546" t="s">
        <v>3554</v>
      </c>
      <c r="H498" s="545" t="s">
        <v>3554</v>
      </c>
      <c r="I498" s="546" t="s">
        <v>3629</v>
      </c>
      <c r="J498" s="56" t="str">
        <f>OBRA!U498</f>
        <v>ING. OCTAVIO AUGUSTO GONZALEZ TREJO</v>
      </c>
      <c r="K498" s="172" t="str">
        <f>OBRA!V498</f>
        <v>LIC. SALVADOR CONTRERAS OLGUÍN</v>
      </c>
      <c r="L498" s="35"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54" t="s">
        <v>3544</v>
      </c>
      <c r="P498" s="6">
        <f>OBRA!Q498</f>
        <v>43978</v>
      </c>
      <c r="Q498" s="4">
        <f>OBRA!P498</f>
        <v>410553.76</v>
      </c>
      <c r="R498" s="5">
        <f>OBRA!R498</f>
        <v>43952</v>
      </c>
      <c r="S498" s="12">
        <f>OBRA!S498</f>
        <v>43987</v>
      </c>
      <c r="T498" s="227" t="s">
        <v>3859</v>
      </c>
      <c r="U498" s="415" t="s">
        <v>1431</v>
      </c>
      <c r="V498" s="549" t="s">
        <v>3629</v>
      </c>
      <c r="W498" s="668" t="s">
        <v>3629</v>
      </c>
      <c r="X498" s="1157">
        <f>OBRA!AP498</f>
        <v>82110.740000000005</v>
      </c>
      <c r="Y498" s="341"/>
      <c r="Z498" s="341"/>
      <c r="AA498" s="5"/>
      <c r="AB498" s="351">
        <f>OBRA!BT498</f>
        <v>0</v>
      </c>
      <c r="AC498" s="1519"/>
      <c r="AD498" s="569" t="s">
        <v>551</v>
      </c>
    </row>
    <row r="499" spans="1:30" ht="110.25" hidden="1" customHeight="1">
      <c r="A499" s="23" t="s">
        <v>2239</v>
      </c>
      <c r="B499" s="933" t="str">
        <f>GRAL!B502</f>
        <v>2018-2021</v>
      </c>
      <c r="C499" s="17">
        <f>OBRA!I499</f>
        <v>2020</v>
      </c>
      <c r="D499" s="1676"/>
      <c r="E499" s="18" t="str">
        <f>OBRA!K499</f>
        <v>RAMO 33</v>
      </c>
      <c r="F499" s="695" t="s">
        <v>1431</v>
      </c>
      <c r="G499" s="546" t="s">
        <v>3701</v>
      </c>
      <c r="H499" s="545" t="s">
        <v>3567</v>
      </c>
      <c r="I499" s="546" t="s">
        <v>3567</v>
      </c>
      <c r="J499" s="56" t="str">
        <f>OBRA!U499</f>
        <v xml:space="preserve">INFRAESTRUCTURA Y EDIFICACIONES OROZCO S.A. DE C.V. </v>
      </c>
      <c r="K499" s="172" t="str">
        <f>OBRA!V499</f>
        <v>ING. J. GUADALUPE IBARRA RAMIREZ</v>
      </c>
      <c r="L499" s="35"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54" t="s">
        <v>3544</v>
      </c>
      <c r="P499" s="69">
        <f>OBRA!Q499</f>
        <v>43987</v>
      </c>
      <c r="Q499" s="4">
        <f>OBRA!P499</f>
        <v>1306545.6299999999</v>
      </c>
      <c r="R499" s="5">
        <f>OBRA!R499</f>
        <v>43990</v>
      </c>
      <c r="S499" s="12">
        <f>OBRA!S499</f>
        <v>44057</v>
      </c>
      <c r="T499" s="1601" t="s">
        <v>3860</v>
      </c>
      <c r="U499" s="415" t="s">
        <v>1431</v>
      </c>
      <c r="V499" s="549" t="s">
        <v>3701</v>
      </c>
      <c r="W499" s="668" t="s">
        <v>3701</v>
      </c>
      <c r="X499" s="1157">
        <f>OBRA!AP499</f>
        <v>391963.68</v>
      </c>
      <c r="Y499" s="341"/>
      <c r="Z499" s="341"/>
      <c r="AA499" s="5"/>
      <c r="AB499" s="351">
        <f>OBRA!BT499</f>
        <v>0</v>
      </c>
      <c r="AC499" s="1519"/>
      <c r="AD499" s="569" t="s">
        <v>551</v>
      </c>
    </row>
    <row r="500" spans="1:30" ht="113.25" hidden="1" customHeight="1">
      <c r="A500" s="23" t="s">
        <v>2239</v>
      </c>
      <c r="B500" s="933" t="str">
        <f>GRAL!B503</f>
        <v>2018-2021</v>
      </c>
      <c r="C500" s="17">
        <f>OBRA!I500</f>
        <v>2020</v>
      </c>
      <c r="D500" s="1676"/>
      <c r="E500" s="18" t="str">
        <f>OBRA!K500</f>
        <v>RAMO 33</v>
      </c>
      <c r="F500" s="525" t="s">
        <v>1431</v>
      </c>
      <c r="G500" s="552" t="s">
        <v>3568</v>
      </c>
      <c r="H500" s="580" t="s">
        <v>3568</v>
      </c>
      <c r="I500" s="552" t="s">
        <v>3568</v>
      </c>
      <c r="J500" s="339" t="str">
        <f>OBRA!U500</f>
        <v>GRUPO CONSTRUCTOR EDVI SA DE CV</v>
      </c>
      <c r="K500" s="172" t="str">
        <f>OBRA!V500</f>
        <v>ING. LUIS RIGOBERTO OLMEDO NAVARRO</v>
      </c>
      <c r="L500" s="35"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54" t="s">
        <v>3544</v>
      </c>
      <c r="P500" s="69">
        <f>OBRA!Q500</f>
        <v>43994</v>
      </c>
      <c r="Q500" s="4">
        <f>OBRA!P500</f>
        <v>281826.5</v>
      </c>
      <c r="R500" s="5">
        <f>OBRA!R500</f>
        <v>43997</v>
      </c>
      <c r="S500" s="12">
        <f>OBRA!S500</f>
        <v>44011</v>
      </c>
      <c r="T500" s="1601" t="s">
        <v>3860</v>
      </c>
      <c r="U500" s="415" t="s">
        <v>1431</v>
      </c>
      <c r="V500" s="549" t="s">
        <v>3568</v>
      </c>
      <c r="W500" s="668" t="s">
        <v>3568</v>
      </c>
      <c r="X500" s="1157">
        <f>OBRA!AP500</f>
        <v>56365.3</v>
      </c>
      <c r="Y500" s="341"/>
      <c r="Z500" s="341"/>
      <c r="AA500" s="5"/>
      <c r="AB500" s="351">
        <f>OBRA!BT500</f>
        <v>0</v>
      </c>
      <c r="AC500" s="1519"/>
      <c r="AD500" s="569" t="s">
        <v>551</v>
      </c>
    </row>
    <row r="501" spans="1:30" ht="120" hidden="1" customHeight="1">
      <c r="A501" s="23" t="s">
        <v>2239</v>
      </c>
      <c r="B501" s="933" t="str">
        <f>GRAL!B504</f>
        <v>2018-2021</v>
      </c>
      <c r="C501" s="17">
        <f>OBRA!I501</f>
        <v>2020</v>
      </c>
      <c r="D501" s="1676"/>
      <c r="E501" s="18" t="str">
        <f>OBRA!K501</f>
        <v>RAMO 33</v>
      </c>
      <c r="F501" s="695" t="s">
        <v>1431</v>
      </c>
      <c r="G501" s="546" t="s">
        <v>3561</v>
      </c>
      <c r="H501" s="580" t="s">
        <v>3702</v>
      </c>
      <c r="I501" s="552" t="s">
        <v>3561</v>
      </c>
      <c r="J501" s="339" t="str">
        <f>OBRA!U501</f>
        <v>GRUPO ARANGE, S.A. DE C.V.</v>
      </c>
      <c r="K501" s="172" t="str">
        <f>OBRA!V501</f>
        <v>LIC. SALVADOR CONTRERAS OLGUÍN</v>
      </c>
      <c r="L501" s="180" t="str">
        <f>OBRA!L501</f>
        <v>GMJ 014C- OP/2020</v>
      </c>
      <c r="M501" s="202" t="str">
        <f>OBRA!M501</f>
        <v>ADJUDICACIÓN DIRECTA</v>
      </c>
      <c r="N501" s="328" t="str">
        <f>OBRA!N501</f>
        <v>"CONSTRUCCIÓN DE RED DE DRENAJE Y CONSTRUCCIÓN DE RED DE AGUA POTABLE EN CALLE GUADALUPE VICTORIA ENTRE AVENIDA DE LOS MAESTROS Y FILOSOFOS" DE LA CABECERA MUNICIPAL, DE JOCOTEPEC, JALISCO.</v>
      </c>
      <c r="O501" s="554" t="s">
        <v>3544</v>
      </c>
      <c r="P501" s="69">
        <f>OBRA!Q501</f>
        <v>43994</v>
      </c>
      <c r="Q501" s="85">
        <f>OBRA!P501</f>
        <v>241381.67</v>
      </c>
      <c r="R501" s="255">
        <f>OBRA!R501</f>
        <v>44000</v>
      </c>
      <c r="S501" s="245">
        <f>OBRA!S501</f>
        <v>44030</v>
      </c>
      <c r="T501" s="1601" t="s">
        <v>3860</v>
      </c>
      <c r="U501" s="216" t="s">
        <v>1431</v>
      </c>
      <c r="V501" s="549" t="s">
        <v>3561</v>
      </c>
      <c r="W501" s="668" t="s">
        <v>3561</v>
      </c>
      <c r="X501" s="1157">
        <f>OBRA!AP501</f>
        <v>48276.2</v>
      </c>
      <c r="Y501" s="341"/>
      <c r="Z501" s="341"/>
      <c r="AA501" s="5"/>
      <c r="AB501" s="351">
        <f>OBRA!BT501</f>
        <v>0</v>
      </c>
      <c r="AC501" s="1519"/>
      <c r="AD501" s="569" t="s">
        <v>551</v>
      </c>
    </row>
    <row r="502" spans="1:30" ht="106.5" hidden="1" customHeight="1">
      <c r="A502" s="23" t="s">
        <v>2239</v>
      </c>
      <c r="B502" s="933" t="str">
        <f>GRAL!B505</f>
        <v>2018-2021</v>
      </c>
      <c r="C502" s="17">
        <f>OBRA!I502</f>
        <v>2020</v>
      </c>
      <c r="D502" s="1676"/>
      <c r="E502" s="18" t="str">
        <f>OBRA!K502</f>
        <v>CUENTA CORRIENTE</v>
      </c>
      <c r="F502" s="1510" t="s">
        <v>1431</v>
      </c>
      <c r="G502" s="546" t="s">
        <v>3562</v>
      </c>
      <c r="H502" s="545" t="s">
        <v>3703</v>
      </c>
      <c r="I502" s="546" t="s">
        <v>3703</v>
      </c>
      <c r="J502" s="339" t="str">
        <f>OBRA!U502</f>
        <v>GRUPO CONSTRUCOR PAVIMAQ, S.A. DE C.V.</v>
      </c>
      <c r="K502" s="172" t="str">
        <f>OBRA!V502</f>
        <v>ARQ. CESAR ANTONIO ALONSO JIMENEZ</v>
      </c>
      <c r="L502" s="180" t="str">
        <f>OBRA!L502</f>
        <v>GMJ 015C- OP/2020</v>
      </c>
      <c r="M502" s="202" t="str">
        <f>OBRA!M502</f>
        <v>ADJUDICACIÓN DIRECTA</v>
      </c>
      <c r="N502" s="328" t="str">
        <f>OBRA!N502</f>
        <v>"CONSTRUCCIÓN DE LÍNEA DE DRENAJE SANITARIO Y LINEA DE AGUA POTABLE EN CALLE GUADALUPE VICTORIA ENTRE FILOSOFOS Y CIENTIFICOS" DE LA CABECERA MUNICIPAL, DE JOCOTEPEC, JALISCO.</v>
      </c>
      <c r="O502" s="554" t="s">
        <v>3544</v>
      </c>
      <c r="P502" s="1511">
        <f>OBRA!Q502</f>
        <v>44012</v>
      </c>
      <c r="Q502" s="759">
        <f>OBRA!P502</f>
        <v>232396.73</v>
      </c>
      <c r="R502" s="1512">
        <f>OBRA!R502</f>
        <v>44046</v>
      </c>
      <c r="S502" s="642">
        <f>OBRA!S502</f>
        <v>44099</v>
      </c>
      <c r="T502" s="227" t="s">
        <v>3859</v>
      </c>
      <c r="U502" s="1477" t="s">
        <v>1431</v>
      </c>
      <c r="V502" s="549" t="s">
        <v>3703</v>
      </c>
      <c r="W502" s="668" t="s">
        <v>3703</v>
      </c>
      <c r="X502" s="1157">
        <f>OBRA!AP502</f>
        <v>48410.119999999995</v>
      </c>
      <c r="Y502" s="341"/>
      <c r="Z502" s="341"/>
      <c r="AA502" s="5"/>
      <c r="AB502" s="351">
        <f>OBRA!BT502</f>
        <v>0</v>
      </c>
      <c r="AC502" s="1519"/>
      <c r="AD502" s="569" t="s">
        <v>551</v>
      </c>
    </row>
    <row r="503" spans="1:30" ht="91.5" hidden="1" customHeight="1">
      <c r="A503" s="23" t="s">
        <v>2239</v>
      </c>
      <c r="B503" s="933" t="str">
        <f>GRAL!B506</f>
        <v>2018-2021</v>
      </c>
      <c r="C503" s="17">
        <f>OBRA!I503</f>
        <v>2020</v>
      </c>
      <c r="D503" s="1676"/>
      <c r="E503" s="18" t="str">
        <f>OBRA!K503</f>
        <v>CUENTA CORRIENTE</v>
      </c>
      <c r="F503" s="695" t="s">
        <v>1431</v>
      </c>
      <c r="G503" s="546" t="s">
        <v>3637</v>
      </c>
      <c r="H503" s="545" t="s">
        <v>3637</v>
      </c>
      <c r="I503" s="546" t="s">
        <v>3637</v>
      </c>
      <c r="J503" s="339" t="str">
        <f>OBRA!U503</f>
        <v>SERVICIO Y CONSTRUCCIÓN NATENIO S.A. DE C.V.</v>
      </c>
      <c r="K503" s="172" t="str">
        <f>OBRA!V503</f>
        <v>ING. J. GUADALUPE IBARRA RAMIREZ</v>
      </c>
      <c r="L503" s="180" t="str">
        <f>OBRA!L503</f>
        <v>GMJ 016C- OP/2020</v>
      </c>
      <c r="M503" s="202" t="str">
        <f>OBRA!M503</f>
        <v>ADJUDICACIÓN DIRECTA</v>
      </c>
      <c r="N503" s="328" t="str">
        <f>OBRA!N503</f>
        <v>"COLOCACIÓN DE EMPEDRADO AHOGADO EN CEMENTO CALLE JAVIER MINA ENTRE CALLE SIN NOMBRE Y ALLENDE" EN LA LOCALIDAD DE EL MOLINO DEL MUNICIPIO DE JOCOTEPEC, JALISCO.</v>
      </c>
      <c r="O503" s="554" t="s">
        <v>3544</v>
      </c>
      <c r="P503" s="69">
        <f>OBRA!Q503</f>
        <v>44007</v>
      </c>
      <c r="Q503" s="85">
        <f>OBRA!P503</f>
        <v>302749.5</v>
      </c>
      <c r="R503" s="255">
        <f>OBRA!R503</f>
        <v>44008</v>
      </c>
      <c r="S503" s="245">
        <f>OBRA!S503</f>
        <v>44074</v>
      </c>
      <c r="T503" s="227" t="s">
        <v>3859</v>
      </c>
      <c r="U503" s="1477" t="s">
        <v>1431</v>
      </c>
      <c r="V503" s="549" t="s">
        <v>3637</v>
      </c>
      <c r="W503" s="668" t="s">
        <v>3637</v>
      </c>
      <c r="X503" s="1157">
        <f>OBRA!AP503</f>
        <v>60549</v>
      </c>
      <c r="Y503" s="341"/>
      <c r="Z503" s="341"/>
      <c r="AA503" s="5"/>
      <c r="AB503" s="351">
        <f>OBRA!BT503</f>
        <v>0</v>
      </c>
      <c r="AC503" s="1519"/>
      <c r="AD503" s="569" t="s">
        <v>551</v>
      </c>
    </row>
    <row r="504" spans="1:30" ht="102" hidden="1" customHeight="1">
      <c r="A504" s="23" t="s">
        <v>2239</v>
      </c>
      <c r="B504" s="933" t="str">
        <f>GRAL!B507</f>
        <v>2018-2021</v>
      </c>
      <c r="C504" s="17">
        <f>OBRA!I504</f>
        <v>2020</v>
      </c>
      <c r="D504" s="1676"/>
      <c r="E504" s="18" t="str">
        <f>OBRA!K504</f>
        <v>CUENTA CORRIENTE</v>
      </c>
      <c r="F504" s="525" t="s">
        <v>1431</v>
      </c>
      <c r="G504" s="546" t="s">
        <v>3638</v>
      </c>
      <c r="H504" s="545" t="s">
        <v>3638</v>
      </c>
      <c r="I504" s="546" t="s">
        <v>3638</v>
      </c>
      <c r="J504" s="56" t="str">
        <f>OBRA!U504</f>
        <v>SERVICIO Y CONSTRUCCIÓN NATENIO S.A. DE C.V.</v>
      </c>
      <c r="K504" s="172" t="str">
        <f>OBRA!V504</f>
        <v>ING. J. GUADALUPE IBARRA RAMIREZ</v>
      </c>
      <c r="L504" s="35"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54" t="s">
        <v>3544</v>
      </c>
      <c r="P504" s="6">
        <f>OBRA!Q504</f>
        <v>44012</v>
      </c>
      <c r="Q504" s="4">
        <f>OBRA!P504</f>
        <v>423536.77</v>
      </c>
      <c r="R504" s="5">
        <f>OBRA!R504</f>
        <v>44018</v>
      </c>
      <c r="S504" s="12">
        <f>OBRA!S504</f>
        <v>44104</v>
      </c>
      <c r="T504" s="227" t="s">
        <v>3859</v>
      </c>
      <c r="U504" s="415" t="s">
        <v>1431</v>
      </c>
      <c r="V504" s="549" t="s">
        <v>3638</v>
      </c>
      <c r="W504" s="668" t="s">
        <v>3638</v>
      </c>
      <c r="X504" s="1157">
        <f>OBRA!AP504</f>
        <v>84707.34</v>
      </c>
      <c r="Y504" s="341"/>
      <c r="Z504" s="341"/>
      <c r="AA504" s="5"/>
      <c r="AB504" s="351">
        <f>OBRA!BT504</f>
        <v>0</v>
      </c>
      <c r="AC504" s="1519"/>
      <c r="AD504" s="569" t="s">
        <v>551</v>
      </c>
    </row>
    <row r="505" spans="1:30" ht="76.5" hidden="1" customHeight="1">
      <c r="A505" s="23" t="s">
        <v>2239</v>
      </c>
      <c r="B505" s="933" t="str">
        <f>GRAL!B508</f>
        <v>2018-2021</v>
      </c>
      <c r="C505" s="17">
        <f>OBRA!I505</f>
        <v>2020</v>
      </c>
      <c r="D505" s="1676"/>
      <c r="E505" s="18" t="str">
        <f>OBRA!K505</f>
        <v>RAMO 33</v>
      </c>
      <c r="F505" s="525" t="s">
        <v>1431</v>
      </c>
      <c r="G505" s="171"/>
      <c r="H505" s="545" t="s">
        <v>3639</v>
      </c>
      <c r="I505" s="171"/>
      <c r="J505" s="56" t="str">
        <f>OBRA!U505</f>
        <v>JESSICA MONSERRAT RIVERA TORRES</v>
      </c>
      <c r="K505" s="172" t="str">
        <f>OBRA!V505</f>
        <v>ING. RIGOBERTO OLMEDO RAMOS</v>
      </c>
      <c r="L505" s="35" t="str">
        <f>OBRA!L505</f>
        <v>GMJ 018C- OP/2020</v>
      </c>
      <c r="M505" s="2" t="str">
        <f>OBRA!M505</f>
        <v>ADJUDICACIÓN DIRECTA</v>
      </c>
      <c r="N505" s="3" t="str">
        <f>OBRA!N505</f>
        <v>"EQUIPAMIENTO DE POZO PROFUNDO DE AGUA POTABLE" EN LA AGENCIA MINICIPAL DE CHANTEPEC, DEL MUNICIPIO DE JOCOTEPEC, JALISCO.</v>
      </c>
      <c r="O505" s="554" t="s">
        <v>3544</v>
      </c>
      <c r="P505" s="6">
        <f>OBRA!Q505</f>
        <v>44019</v>
      </c>
      <c r="Q505" s="4">
        <f>OBRA!P505</f>
        <v>174784.71</v>
      </c>
      <c r="R505" s="5">
        <f>OBRA!R505</f>
        <v>44032</v>
      </c>
      <c r="S505" s="12">
        <f>OBRA!S505</f>
        <v>44051</v>
      </c>
      <c r="T505" s="1601" t="s">
        <v>3860</v>
      </c>
      <c r="U505" s="415" t="s">
        <v>1431</v>
      </c>
      <c r="V505" s="591"/>
      <c r="W505" s="668" t="s">
        <v>3639</v>
      </c>
      <c r="X505" s="1157">
        <f>OBRA!AP505</f>
        <v>61174.65</v>
      </c>
      <c r="Y505" s="341"/>
      <c r="Z505" s="341"/>
      <c r="AA505" s="5"/>
      <c r="AB505" s="351">
        <f>OBRA!BT505</f>
        <v>0</v>
      </c>
      <c r="AC505" s="1514" t="s">
        <v>3707</v>
      </c>
      <c r="AD505" s="569"/>
    </row>
    <row r="506" spans="1:30" ht="78" hidden="1" customHeight="1">
      <c r="A506" s="23" t="s">
        <v>2239</v>
      </c>
      <c r="B506" s="933" t="str">
        <f>GRAL!B509</f>
        <v>2018-2021</v>
      </c>
      <c r="C506" s="17">
        <f>OBRA!I506</f>
        <v>2020</v>
      </c>
      <c r="D506" s="1676"/>
      <c r="E506" s="18" t="str">
        <f>OBRA!K506</f>
        <v>RAMO 33</v>
      </c>
      <c r="F506" s="525" t="s">
        <v>1431</v>
      </c>
      <c r="G506" s="179" t="s">
        <v>1177</v>
      </c>
      <c r="H506" s="202" t="s">
        <v>1177</v>
      </c>
      <c r="I506" s="546" t="s">
        <v>3640</v>
      </c>
      <c r="J506" s="339" t="str">
        <f>OBRA!U506</f>
        <v>JESSICA MONSERRAT RIVERA TORRES</v>
      </c>
      <c r="K506" s="172" t="str">
        <f>OBRA!V506</f>
        <v>ING. RIGOBERTO OLMEDO RAMOS</v>
      </c>
      <c r="L506" s="180" t="str">
        <f>OBRA!L506</f>
        <v>GMJ 019C- OP/2020</v>
      </c>
      <c r="M506" s="202" t="str">
        <f>OBRA!M506</f>
        <v>ADJUDICACIÓN DIRECTA</v>
      </c>
      <c r="N506" s="328" t="str">
        <f>OBRA!N506</f>
        <v>"REHABILITACIÓN DE POZO PROFUNDO DE AGUA POTABLE EN LA AGENCIA DE NEXTIPAC", DEL MUNICIPIO DE JOCOTEPEC, JALISCO.</v>
      </c>
      <c r="O506" s="554" t="s">
        <v>3544</v>
      </c>
      <c r="P506" s="69">
        <f>OBRA!Q506</f>
        <v>44019</v>
      </c>
      <c r="Q506" s="85">
        <f>OBRA!P506</f>
        <v>165908.29999999999</v>
      </c>
      <c r="R506" s="255">
        <f>OBRA!R506</f>
        <v>44032</v>
      </c>
      <c r="S506" s="245">
        <f>OBRA!S506</f>
        <v>44051</v>
      </c>
      <c r="T506" s="1601" t="s">
        <v>3860</v>
      </c>
      <c r="U506" s="216" t="s">
        <v>1431</v>
      </c>
      <c r="V506" s="349" t="s">
        <v>1177</v>
      </c>
      <c r="W506" s="642" t="s">
        <v>1177</v>
      </c>
      <c r="X506" s="1157">
        <f>OBRA!AP506</f>
        <v>41477.089999999997</v>
      </c>
      <c r="Y506" s="341"/>
      <c r="Z506" s="341"/>
      <c r="AA506" s="5"/>
      <c r="AB506" s="351">
        <f>OBRA!BT506</f>
        <v>0</v>
      </c>
      <c r="AC506" s="1234" t="s">
        <v>3619</v>
      </c>
      <c r="AD506" s="569" t="s">
        <v>551</v>
      </c>
    </row>
    <row r="507" spans="1:30" ht="15" hidden="1" customHeight="1">
      <c r="A507" s="23" t="s">
        <v>2239</v>
      </c>
      <c r="B507" s="933" t="str">
        <f>GRAL!B510</f>
        <v>2018-2021</v>
      </c>
      <c r="C507" s="17">
        <f>OBRA!I507</f>
        <v>2020</v>
      </c>
      <c r="D507" s="1676"/>
      <c r="E507" s="715">
        <f>OBRA!K507</f>
        <v>0</v>
      </c>
      <c r="F507" s="1374"/>
      <c r="G507" s="1300"/>
      <c r="H507" s="239"/>
      <c r="I507" s="1300"/>
      <c r="J507" s="1410">
        <f>OBRA!U507</f>
        <v>0</v>
      </c>
      <c r="K507" s="1279">
        <f>OBRA!V507</f>
        <v>0</v>
      </c>
      <c r="L507" s="280" t="str">
        <f>OBRA!L507</f>
        <v>GMJ 020C- OP/2020</v>
      </c>
      <c r="M507" s="560" t="str">
        <f>OBRA!M507</f>
        <v>CANCELADA</v>
      </c>
      <c r="N507" s="597" t="str">
        <f>OBRA!N507</f>
        <v>CONTRATO CANCELADO</v>
      </c>
      <c r="O507" s="597"/>
      <c r="P507" s="214">
        <f>OBRA!Q507</f>
        <v>0</v>
      </c>
      <c r="Q507" s="65">
        <f>OBRA!P507</f>
        <v>0</v>
      </c>
      <c r="R507" s="521">
        <f>OBRA!R507</f>
        <v>0</v>
      </c>
      <c r="S507" s="559">
        <f>OBRA!S507</f>
        <v>0</v>
      </c>
      <c r="T507" s="792"/>
      <c r="U507" s="415" t="s">
        <v>1431</v>
      </c>
      <c r="V507" s="558"/>
      <c r="W507" s="559"/>
      <c r="X507" s="1157">
        <f>OBRA!AP507</f>
        <v>0</v>
      </c>
      <c r="Y507" s="341"/>
      <c r="Z507" s="341"/>
      <c r="AA507" s="5"/>
      <c r="AB507" s="351">
        <f>OBRA!BT507</f>
        <v>0</v>
      </c>
      <c r="AC507" s="569"/>
      <c r="AD507" s="569"/>
    </row>
    <row r="508" spans="1:30" ht="108" hidden="1" customHeight="1">
      <c r="A508" s="23" t="s">
        <v>2239</v>
      </c>
      <c r="B508" s="933" t="str">
        <f>GRAL!B511</f>
        <v>2018-2021</v>
      </c>
      <c r="C508" s="17">
        <f>OBRA!I508</f>
        <v>2020</v>
      </c>
      <c r="D508" s="1676"/>
      <c r="E508" s="18" t="str">
        <f>OBRA!K508</f>
        <v>RAMO 33</v>
      </c>
      <c r="F508" s="695" t="s">
        <v>1431</v>
      </c>
      <c r="G508" s="546" t="s">
        <v>3700</v>
      </c>
      <c r="H508" s="545" t="s">
        <v>3700</v>
      </c>
      <c r="I508" s="546" t="s">
        <v>3700</v>
      </c>
      <c r="J508" s="339" t="str">
        <f>OBRA!U508</f>
        <v xml:space="preserve">DESARROLLO DAP S.A. DE C.V. </v>
      </c>
      <c r="K508" s="172" t="str">
        <f>OBRA!V508</f>
        <v>ARQ. JAIME CONDE GOMEZ</v>
      </c>
      <c r="L508" s="180" t="str">
        <f>OBRA!L508</f>
        <v>GMJ 021C- OP/2020</v>
      </c>
      <c r="M508" s="202" t="str">
        <f>OBRA!M508</f>
        <v>ADJUDICACIÓN DIRECTA</v>
      </c>
      <c r="N508" s="328" t="str">
        <f>OBRA!N508</f>
        <v>"CONSTRUCCIÓN DE EMPEDRADO NORMAL CON HUELLAS DE CONCRETO EN CALLE EMILIANO ZAPATA ENTRE PIPILA Y CALLE CERRADA" DE LA LOCALIDAD DE ZAPOTITÁN DE HIDALGO, EL MUNICIPIO DE JOCOTEPEC, JALISCO.</v>
      </c>
      <c r="O508" s="510" t="s">
        <v>3545</v>
      </c>
      <c r="P508" s="69">
        <f>OBRA!Q508</f>
        <v>44021</v>
      </c>
      <c r="Q508" s="85">
        <f>OBRA!P508</f>
        <v>773550.52</v>
      </c>
      <c r="R508" s="255">
        <f>OBRA!R508</f>
        <v>44032</v>
      </c>
      <c r="S508" s="245">
        <f>OBRA!S508</f>
        <v>44077</v>
      </c>
      <c r="T508" s="1601" t="s">
        <v>3860</v>
      </c>
      <c r="U508" s="216" t="s">
        <v>1431</v>
      </c>
      <c r="V508" s="549" t="s">
        <v>3700</v>
      </c>
      <c r="W508" s="668" t="s">
        <v>3700</v>
      </c>
      <c r="X508" s="1157">
        <f>OBRA!AP508</f>
        <v>348563.12</v>
      </c>
      <c r="Y508" s="341"/>
      <c r="Z508" s="341"/>
      <c r="AA508" s="5"/>
      <c r="AB508" s="351">
        <f>OBRA!BT508</f>
        <v>0</v>
      </c>
      <c r="AC508" s="1519"/>
      <c r="AD508" s="569" t="s">
        <v>551</v>
      </c>
    </row>
    <row r="509" spans="1:30" ht="155.25" hidden="1" customHeight="1">
      <c r="A509" s="23" t="s">
        <v>2239</v>
      </c>
      <c r="B509" s="933" t="str">
        <f>GRAL!B512</f>
        <v>2018-2021</v>
      </c>
      <c r="C509" s="17">
        <f>OBRA!I509</f>
        <v>2020</v>
      </c>
      <c r="D509" s="1676"/>
      <c r="E509" s="532" t="str">
        <f>OBRA!K509</f>
        <v>RAMO 33</v>
      </c>
      <c r="F509" s="695" t="s">
        <v>1431</v>
      </c>
      <c r="G509" s="546" t="s">
        <v>3569</v>
      </c>
      <c r="H509" s="545" t="s">
        <v>3569</v>
      </c>
      <c r="I509" s="546" t="s">
        <v>3704</v>
      </c>
      <c r="J509" s="56" t="str">
        <f>OBRA!U509</f>
        <v xml:space="preserve">BAUEN INGENIERÍA Y MAQUINARIA S.A. DE C.V. </v>
      </c>
      <c r="K509" s="57" t="str">
        <f>OBRA!V509</f>
        <v>ARQ. JAIME CONDE GOMEZ</v>
      </c>
      <c r="L509" s="35"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3545</v>
      </c>
      <c r="P509" s="6">
        <f>OBRA!Q509</f>
        <v>44021</v>
      </c>
      <c r="Q509" s="4">
        <f>OBRA!P509</f>
        <v>844236.05</v>
      </c>
      <c r="R509" s="5">
        <f>OBRA!R509</f>
        <v>44027</v>
      </c>
      <c r="S509" s="12">
        <f>OBRA!S509</f>
        <v>44088</v>
      </c>
      <c r="T509" s="1601" t="s">
        <v>3860</v>
      </c>
      <c r="U509" s="415" t="s">
        <v>1431</v>
      </c>
      <c r="V509" s="549" t="s">
        <v>3569</v>
      </c>
      <c r="W509" s="668" t="s">
        <v>3569</v>
      </c>
      <c r="X509" s="1157">
        <f>OBRA!AP509</f>
        <v>168847.22</v>
      </c>
      <c r="Y509" s="341"/>
      <c r="Z509" s="341"/>
      <c r="AA509" s="5"/>
      <c r="AB509" s="351">
        <f>OBRA!BT509</f>
        <v>0</v>
      </c>
      <c r="AC509" s="1519"/>
      <c r="AD509" s="569" t="s">
        <v>551</v>
      </c>
    </row>
    <row r="510" spans="1:30" ht="80.25" hidden="1" customHeight="1">
      <c r="A510" s="23" t="s">
        <v>2239</v>
      </c>
      <c r="B510" s="933" t="str">
        <f>GRAL!B513</f>
        <v>2018-2021</v>
      </c>
      <c r="C510" s="17">
        <f>OBRA!I510</f>
        <v>2020</v>
      </c>
      <c r="D510" s="1676"/>
      <c r="E510" s="18" t="str">
        <f>OBRA!K510</f>
        <v>RAMO 33</v>
      </c>
      <c r="F510" s="525" t="s">
        <v>1431</v>
      </c>
      <c r="G510" s="171"/>
      <c r="H510" s="545" t="s">
        <v>3641</v>
      </c>
      <c r="I510" s="546" t="s">
        <v>3641</v>
      </c>
      <c r="J510" s="339" t="str">
        <f>OBRA!U510</f>
        <v>JESSICA MONSERRAT RIVERA TORRES</v>
      </c>
      <c r="K510" s="172" t="str">
        <f>OBRA!V510</f>
        <v>ING. RIGOBERTO OLMEDO RAMOS</v>
      </c>
      <c r="L510" s="180" t="str">
        <f>OBRA!L510</f>
        <v>GMJ 023C- OP/2020</v>
      </c>
      <c r="M510" s="202" t="str">
        <f>OBRA!M510</f>
        <v>ADJUDICACIÓN DIRECTA</v>
      </c>
      <c r="N510" s="328" t="str">
        <f>OBRA!N510</f>
        <v xml:space="preserve">"REHABILITACIÓN DE POZO PROFUNDO DE AGUA POTABLE EN CALLE JOSE SANTANA", EN LA CABECERA MUNICIPAL DE JOCOTEPEC, JALISCO </v>
      </c>
      <c r="O510" s="510" t="s">
        <v>3545</v>
      </c>
      <c r="P510" s="69">
        <f>OBRA!Q510</f>
        <v>44019</v>
      </c>
      <c r="Q510" s="85">
        <f>OBRA!P510</f>
        <v>189588.54</v>
      </c>
      <c r="R510" s="255">
        <f>OBRA!R510</f>
        <v>44032</v>
      </c>
      <c r="S510" s="245">
        <f>OBRA!S510</f>
        <v>44051</v>
      </c>
      <c r="T510" s="1601" t="s">
        <v>3860</v>
      </c>
      <c r="U510" s="216" t="s">
        <v>1431</v>
      </c>
      <c r="V510" s="549" t="s">
        <v>3641</v>
      </c>
      <c r="W510" s="668" t="s">
        <v>3641</v>
      </c>
      <c r="X510" s="1157">
        <f>OBRA!AP510</f>
        <v>66356</v>
      </c>
      <c r="Y510" s="341"/>
      <c r="Z510" s="341"/>
      <c r="AA510" s="5"/>
      <c r="AB510" s="351">
        <f>OBRA!BT510</f>
        <v>0</v>
      </c>
      <c r="AC510" s="1514" t="s">
        <v>3707</v>
      </c>
      <c r="AD510" s="569"/>
    </row>
    <row r="511" spans="1:30" ht="136.5" hidden="1" customHeight="1">
      <c r="A511" s="23" t="s">
        <v>2239</v>
      </c>
      <c r="B511" s="933" t="str">
        <f>GRAL!B514</f>
        <v>2018-2021</v>
      </c>
      <c r="C511" s="17">
        <f>OBRA!I511</f>
        <v>2020</v>
      </c>
      <c r="D511" s="1676"/>
      <c r="E511" s="18" t="str">
        <f>OBRA!K511</f>
        <v>RAMO 33</v>
      </c>
      <c r="F511" s="525" t="s">
        <v>1431</v>
      </c>
      <c r="G511" s="546" t="s">
        <v>3549</v>
      </c>
      <c r="H511" s="545" t="s">
        <v>3549</v>
      </c>
      <c r="I511" s="171"/>
      <c r="J511" s="56" t="str">
        <f>OBRA!U511</f>
        <v>ING. SERGIO CABRERA</v>
      </c>
      <c r="K511" s="57" t="str">
        <f>OBRA!V511</f>
        <v>ING. LUIS RIGOBERTO OLMEDO NAVARRO</v>
      </c>
      <c r="L511" s="35"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510" t="s">
        <v>3545</v>
      </c>
      <c r="P511" s="6">
        <f>OBRA!Q511</f>
        <v>44028</v>
      </c>
      <c r="Q511" s="4">
        <f>OBRA!P511</f>
        <v>1003699.45</v>
      </c>
      <c r="R511" s="5">
        <f>OBRA!R511</f>
        <v>44032</v>
      </c>
      <c r="S511" s="12">
        <f>OBRA!S511</f>
        <v>44089</v>
      </c>
      <c r="T511" s="1601" t="s">
        <v>3860</v>
      </c>
      <c r="U511" s="415" t="s">
        <v>1431</v>
      </c>
      <c r="V511" s="549" t="s">
        <v>3549</v>
      </c>
      <c r="W511" s="668" t="s">
        <v>3549</v>
      </c>
      <c r="X511" s="1157">
        <f>OBRA!AP511</f>
        <v>451664.74</v>
      </c>
      <c r="Y511" s="341"/>
      <c r="Z511" s="341"/>
      <c r="AA511" s="5"/>
      <c r="AB511" s="351">
        <f>OBRA!BT511</f>
        <v>0</v>
      </c>
      <c r="AC511" s="1514" t="s">
        <v>3707</v>
      </c>
      <c r="AD511" s="569"/>
    </row>
    <row r="512" spans="1:30" ht="144.75" hidden="1" customHeight="1">
      <c r="A512" s="23" t="s">
        <v>2239</v>
      </c>
      <c r="B512" s="933" t="str">
        <f>GRAL!B515</f>
        <v>2018-2021</v>
      </c>
      <c r="C512" s="17">
        <f>OBRA!I512</f>
        <v>2020</v>
      </c>
      <c r="D512" s="1676"/>
      <c r="E512" s="18" t="str">
        <f>OBRA!K512</f>
        <v>RAMO 33</v>
      </c>
      <c r="F512" s="525" t="s">
        <v>1431</v>
      </c>
      <c r="G512" s="546" t="s">
        <v>3548</v>
      </c>
      <c r="H512" s="545" t="s">
        <v>3548</v>
      </c>
      <c r="I512" s="171"/>
      <c r="J512" s="56" t="str">
        <f>OBRA!U512</f>
        <v>ING. SERGIO CABRERA</v>
      </c>
      <c r="K512" s="57" t="str">
        <f>OBRA!V512</f>
        <v>ING. LUIS RIGOBERTO OLMEDO NAVARRO</v>
      </c>
      <c r="L512" s="35"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3545</v>
      </c>
      <c r="P512" s="6">
        <f>OBRA!Q512</f>
        <v>44028</v>
      </c>
      <c r="Q512" s="4">
        <f>OBRA!P512</f>
        <v>961974.96</v>
      </c>
      <c r="R512" s="5">
        <f>OBRA!R512</f>
        <v>44032</v>
      </c>
      <c r="S512" s="12">
        <f>OBRA!S512</f>
        <v>44089</v>
      </c>
      <c r="T512" s="1601" t="s">
        <v>3860</v>
      </c>
      <c r="U512" s="415" t="s">
        <v>1431</v>
      </c>
      <c r="V512" s="549" t="s">
        <v>3548</v>
      </c>
      <c r="W512" s="668" t="s">
        <v>3548</v>
      </c>
      <c r="X512" s="1157">
        <f>OBRA!AP512</f>
        <v>432888.71</v>
      </c>
      <c r="Y512" s="341"/>
      <c r="Z512" s="341"/>
      <c r="AA512" s="5"/>
      <c r="AB512" s="351">
        <f>OBRA!BT512</f>
        <v>0</v>
      </c>
      <c r="AC512" s="1514" t="s">
        <v>3707</v>
      </c>
      <c r="AD512" s="569"/>
    </row>
    <row r="513" spans="1:30" ht="122.25" hidden="1" customHeight="1">
      <c r="A513" s="23" t="s">
        <v>2239</v>
      </c>
      <c r="B513" s="933" t="str">
        <f>GRAL!B516</f>
        <v>2018-2021</v>
      </c>
      <c r="C513" s="17">
        <f>OBRA!I513</f>
        <v>2020</v>
      </c>
      <c r="D513" s="1676" t="s">
        <v>4066</v>
      </c>
      <c r="E513" s="18" t="str">
        <f>OBRA!K513</f>
        <v>RAMO 33</v>
      </c>
      <c r="F513" s="525" t="s">
        <v>1431</v>
      </c>
      <c r="G513" s="546" t="s">
        <v>3560</v>
      </c>
      <c r="H513" s="545" t="s">
        <v>3560</v>
      </c>
      <c r="I513" s="546" t="s">
        <v>3560</v>
      </c>
      <c r="J513" s="56" t="str">
        <f>OBRA!U513</f>
        <v>ALSERCON SA DE CV</v>
      </c>
      <c r="K513" s="57" t="str">
        <f>OBRA!V513</f>
        <v>ARQ. CESAR ANTONIO ALONSO JIMENEZ</v>
      </c>
      <c r="L513" s="35"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54" t="s">
        <v>3545</v>
      </c>
      <c r="P513" s="6">
        <f>OBRA!Q513</f>
        <v>44076</v>
      </c>
      <c r="Q513" s="4">
        <f>OBRA!P513</f>
        <v>720809.67</v>
      </c>
      <c r="R513" s="5">
        <f>OBRA!R513</f>
        <v>44069</v>
      </c>
      <c r="S513" s="12">
        <f>OBRA!S513</f>
        <v>44142</v>
      </c>
      <c r="T513" s="1601" t="s">
        <v>3860</v>
      </c>
      <c r="U513" s="415" t="s">
        <v>1431</v>
      </c>
      <c r="V513" s="549" t="s">
        <v>3833</v>
      </c>
      <c r="W513" s="668" t="s">
        <v>3833</v>
      </c>
      <c r="X513" s="1157">
        <f>OBRA!AP513</f>
        <v>334528.5</v>
      </c>
      <c r="Y513" s="549" t="s">
        <v>3833</v>
      </c>
      <c r="Z513" s="341">
        <v>44144</v>
      </c>
      <c r="AA513" s="5">
        <v>101641.54</v>
      </c>
      <c r="AB513" s="351" t="s">
        <v>3593</v>
      </c>
      <c r="AC513" s="1514"/>
      <c r="AD513" s="569" t="s">
        <v>551</v>
      </c>
    </row>
    <row r="514" spans="1:30" ht="83.25" hidden="1" customHeight="1">
      <c r="A514" s="23" t="s">
        <v>2239</v>
      </c>
      <c r="B514" s="933" t="str">
        <f>GRAL!B517</f>
        <v>2018-2021</v>
      </c>
      <c r="C514" s="17">
        <f>OBRA!I514</f>
        <v>2020</v>
      </c>
      <c r="D514" s="1676"/>
      <c r="E514" s="532" t="str">
        <f>OBRA!K514</f>
        <v>RAMO 33</v>
      </c>
      <c r="F514" s="525" t="s">
        <v>1431</v>
      </c>
      <c r="G514" s="171"/>
      <c r="H514" s="545" t="s">
        <v>3660</v>
      </c>
      <c r="I514" s="171"/>
      <c r="J514" s="339" t="str">
        <f>OBRA!U514</f>
        <v>CONVADI, S.A. DE C.V.</v>
      </c>
      <c r="K514" s="172" t="str">
        <f>OBRA!V514</f>
        <v>ING. J. GUADALUPE IBARRA RAMIREZ</v>
      </c>
      <c r="L514" s="35" t="str">
        <f>OBRA!L514</f>
        <v>GMJ 027C- OP/2020</v>
      </c>
      <c r="M514" s="2" t="str">
        <f>OBRA!M514</f>
        <v>CONCURSO SIMPLIFICADO SUMARIO</v>
      </c>
      <c r="N514" s="328" t="str">
        <f>OBRA!N514</f>
        <v>"CONSTRUCCIÓN DE POZO PROFUNDO EN CALLE ALLENDE NORTE" EN LA CABECERA MUNICIPAL DE JOCOTEPEC, JALISCO</v>
      </c>
      <c r="O514" s="554" t="s">
        <v>3545</v>
      </c>
      <c r="P514" s="69">
        <f>OBRA!Q514</f>
        <v>44007</v>
      </c>
      <c r="Q514" s="85">
        <f>OBRA!P514</f>
        <v>2630623.62</v>
      </c>
      <c r="R514" s="255">
        <f>OBRA!R514</f>
        <v>44008</v>
      </c>
      <c r="S514" s="245">
        <f>OBRA!S514</f>
        <v>44099</v>
      </c>
      <c r="T514" s="1601" t="s">
        <v>3860</v>
      </c>
      <c r="U514" s="415" t="s">
        <v>1431</v>
      </c>
      <c r="V514" s="549" t="s">
        <v>3660</v>
      </c>
      <c r="W514" s="668" t="s">
        <v>3660</v>
      </c>
      <c r="X514" s="1155">
        <f>OBRA!AP514</f>
        <v>263173.42</v>
      </c>
      <c r="Y514" s="341"/>
      <c r="Z514" s="341"/>
      <c r="AA514" s="5"/>
      <c r="AB514" s="351">
        <f>OBRA!BT514</f>
        <v>0</v>
      </c>
      <c r="AC514" s="1514" t="s">
        <v>3707</v>
      </c>
      <c r="AD514" s="569"/>
    </row>
    <row r="515" spans="1:30" ht="15" hidden="1" customHeight="1">
      <c r="A515" s="23" t="s">
        <v>2239</v>
      </c>
      <c r="B515" s="933" t="str">
        <f>GRAL!B520</f>
        <v>2018-2021</v>
      </c>
      <c r="C515" s="17">
        <f>OBRA!I515</f>
        <v>2020</v>
      </c>
      <c r="D515" s="1676"/>
      <c r="E515" s="18" t="str">
        <f>OBRA!K515</f>
        <v>FOCOCI</v>
      </c>
      <c r="F515" s="1374"/>
      <c r="G515" s="1300"/>
      <c r="H515" s="239"/>
      <c r="I515" s="1300"/>
      <c r="J515" s="56" t="str">
        <f>OBRA!U515</f>
        <v>ING. SERGIO CABRERA</v>
      </c>
      <c r="K515" s="57" t="str">
        <f>OBRA!V515</f>
        <v>ARQ. EDUARDO ROMERO CARRILLO</v>
      </c>
      <c r="L515" s="35" t="str">
        <f>OBRA!L515</f>
        <v>FOCOCI-OP-CSS-028/2020</v>
      </c>
      <c r="M515" s="2" t="str">
        <f>OBRA!M515</f>
        <v>CONCURSO SIMPLIFICADO SUMARIO</v>
      </c>
      <c r="N515" s="3" t="str">
        <f>OBRA!N515</f>
        <v>CONSTRUCCIÓN Y EQUIPAMIENTO DE PLAZA PRINCIPAL EN CHANTEPEC, MUNICIPIO DE JOCOTEPEC, JALISCO.</v>
      </c>
      <c r="O515" s="597"/>
      <c r="P515" s="6">
        <f>OBRA!Q515</f>
        <v>44120</v>
      </c>
      <c r="Q515" s="4">
        <f>OBRA!P515</f>
        <v>8270578.4299999997</v>
      </c>
      <c r="R515" s="5">
        <f>OBRA!R515</f>
        <v>44123</v>
      </c>
      <c r="S515" s="12">
        <f>OBRA!S515</f>
        <v>44176</v>
      </c>
      <c r="T515" s="55"/>
      <c r="U515" s="415" t="s">
        <v>1431</v>
      </c>
      <c r="V515" s="558"/>
      <c r="W515" s="559"/>
      <c r="X515" s="307">
        <f>OBRA!AP515</f>
        <v>1654115.68</v>
      </c>
      <c r="Y515" s="341"/>
      <c r="Z515" s="341"/>
      <c r="AA515" s="5"/>
      <c r="AB515" s="351">
        <f>OBRA!BT515</f>
        <v>0</v>
      </c>
      <c r="AC515" s="569"/>
      <c r="AD515" s="569"/>
    </row>
    <row r="516" spans="1:30" ht="15" hidden="1" customHeight="1">
      <c r="A516" s="23" t="s">
        <v>2239</v>
      </c>
      <c r="B516" s="933" t="str">
        <f>GRAL!B521</f>
        <v>2018-2021</v>
      </c>
      <c r="C516" s="17">
        <f>OBRA!I516</f>
        <v>2020</v>
      </c>
      <c r="D516" s="1676"/>
      <c r="E516" s="18" t="str">
        <f>OBRA!K516</f>
        <v>FOCOCI</v>
      </c>
      <c r="F516" s="1374"/>
      <c r="G516" s="1300"/>
      <c r="H516" s="239"/>
      <c r="I516" s="1300"/>
      <c r="J516" s="56" t="str">
        <f>OBRA!U516</f>
        <v xml:space="preserve">SOJO SERVICIOS DE INGENIERIA Y OBRAS, S.A. DE C.V. </v>
      </c>
      <c r="K516" s="1279" t="str">
        <f>OBRA!V516</f>
        <v>ARQ. EDUARDO ROMERO CARRILLO</v>
      </c>
      <c r="L516" s="35" t="str">
        <f>OBRA!L516</f>
        <v>FOCOCI-OP-CSS-029/2020</v>
      </c>
      <c r="M516" s="2" t="str">
        <f>OBRA!M516</f>
        <v>CONCURSO SIMPLIFICADO SUMARIO</v>
      </c>
      <c r="N516" s="3" t="str">
        <f>OBRA!N516</f>
        <v>CONSTRUCCIÓN Y EQUIPAMIENTO DE PLAZA PRINCIPAL EN CHANTEPEC MUNICIPIO DE JOCOTEPEC, JALISCO". (CONSTRUCCIÓN DE EDIFICIO ADMINISTRATIVO)</v>
      </c>
      <c r="O516" s="597"/>
      <c r="P516" s="6">
        <f>OBRA!Q516</f>
        <v>44485</v>
      </c>
      <c r="Q516" s="4">
        <f>OBRA!P516</f>
        <v>1729413</v>
      </c>
      <c r="R516" s="5">
        <f>OBRA!R516</f>
        <v>44123</v>
      </c>
      <c r="S516" s="12">
        <f>OBRA!S516</f>
        <v>44196</v>
      </c>
      <c r="T516" s="55"/>
      <c r="U516" s="415" t="s">
        <v>1431</v>
      </c>
      <c r="V516" s="558"/>
      <c r="W516" s="559"/>
      <c r="X516" s="307">
        <f>OBRA!AP516</f>
        <v>345882.6</v>
      </c>
      <c r="Y516" s="341"/>
      <c r="Z516" s="341"/>
      <c r="AA516" s="5"/>
      <c r="AB516" s="351">
        <f>OBRA!BT516</f>
        <v>0</v>
      </c>
      <c r="AC516" s="569"/>
      <c r="AD516" s="569"/>
    </row>
    <row r="517" spans="1:30" ht="15" hidden="1" customHeight="1">
      <c r="A517" s="23" t="s">
        <v>2239</v>
      </c>
      <c r="B517" s="933" t="e">
        <f>GRAL!#REF!</f>
        <v>#REF!</v>
      </c>
      <c r="C517" s="17">
        <f>OBRA!I517</f>
        <v>2020</v>
      </c>
      <c r="D517" s="1676"/>
      <c r="E517" s="18" t="str">
        <f>OBRA!K517</f>
        <v>FOCOCI</v>
      </c>
      <c r="F517" s="1374"/>
      <c r="G517" s="1300"/>
      <c r="H517" s="239"/>
      <c r="I517" s="1300"/>
      <c r="J517" s="56" t="str">
        <f>OBRA!U517</f>
        <v xml:space="preserve">DESARROLLO DAP S.A. DE C.V. </v>
      </c>
      <c r="K517" s="57" t="str">
        <f>OBRA!V517</f>
        <v>LIC. SALVADOR CONTRERAS OLGUÍN</v>
      </c>
      <c r="L517" s="35"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97"/>
      <c r="P517" s="6">
        <f>OBRA!Q517</f>
        <v>44110</v>
      </c>
      <c r="Q517" s="4">
        <f>OBRA!P517</f>
        <v>4896549.54</v>
      </c>
      <c r="R517" s="5">
        <f>OBRA!R517</f>
        <v>44130</v>
      </c>
      <c r="S517" s="12">
        <f>OBRA!S517</f>
        <v>44196</v>
      </c>
      <c r="T517" s="55"/>
      <c r="U517" s="415" t="s">
        <v>1431</v>
      </c>
      <c r="V517" s="558"/>
      <c r="W517" s="559"/>
      <c r="X517" s="307">
        <f>OBRA!AP517</f>
        <v>1034084.78</v>
      </c>
      <c r="Y517" s="341"/>
      <c r="Z517" s="341"/>
      <c r="AA517" s="5"/>
      <c r="AB517" s="351">
        <f>OBRA!BT517</f>
        <v>0</v>
      </c>
      <c r="AC517" s="569"/>
      <c r="AD517" s="569"/>
    </row>
    <row r="518" spans="1:30" ht="15" hidden="1" customHeight="1">
      <c r="A518" s="23" t="s">
        <v>2239</v>
      </c>
      <c r="B518" s="933" t="e">
        <f>GRAL!#REF!</f>
        <v>#REF!</v>
      </c>
      <c r="C518" s="17">
        <f>OBRA!I518</f>
        <v>2020</v>
      </c>
      <c r="D518" s="1676"/>
      <c r="E518" s="18" t="str">
        <f>OBRA!K518</f>
        <v>FOCOCI</v>
      </c>
      <c r="F518" s="1374"/>
      <c r="G518" s="1300"/>
      <c r="H518" s="239"/>
      <c r="I518" s="1300"/>
      <c r="J518" s="56" t="str">
        <f>OBRA!U518</f>
        <v xml:space="preserve">JUAN PABLO BALLESTEROS ARREOLA </v>
      </c>
      <c r="K518" s="57" t="str">
        <f>OBRA!V518</f>
        <v>LIC. SALVADOR CONTRERAS OLGUÍN</v>
      </c>
      <c r="L518" s="35" t="str">
        <f>OBRA!L518</f>
        <v>FOCOCI-OP-CSS-031/2020</v>
      </c>
      <c r="M518" s="2" t="str">
        <f>OBRA!M518</f>
        <v>CONCURSO SIMPLIFICADO SUMARIO</v>
      </c>
      <c r="N518" s="3" t="str">
        <f>OBRA!N518</f>
        <v>"INTERVENCIÓN Y RESTAURACIÓN DE MERCADO MUNICIPAL MORELOS”, UBICADO EN CALLE MORELOS EN LA CABECERA MUNICIPAL DE JOCOTEPEC, JALISCO</v>
      </c>
      <c r="O518" s="597"/>
      <c r="P518" s="6">
        <f>OBRA!Q518</f>
        <v>44110</v>
      </c>
      <c r="Q518" s="4">
        <f>OBRA!P518</f>
        <v>4629575.57</v>
      </c>
      <c r="R518" s="5">
        <f>OBRA!R518</f>
        <v>44164</v>
      </c>
      <c r="S518" s="12">
        <f>OBRA!S518</f>
        <v>44185</v>
      </c>
      <c r="T518" s="55"/>
      <c r="U518" s="415" t="s">
        <v>1431</v>
      </c>
      <c r="V518" s="558"/>
      <c r="W518" s="559"/>
      <c r="X518" s="307">
        <f>OBRA!AP518</f>
        <v>925915.1</v>
      </c>
      <c r="Y518" s="341"/>
      <c r="Z518" s="341"/>
      <c r="AA518" s="5"/>
      <c r="AB518" s="351">
        <f>OBRA!BT518</f>
        <v>0</v>
      </c>
      <c r="AC518" s="569"/>
      <c r="AD518" s="569"/>
    </row>
    <row r="519" spans="1:30" ht="78" hidden="1" customHeight="1">
      <c r="A519" s="23" t="s">
        <v>2239</v>
      </c>
      <c r="B519" s="933" t="str">
        <f>GRAL!B522</f>
        <v>2018-2021</v>
      </c>
      <c r="C519" s="17">
        <f>OBRA!I519</f>
        <v>2020</v>
      </c>
      <c r="D519" s="1676"/>
      <c r="E519" s="18" t="str">
        <f>OBRA!K519</f>
        <v>RAMO 33</v>
      </c>
      <c r="F519" s="525" t="s">
        <v>1431</v>
      </c>
      <c r="G519" s="171"/>
      <c r="H519" s="545" t="s">
        <v>3661</v>
      </c>
      <c r="I519" s="546" t="s">
        <v>3661</v>
      </c>
      <c r="J519" s="339" t="str">
        <f>OBRA!U519</f>
        <v>SERVICIO Y CONSTRUCCIÓN NATENIO S.A. DE C.V.</v>
      </c>
      <c r="K519" s="57" t="str">
        <f>OBRA!V519</f>
        <v>LIC. SALVADOR CONTRERAS OLGUÍN</v>
      </c>
      <c r="L519" s="35" t="str">
        <f>OBRA!L519</f>
        <v>GMJ 032C- OP/2020</v>
      </c>
      <c r="M519" s="2" t="str">
        <f>OBRA!M519</f>
        <v>ADJUDICACIÓN DIRECTA</v>
      </c>
      <c r="N519" s="3" t="str">
        <f>OBRA!N519</f>
        <v>"CONSTRUCCIÓN DE LÍNEA DE DRENAJE SANITARIO EN PRIVADA RAÚL RAMÍREZ", EN LA LOCALIDAD DE SAN JUAN COSALA DEL MUNICIPIO DE JOCOTEPEC, JALISCO.</v>
      </c>
      <c r="O519" s="510" t="s">
        <v>3545</v>
      </c>
      <c r="P519" s="6">
        <f>OBRA!Q519</f>
        <v>44155</v>
      </c>
      <c r="Q519" s="4">
        <f>OBRA!P519</f>
        <v>287771.56</v>
      </c>
      <c r="R519" s="5">
        <f>OBRA!R519</f>
        <v>44165</v>
      </c>
      <c r="S519" s="12">
        <f>OBRA!S519</f>
        <v>44180</v>
      </c>
      <c r="T519" s="1601" t="s">
        <v>3860</v>
      </c>
      <c r="U519" s="216" t="s">
        <v>1431</v>
      </c>
      <c r="V519" s="549" t="s">
        <v>3661</v>
      </c>
      <c r="W519" s="668" t="s">
        <v>3661</v>
      </c>
      <c r="X519" s="1157">
        <f>OBRA!AP519</f>
        <v>57554.3</v>
      </c>
      <c r="Y519" s="341"/>
      <c r="Z519" s="341"/>
      <c r="AA519" s="5"/>
      <c r="AB519" s="351">
        <f>OBRA!BT519</f>
        <v>0</v>
      </c>
      <c r="AC519" s="1514" t="s">
        <v>3707</v>
      </c>
      <c r="AD519" s="569"/>
    </row>
    <row r="520" spans="1:30" ht="77.25" hidden="1" customHeight="1">
      <c r="A520" s="23" t="s">
        <v>2239</v>
      </c>
      <c r="B520" s="933" t="str">
        <f>GRAL!B523</f>
        <v>2018-2021</v>
      </c>
      <c r="C520" s="17">
        <f>OBRA!I520</f>
        <v>2020</v>
      </c>
      <c r="D520" s="1676"/>
      <c r="E520" s="19" t="str">
        <f>OBRA!K520</f>
        <v>RESCATE AL PATRIMONIO</v>
      </c>
      <c r="F520" s="1193" t="s">
        <v>3563</v>
      </c>
      <c r="G520" s="546" t="s">
        <v>3564</v>
      </c>
      <c r="H520" s="545" t="s">
        <v>3564</v>
      </c>
      <c r="I520" s="546" t="s">
        <v>3564</v>
      </c>
      <c r="J520" s="56" t="str">
        <f>OBRA!U520</f>
        <v>CONSTRUCCIONES ADMAYAL, S.A. DE C.V</v>
      </c>
      <c r="K520" s="57" t="str">
        <f>OBRA!V520</f>
        <v>ING. LUIS RIGOBERTO OLMEDO NAVARRO</v>
      </c>
      <c r="L520" s="35" t="str">
        <f>OBRA!L520</f>
        <v>GMJ 033C- OP/2020</v>
      </c>
      <c r="M520" s="2" t="str">
        <f>OBRA!M520</f>
        <v>ADJUDICACIÓN DIRECTA</v>
      </c>
      <c r="N520" s="3" t="str">
        <f>OBRA!N520</f>
        <v>"REMOZAMIENTO Y MEJORAMIENTO DE IMAGEN URBANA EN EL TEMPLO DEL SEÑOR DEL MONTE” EN LA CABECERA MUNICIPAL DE JOCOTEPEC, JALISCO</v>
      </c>
      <c r="O520" s="554" t="s">
        <v>3546</v>
      </c>
      <c r="P520" s="6">
        <f>OBRA!Q520</f>
        <v>44158</v>
      </c>
      <c r="Q520" s="4">
        <f>OBRA!P520</f>
        <v>1600000</v>
      </c>
      <c r="R520" s="5">
        <f>OBRA!R520</f>
        <v>44166</v>
      </c>
      <c r="S520" s="12">
        <f>OBRA!S520</f>
        <v>44189</v>
      </c>
      <c r="T520" s="227" t="s">
        <v>3859</v>
      </c>
      <c r="U520" s="752" t="s">
        <v>3885</v>
      </c>
      <c r="V520" s="591"/>
      <c r="W520" s="479"/>
      <c r="X520" s="1157">
        <f>OBRA!AP520</f>
        <v>320000</v>
      </c>
      <c r="Y520" s="341"/>
      <c r="Z520" s="341"/>
      <c r="AA520" s="5"/>
      <c r="AB520" s="351">
        <f>OBRA!BT520</f>
        <v>0</v>
      </c>
      <c r="AC520" s="1514" t="s">
        <v>3663</v>
      </c>
      <c r="AD520" s="569"/>
    </row>
    <row r="521" spans="1:30" ht="106.5" hidden="1" customHeight="1">
      <c r="A521" s="23" t="s">
        <v>2239</v>
      </c>
      <c r="B521" s="933" t="str">
        <f>GRAL!B524</f>
        <v>2018-2021</v>
      </c>
      <c r="C521" s="17">
        <f>OBRA!I521</f>
        <v>2020</v>
      </c>
      <c r="D521" s="1676"/>
      <c r="E521" s="18" t="str">
        <f>OBRA!K521</f>
        <v>RAMO 33</v>
      </c>
      <c r="F521" s="695" t="s">
        <v>1431</v>
      </c>
      <c r="G521" s="546" t="s">
        <v>3662</v>
      </c>
      <c r="H521" s="545" t="s">
        <v>3705</v>
      </c>
      <c r="I521" s="546" t="s">
        <v>3662</v>
      </c>
      <c r="J521" s="339" t="str">
        <f>OBRA!U521</f>
        <v>CONSTRUCCIÓN Y SUPERVISIÓN COMA S.A. DE C.V.</v>
      </c>
      <c r="K521" s="57" t="str">
        <f>OBRA!V521</f>
        <v>ARQ. CESAR ANTONIO ALONSO JIMENEZ</v>
      </c>
      <c r="L521" s="35"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54" t="s">
        <v>3546</v>
      </c>
      <c r="P521" s="6">
        <f>OBRA!Q521</f>
        <v>44168</v>
      </c>
      <c r="Q521" s="4">
        <f>OBRA!P521</f>
        <v>914194.81</v>
      </c>
      <c r="R521" s="5">
        <f>OBRA!R521</f>
        <v>44169</v>
      </c>
      <c r="S521" s="12">
        <f>OBRA!S521</f>
        <v>44180</v>
      </c>
      <c r="T521" s="1601" t="s">
        <v>3860</v>
      </c>
      <c r="U521" s="216" t="s">
        <v>1431</v>
      </c>
      <c r="V521" s="549" t="s">
        <v>3662</v>
      </c>
      <c r="W521" s="668" t="s">
        <v>3662</v>
      </c>
      <c r="X521" s="1157">
        <f>OBRA!AP521</f>
        <v>411389.14999999997</v>
      </c>
      <c r="Y521" s="341"/>
      <c r="Z521" s="341"/>
      <c r="AA521" s="5"/>
      <c r="AB521" s="351">
        <f>OBRA!BT521</f>
        <v>0</v>
      </c>
      <c r="AC521" s="1514"/>
      <c r="AD521" s="569" t="s">
        <v>551</v>
      </c>
    </row>
    <row r="522" spans="1:30" ht="84.75" hidden="1" customHeight="1">
      <c r="A522" s="23" t="s">
        <v>2239</v>
      </c>
      <c r="B522" s="933" t="str">
        <f>GRAL!B525</f>
        <v>2018-2021</v>
      </c>
      <c r="C522" s="17">
        <f>OBRA!I522</f>
        <v>2020</v>
      </c>
      <c r="D522" s="1676"/>
      <c r="E522" s="532" t="str">
        <f>OBRA!K522</f>
        <v>RASTRO DIGNO</v>
      </c>
      <c r="F522" s="1193" t="s">
        <v>3563</v>
      </c>
      <c r="G522" s="171"/>
      <c r="H522" s="560"/>
      <c r="I522" s="171"/>
      <c r="J522" s="339" t="str">
        <f>OBRA!U522</f>
        <v>ALSERCON SA DE CV</v>
      </c>
      <c r="K522" s="172" t="str">
        <f>OBRA!V522</f>
        <v>ARQ. JAIME CONDE GOMEZ</v>
      </c>
      <c r="L522" s="35" t="str">
        <f>OBRA!L522</f>
        <v>GMJ 035C- OP/2020</v>
      </c>
      <c r="M522" s="202" t="str">
        <f>OBRA!M522</f>
        <v>ADJUDICACIÓN DIRECTA</v>
      </c>
      <c r="N522" s="328" t="str">
        <f>OBRA!N522</f>
        <v>OBRA CIVIL "REHABILITACIÓN DEL RASTRO MUNICIPAL 2DA ETAPA", DE LA CABECERA MUNICIPAL DE JOCOTEPEC, JALISCO.</v>
      </c>
      <c r="O522" s="554" t="s">
        <v>3546</v>
      </c>
      <c r="P522" s="69">
        <f>OBRA!Q522</f>
        <v>44195</v>
      </c>
      <c r="Q522" s="85">
        <f>OBRA!P522</f>
        <v>537866.98</v>
      </c>
      <c r="R522" s="255">
        <f>OBRA!R522</f>
        <v>44195</v>
      </c>
      <c r="S522" s="245">
        <f>OBRA!S522</f>
        <v>44227</v>
      </c>
      <c r="T522" s="1601" t="s">
        <v>3860</v>
      </c>
      <c r="U522" s="223"/>
      <c r="V522" s="591"/>
      <c r="W522" s="479"/>
      <c r="X522" s="1155">
        <f>OBRA!AP522</f>
        <v>0</v>
      </c>
      <c r="Y522" s="341"/>
      <c r="Z522" s="341"/>
      <c r="AA522" s="5"/>
      <c r="AB522" s="351">
        <f>OBRA!BT522</f>
        <v>0</v>
      </c>
      <c r="AC522" s="1514" t="s">
        <v>3663</v>
      </c>
      <c r="AD522" s="569"/>
    </row>
    <row r="523" spans="1:30" ht="15" hidden="1" customHeight="1">
      <c r="A523" s="23" t="s">
        <v>2239</v>
      </c>
      <c r="B523" s="933" t="str">
        <f>GRAL!B525</f>
        <v>2018-2021</v>
      </c>
      <c r="C523" s="17">
        <f>OBRA!I523</f>
        <v>2020</v>
      </c>
      <c r="D523" s="1676"/>
      <c r="E523" s="715">
        <f>OBRA!K523</f>
        <v>0</v>
      </c>
      <c r="F523" s="1374"/>
      <c r="G523" s="1300"/>
      <c r="H523" s="239"/>
      <c r="I523" s="1300"/>
      <c r="J523" s="1410">
        <f>OBRA!U523</f>
        <v>0</v>
      </c>
      <c r="K523" s="1279">
        <f>OBRA!V523</f>
        <v>0</v>
      </c>
      <c r="L523" s="35" t="str">
        <f>OBRA!L523</f>
        <v>GMJ 036C- OP/2020</v>
      </c>
      <c r="M523" s="560" t="str">
        <f>OBRA!M523</f>
        <v>CANCELADA</v>
      </c>
      <c r="N523" s="597" t="str">
        <f>OBRA!N523</f>
        <v>CONTRATO CANCELADO</v>
      </c>
      <c r="O523" s="597"/>
      <c r="P523" s="214">
        <f>OBRA!Q523</f>
        <v>0</v>
      </c>
      <c r="Q523" s="65">
        <f>OBRA!P523</f>
        <v>0</v>
      </c>
      <c r="R523" s="521">
        <f>OBRA!R523</f>
        <v>0</v>
      </c>
      <c r="S523" s="559">
        <f>OBRA!S523</f>
        <v>0</v>
      </c>
      <c r="T523" s="792"/>
      <c r="U523" s="223"/>
      <c r="V523" s="558"/>
      <c r="W523" s="559"/>
      <c r="X523" s="307">
        <f>OBRA!AP523</f>
        <v>0</v>
      </c>
      <c r="Y523" s="341"/>
      <c r="Z523" s="341"/>
      <c r="AA523" s="5"/>
      <c r="AB523" s="351">
        <f>OBRA!BT523</f>
        <v>0</v>
      </c>
      <c r="AC523" s="569"/>
      <c r="AD523" s="569"/>
    </row>
    <row r="524" spans="1:30" ht="87" hidden="1" customHeight="1">
      <c r="A524" s="23" t="s">
        <v>2239</v>
      </c>
      <c r="B524" s="933" t="str">
        <f>GRAL!B527</f>
        <v>2018-2021</v>
      </c>
      <c r="C524" s="17">
        <f>OBRA!I524</f>
        <v>2020</v>
      </c>
      <c r="D524" s="1676"/>
      <c r="E524" s="18" t="str">
        <f>OBRA!K524</f>
        <v>RAMO 33</v>
      </c>
      <c r="F524" s="525" t="s">
        <v>1431</v>
      </c>
      <c r="G524" s="546" t="s">
        <v>3834</v>
      </c>
      <c r="H524" s="545" t="s">
        <v>3834</v>
      </c>
      <c r="I524" s="546" t="s">
        <v>3834</v>
      </c>
      <c r="J524" s="56" t="str">
        <f>OBRA!U524</f>
        <v>PLANOS Y OBRAS LODEIRO S.A. DE C.V.</v>
      </c>
      <c r="K524" s="57" t="str">
        <f>OBRA!V524</f>
        <v>ING. RIGOBERTO OR / ARQ. JAIME CONDE</v>
      </c>
      <c r="L524" s="35" t="str">
        <f>OBRA!L524</f>
        <v>GMJ 037C- OP/2020</v>
      </c>
      <c r="M524" s="2" t="str">
        <f>OBRA!M524</f>
        <v>ADJUDICACIÓN DIRECTA</v>
      </c>
      <c r="N524" s="3" t="str">
        <f>OBRA!N524</f>
        <v>"CONSTRUCCIÓN DE BANQUETAS EN UNIDAD DEPORTIVA ZARAGOZA” EN LA CABECERA MUNICIPAL DE JOCOTEPEC, JALISCO.</v>
      </c>
      <c r="O524" s="554" t="s">
        <v>3546</v>
      </c>
      <c r="P524" s="6">
        <f>OBRA!Q524</f>
        <v>44168</v>
      </c>
      <c r="Q524" s="4">
        <f>OBRA!P524</f>
        <v>229496.26</v>
      </c>
      <c r="R524" s="5">
        <f>OBRA!R524</f>
        <v>44172</v>
      </c>
      <c r="S524" s="12">
        <f>OBRA!S524</f>
        <v>44184</v>
      </c>
      <c r="T524" s="2073" t="s">
        <v>3860</v>
      </c>
      <c r="U524" s="415" t="s">
        <v>1431</v>
      </c>
      <c r="V524" s="549" t="s">
        <v>3834</v>
      </c>
      <c r="W524" s="668" t="s">
        <v>3834</v>
      </c>
      <c r="X524" s="1157">
        <f>OBRA!AP524</f>
        <v>45899.24</v>
      </c>
      <c r="Y524" s="341"/>
      <c r="Z524" s="341"/>
      <c r="AA524" s="5"/>
      <c r="AB524" s="351">
        <f>OBRA!BT524</f>
        <v>0</v>
      </c>
      <c r="AC524" s="1514"/>
      <c r="AD524" s="569" t="s">
        <v>551</v>
      </c>
    </row>
    <row r="525" spans="1:30" ht="123.75" hidden="1" customHeight="1">
      <c r="A525" s="23" t="s">
        <v>2239</v>
      </c>
      <c r="B525" s="933" t="str">
        <f>GRAL!B527</f>
        <v>2018-2021</v>
      </c>
      <c r="C525" s="17">
        <f>OBRA!I525</f>
        <v>2020</v>
      </c>
      <c r="D525" s="1676"/>
      <c r="E525" s="18" t="str">
        <f>OBRA!K525</f>
        <v>CUENTA CORRIENTE</v>
      </c>
      <c r="F525" s="525" t="s">
        <v>1431</v>
      </c>
      <c r="G525" s="546" t="s">
        <v>3694</v>
      </c>
      <c r="H525" s="545" t="s">
        <v>3694</v>
      </c>
      <c r="I525" s="546" t="s">
        <v>3694</v>
      </c>
      <c r="J525" s="56" t="str">
        <f>OBRA!U525</f>
        <v>ALSERCON SA DE CV</v>
      </c>
      <c r="K525" s="172" t="str">
        <f>OBRA!V525</f>
        <v>ARQ. JAIME CONDE GOMEZ</v>
      </c>
      <c r="L525" s="35"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54" t="s">
        <v>3546</v>
      </c>
      <c r="P525" s="6">
        <f>OBRA!Q525</f>
        <v>44548</v>
      </c>
      <c r="Q525" s="4">
        <f>OBRA!P525</f>
        <v>868714.16</v>
      </c>
      <c r="R525" s="5">
        <f>OBRA!R525</f>
        <v>44194</v>
      </c>
      <c r="S525" s="12">
        <f>OBRA!S525</f>
        <v>44284</v>
      </c>
      <c r="T525" s="227" t="s">
        <v>3859</v>
      </c>
      <c r="U525" s="415" t="s">
        <v>1431</v>
      </c>
      <c r="V525" s="591"/>
      <c r="W525" s="479"/>
      <c r="X525" s="1155">
        <f>OBRA!AP525</f>
        <v>0</v>
      </c>
      <c r="Y525" s="341"/>
      <c r="Z525" s="341"/>
      <c r="AA525" s="5"/>
      <c r="AB525" s="351">
        <f>OBRA!BT525</f>
        <v>0</v>
      </c>
      <c r="AC525" s="1514" t="s">
        <v>3663</v>
      </c>
      <c r="AD525" s="569"/>
    </row>
    <row r="526" spans="1:30" ht="15" hidden="1" customHeight="1">
      <c r="A526" s="23" t="s">
        <v>2239</v>
      </c>
      <c r="B526" s="933" t="e">
        <f>GRAL!#REF!</f>
        <v>#REF!</v>
      </c>
      <c r="C526" s="17">
        <f>OBRA!I526</f>
        <v>2021</v>
      </c>
      <c r="D526" s="1676"/>
      <c r="E526" s="18" t="str">
        <f>OBRA!K526</f>
        <v>FOCOCI</v>
      </c>
      <c r="F526" s="525"/>
      <c r="G526" s="390"/>
      <c r="H526" s="1"/>
      <c r="I526" s="390"/>
      <c r="J526" s="56" t="str">
        <f>OBRA!U526</f>
        <v>N/A</v>
      </c>
      <c r="K526" s="57" t="str">
        <f>OBRA!V526</f>
        <v>N/A</v>
      </c>
      <c r="L526" s="20"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2">
        <f>OBRA!S526</f>
        <v>44469</v>
      </c>
      <c r="T526" s="55"/>
      <c r="U526" s="415" t="s">
        <v>1431</v>
      </c>
      <c r="V526" s="341"/>
      <c r="W526" s="12"/>
      <c r="X526" s="306">
        <f>OBRA!AP526</f>
        <v>0</v>
      </c>
      <c r="Y526" s="341"/>
      <c r="Z526" s="341"/>
      <c r="AA526" s="5"/>
      <c r="AB526" s="351">
        <f>OBRA!BT526</f>
        <v>0</v>
      </c>
      <c r="AC526" s="569"/>
      <c r="AD526" s="569"/>
    </row>
    <row r="527" spans="1:30" ht="15" hidden="1" customHeight="1">
      <c r="A527" s="23" t="s">
        <v>2239</v>
      </c>
      <c r="B527" s="933" t="str">
        <f>GRAL!B529</f>
        <v>2018-2021</v>
      </c>
      <c r="C527" s="17">
        <f>OBRA!I527</f>
        <v>2021</v>
      </c>
      <c r="D527" s="1676"/>
      <c r="E527" s="18" t="str">
        <f>OBRA!K527</f>
        <v>CUENTA CORRIENTE</v>
      </c>
      <c r="F527" s="525"/>
      <c r="G527" s="390"/>
      <c r="H527" s="1"/>
      <c r="I527" s="390"/>
      <c r="J527" s="56" t="str">
        <f>OBRA!U527</f>
        <v>N/A</v>
      </c>
      <c r="K527" s="57" t="str">
        <f>OBRA!V527</f>
        <v>ING. LUIS RIGOBERTO OLMEDO NAVARRO</v>
      </c>
      <c r="L527" s="20"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2">
        <f>OBRA!S527</f>
        <v>44377</v>
      </c>
      <c r="T527" s="55"/>
      <c r="U527" s="415" t="s">
        <v>1431</v>
      </c>
      <c r="V527" s="341"/>
      <c r="W527" s="12"/>
      <c r="X527" s="306">
        <f>OBRA!AP527</f>
        <v>0</v>
      </c>
      <c r="Y527" s="341"/>
      <c r="Z527" s="341"/>
      <c r="AA527" s="5"/>
      <c r="AB527" s="351">
        <f>OBRA!BT527</f>
        <v>0</v>
      </c>
      <c r="AC527" s="569"/>
      <c r="AD527" s="569"/>
    </row>
    <row r="528" spans="1:30" ht="15" hidden="1" customHeight="1">
      <c r="A528" s="23" t="s">
        <v>2239</v>
      </c>
      <c r="B528" s="933" t="str">
        <f>GRAL!B530</f>
        <v>2018-2021</v>
      </c>
      <c r="C528" s="17">
        <f>OBRA!I528</f>
        <v>2021</v>
      </c>
      <c r="D528" s="1676"/>
      <c r="E528" s="18" t="str">
        <f>OBRA!K528</f>
        <v>CUENTA CORRIENTE</v>
      </c>
      <c r="F528" s="525"/>
      <c r="G528" s="390"/>
      <c r="H528" s="1"/>
      <c r="I528" s="390"/>
      <c r="J528" s="56" t="str">
        <f>OBRA!U528</f>
        <v>N/A</v>
      </c>
      <c r="K528" s="57" t="str">
        <f>OBRA!V528</f>
        <v xml:space="preserve">ING. ENRIQUE ENRÍQUEZ VÁZQUEZ </v>
      </c>
      <c r="L528" s="20"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2">
        <f>OBRA!S528</f>
        <v>44377</v>
      </c>
      <c r="T528" s="55"/>
      <c r="U528" s="415" t="s">
        <v>1431</v>
      </c>
      <c r="V528" s="341"/>
      <c r="W528" s="12"/>
      <c r="X528" s="306">
        <f>OBRA!AP528</f>
        <v>0</v>
      </c>
      <c r="Y528" s="341"/>
      <c r="Z528" s="341"/>
      <c r="AA528" s="5"/>
      <c r="AB528" s="351">
        <f>OBRA!BT528</f>
        <v>0</v>
      </c>
      <c r="AC528" s="569"/>
      <c r="AD528" s="569"/>
    </row>
    <row r="529" spans="1:30" ht="15" hidden="1" customHeight="1">
      <c r="A529" s="23" t="s">
        <v>2239</v>
      </c>
      <c r="B529" s="933" t="str">
        <f>GRAL!B531</f>
        <v>2018-2021</v>
      </c>
      <c r="C529" s="17">
        <f>OBRA!I529</f>
        <v>2021</v>
      </c>
      <c r="D529" s="1676"/>
      <c r="E529" s="18" t="str">
        <f>OBRA!K529</f>
        <v>RAMO 33</v>
      </c>
      <c r="F529" s="525"/>
      <c r="G529" s="390"/>
      <c r="H529" s="1"/>
      <c r="I529" s="390"/>
      <c r="J529" s="56" t="str">
        <f>OBRA!U529</f>
        <v>N/A</v>
      </c>
      <c r="K529" s="57" t="str">
        <f>OBRA!V529</f>
        <v>ING. J. GUADALUPE IBARRA RAMIREZ</v>
      </c>
      <c r="L529" s="20"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2">
        <f>OBRA!S529</f>
        <v>44455</v>
      </c>
      <c r="T529" s="55"/>
      <c r="U529" s="415" t="s">
        <v>1431</v>
      </c>
      <c r="V529" s="341"/>
      <c r="W529" s="12"/>
      <c r="X529" s="306">
        <f>OBRA!AP529</f>
        <v>0</v>
      </c>
      <c r="Y529" s="341"/>
      <c r="Z529" s="341"/>
      <c r="AA529" s="5"/>
      <c r="AB529" s="351">
        <f>OBRA!BT529</f>
        <v>0</v>
      </c>
      <c r="AC529" s="569"/>
      <c r="AD529" s="569"/>
    </row>
    <row r="530" spans="1:30" ht="15" hidden="1" customHeight="1">
      <c r="A530" s="23" t="s">
        <v>2239</v>
      </c>
      <c r="B530" s="933" t="str">
        <f>GRAL!B532</f>
        <v>2018-2021</v>
      </c>
      <c r="C530" s="17">
        <f>OBRA!I530</f>
        <v>2021</v>
      </c>
      <c r="D530" s="1676"/>
      <c r="E530" s="18" t="str">
        <f>OBRA!K530</f>
        <v>CUENTA CORRIENTE</v>
      </c>
      <c r="F530" s="525"/>
      <c r="G530" s="390"/>
      <c r="H530" s="1"/>
      <c r="I530" s="390"/>
      <c r="J530" s="56" t="str">
        <f>OBRA!U530</f>
        <v>N/A</v>
      </c>
      <c r="K530" s="57" t="str">
        <f>OBRA!V530</f>
        <v>LIC. SALVADOR CONTRERAS OLGUÍN</v>
      </c>
      <c r="L530" s="20"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2">
        <f>OBRA!S530</f>
        <v>44250</v>
      </c>
      <c r="T530" s="55"/>
      <c r="U530" s="415" t="s">
        <v>1431</v>
      </c>
      <c r="V530" s="341"/>
      <c r="W530" s="12"/>
      <c r="X530" s="306">
        <f>OBRA!AP530</f>
        <v>0</v>
      </c>
      <c r="Y530" s="341"/>
      <c r="Z530" s="341"/>
      <c r="AA530" s="5"/>
      <c r="AB530" s="351">
        <f>OBRA!BT530</f>
        <v>0</v>
      </c>
      <c r="AC530" s="569"/>
      <c r="AD530" s="569"/>
    </row>
    <row r="531" spans="1:30" ht="15" hidden="1" customHeight="1">
      <c r="A531" s="23" t="s">
        <v>2239</v>
      </c>
      <c r="B531" s="933" t="str">
        <f>GRAL!B533</f>
        <v>2018-2021</v>
      </c>
      <c r="C531" s="17">
        <f>OBRA!I531</f>
        <v>2021</v>
      </c>
      <c r="D531" s="1676"/>
      <c r="E531" s="18" t="str">
        <f>OBRA!K531</f>
        <v>CUENTA CORRIENTE</v>
      </c>
      <c r="F531" s="525"/>
      <c r="G531" s="390"/>
      <c r="H531" s="1"/>
      <c r="I531" s="390"/>
      <c r="J531" s="56" t="str">
        <f>OBRA!U531</f>
        <v>N/A</v>
      </c>
      <c r="K531" s="57" t="str">
        <f>OBRA!V531</f>
        <v>ING. LUIS RIGOBERTO OLMEDO NAVARRO</v>
      </c>
      <c r="L531" s="20"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2">
        <f>OBRA!S531</f>
        <v>44281</v>
      </c>
      <c r="T531" s="55"/>
      <c r="U531" s="415" t="s">
        <v>1431</v>
      </c>
      <c r="V531" s="341"/>
      <c r="W531" s="12"/>
      <c r="X531" s="306">
        <f>OBRA!AP531</f>
        <v>0</v>
      </c>
      <c r="Y531" s="341"/>
      <c r="Z531" s="341"/>
      <c r="AA531" s="5"/>
      <c r="AB531" s="351">
        <f>OBRA!BT531</f>
        <v>0</v>
      </c>
      <c r="AC531" s="569"/>
      <c r="AD531" s="569"/>
    </row>
    <row r="532" spans="1:30" ht="15" hidden="1" customHeight="1">
      <c r="A532" s="23" t="s">
        <v>2239</v>
      </c>
      <c r="B532" s="933" t="str">
        <f>GRAL!B534</f>
        <v>2018-2021</v>
      </c>
      <c r="C532" s="17">
        <f>OBRA!I532</f>
        <v>2021</v>
      </c>
      <c r="D532" s="1676"/>
      <c r="E532" s="18">
        <f>OBRA!K532</f>
        <v>0</v>
      </c>
      <c r="F532" s="525"/>
      <c r="G532" s="390"/>
      <c r="H532" s="1"/>
      <c r="I532" s="390"/>
      <c r="J532" s="56" t="str">
        <f>OBRA!U532</f>
        <v>N/A</v>
      </c>
      <c r="K532" s="57" t="str">
        <f>OBRA!V532</f>
        <v>DANIEL RODRIGUEZ</v>
      </c>
      <c r="L532" s="20" t="str">
        <f>OBRA!L532</f>
        <v>DOP/AD/006/2021</v>
      </c>
      <c r="M532" s="2" t="str">
        <f>OBRA!M532</f>
        <v>CANCELADA</v>
      </c>
      <c r="N532" s="3">
        <f>OBRA!N532</f>
        <v>0</v>
      </c>
      <c r="O532" s="3"/>
      <c r="P532" s="6">
        <f>OBRA!Q532</f>
        <v>0</v>
      </c>
      <c r="Q532" s="4">
        <f>OBRA!P532</f>
        <v>0</v>
      </c>
      <c r="R532" s="5">
        <f>OBRA!R532</f>
        <v>0</v>
      </c>
      <c r="S532" s="12">
        <f>OBRA!S532</f>
        <v>0</v>
      </c>
      <c r="T532" s="55"/>
      <c r="U532" s="415" t="s">
        <v>1431</v>
      </c>
      <c r="V532" s="341"/>
      <c r="W532" s="12"/>
      <c r="X532" s="306">
        <f>OBRA!AP532</f>
        <v>0</v>
      </c>
      <c r="Y532" s="341"/>
      <c r="Z532" s="341"/>
      <c r="AA532" s="5"/>
      <c r="AB532" s="351">
        <f>OBRA!BT532</f>
        <v>0</v>
      </c>
      <c r="AC532" s="569"/>
      <c r="AD532" s="569"/>
    </row>
    <row r="533" spans="1:30" ht="15" hidden="1" customHeight="1">
      <c r="A533" s="23" t="s">
        <v>2239</v>
      </c>
      <c r="B533" s="933" t="str">
        <f>GRAL!B535</f>
        <v>2018-2021</v>
      </c>
      <c r="C533" s="17">
        <f>OBRA!I533</f>
        <v>2021</v>
      </c>
      <c r="D533" s="1676"/>
      <c r="E533" s="18" t="str">
        <f>OBRA!K533</f>
        <v>CUENTA CORRIENTE</v>
      </c>
      <c r="F533" s="525"/>
      <c r="G533" s="390"/>
      <c r="H533" s="1"/>
      <c r="I533" s="390"/>
      <c r="J533" s="56" t="str">
        <f>OBRA!U533</f>
        <v>N/A</v>
      </c>
      <c r="K533" s="57">
        <f>OBRA!V533</f>
        <v>0</v>
      </c>
      <c r="L533" s="20"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2">
        <f>OBRA!S533</f>
        <v>44281</v>
      </c>
      <c r="T533" s="55"/>
      <c r="U533" s="415" t="s">
        <v>1431</v>
      </c>
      <c r="V533" s="341"/>
      <c r="W533" s="12"/>
      <c r="X533" s="306">
        <f>OBRA!AP533</f>
        <v>0</v>
      </c>
      <c r="Y533" s="341"/>
      <c r="Z533" s="341"/>
      <c r="AA533" s="5"/>
      <c r="AB533" s="351">
        <f>OBRA!BT533</f>
        <v>0</v>
      </c>
      <c r="AC533" s="569"/>
      <c r="AD533" s="569"/>
    </row>
    <row r="534" spans="1:30" ht="15" hidden="1" customHeight="1">
      <c r="A534" s="23" t="s">
        <v>2239</v>
      </c>
      <c r="B534" s="933" t="str">
        <f>GRAL!B536</f>
        <v>2018-2021</v>
      </c>
      <c r="C534" s="17">
        <f>OBRA!I534</f>
        <v>2021</v>
      </c>
      <c r="D534" s="1676"/>
      <c r="E534" s="18" t="str">
        <f>OBRA!K534</f>
        <v>RAMO 33</v>
      </c>
      <c r="F534" s="525"/>
      <c r="G534" s="390"/>
      <c r="H534" s="1"/>
      <c r="I534" s="390"/>
      <c r="J534" s="56" t="str">
        <f>OBRA!U534</f>
        <v>N/A</v>
      </c>
      <c r="K534" s="57" t="str">
        <f>OBRA!V534</f>
        <v>DANIEL RODRIGUEZ</v>
      </c>
      <c r="L534" s="20"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2">
        <f>OBRA!S534</f>
        <v>44379</v>
      </c>
      <c r="T534" s="55"/>
      <c r="U534" s="415" t="s">
        <v>1431</v>
      </c>
      <c r="V534" s="341"/>
      <c r="W534" s="12"/>
      <c r="X534" s="306">
        <f>OBRA!AP534</f>
        <v>0</v>
      </c>
      <c r="Y534" s="341"/>
      <c r="Z534" s="341"/>
      <c r="AA534" s="5"/>
      <c r="AB534" s="351">
        <f>OBRA!BT534</f>
        <v>0</v>
      </c>
      <c r="AC534" s="569"/>
      <c r="AD534" s="569"/>
    </row>
    <row r="535" spans="1:30" ht="15" hidden="1" customHeight="1">
      <c r="A535" s="23" t="s">
        <v>2239</v>
      </c>
      <c r="B535" s="933" t="str">
        <f>GRAL!B537</f>
        <v>2018-2021</v>
      </c>
      <c r="C535" s="17">
        <f>OBRA!I535</f>
        <v>2021</v>
      </c>
      <c r="D535" s="1676"/>
      <c r="E535" s="18" t="str">
        <f>OBRA!K535</f>
        <v>CUENTA CORRIENTE</v>
      </c>
      <c r="F535" s="525"/>
      <c r="G535" s="390"/>
      <c r="H535" s="1"/>
      <c r="I535" s="390"/>
      <c r="J535" s="56" t="str">
        <f>OBRA!U535</f>
        <v>N/A</v>
      </c>
      <c r="K535" s="57" t="str">
        <f>OBRA!V535</f>
        <v>DANIEL RODRIGUEZ</v>
      </c>
      <c r="L535" s="20"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2">
        <f>OBRA!S535</f>
        <v>44383</v>
      </c>
      <c r="T535" s="55"/>
      <c r="U535" s="415" t="s">
        <v>1431</v>
      </c>
      <c r="V535" s="341"/>
      <c r="W535" s="12"/>
      <c r="X535" s="306">
        <f>OBRA!AP535</f>
        <v>0</v>
      </c>
      <c r="Y535" s="341"/>
      <c r="Z535" s="341"/>
      <c r="AA535" s="5"/>
      <c r="AB535" s="351">
        <f>OBRA!BT535</f>
        <v>0</v>
      </c>
      <c r="AC535" s="569"/>
      <c r="AD535" s="569"/>
    </row>
    <row r="536" spans="1:30" ht="15" hidden="1" customHeight="1">
      <c r="A536" s="23" t="s">
        <v>2239</v>
      </c>
      <c r="B536" s="933" t="str">
        <f>GRAL!B539</f>
        <v>2018-2021</v>
      </c>
      <c r="C536" s="17">
        <f>OBRA!I537</f>
        <v>2021</v>
      </c>
      <c r="D536" s="1676"/>
      <c r="E536" s="18" t="str">
        <f>OBRA!K537</f>
        <v>CUENTA CORRIENTE</v>
      </c>
      <c r="F536" s="525"/>
      <c r="G536" s="390"/>
      <c r="H536" s="1"/>
      <c r="I536" s="390"/>
      <c r="J536" s="56" t="str">
        <f>OBRA!U537</f>
        <v>N/A</v>
      </c>
      <c r="K536" s="57" t="str">
        <f>OBRA!V537</f>
        <v>ING. LUIS RIGOBERTO OLMEDO NAVARRO</v>
      </c>
      <c r="L536" s="20"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2">
        <f>OBRA!S537</f>
        <v>44257</v>
      </c>
      <c r="T536" s="55"/>
      <c r="U536" s="415" t="s">
        <v>1431</v>
      </c>
      <c r="V536" s="341"/>
      <c r="W536" s="12"/>
      <c r="X536" s="306">
        <f>OBRA!AP537</f>
        <v>0</v>
      </c>
      <c r="Y536" s="341"/>
      <c r="Z536" s="341"/>
      <c r="AA536" s="5"/>
      <c r="AB536" s="351">
        <f>OBRA!BT537</f>
        <v>0</v>
      </c>
      <c r="AC536" s="569"/>
      <c r="AD536" s="569"/>
    </row>
    <row r="537" spans="1:30" ht="15" hidden="1" customHeight="1">
      <c r="A537" s="23" t="s">
        <v>2239</v>
      </c>
      <c r="B537" s="933" t="str">
        <f>GRAL!B540</f>
        <v>2018-2021</v>
      </c>
      <c r="C537" s="17">
        <f>OBRA!I538</f>
        <v>2021</v>
      </c>
      <c r="D537" s="1676"/>
      <c r="E537" s="18" t="str">
        <f>OBRA!K538</f>
        <v>RASTRO DIGNO 2020</v>
      </c>
      <c r="F537" s="525"/>
      <c r="G537" s="390"/>
      <c r="H537" s="1"/>
      <c r="I537" s="390"/>
      <c r="J537" s="56" t="str">
        <f>OBRA!U538</f>
        <v>-</v>
      </c>
      <c r="K537" s="57" t="str">
        <f>OBRA!V538</f>
        <v>ARQ. JAIME CONDE GOMEZ</v>
      </c>
      <c r="L537" s="20"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2">
        <f>OBRA!S538</f>
        <v>44463</v>
      </c>
      <c r="T537" s="55"/>
      <c r="U537" s="415" t="s">
        <v>1431</v>
      </c>
      <c r="V537" s="341"/>
      <c r="W537" s="12"/>
      <c r="X537" s="306">
        <f>OBRA!AP538</f>
        <v>0</v>
      </c>
      <c r="Y537" s="341"/>
      <c r="Z537" s="341"/>
      <c r="AA537" s="5"/>
      <c r="AB537" s="351">
        <f>OBRA!BT538</f>
        <v>0</v>
      </c>
      <c r="AC537" s="569"/>
      <c r="AD537" s="569"/>
    </row>
    <row r="538" spans="1:30" ht="15" hidden="1" customHeight="1">
      <c r="A538" s="23" t="s">
        <v>2239</v>
      </c>
      <c r="B538" s="933" t="str">
        <f>GRAL!B541</f>
        <v>2018-2021</v>
      </c>
      <c r="C538" s="17">
        <f>OBRA!I539</f>
        <v>2021</v>
      </c>
      <c r="D538" s="1676"/>
      <c r="E538" s="18" t="str">
        <f>OBRA!K539</f>
        <v>CUENTA CORRIENTE</v>
      </c>
      <c r="F538" s="525"/>
      <c r="G538" s="390"/>
      <c r="H538" s="1"/>
      <c r="I538" s="390"/>
      <c r="J538" s="56" t="str">
        <f>OBRA!U539</f>
        <v>N/A</v>
      </c>
      <c r="K538" s="57" t="str">
        <f>OBRA!V539</f>
        <v>ING. J. GUADALUPE IBARRA RAMIREZ</v>
      </c>
      <c r="L538" s="20"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2">
        <f>OBRA!S539</f>
        <v>44469</v>
      </c>
      <c r="T538" s="55"/>
      <c r="U538" s="415" t="s">
        <v>1431</v>
      </c>
      <c r="V538" s="341"/>
      <c r="W538" s="12"/>
      <c r="X538" s="306">
        <f>OBRA!AP539</f>
        <v>0</v>
      </c>
      <c r="Y538" s="341"/>
      <c r="Z538" s="341"/>
      <c r="AA538" s="5"/>
      <c r="AB538" s="351">
        <f>OBRA!BT539</f>
        <v>0</v>
      </c>
      <c r="AC538" s="569"/>
      <c r="AD538" s="569"/>
    </row>
    <row r="539" spans="1:30" ht="15" hidden="1" customHeight="1">
      <c r="A539" s="23" t="s">
        <v>2239</v>
      </c>
      <c r="B539" s="933" t="str">
        <f>GRAL!B542</f>
        <v>2018-2021</v>
      </c>
      <c r="C539" s="17">
        <f>OBRA!I540</f>
        <v>2021</v>
      </c>
      <c r="D539" s="1676"/>
      <c r="E539" s="18" t="str">
        <f>OBRA!K540</f>
        <v>EMP P/LA REACTIVACIÓN ECONÓMICA EN MPIOS</v>
      </c>
      <c r="F539" s="525"/>
      <c r="G539" s="390"/>
      <c r="H539" s="1"/>
      <c r="I539" s="390"/>
      <c r="J539" s="56" t="str">
        <f>OBRA!U540</f>
        <v>N/A</v>
      </c>
      <c r="K539" s="57" t="str">
        <f>OBRA!V540</f>
        <v>DANIEL RODRIGUEZ</v>
      </c>
      <c r="L539" s="20"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2">
        <f>OBRA!S540</f>
        <v>44464</v>
      </c>
      <c r="T539" s="55"/>
      <c r="U539" s="415" t="s">
        <v>1431</v>
      </c>
      <c r="V539" s="341"/>
      <c r="W539" s="12"/>
      <c r="X539" s="306">
        <f>OBRA!AP540</f>
        <v>0</v>
      </c>
      <c r="Y539" s="341"/>
      <c r="Z539" s="341"/>
      <c r="AA539" s="5"/>
      <c r="AB539" s="351">
        <f>OBRA!BT540</f>
        <v>0</v>
      </c>
      <c r="AC539" s="569"/>
      <c r="AD539" s="569"/>
    </row>
    <row r="540" spans="1:30" ht="15" hidden="1" customHeight="1">
      <c r="A540" s="23" t="s">
        <v>2239</v>
      </c>
      <c r="B540" s="933" t="str">
        <f>GRAL!B543</f>
        <v>2018-2021</v>
      </c>
      <c r="C540" s="17">
        <f>OBRA!I541</f>
        <v>2021</v>
      </c>
      <c r="D540" s="1676"/>
      <c r="E540" s="18" t="str">
        <f>OBRA!K541</f>
        <v>EMP P/LA REACTIVACIÓN ECONÓMICA EN MPIOS</v>
      </c>
      <c r="F540" s="525"/>
      <c r="G540" s="390"/>
      <c r="H540" s="1"/>
      <c r="I540" s="390"/>
      <c r="J540" s="56" t="str">
        <f>OBRA!U541</f>
        <v>N/A</v>
      </c>
      <c r="K540" s="57" t="str">
        <f>OBRA!V541</f>
        <v>DANIEL RODRIGUEZ</v>
      </c>
      <c r="L540" s="20"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2">
        <f>OBRA!S541</f>
        <v>44452</v>
      </c>
      <c r="T540" s="55"/>
      <c r="U540" s="415" t="s">
        <v>1431</v>
      </c>
      <c r="V540" s="341"/>
      <c r="W540" s="12"/>
      <c r="X540" s="306">
        <f>OBRA!AP541</f>
        <v>0</v>
      </c>
      <c r="Y540" s="341"/>
      <c r="Z540" s="341"/>
      <c r="AA540" s="5"/>
      <c r="AB540" s="351">
        <f>OBRA!BT541</f>
        <v>0</v>
      </c>
      <c r="AC540" s="569"/>
      <c r="AD540" s="569"/>
    </row>
    <row r="541" spans="1:30" ht="15" hidden="1" customHeight="1">
      <c r="A541" s="23" t="s">
        <v>2239</v>
      </c>
      <c r="B541" s="933" t="str">
        <f>GRAL!B544</f>
        <v>2018-2021</v>
      </c>
      <c r="C541" s="17">
        <f>OBRA!I542</f>
        <v>2021</v>
      </c>
      <c r="D541" s="1676"/>
      <c r="E541" s="18" t="str">
        <f>OBRA!K542</f>
        <v>EMP P/LA REACTIVACIÓN ECONÓMICA EN MPIOS</v>
      </c>
      <c r="F541" s="525"/>
      <c r="G541" s="390"/>
      <c r="H541" s="1"/>
      <c r="I541" s="390"/>
      <c r="J541" s="56" t="str">
        <f>OBRA!U542</f>
        <v>N/A</v>
      </c>
      <c r="K541" s="57" t="str">
        <f>OBRA!V542</f>
        <v>DANIEL RODRIGUEZ</v>
      </c>
      <c r="L541" s="20"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2">
        <f>OBRA!S542</f>
        <v>44541</v>
      </c>
      <c r="T541" s="55"/>
      <c r="U541" s="415" t="s">
        <v>1431</v>
      </c>
      <c r="V541" s="341"/>
      <c r="W541" s="12"/>
      <c r="X541" s="306">
        <f>OBRA!AP542</f>
        <v>0</v>
      </c>
      <c r="Y541" s="341"/>
      <c r="Z541" s="341"/>
      <c r="AA541" s="5"/>
      <c r="AB541" s="351">
        <f>OBRA!BT542</f>
        <v>0</v>
      </c>
      <c r="AC541" s="569"/>
      <c r="AD541" s="569"/>
    </row>
    <row r="542" spans="1:30" ht="15" hidden="1" customHeight="1">
      <c r="A542" s="23" t="s">
        <v>2239</v>
      </c>
      <c r="B542" s="933" t="str">
        <f>GRAL!B545</f>
        <v>2018-2021</v>
      </c>
      <c r="C542" s="17">
        <f>OBRA!I543</f>
        <v>2021</v>
      </c>
      <c r="D542" s="1676"/>
      <c r="E542" s="18" t="str">
        <f>OBRA!K543</f>
        <v>EMP P/LA REACTIVACIÓN ECONÓMICA EN MPIOS</v>
      </c>
      <c r="F542" s="525"/>
      <c r="G542" s="390"/>
      <c r="H542" s="1"/>
      <c r="I542" s="390"/>
      <c r="J542" s="56" t="str">
        <f>OBRA!U543</f>
        <v>N/A</v>
      </c>
      <c r="K542" s="57" t="str">
        <f>OBRA!V543</f>
        <v>DANIEL RODRIGUEZ</v>
      </c>
      <c r="L542" s="20"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2">
        <f>OBRA!S543</f>
        <v>44492</v>
      </c>
      <c r="T542" s="55"/>
      <c r="U542" s="415" t="s">
        <v>1431</v>
      </c>
      <c r="V542" s="341"/>
      <c r="W542" s="12"/>
      <c r="X542" s="306">
        <f>OBRA!AP543</f>
        <v>0</v>
      </c>
      <c r="Y542" s="341"/>
      <c r="Z542" s="341"/>
      <c r="AA542" s="5"/>
      <c r="AB542" s="351">
        <f>OBRA!BT543</f>
        <v>0</v>
      </c>
      <c r="AC542" s="569"/>
      <c r="AD542" s="569"/>
    </row>
    <row r="543" spans="1:30" ht="15" hidden="1" customHeight="1">
      <c r="A543" s="23" t="s">
        <v>2239</v>
      </c>
      <c r="B543" s="933" t="str">
        <f>GRAL!B546</f>
        <v>2018-2021</v>
      </c>
      <c r="C543" s="17">
        <f>OBRA!I544</f>
        <v>2021</v>
      </c>
      <c r="D543" s="1676"/>
      <c r="E543" s="18" t="str">
        <f>OBRA!K544</f>
        <v>EMP P/LA REACTIVACIÓN ECONÓMICA EN MPIOS</v>
      </c>
      <c r="F543" s="525"/>
      <c r="G543" s="390"/>
      <c r="H543" s="1"/>
      <c r="I543" s="390"/>
      <c r="J543" s="56" t="str">
        <f>OBRA!U544</f>
        <v>N/A</v>
      </c>
      <c r="K543" s="57" t="str">
        <f>OBRA!V544</f>
        <v>DANIEL RODRIGUEZ</v>
      </c>
      <c r="L543" s="20"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2">
        <f>OBRA!S544</f>
        <v>44541</v>
      </c>
      <c r="T543" s="55"/>
      <c r="U543" s="415" t="s">
        <v>1431</v>
      </c>
      <c r="V543" s="341"/>
      <c r="W543" s="12"/>
      <c r="X543" s="306">
        <f>OBRA!AP544</f>
        <v>0</v>
      </c>
      <c r="Y543" s="341"/>
      <c r="Z543" s="341"/>
      <c r="AA543" s="5"/>
      <c r="AB543" s="351">
        <f>OBRA!BT544</f>
        <v>0</v>
      </c>
      <c r="AC543" s="569"/>
      <c r="AD543" s="569"/>
    </row>
    <row r="544" spans="1:30" ht="15" hidden="1" customHeight="1">
      <c r="A544" s="23" t="s">
        <v>2239</v>
      </c>
      <c r="B544" s="933" t="str">
        <f>GRAL!B547</f>
        <v>2018-2021</v>
      </c>
      <c r="C544" s="17">
        <f>OBRA!I545</f>
        <v>2021</v>
      </c>
      <c r="D544" s="1676"/>
      <c r="E544" s="18" t="str">
        <f>OBRA!K545</f>
        <v>EMP P/LA REACTIVACIÓN ECONÓMICA EN MPIOS</v>
      </c>
      <c r="F544" s="525"/>
      <c r="G544" s="390"/>
      <c r="H544" s="1"/>
      <c r="I544" s="390"/>
      <c r="J544" s="56" t="str">
        <f>OBRA!U545</f>
        <v>N/A</v>
      </c>
      <c r="K544" s="57" t="str">
        <f>OBRA!V545</f>
        <v>DANIEL RODRIGUEZ</v>
      </c>
      <c r="L544" s="20"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2">
        <f>OBRA!S545</f>
        <v>44541</v>
      </c>
      <c r="T544" s="55"/>
      <c r="U544" s="415" t="s">
        <v>1431</v>
      </c>
      <c r="V544" s="341"/>
      <c r="W544" s="12"/>
      <c r="X544" s="306">
        <f>OBRA!AP545</f>
        <v>0</v>
      </c>
      <c r="Y544" s="341"/>
      <c r="Z544" s="341"/>
      <c r="AA544" s="5"/>
      <c r="AB544" s="351">
        <f>OBRA!BT545</f>
        <v>0</v>
      </c>
      <c r="AC544" s="569"/>
      <c r="AD544" s="569"/>
    </row>
    <row r="545" spans="1:30" ht="15" hidden="1" customHeight="1">
      <c r="A545" s="23" t="s">
        <v>2239</v>
      </c>
      <c r="B545" s="933" t="str">
        <f>GRAL!B548</f>
        <v>2018-2021</v>
      </c>
      <c r="C545" s="17">
        <f>OBRA!I546</f>
        <v>2021</v>
      </c>
      <c r="D545" s="1676"/>
      <c r="E545" s="18">
        <f>OBRA!K546</f>
        <v>0</v>
      </c>
      <c r="F545" s="525"/>
      <c r="G545" s="390"/>
      <c r="H545" s="1"/>
      <c r="I545" s="390"/>
      <c r="J545" s="56">
        <f>OBRA!U546</f>
        <v>0</v>
      </c>
      <c r="K545" s="57">
        <f>OBRA!V546</f>
        <v>0</v>
      </c>
      <c r="L545" s="20" t="str">
        <f>OBRA!L546</f>
        <v>DOP/AD/020/2021</v>
      </c>
      <c r="M545" s="2" t="str">
        <f>OBRA!M546</f>
        <v>CANCELADA</v>
      </c>
      <c r="N545" s="3">
        <f>OBRA!N546</f>
        <v>0</v>
      </c>
      <c r="O545" s="3"/>
      <c r="P545" s="6">
        <f>OBRA!Q546</f>
        <v>0</v>
      </c>
      <c r="Q545" s="4">
        <f>OBRA!P546</f>
        <v>0</v>
      </c>
      <c r="R545" s="5">
        <f>OBRA!R546</f>
        <v>0</v>
      </c>
      <c r="S545" s="12">
        <f>OBRA!S546</f>
        <v>0</v>
      </c>
      <c r="T545" s="55"/>
      <c r="U545" s="415" t="s">
        <v>1431</v>
      </c>
      <c r="V545" s="341"/>
      <c r="W545" s="12"/>
      <c r="X545" s="306">
        <f>OBRA!AP546</f>
        <v>0</v>
      </c>
      <c r="Y545" s="341"/>
      <c r="Z545" s="341"/>
      <c r="AA545" s="5"/>
      <c r="AB545" s="351">
        <f>OBRA!BT546</f>
        <v>0</v>
      </c>
      <c r="AC545" s="569"/>
      <c r="AD545" s="569"/>
    </row>
    <row r="546" spans="1:30" ht="15" hidden="1" customHeight="1">
      <c r="A546" s="23" t="s">
        <v>45</v>
      </c>
      <c r="B546" s="933" t="str">
        <f>GRAL!B549</f>
        <v>2018-2021</v>
      </c>
      <c r="C546" s="17">
        <f>OBRA!I547</f>
        <v>2021</v>
      </c>
      <c r="D546" s="1676"/>
      <c r="E546" s="18" t="str">
        <f>OBRA!K547</f>
        <v>CUENTA CORRIENTE</v>
      </c>
      <c r="F546" s="525"/>
      <c r="G546" s="390"/>
      <c r="H546" s="1"/>
      <c r="I546" s="390"/>
      <c r="J546" s="56" t="str">
        <f>OBRA!U547</f>
        <v>URIEL PALOS CUEVAS</v>
      </c>
      <c r="K546" s="57" t="str">
        <f>OBRA!V547</f>
        <v>DANIEL RODRIGUEZ</v>
      </c>
      <c r="L546" s="20"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2">
        <f>OBRA!S547</f>
        <v>44298</v>
      </c>
      <c r="T546" s="55"/>
      <c r="U546" s="415" t="s">
        <v>1431</v>
      </c>
      <c r="V546" s="341"/>
      <c r="W546" s="12"/>
      <c r="X546" s="306">
        <f>OBRA!AP547</f>
        <v>0</v>
      </c>
      <c r="Y546" s="341"/>
      <c r="Z546" s="341"/>
      <c r="AA546" s="5"/>
      <c r="AB546" s="351">
        <f>OBRA!BT547</f>
        <v>0</v>
      </c>
      <c r="AC546" s="569"/>
      <c r="AD546" s="569"/>
    </row>
    <row r="547" spans="1:30" ht="15" hidden="1" customHeight="1">
      <c r="A547" s="23" t="s">
        <v>45</v>
      </c>
      <c r="B547" s="933" t="str">
        <f>GRAL!B550</f>
        <v>2018-2021</v>
      </c>
      <c r="C547" s="17">
        <f>OBRA!I548</f>
        <v>2021</v>
      </c>
      <c r="D547" s="1676"/>
      <c r="E547" s="18" t="str">
        <f>OBRA!K548</f>
        <v>CUENTA CORRIENTE</v>
      </c>
      <c r="F547" s="525"/>
      <c r="G547" s="390"/>
      <c r="H547" s="1"/>
      <c r="I547" s="390"/>
      <c r="J547" s="56" t="str">
        <f>OBRA!U548</f>
        <v>GRUPO ARANGE, S.A. DE C.V.</v>
      </c>
      <c r="K547" s="57" t="str">
        <f>OBRA!V548</f>
        <v>DANIEL RODRIGUEZ</v>
      </c>
      <c r="L547" s="20"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2">
        <f>OBRA!S548</f>
        <v>44255</v>
      </c>
      <c r="T547" s="55"/>
      <c r="U547" s="415" t="s">
        <v>1431</v>
      </c>
      <c r="V547" s="341"/>
      <c r="W547" s="12"/>
      <c r="X547" s="306">
        <f>OBRA!AP548</f>
        <v>0</v>
      </c>
      <c r="Y547" s="341"/>
      <c r="Z547" s="341"/>
      <c r="AA547" s="5"/>
      <c r="AB547" s="351">
        <f>OBRA!BT548</f>
        <v>0</v>
      </c>
      <c r="AC547" s="569"/>
      <c r="AD547" s="569"/>
    </row>
    <row r="548" spans="1:30" ht="15" hidden="1" customHeight="1">
      <c r="A548" s="23" t="s">
        <v>45</v>
      </c>
      <c r="B548" s="933" t="str">
        <f>GRAL!B551</f>
        <v>2018-2021</v>
      </c>
      <c r="C548" s="17">
        <f>OBRA!I549</f>
        <v>2021</v>
      </c>
      <c r="D548" s="1676"/>
      <c r="E548" s="18" t="str">
        <f>OBRA!K549</f>
        <v>CUENTA CORRIENTE</v>
      </c>
      <c r="F548" s="525"/>
      <c r="G548" s="390"/>
      <c r="H548" s="1"/>
      <c r="I548" s="390"/>
      <c r="J548" s="56">
        <f>OBRA!U549</f>
        <v>0</v>
      </c>
      <c r="K548" s="57">
        <f>OBRA!V549</f>
        <v>0</v>
      </c>
      <c r="L548" s="20" t="str">
        <f>OBRA!L549</f>
        <v>C- OP 003/2021</v>
      </c>
      <c r="M548" s="2" t="str">
        <f>OBRA!M549</f>
        <v>ARRENDAMIENTO (CANCELADO)</v>
      </c>
      <c r="N548" s="3">
        <f>OBRA!N549</f>
        <v>0</v>
      </c>
      <c r="O548" s="3"/>
      <c r="P548" s="6">
        <f>OBRA!Q549</f>
        <v>0</v>
      </c>
      <c r="Q548" s="4">
        <f>OBRA!P549</f>
        <v>0</v>
      </c>
      <c r="R548" s="5">
        <f>OBRA!R549</f>
        <v>0</v>
      </c>
      <c r="S548" s="12">
        <f>OBRA!S549</f>
        <v>0</v>
      </c>
      <c r="T548" s="55"/>
      <c r="U548" s="415" t="s">
        <v>1431</v>
      </c>
      <c r="V548" s="341"/>
      <c r="W548" s="12"/>
      <c r="X548" s="306">
        <f>OBRA!AP549</f>
        <v>0</v>
      </c>
      <c r="Y548" s="341"/>
      <c r="Z548" s="341"/>
      <c r="AA548" s="5"/>
      <c r="AB548" s="351">
        <f>OBRA!BT549</f>
        <v>0</v>
      </c>
      <c r="AC548" s="569"/>
      <c r="AD548" s="569"/>
    </row>
    <row r="549" spans="1:30" ht="15" hidden="1" customHeight="1">
      <c r="A549" s="23" t="s">
        <v>45</v>
      </c>
      <c r="B549" s="933" t="str">
        <f>GRAL!B552</f>
        <v>2018-2021</v>
      </c>
      <c r="C549" s="17">
        <f>OBRA!I550</f>
        <v>2021</v>
      </c>
      <c r="D549" s="1676"/>
      <c r="E549" s="18" t="str">
        <f>OBRA!K550</f>
        <v>CUENTA CORRIENTE</v>
      </c>
      <c r="F549" s="525"/>
      <c r="G549" s="390"/>
      <c r="H549" s="1"/>
      <c r="I549" s="390"/>
      <c r="J549" s="56" t="str">
        <f>OBRA!U550</f>
        <v>ING. SERGIO CABRERA</v>
      </c>
      <c r="K549" s="57" t="str">
        <f>OBRA!V550</f>
        <v>LIC. SALVADOR CONTRERAS OLGUÍN</v>
      </c>
      <c r="L549" s="20"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2" t="str">
        <f>OBRA!S550</f>
        <v>-</v>
      </c>
      <c r="T549" s="55"/>
      <c r="U549" s="415" t="s">
        <v>1431</v>
      </c>
      <c r="V549" s="341"/>
      <c r="W549" s="12"/>
      <c r="X549" s="306">
        <f>OBRA!AP550</f>
        <v>0</v>
      </c>
      <c r="Y549" s="341"/>
      <c r="Z549" s="341"/>
      <c r="AA549" s="5"/>
      <c r="AB549" s="351">
        <f>OBRA!BT550</f>
        <v>0</v>
      </c>
      <c r="AC549" s="569"/>
      <c r="AD549" s="569"/>
    </row>
    <row r="550" spans="1:30" ht="15" hidden="1" customHeight="1">
      <c r="A550" s="23" t="s">
        <v>45</v>
      </c>
      <c r="B550" s="933" t="str">
        <f>GRAL!B553</f>
        <v>2018-2021</v>
      </c>
      <c r="C550" s="17">
        <f>OBRA!I551</f>
        <v>2021</v>
      </c>
      <c r="D550" s="1676"/>
      <c r="E550" s="18" t="str">
        <f>OBRA!K551</f>
        <v>CUENTA CORRIENTE</v>
      </c>
      <c r="F550" s="525"/>
      <c r="G550" s="390"/>
      <c r="H550" s="1"/>
      <c r="I550" s="390"/>
      <c r="J550" s="56" t="str">
        <f>OBRA!U551</f>
        <v>ING. SERGIO CABRERA</v>
      </c>
      <c r="K550" s="57" t="str">
        <f>OBRA!V551</f>
        <v>LIC. SALVADOR CONTRERAS OLGUÍN</v>
      </c>
      <c r="L550" s="20"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2" t="str">
        <f>OBRA!S551</f>
        <v>-</v>
      </c>
      <c r="T550" s="55"/>
      <c r="U550" s="415" t="s">
        <v>1431</v>
      </c>
      <c r="V550" s="341"/>
      <c r="W550" s="12"/>
      <c r="X550" s="306">
        <f>OBRA!AP551</f>
        <v>0</v>
      </c>
      <c r="Y550" s="341"/>
      <c r="Z550" s="341"/>
      <c r="AA550" s="5"/>
      <c r="AB550" s="351">
        <f>OBRA!BT551</f>
        <v>0</v>
      </c>
      <c r="AC550" s="569"/>
      <c r="AD550" s="569"/>
    </row>
    <row r="551" spans="1:30" ht="15" hidden="1" customHeight="1">
      <c r="A551" s="23" t="s">
        <v>45</v>
      </c>
      <c r="B551" s="933" t="str">
        <f>GRAL!B554</f>
        <v>2018-2021</v>
      </c>
      <c r="C551" s="17">
        <f>OBRA!I552</f>
        <v>2021</v>
      </c>
      <c r="D551" s="1676"/>
      <c r="E551" s="18" t="str">
        <f>OBRA!K552</f>
        <v>CUENTA CORRIENTE</v>
      </c>
      <c r="F551" s="525"/>
      <c r="G551" s="390"/>
      <c r="H551" s="1"/>
      <c r="I551" s="390"/>
      <c r="J551" s="56" t="str">
        <f>OBRA!U552</f>
        <v xml:space="preserve">SEBASTIAN MARQUEZ RAMOS </v>
      </c>
      <c r="K551" s="57" t="str">
        <f>OBRA!V552</f>
        <v>DANIEL RODRIGUEZ</v>
      </c>
      <c r="L551" s="20"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2" t="str">
        <f>OBRA!S552</f>
        <v>-</v>
      </c>
      <c r="T551" s="55"/>
      <c r="U551" s="415" t="s">
        <v>1431</v>
      </c>
      <c r="V551" s="341"/>
      <c r="W551" s="12"/>
      <c r="X551" s="306">
        <f>OBRA!AP552</f>
        <v>0</v>
      </c>
      <c r="Y551" s="341"/>
      <c r="Z551" s="341"/>
      <c r="AA551" s="5"/>
      <c r="AB551" s="351">
        <f>OBRA!BT552</f>
        <v>0</v>
      </c>
      <c r="AC551" s="569"/>
      <c r="AD551" s="569"/>
    </row>
    <row r="552" spans="1:30" ht="15" hidden="1" customHeight="1">
      <c r="A552" s="23" t="s">
        <v>45</v>
      </c>
      <c r="B552" s="933" t="str">
        <f>GRAL!B555</f>
        <v>2018-2021</v>
      </c>
      <c r="C552" s="17">
        <f>OBRA!I553</f>
        <v>2021</v>
      </c>
      <c r="D552" s="1676"/>
      <c r="E552" s="18" t="str">
        <f>OBRA!K553</f>
        <v>CUENTA CORRIENTE</v>
      </c>
      <c r="F552" s="525"/>
      <c r="G552" s="390"/>
      <c r="H552" s="1"/>
      <c r="I552" s="390"/>
      <c r="J552" s="56" t="str">
        <f>OBRA!U553</f>
        <v>GRUPO ARANGE, S.A. DE C.V.</v>
      </c>
      <c r="K552" s="57" t="str">
        <f>OBRA!V553</f>
        <v>DANIEL RODRIGUEZ</v>
      </c>
      <c r="L552" s="20"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2" t="str">
        <f>OBRA!S553</f>
        <v>-</v>
      </c>
      <c r="T552" s="55"/>
      <c r="U552" s="415" t="s">
        <v>1431</v>
      </c>
      <c r="V552" s="341"/>
      <c r="W552" s="12"/>
      <c r="X552" s="306">
        <f>OBRA!AP553</f>
        <v>0</v>
      </c>
      <c r="Y552" s="341"/>
      <c r="Z552" s="341"/>
      <c r="AA552" s="5"/>
      <c r="AB552" s="351">
        <f>OBRA!BT553</f>
        <v>0</v>
      </c>
      <c r="AC552" s="569"/>
      <c r="AD552" s="569"/>
    </row>
    <row r="553" spans="1:30" ht="15" hidden="1" customHeight="1">
      <c r="A553" s="23" t="s">
        <v>45</v>
      </c>
      <c r="B553" s="933" t="str">
        <f>GRAL!B556</f>
        <v>2018-2021</v>
      </c>
      <c r="C553" s="17">
        <f>OBRA!I554</f>
        <v>2021</v>
      </c>
      <c r="D553" s="1676"/>
      <c r="E553" s="18" t="str">
        <f>OBRA!K554</f>
        <v>CUENTA CORRIENTE</v>
      </c>
      <c r="F553" s="525"/>
      <c r="G553" s="390"/>
      <c r="H553" s="1"/>
      <c r="I553" s="390"/>
      <c r="J553" s="56" t="str">
        <f>OBRA!U554</f>
        <v>INDUSTRIAS UNIDAS BOGDAN, S.A. DE C.V.</v>
      </c>
      <c r="K553" s="57" t="str">
        <f>OBRA!V554</f>
        <v>DANIEL RODRIGUEZ</v>
      </c>
      <c r="L553" s="20"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2" t="str">
        <f>OBRA!S554</f>
        <v>-</v>
      </c>
      <c r="T553" s="55"/>
      <c r="U553" s="415" t="s">
        <v>1431</v>
      </c>
      <c r="V553" s="341"/>
      <c r="W553" s="12"/>
      <c r="X553" s="306">
        <f>OBRA!AP554</f>
        <v>0</v>
      </c>
      <c r="Y553" s="341"/>
      <c r="Z553" s="341"/>
      <c r="AA553" s="5"/>
      <c r="AB553" s="351">
        <f>OBRA!BT554</f>
        <v>0</v>
      </c>
      <c r="AC553" s="569"/>
      <c r="AD553" s="569"/>
    </row>
    <row r="554" spans="1:30" ht="15" hidden="1" customHeight="1">
      <c r="A554" s="23" t="s">
        <v>45</v>
      </c>
      <c r="B554" s="933" t="str">
        <f>GRAL!B557</f>
        <v>2018-2021</v>
      </c>
      <c r="C554" s="17">
        <f>OBRA!I555</f>
        <v>2021</v>
      </c>
      <c r="D554" s="1676"/>
      <c r="E554" s="18" t="str">
        <f>OBRA!K555</f>
        <v>CUENTA CORRIENTE</v>
      </c>
      <c r="F554" s="525"/>
      <c r="G554" s="390"/>
      <c r="H554" s="1"/>
      <c r="I554" s="390"/>
      <c r="J554" s="56" t="str">
        <f>OBRA!U555</f>
        <v>INDUSTRIAS UNIDAS BOGDAN, S.A. DE C.V.</v>
      </c>
      <c r="K554" s="57" t="str">
        <f>OBRA!V555</f>
        <v>DANIEL RODRIGUEZ</v>
      </c>
      <c r="L554" s="35"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2" t="str">
        <f>OBRA!S555</f>
        <v>-</v>
      </c>
      <c r="T554" s="55"/>
      <c r="U554" s="415" t="s">
        <v>1431</v>
      </c>
      <c r="V554" s="341"/>
      <c r="W554" s="12"/>
      <c r="X554" s="306">
        <f>OBRA!AP555</f>
        <v>0</v>
      </c>
      <c r="Y554" s="341"/>
      <c r="Z554" s="341"/>
      <c r="AA554" s="5"/>
      <c r="AB554" s="351">
        <f>OBRA!BT555</f>
        <v>0</v>
      </c>
      <c r="AC554" s="569"/>
      <c r="AD554" s="569"/>
    </row>
    <row r="555" spans="1:30" ht="15" hidden="1" customHeight="1">
      <c r="A555" s="23" t="s">
        <v>45</v>
      </c>
      <c r="B555" s="933" t="str">
        <f>GRAL!B558</f>
        <v>2018-2021</v>
      </c>
      <c r="C555" s="17">
        <f>OBRA!I556</f>
        <v>2021</v>
      </c>
      <c r="D555" s="1676"/>
      <c r="E555" s="18" t="str">
        <f>OBRA!K556</f>
        <v>CUENTA CORRIENTE</v>
      </c>
      <c r="F555" s="525"/>
      <c r="G555" s="390"/>
      <c r="H555" s="1"/>
      <c r="I555" s="390"/>
      <c r="J555" s="56" t="str">
        <f>OBRA!U556</f>
        <v>J. TRINIDAD NÚÑEZ BRITO</v>
      </c>
      <c r="K555" s="57" t="str">
        <f>OBRA!V556</f>
        <v>ING. MIGUEL MACHUCA HERNÁNDEZ</v>
      </c>
      <c r="L555" s="35"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2">
        <f>OBRA!S556</f>
        <v>44214</v>
      </c>
      <c r="T555" s="55"/>
      <c r="U555" s="415" t="s">
        <v>1431</v>
      </c>
      <c r="V555" s="341"/>
      <c r="W555" s="12"/>
      <c r="X555" s="306">
        <f>OBRA!AP556</f>
        <v>0</v>
      </c>
      <c r="Y555" s="341"/>
      <c r="Z555" s="341"/>
      <c r="AA555" s="5"/>
      <c r="AB555" s="351">
        <f>OBRA!BT556</f>
        <v>0</v>
      </c>
      <c r="AC555" s="569"/>
      <c r="AD555" s="569"/>
    </row>
    <row r="556" spans="1:30" ht="15" hidden="1" customHeight="1">
      <c r="A556" s="23" t="s">
        <v>45</v>
      </c>
      <c r="B556" s="933" t="str">
        <f>GRAL!B559</f>
        <v>2018-2021</v>
      </c>
      <c r="C556" s="17">
        <f>OBRA!I557</f>
        <v>2021</v>
      </c>
      <c r="D556" s="1676"/>
      <c r="E556" s="18" t="str">
        <f>OBRA!K557</f>
        <v>CUENTA CORRIENTE</v>
      </c>
      <c r="F556" s="525"/>
      <c r="G556" s="390"/>
      <c r="H556" s="1"/>
      <c r="I556" s="390"/>
      <c r="J556" s="56">
        <f>OBRA!U557</f>
        <v>0</v>
      </c>
      <c r="K556" s="57">
        <f>OBRA!V557</f>
        <v>0</v>
      </c>
      <c r="L556" s="35" t="str">
        <f>OBRA!L557</f>
        <v>C.P.S.P. D.O.P. 002/2021</v>
      </c>
      <c r="M556" s="2" t="str">
        <f>OBRA!M557</f>
        <v>SERVICIOS (CANCELADO)</v>
      </c>
      <c r="N556" s="3">
        <f>OBRA!N557</f>
        <v>0</v>
      </c>
      <c r="O556" s="3"/>
      <c r="P556" s="6">
        <f>OBRA!Q557</f>
        <v>0</v>
      </c>
      <c r="Q556" s="4">
        <f>OBRA!P557</f>
        <v>0</v>
      </c>
      <c r="R556" s="5">
        <f>OBRA!R557</f>
        <v>0</v>
      </c>
      <c r="S556" s="12">
        <f>OBRA!S557</f>
        <v>0</v>
      </c>
      <c r="T556" s="55"/>
      <c r="U556" s="415" t="s">
        <v>1431</v>
      </c>
      <c r="V556" s="341"/>
      <c r="W556" s="12"/>
      <c r="X556" s="306">
        <f>OBRA!AP557</f>
        <v>0</v>
      </c>
      <c r="Y556" s="341"/>
      <c r="Z556" s="341"/>
      <c r="AA556" s="5"/>
      <c r="AB556" s="351">
        <f>OBRA!BT557</f>
        <v>0</v>
      </c>
      <c r="AC556" s="569"/>
      <c r="AD556" s="569"/>
    </row>
    <row r="557" spans="1:30" ht="15" hidden="1" customHeight="1">
      <c r="A557" s="23" t="s">
        <v>45</v>
      </c>
      <c r="B557" s="933" t="str">
        <f>GRAL!B560</f>
        <v>2018-2021</v>
      </c>
      <c r="C557" s="17">
        <f>OBRA!I558</f>
        <v>2021</v>
      </c>
      <c r="D557" s="1676"/>
      <c r="E557" s="18" t="str">
        <f>OBRA!K558</f>
        <v>CUENTA CORRIENTE</v>
      </c>
      <c r="F557" s="525"/>
      <c r="G557" s="390"/>
      <c r="H557" s="1"/>
      <c r="I557" s="390"/>
      <c r="J557" s="56" t="str">
        <f>OBRA!U558</f>
        <v>ARGUELLES ARQUITECTOS, S.A. DE C.V.</v>
      </c>
      <c r="K557" s="57" t="str">
        <f>OBRA!V558</f>
        <v>ARQ. FRANCISCO SALAZAR</v>
      </c>
      <c r="L557" s="35"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2" t="str">
        <f>OBRA!S558</f>
        <v>-</v>
      </c>
      <c r="T557" s="55"/>
      <c r="U557" s="415" t="s">
        <v>1431</v>
      </c>
      <c r="V557" s="341"/>
      <c r="W557" s="12"/>
      <c r="X557" s="306">
        <f>OBRA!AP558</f>
        <v>0</v>
      </c>
      <c r="Y557" s="341"/>
      <c r="Z557" s="341"/>
      <c r="AA557" s="5"/>
      <c r="AB557" s="351">
        <f>OBRA!BT558</f>
        <v>0</v>
      </c>
      <c r="AC557" s="569"/>
      <c r="AD557" s="569"/>
    </row>
    <row r="558" spans="1:30" ht="15" hidden="1" customHeight="1">
      <c r="A558" s="23" t="s">
        <v>45</v>
      </c>
      <c r="B558" s="933" t="str">
        <f>GRAL!B562</f>
        <v>2018-2021</v>
      </c>
      <c r="C558" s="17">
        <f>OBRA!I560</f>
        <v>2021</v>
      </c>
      <c r="D558" s="1676"/>
      <c r="E558" s="18" t="str">
        <f>OBRA!K560</f>
        <v>CUENTA CORRIENTE</v>
      </c>
      <c r="F558" s="525"/>
      <c r="G558" s="390"/>
      <c r="H558" s="1"/>
      <c r="I558" s="390"/>
      <c r="J558" s="56" t="str">
        <f>OBRA!U560</f>
        <v>ING. JUAN IGNACIO NAVARRO BALTAZAR</v>
      </c>
      <c r="K558" s="57">
        <f>OBRA!V560</f>
        <v>0</v>
      </c>
      <c r="L558" s="35"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2">
        <f>OBRA!S560</f>
        <v>0</v>
      </c>
      <c r="T558" s="55"/>
      <c r="U558" s="415" t="s">
        <v>1431</v>
      </c>
      <c r="V558" s="341"/>
      <c r="W558" s="12"/>
      <c r="X558" s="306">
        <f>OBRA!AP560</f>
        <v>0</v>
      </c>
      <c r="Y558" s="341"/>
      <c r="Z558" s="341"/>
      <c r="AA558" s="5"/>
      <c r="AB558" s="351">
        <f>OBRA!BT560</f>
        <v>0</v>
      </c>
      <c r="AC558" s="569"/>
      <c r="AD558" s="569"/>
    </row>
    <row r="559" spans="1:30" ht="15" hidden="1" customHeight="1">
      <c r="A559" s="23" t="s">
        <v>45</v>
      </c>
      <c r="B559" s="933" t="str">
        <f>GRAL!B563</f>
        <v>2018-2021</v>
      </c>
      <c r="C559" s="17">
        <f>OBRA!I561</f>
        <v>2021</v>
      </c>
      <c r="D559" s="1676"/>
      <c r="E559" s="18" t="str">
        <f>OBRA!K561</f>
        <v>CUENTA CORRIENTE</v>
      </c>
      <c r="F559" s="525"/>
      <c r="G559" s="390"/>
      <c r="H559" s="1"/>
      <c r="I559" s="390"/>
      <c r="J559" s="56">
        <f>OBRA!U561</f>
        <v>0</v>
      </c>
      <c r="K559" s="57">
        <f>OBRA!V561</f>
        <v>0</v>
      </c>
      <c r="L559" s="35" t="str">
        <f>OBRA!L561</f>
        <v>C.P.S.P. D.O.P. 006/2021</v>
      </c>
      <c r="M559" s="2" t="str">
        <f>OBRA!M561</f>
        <v>SERVICIOS (CANCELADO)</v>
      </c>
      <c r="N559" s="3">
        <f>OBRA!N561</f>
        <v>0</v>
      </c>
      <c r="O559" s="3"/>
      <c r="P559" s="6">
        <f>OBRA!Q561</f>
        <v>0</v>
      </c>
      <c r="Q559" s="4">
        <f>OBRA!P561</f>
        <v>0</v>
      </c>
      <c r="R559" s="5">
        <f>OBRA!R561</f>
        <v>0</v>
      </c>
      <c r="S559" s="12">
        <f>OBRA!S561</f>
        <v>0</v>
      </c>
      <c r="T559" s="55"/>
      <c r="U559" s="415" t="s">
        <v>1431</v>
      </c>
      <c r="V559" s="341"/>
      <c r="W559" s="12"/>
      <c r="X559" s="306">
        <f>OBRA!AP561</f>
        <v>0</v>
      </c>
      <c r="Y559" s="341"/>
      <c r="Z559" s="341"/>
      <c r="AA559" s="5"/>
      <c r="AB559" s="351">
        <f>OBRA!BT561</f>
        <v>0</v>
      </c>
      <c r="AC559" s="569"/>
      <c r="AD559" s="569"/>
    </row>
    <row r="560" spans="1:30" ht="15" hidden="1" customHeight="1">
      <c r="A560" s="23" t="s">
        <v>45</v>
      </c>
      <c r="B560" s="933" t="str">
        <f>GRAL!B564</f>
        <v>2018-2021</v>
      </c>
      <c r="C560" s="17">
        <f>OBRA!I562</f>
        <v>2021</v>
      </c>
      <c r="D560" s="1676"/>
      <c r="E560" s="18" t="str">
        <f>OBRA!K562</f>
        <v>CUENTA CORRIENTE</v>
      </c>
      <c r="F560" s="525"/>
      <c r="G560" s="390"/>
      <c r="H560" s="1"/>
      <c r="I560" s="390"/>
      <c r="J560" s="56" t="str">
        <f>OBRA!U562</f>
        <v>ECCOC DE GUADALAJARA, S.A. DE C.V.</v>
      </c>
      <c r="K560" s="57">
        <f>OBRA!V562</f>
        <v>0</v>
      </c>
      <c r="L560" s="35"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2" t="str">
        <f>OBRA!S562</f>
        <v>-</v>
      </c>
      <c r="T560" s="55"/>
      <c r="U560" s="415" t="s">
        <v>1431</v>
      </c>
      <c r="V560" s="341"/>
      <c r="W560" s="12"/>
      <c r="X560" s="306">
        <f>OBRA!AP562</f>
        <v>0</v>
      </c>
      <c r="Y560" s="341"/>
      <c r="Z560" s="341"/>
      <c r="AA560" s="5"/>
      <c r="AB560" s="351">
        <f>OBRA!BT562</f>
        <v>0</v>
      </c>
      <c r="AC560" s="569"/>
      <c r="AD560" s="569"/>
    </row>
    <row r="561" spans="1:30" ht="15" hidden="1" customHeight="1">
      <c r="A561" s="23" t="s">
        <v>45</v>
      </c>
      <c r="B561" s="933" t="str">
        <f>GRAL!B565</f>
        <v>2018-2021</v>
      </c>
      <c r="C561" s="17">
        <f>OBRA!I563</f>
        <v>2021</v>
      </c>
      <c r="D561" s="1676"/>
      <c r="E561" s="18" t="str">
        <f>OBRA!K563</f>
        <v>CUENTA CORRIENTE</v>
      </c>
      <c r="F561" s="525"/>
      <c r="G561" s="390"/>
      <c r="H561" s="1"/>
      <c r="I561" s="390"/>
      <c r="J561" s="56" t="str">
        <f>OBRA!U563</f>
        <v>ING. MARCO ANTONIO PAREDES RODRÍGUEZ</v>
      </c>
      <c r="K561" s="57">
        <f>OBRA!V563</f>
        <v>0</v>
      </c>
      <c r="L561" s="35"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2" t="str">
        <f>OBRA!S563</f>
        <v>-</v>
      </c>
      <c r="T561" s="55"/>
      <c r="U561" s="415" t="s">
        <v>1431</v>
      </c>
      <c r="V561" s="341"/>
      <c r="W561" s="12"/>
      <c r="X561" s="306">
        <f>OBRA!AP563</f>
        <v>0</v>
      </c>
      <c r="Y561" s="341"/>
      <c r="Z561" s="341"/>
      <c r="AA561" s="5"/>
      <c r="AB561" s="351">
        <f>OBRA!BT563</f>
        <v>0</v>
      </c>
      <c r="AC561" s="569"/>
      <c r="AD561" s="569"/>
    </row>
    <row r="562" spans="1:30" ht="15" hidden="1" customHeight="1">
      <c r="A562" s="23" t="s">
        <v>45</v>
      </c>
      <c r="B562" s="933" t="str">
        <f>GRAL!B566</f>
        <v>2018-2021</v>
      </c>
      <c r="C562" s="17">
        <f>OBRA!I564</f>
        <v>2021</v>
      </c>
      <c r="D562" s="1676"/>
      <c r="E562" s="18" t="str">
        <f>OBRA!K564</f>
        <v>CUENTA CORRIENTE</v>
      </c>
      <c r="F562" s="525"/>
      <c r="G562" s="390"/>
      <c r="H562" s="1"/>
      <c r="I562" s="390"/>
      <c r="J562" s="56" t="str">
        <f>OBRA!U564</f>
        <v>KRISPOD CONSTRUCTORA, DISEÑO Y CONSTRUCCIÓN S.A. DE C.V.</v>
      </c>
      <c r="K562" s="57">
        <f>OBRA!V564</f>
        <v>0</v>
      </c>
      <c r="L562" s="35"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2" t="str">
        <f>OBRA!S564</f>
        <v>-</v>
      </c>
      <c r="T562" s="55"/>
      <c r="U562" s="415" t="s">
        <v>1431</v>
      </c>
      <c r="V562" s="341"/>
      <c r="W562" s="12"/>
      <c r="X562" s="306">
        <f>OBRA!AP564</f>
        <v>0</v>
      </c>
      <c r="Y562" s="341"/>
      <c r="Z562" s="341"/>
      <c r="AA562" s="5"/>
      <c r="AB562" s="351">
        <f>OBRA!BT564</f>
        <v>0</v>
      </c>
      <c r="AC562" s="569"/>
      <c r="AD562" s="569"/>
    </row>
    <row r="563" spans="1:30" ht="76.5" hidden="1" customHeight="1">
      <c r="A563" s="23" t="s">
        <v>2239</v>
      </c>
      <c r="B563" s="933" t="str">
        <f>GRAL!B567</f>
        <v>2018-2021</v>
      </c>
      <c r="C563" s="17">
        <f>OBRA!I565</f>
        <v>2021</v>
      </c>
      <c r="D563" s="1676"/>
      <c r="E563" s="18" t="str">
        <f>OBRA!K565</f>
        <v>CUENTA CORRIENTE</v>
      </c>
      <c r="F563" s="525" t="s">
        <v>1431</v>
      </c>
      <c r="G563" s="546" t="s">
        <v>3835</v>
      </c>
      <c r="H563" s="545" t="s">
        <v>3835</v>
      </c>
      <c r="I563" s="546" t="s">
        <v>3835</v>
      </c>
      <c r="J563" s="56" t="str">
        <f>OBRA!U565</f>
        <v>JESSICA MONSERRAT RIVERA TORRES</v>
      </c>
      <c r="K563" s="57" t="str">
        <f>OBRA!V565</f>
        <v>ING. MIGUEL MACHUCA HERNÁNDEZ / ING. LUIS RIGOBERTO OLMEDO NAVARRO</v>
      </c>
      <c r="L563" s="20" t="str">
        <f>OBRA!L565</f>
        <v>GMJ 001C- OP/2021</v>
      </c>
      <c r="M563" s="2" t="str">
        <f>OBRA!M565</f>
        <v>ADJUDICACIÓN DIRECTA</v>
      </c>
      <c r="N563" s="3" t="str">
        <f>OBRA!N565</f>
        <v>"PERFORACIÓN DE POZO PROFUNDO "MORELOS" A 250 ML", EN LA AGENCIA MUNICIPAL DE NEXTIPAC, DEL MUNICIPIO DE JOCOTEPEC, JALISCO.</v>
      </c>
      <c r="O563" s="554" t="s">
        <v>3842</v>
      </c>
      <c r="P563" s="6">
        <f>OBRA!Q565</f>
        <v>44208</v>
      </c>
      <c r="Q563" s="4">
        <f>OBRA!P565</f>
        <v>1300000</v>
      </c>
      <c r="R563" s="5">
        <f>OBRA!R565</f>
        <v>44231</v>
      </c>
      <c r="S563" s="12">
        <f>OBRA!S565</f>
        <v>44377</v>
      </c>
      <c r="T563" s="227" t="s">
        <v>3859</v>
      </c>
      <c r="U563" s="415" t="s">
        <v>1431</v>
      </c>
      <c r="V563" s="549" t="s">
        <v>3835</v>
      </c>
      <c r="W563" s="668" t="s">
        <v>3835</v>
      </c>
      <c r="X563" s="1157">
        <f>OBRA!AP565</f>
        <v>455000</v>
      </c>
      <c r="Y563" s="341"/>
      <c r="Z563" s="341"/>
      <c r="AA563" s="5"/>
      <c r="AB563" s="351">
        <f>OBRA!BT565</f>
        <v>0</v>
      </c>
      <c r="AC563" s="1519"/>
      <c r="AD563" s="569" t="s">
        <v>551</v>
      </c>
    </row>
    <row r="564" spans="1:30" ht="15" hidden="1" customHeight="1">
      <c r="A564" s="23" t="s">
        <v>2239</v>
      </c>
      <c r="B564" s="933" t="str">
        <f>GRAL!B568</f>
        <v>2018-2021</v>
      </c>
      <c r="C564" s="17">
        <f>OBRA!I566</f>
        <v>2021</v>
      </c>
      <c r="D564" s="1676"/>
      <c r="E564" s="18" t="str">
        <f>OBRA!K566</f>
        <v>RAMO 33</v>
      </c>
      <c r="F564" s="525"/>
      <c r="G564" s="390"/>
      <c r="H564" s="1"/>
      <c r="I564" s="390"/>
      <c r="J564" s="56" t="str">
        <f>OBRA!U566</f>
        <v>CONCRETOS, ASFALTOS Y CIMENTACIONES EDIR, S.A. DE C.V.</v>
      </c>
      <c r="K564" s="57" t="str">
        <f>OBRA!V566</f>
        <v xml:space="preserve">ING. ENRIQUE ENRÍQUEZ VÁZQUEZ </v>
      </c>
      <c r="L564" s="20"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2">
        <f>OBRA!S566</f>
        <v>44270</v>
      </c>
      <c r="T564" s="55"/>
      <c r="U564" s="415" t="s">
        <v>1431</v>
      </c>
      <c r="V564" s="341"/>
      <c r="W564" s="12"/>
      <c r="X564" s="306">
        <f>OBRA!AP566</f>
        <v>398055.22</v>
      </c>
      <c r="Y564" s="341"/>
      <c r="Z564" s="341"/>
      <c r="AA564" s="5"/>
      <c r="AB564" s="351">
        <f>OBRA!BT566</f>
        <v>0</v>
      </c>
      <c r="AC564" s="569"/>
      <c r="AD564" s="569"/>
    </row>
    <row r="565" spans="1:30" ht="101.25" hidden="1" customHeight="1">
      <c r="A565" s="23" t="s">
        <v>2239</v>
      </c>
      <c r="B565" s="933" t="str">
        <f>GRAL!B569</f>
        <v>2018-2021</v>
      </c>
      <c r="C565" s="17">
        <f>OBRA!I567</f>
        <v>2021</v>
      </c>
      <c r="D565" s="1676"/>
      <c r="E565" s="18" t="str">
        <f>OBRA!K567</f>
        <v>CUENTA CORRIENTE</v>
      </c>
      <c r="F565" s="525" t="s">
        <v>1431</v>
      </c>
      <c r="G565" s="171"/>
      <c r="H565" s="560"/>
      <c r="I565" s="171"/>
      <c r="J565" s="56" t="str">
        <f>OBRA!U567</f>
        <v>C. SERGIO CABRERA</v>
      </c>
      <c r="K565" s="172" t="str">
        <f>OBRA!V567</f>
        <v xml:space="preserve">ING. ENRIQUE ENRÍQUEZ VÁZQUEZ </v>
      </c>
      <c r="L565" s="20" t="str">
        <f>OBRA!L567</f>
        <v>GMJ 003C- OP/2021</v>
      </c>
      <c r="M565" s="2" t="str">
        <f>OBRA!M567</f>
        <v>CANCELADA</v>
      </c>
      <c r="N565" s="3" t="str">
        <f>OBRA!N567</f>
        <v>"IMAGEN URBANA EN CALLE MORELOS DE CALLE NICOLÁS BRAVO A PRIVADA GONZÁLEZ ORTEGA", EN LA CABECERA MUNICIPAL DE JOCOTEPEC, JALISCO, (NEXTIPAC).</v>
      </c>
      <c r="O565" s="554" t="s">
        <v>3842</v>
      </c>
      <c r="P565" s="6">
        <f>OBRA!Q567</f>
        <v>44208</v>
      </c>
      <c r="Q565" s="4">
        <f>OBRA!P567</f>
        <v>195609.22</v>
      </c>
      <c r="R565" s="5">
        <f>OBRA!R567</f>
        <v>44242</v>
      </c>
      <c r="S565" s="12">
        <f>OBRA!S567</f>
        <v>44270</v>
      </c>
      <c r="T565" s="227" t="s">
        <v>3859</v>
      </c>
      <c r="U565" s="415" t="s">
        <v>1431</v>
      </c>
      <c r="V565" s="591"/>
      <c r="W565" s="479"/>
      <c r="X565" s="1155">
        <f>OBRA!AP567</f>
        <v>0</v>
      </c>
      <c r="Y565" s="341"/>
      <c r="Z565" s="341"/>
      <c r="AA565" s="5"/>
      <c r="AB565" s="351">
        <f>OBRA!BT567</f>
        <v>0</v>
      </c>
      <c r="AC565" s="569"/>
      <c r="AD565" s="569"/>
    </row>
    <row r="566" spans="1:30" ht="15" hidden="1" customHeight="1">
      <c r="A566" s="23" t="s">
        <v>2239</v>
      </c>
      <c r="B566" s="933" t="str">
        <f>GRAL!B570</f>
        <v>2018-2021</v>
      </c>
      <c r="C566" s="17">
        <f>OBRA!I568</f>
        <v>2021</v>
      </c>
      <c r="D566" s="1676"/>
      <c r="E566" s="18" t="str">
        <f>OBRA!K568</f>
        <v>RAMO 33</v>
      </c>
      <c r="F566" s="525"/>
      <c r="G566" s="390"/>
      <c r="H566" s="1"/>
      <c r="I566" s="390"/>
      <c r="J566" s="56" t="str">
        <f>OBRA!U568</f>
        <v>TERRACERÍAS Y PAVIMENTOS DE LA RIBERA, S.A. DE C.V.</v>
      </c>
      <c r="K566" s="57" t="str">
        <f>OBRA!V568</f>
        <v xml:space="preserve">ING. ENRIQUE ENRÍQUEZ VÁZQUEZ </v>
      </c>
      <c r="L566" s="20"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2">
        <f>OBRA!S568</f>
        <v>44266</v>
      </c>
      <c r="T566" s="55"/>
      <c r="U566" s="415" t="s">
        <v>1431</v>
      </c>
      <c r="V566" s="341"/>
      <c r="W566" s="12"/>
      <c r="X566" s="306">
        <f>OBRA!AP568</f>
        <v>1644381.12</v>
      </c>
      <c r="Y566" s="341"/>
      <c r="Z566" s="341"/>
      <c r="AA566" s="5"/>
      <c r="AB566" s="351">
        <f>OBRA!BT568</f>
        <v>0</v>
      </c>
      <c r="AC566" s="569"/>
      <c r="AD566" s="569"/>
    </row>
    <row r="567" spans="1:30" ht="83.25" hidden="1" customHeight="1">
      <c r="A567" s="23" t="s">
        <v>2239</v>
      </c>
      <c r="B567" s="933" t="str">
        <f>GRAL!B571</f>
        <v>2018-2021</v>
      </c>
      <c r="C567" s="17">
        <f>OBRA!I569</f>
        <v>2021</v>
      </c>
      <c r="D567" s="1676"/>
      <c r="E567" s="18" t="str">
        <f>OBRA!K569</f>
        <v>CUENTA CORRIENTE</v>
      </c>
      <c r="F567" s="525" t="s">
        <v>1431</v>
      </c>
      <c r="G567" s="171"/>
      <c r="H567" s="560"/>
      <c r="I567" s="171"/>
      <c r="J567" s="56" t="str">
        <f>OBRA!U569</f>
        <v>TERRACERÍAS Y PAVIMENTOS DE LA RIBERA, S.A. DE C.V.</v>
      </c>
      <c r="K567" s="172" t="str">
        <f>OBRA!V569</f>
        <v xml:space="preserve">ING. ENRIQUE ENRÍQUEZ VÁZQUEZ </v>
      </c>
      <c r="L567" s="20" t="str">
        <f>OBRA!L569</f>
        <v>GMJ 005C- OP/2021</v>
      </c>
      <c r="M567" s="2" t="str">
        <f>OBRA!M569</f>
        <v>ADJUDICACIÓN DIRECTA</v>
      </c>
      <c r="N567" s="3" t="str">
        <f>OBRA!N569</f>
        <v>"IMAGEN URBANA EN CALLE MORELOS ENTRE CALLE GONZÁLEZ ORTEGA A CRISTOBAL COLÓN" EN LA CABECERA MUNICIPAL DE JOCOTEPEC, JALISCO, (NEXTIPAC).</v>
      </c>
      <c r="O567" s="554" t="s">
        <v>3842</v>
      </c>
      <c r="P567" s="6">
        <f>OBRA!Q569</f>
        <v>44208</v>
      </c>
      <c r="Q567" s="4">
        <f>OBRA!P569</f>
        <v>758856.32</v>
      </c>
      <c r="R567" s="5">
        <f>OBRA!R569</f>
        <v>44271</v>
      </c>
      <c r="S567" s="12">
        <f>OBRA!S569</f>
        <v>44275</v>
      </c>
      <c r="T567" s="227" t="s">
        <v>3859</v>
      </c>
      <c r="U567" s="415" t="s">
        <v>1431</v>
      </c>
      <c r="V567" s="591"/>
      <c r="W567" s="479"/>
      <c r="X567" s="1155">
        <f>OBRA!AP569</f>
        <v>0</v>
      </c>
      <c r="Y567" s="341"/>
      <c r="Z567" s="341"/>
      <c r="AA567" s="5"/>
      <c r="AB567" s="351">
        <f>OBRA!BT569</f>
        <v>0</v>
      </c>
      <c r="AC567" s="1519"/>
      <c r="AD567" s="569"/>
    </row>
    <row r="568" spans="1:30" ht="123" hidden="1" customHeight="1">
      <c r="A568" s="23" t="s">
        <v>2239</v>
      </c>
      <c r="B568" s="933" t="str">
        <f>GRAL!B572</f>
        <v>2018-2021</v>
      </c>
      <c r="C568" s="17">
        <f>OBRA!I570</f>
        <v>2021</v>
      </c>
      <c r="D568" s="1676"/>
      <c r="E568" s="18" t="str">
        <f>OBRA!K570</f>
        <v>RAMO 33</v>
      </c>
      <c r="F568" s="525" t="s">
        <v>1431</v>
      </c>
      <c r="G568" s="171"/>
      <c r="H568" s="560"/>
      <c r="I568" s="546" t="s">
        <v>4250</v>
      </c>
      <c r="J568" s="56" t="str">
        <f>OBRA!U570</f>
        <v xml:space="preserve">SERVICIOS Y CONSTRUCCIONES NATENIO, S.A. DE C.V. </v>
      </c>
      <c r="K568" s="172" t="str">
        <f>OBRA!V570</f>
        <v>ING. VICTOR MANUEL PACHECO AZCONA</v>
      </c>
      <c r="L568" s="174"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54" t="s">
        <v>3842</v>
      </c>
      <c r="P568" s="6">
        <f>OBRA!Q570</f>
        <v>44208</v>
      </c>
      <c r="Q568" s="4">
        <f>OBRA!P570</f>
        <v>1379641.73</v>
      </c>
      <c r="R568" s="5">
        <f>OBRA!R570</f>
        <v>44211</v>
      </c>
      <c r="S568" s="12">
        <f>OBRA!S570</f>
        <v>44256</v>
      </c>
      <c r="T568" s="1601" t="s">
        <v>3860</v>
      </c>
      <c r="U568" s="216" t="s">
        <v>1431</v>
      </c>
      <c r="V568" s="549" t="s">
        <v>4250</v>
      </c>
      <c r="W568" s="668" t="s">
        <v>4259</v>
      </c>
      <c r="X568" s="1157">
        <f>OBRA!AP570</f>
        <v>275928.34000000003</v>
      </c>
      <c r="Y568" s="341"/>
      <c r="Z568" s="341"/>
      <c r="AA568" s="5"/>
      <c r="AB568" s="351">
        <f>OBRA!BT570</f>
        <v>0</v>
      </c>
      <c r="AC568" s="1519"/>
      <c r="AD568" s="569"/>
    </row>
    <row r="569" spans="1:30" ht="96.75" hidden="1" customHeight="1">
      <c r="A569" s="23" t="s">
        <v>2239</v>
      </c>
      <c r="B569" s="933" t="str">
        <f>GRAL!B573</f>
        <v>2018-2021</v>
      </c>
      <c r="C569" s="17">
        <f>OBRA!I571</f>
        <v>2021</v>
      </c>
      <c r="D569" s="1676"/>
      <c r="E569" s="18" t="str">
        <f>OBRA!K571</f>
        <v>CUENTA CORRIENTE</v>
      </c>
      <c r="F569" s="525" t="s">
        <v>1431</v>
      </c>
      <c r="G569" s="171"/>
      <c r="H569" s="560"/>
      <c r="I569" s="171"/>
      <c r="J569" s="56" t="str">
        <f>OBRA!U571</f>
        <v xml:space="preserve">SERVICIOS Y CONSTRUCCIONES NATENIO, S.A. DE C.V. </v>
      </c>
      <c r="K569" s="172" t="str">
        <f>OBRA!V571</f>
        <v>ING. VICTOR MANUEL PACHECO AZCONA</v>
      </c>
      <c r="L569" s="20" t="str">
        <f>OBRA!L571</f>
        <v>GMJ 007C- OP/2021</v>
      </c>
      <c r="M569" s="2" t="str">
        <f>OBRA!M571</f>
        <v>CANCELADA</v>
      </c>
      <c r="N569" s="3" t="str">
        <f>OBRA!N571</f>
        <v>"IMAGEN URBANA EN CALLE MORELOS DE CALLE CRISTOBAL COLÓN A CALLE RICO" EN LA CABECERA MUNICIPAL DE JOCOTEPEC, JALISCO, (NEXTIPAC).</v>
      </c>
      <c r="O569" s="554" t="s">
        <v>3842</v>
      </c>
      <c r="P569" s="6">
        <f>OBRA!Q571</f>
        <v>44208</v>
      </c>
      <c r="Q569" s="4">
        <f>OBRA!P571</f>
        <v>101577.38</v>
      </c>
      <c r="R569" s="5">
        <f>OBRA!R571</f>
        <v>44270</v>
      </c>
      <c r="S569" s="12">
        <f>OBRA!S571</f>
        <v>44275</v>
      </c>
      <c r="T569" s="227" t="s">
        <v>3859</v>
      </c>
      <c r="U569" s="415" t="s">
        <v>1431</v>
      </c>
      <c r="V569" s="591"/>
      <c r="W569" s="479"/>
      <c r="X569" s="1155">
        <f>OBRA!AP571</f>
        <v>0</v>
      </c>
      <c r="Y569" s="341"/>
      <c r="Z569" s="341"/>
      <c r="AA569" s="5"/>
      <c r="AB569" s="351">
        <f>OBRA!BT571</f>
        <v>0</v>
      </c>
      <c r="AC569" s="569"/>
      <c r="AD569" s="569"/>
    </row>
    <row r="570" spans="1:30" ht="139.5" hidden="1" customHeight="1">
      <c r="A570" s="23" t="s">
        <v>2239</v>
      </c>
      <c r="B570" s="933" t="str">
        <f>GRAL!B574</f>
        <v>2018-2021</v>
      </c>
      <c r="C570" s="17">
        <f>OBRA!I572</f>
        <v>2021</v>
      </c>
      <c r="D570" s="1676"/>
      <c r="E570" s="18" t="str">
        <f>OBRA!K572</f>
        <v>RAMO 33</v>
      </c>
      <c r="F570" s="525" t="s">
        <v>1431</v>
      </c>
      <c r="G570" s="546" t="s">
        <v>4251</v>
      </c>
      <c r="H570" s="545" t="s">
        <v>4251</v>
      </c>
      <c r="I570" s="546" t="s">
        <v>4251</v>
      </c>
      <c r="J570" s="56" t="str">
        <f>OBRA!U572</f>
        <v xml:space="preserve">DESARROLLO DAP S.A. DE C.V. </v>
      </c>
      <c r="K570" s="172" t="str">
        <f>OBRA!V572</f>
        <v>ING. VICTOR MANUEL PACHECO AZCONA</v>
      </c>
      <c r="L570" s="174" t="str">
        <f>OBRA!L572</f>
        <v>GMJ 008C- OP/2021</v>
      </c>
      <c r="M570" s="202" t="str">
        <f>OBRA!M572</f>
        <v>ADJUDICACIÓN DIRECTA</v>
      </c>
      <c r="N570" s="328" t="str">
        <f>OBRA!N572</f>
        <v>"REHABILITACIÓN DE LÍNEA DE AGUA POTABLE EN CALLE MORELOS DE CALLE RICO A CALLE RIVERA DEL LAGO Y REHABILITACIÓN DE LÍNEA DE DRENAJE SANITARIO EN CALLE MORELOS DE CALLE RICO HASTA MALECÓN", EN LA CABECERA MUNICIPAL DE JOCOTEPEC, JALISCO, (NEXTIPAC).</v>
      </c>
      <c r="O570" s="554" t="s">
        <v>3842</v>
      </c>
      <c r="P570" s="69">
        <f>OBRA!Q572</f>
        <v>44200</v>
      </c>
      <c r="Q570" s="85">
        <f>OBRA!P572</f>
        <v>1301387.07</v>
      </c>
      <c r="R570" s="255">
        <f>OBRA!R572</f>
        <v>44201</v>
      </c>
      <c r="S570" s="245">
        <f>OBRA!S572</f>
        <v>44270</v>
      </c>
      <c r="T570" s="1609" t="s">
        <v>3860</v>
      </c>
      <c r="U570" s="216" t="s">
        <v>1431</v>
      </c>
      <c r="V570" s="549" t="s">
        <v>4251</v>
      </c>
      <c r="W570" s="668" t="s">
        <v>4260</v>
      </c>
      <c r="X570" s="1157">
        <f>OBRA!AP572</f>
        <v>243611.33000000002</v>
      </c>
      <c r="Y570" s="341"/>
      <c r="Z570" s="341"/>
      <c r="AA570" s="5"/>
      <c r="AB570" s="351">
        <f>OBRA!BT572</f>
        <v>0</v>
      </c>
      <c r="AC570" s="1519"/>
      <c r="AD570" s="569" t="s">
        <v>551</v>
      </c>
    </row>
    <row r="571" spans="1:30" ht="15" hidden="1" customHeight="1">
      <c r="A571" s="23" t="s">
        <v>2239</v>
      </c>
      <c r="B571" s="933" t="str">
        <f>GRAL!B575</f>
        <v>2018-2021</v>
      </c>
      <c r="C571" s="17">
        <f>OBRA!I573</f>
        <v>2021</v>
      </c>
      <c r="D571" s="1676"/>
      <c r="E571" s="18" t="str">
        <f>OBRA!K573</f>
        <v>CUENTA CORRIENTE</v>
      </c>
      <c r="F571" s="525"/>
      <c r="G571" s="390"/>
      <c r="H571" s="1"/>
      <c r="I571" s="390"/>
      <c r="J571" s="56" t="str">
        <f>OBRA!U573</f>
        <v xml:space="preserve">DESARROLLO DAP S.A. DE C.V. </v>
      </c>
      <c r="K571" s="57" t="str">
        <f>OBRA!V573</f>
        <v>ING. VICTOR MANUEL PACHECO AZCONA</v>
      </c>
      <c r="L571" s="20"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2">
        <f>OBRA!S573</f>
        <v>44270</v>
      </c>
      <c r="T571" s="55"/>
      <c r="U571" s="415" t="s">
        <v>1431</v>
      </c>
      <c r="V571" s="341"/>
      <c r="W571" s="12"/>
      <c r="X571" s="306">
        <f>OBRA!AP573</f>
        <v>409864.94</v>
      </c>
      <c r="Y571" s="341"/>
      <c r="Z571" s="341"/>
      <c r="AA571" s="5"/>
      <c r="AB571" s="351">
        <f>OBRA!BT573</f>
        <v>0</v>
      </c>
      <c r="AC571" s="569"/>
      <c r="AD571" s="569"/>
    </row>
    <row r="572" spans="1:30" ht="15" hidden="1" customHeight="1">
      <c r="A572" s="23" t="s">
        <v>2239</v>
      </c>
      <c r="B572" s="933" t="str">
        <f>GRAL!B576</f>
        <v>2018-2021</v>
      </c>
      <c r="C572" s="17">
        <f>OBRA!I574</f>
        <v>2021</v>
      </c>
      <c r="D572" s="1676"/>
      <c r="E572" s="18" t="str">
        <f>OBRA!K574</f>
        <v>FOCOCI</v>
      </c>
      <c r="F572" s="525"/>
      <c r="G572" s="390"/>
      <c r="H572" s="1"/>
      <c r="I572" s="390"/>
      <c r="J572" s="56" t="str">
        <f>OBRA!U574</f>
        <v>ALSERCON SA DE CV</v>
      </c>
      <c r="K572" s="57" t="str">
        <f>OBRA!V574</f>
        <v>ARQ. JAIME CONDE GOMEZ</v>
      </c>
      <c r="L572" s="20"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2">
        <f>OBRA!S574</f>
        <v>44331</v>
      </c>
      <c r="T572" s="55"/>
      <c r="U572" s="415" t="s">
        <v>1431</v>
      </c>
      <c r="V572" s="341"/>
      <c r="W572" s="12"/>
      <c r="X572" s="306">
        <f>OBRA!AP574</f>
        <v>1713301</v>
      </c>
      <c r="Y572" s="341"/>
      <c r="Z572" s="341"/>
      <c r="AA572" s="5"/>
      <c r="AB572" s="351">
        <f>OBRA!BT574</f>
        <v>0</v>
      </c>
      <c r="AC572" s="569"/>
      <c r="AD572" s="569"/>
    </row>
    <row r="573" spans="1:30" ht="15" hidden="1" customHeight="1">
      <c r="A573" s="23" t="s">
        <v>2239</v>
      </c>
      <c r="B573" s="933" t="str">
        <f>GRAL!B577</f>
        <v>2018-2021</v>
      </c>
      <c r="C573" s="17">
        <f>OBRA!I575</f>
        <v>2021</v>
      </c>
      <c r="D573" s="1676"/>
      <c r="E573" s="18" t="str">
        <f>OBRA!K575</f>
        <v>FOCOCI</v>
      </c>
      <c r="F573" s="525"/>
      <c r="G573" s="390"/>
      <c r="H573" s="1"/>
      <c r="I573" s="390"/>
      <c r="J573" s="56" t="str">
        <f>OBRA!U575</f>
        <v>COREGO CONSTRUCCIONES, S.A. DE C.V.</v>
      </c>
      <c r="K573" s="57" t="str">
        <f>OBRA!V575</f>
        <v xml:space="preserve">ING. ENRIQUE ENRÍQUEZ VÁZQUEZ </v>
      </c>
      <c r="L573" s="20"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2">
        <f>OBRA!S575</f>
        <v>44347</v>
      </c>
      <c r="T573" s="55"/>
      <c r="U573" s="415" t="s">
        <v>1431</v>
      </c>
      <c r="V573" s="341"/>
      <c r="W573" s="12"/>
      <c r="X573" s="306">
        <f>OBRA!AP575</f>
        <v>392270.12</v>
      </c>
      <c r="Y573" s="341"/>
      <c r="Z573" s="341"/>
      <c r="AA573" s="5"/>
      <c r="AB573" s="351">
        <f>OBRA!BT575</f>
        <v>0</v>
      </c>
      <c r="AC573" s="569"/>
      <c r="AD573" s="569"/>
    </row>
    <row r="574" spans="1:30" ht="100.5" hidden="1" customHeight="1">
      <c r="A574" s="23" t="s">
        <v>2239</v>
      </c>
      <c r="B574" s="933" t="str">
        <f>GRAL!B578</f>
        <v>2018-2021</v>
      </c>
      <c r="C574" s="17">
        <f>OBRA!I576</f>
        <v>2021</v>
      </c>
      <c r="D574" s="1676"/>
      <c r="E574" s="18" t="str">
        <f>OBRA!K576</f>
        <v>CUENTA CORRIENTE</v>
      </c>
      <c r="F574" s="525" t="s">
        <v>1431</v>
      </c>
      <c r="G574" s="1300"/>
      <c r="H574" s="239"/>
      <c r="I574" s="1300"/>
      <c r="J574" s="56" t="str">
        <f>OBRA!U576</f>
        <v>JESSICA MONSERRAT RIVERA TORRES</v>
      </c>
      <c r="K574" s="1279">
        <f>OBRA!V576</f>
        <v>0</v>
      </c>
      <c r="L574" s="20" t="str">
        <f>OBRA!L576</f>
        <v>GMJ 012C- OP/2021</v>
      </c>
      <c r="M574" s="2" t="str">
        <f>OBRA!M576</f>
        <v>CANCELADA</v>
      </c>
      <c r="N574" s="3" t="str">
        <f>OBRA!N576</f>
        <v>"REHABILITACIÓN DE POZO PROFUNDO UBICADO EN EL ATRIO DEL TEMPLO DEL SEÑOR DEL MONTE, EN LA CABECERA MUNICIPAL DE JOCOTEPEC, JALISCO.</v>
      </c>
      <c r="O574" s="597"/>
      <c r="P574" s="6">
        <f>OBRA!Q576</f>
        <v>0</v>
      </c>
      <c r="Q574" s="4">
        <f>OBRA!P576</f>
        <v>144561.23000000001</v>
      </c>
      <c r="R574" s="5">
        <f>OBRA!R576</f>
        <v>44228</v>
      </c>
      <c r="S574" s="12">
        <f>OBRA!S576</f>
        <v>44255</v>
      </c>
      <c r="T574" s="227" t="s">
        <v>3859</v>
      </c>
      <c r="U574" s="415" t="s">
        <v>1431</v>
      </c>
      <c r="V574" s="558"/>
      <c r="W574" s="559"/>
      <c r="X574" s="1155">
        <f>OBRA!AP576</f>
        <v>0</v>
      </c>
      <c r="Y574" s="341"/>
      <c r="Z574" s="341"/>
      <c r="AA574" s="5"/>
      <c r="AB574" s="351">
        <f>OBRA!BT576</f>
        <v>0</v>
      </c>
      <c r="AC574" s="569"/>
      <c r="AD574" s="569"/>
    </row>
    <row r="575" spans="1:30" ht="144" hidden="1" customHeight="1">
      <c r="A575" s="23" t="s">
        <v>2239</v>
      </c>
      <c r="B575" s="933" t="str">
        <f>GRAL!B579</f>
        <v>2018-2021</v>
      </c>
      <c r="C575" s="17">
        <f>OBRA!I577</f>
        <v>2021</v>
      </c>
      <c r="D575" s="1676"/>
      <c r="E575" s="18" t="str">
        <f>OBRA!K577</f>
        <v>CUENTA CORRIENTE</v>
      </c>
      <c r="F575" s="695" t="s">
        <v>1431</v>
      </c>
      <c r="G575" s="546" t="s">
        <v>4261</v>
      </c>
      <c r="H575" s="1015"/>
      <c r="I575" s="171"/>
      <c r="J575" s="56" t="str">
        <f>OBRA!U577</f>
        <v xml:space="preserve">INFRAESTRUCTURA Y EDIFICACIONES OROZCO S.A. DE C.V. </v>
      </c>
      <c r="K575" s="172" t="str">
        <f>OBRA!V577</f>
        <v xml:space="preserve">ING. ENRIQUE ENRÍQUEZ VÁZQUEZ </v>
      </c>
      <c r="L575" s="20"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3672</v>
      </c>
      <c r="P575" s="6">
        <f>OBRA!Q577</f>
        <v>44242</v>
      </c>
      <c r="Q575" s="4">
        <f>OBRA!P577</f>
        <v>1127177.8999999999</v>
      </c>
      <c r="R575" s="5">
        <f>OBRA!R577</f>
        <v>44242</v>
      </c>
      <c r="S575" s="12">
        <f>OBRA!S577</f>
        <v>44332</v>
      </c>
      <c r="T575" s="227" t="s">
        <v>3859</v>
      </c>
      <c r="U575" s="216" t="s">
        <v>1431</v>
      </c>
      <c r="V575" s="549" t="s">
        <v>4261</v>
      </c>
      <c r="W575" s="668" t="s">
        <v>4261</v>
      </c>
      <c r="X575" s="1157">
        <f>OBRA!AP577</f>
        <v>494512.25999999995</v>
      </c>
      <c r="Y575" s="341"/>
      <c r="Z575" s="341"/>
      <c r="AA575" s="5"/>
      <c r="AB575" s="351">
        <f>OBRA!BT577</f>
        <v>0</v>
      </c>
      <c r="AC575" s="1519"/>
      <c r="AD575" s="569" t="s">
        <v>551</v>
      </c>
    </row>
    <row r="576" spans="1:30" ht="153" hidden="1" customHeight="1">
      <c r="A576" s="23" t="s">
        <v>2239</v>
      </c>
      <c r="B576" s="933" t="str">
        <f>GRAL!B580</f>
        <v>2018-2021</v>
      </c>
      <c r="C576" s="17">
        <f>OBRA!I578</f>
        <v>2021</v>
      </c>
      <c r="D576" s="1676"/>
      <c r="E576" s="18" t="str">
        <f>OBRA!K578</f>
        <v>CUENTA CORRIENTE</v>
      </c>
      <c r="F576" s="525" t="s">
        <v>1431</v>
      </c>
      <c r="G576" s="546" t="s">
        <v>4189</v>
      </c>
      <c r="H576" s="560"/>
      <c r="I576" s="546" t="s">
        <v>4189</v>
      </c>
      <c r="J576" s="56" t="str">
        <f>OBRA!U578</f>
        <v>SUPERVISIÓN PROYECTOS Y LABORATORIO PARA LA CONSTRUCCIÓN, S.A. DE C.V.</v>
      </c>
      <c r="K576" s="172" t="str">
        <f>OBRA!V578</f>
        <v xml:space="preserve">ING. ENRIQUE ENRÍQUEZ VÁZQUEZ </v>
      </c>
      <c r="L576" s="20"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3672</v>
      </c>
      <c r="P576" s="6">
        <f>OBRA!Q578</f>
        <v>44242</v>
      </c>
      <c r="Q576" s="4">
        <f>OBRA!P578</f>
        <v>1311375.01</v>
      </c>
      <c r="R576" s="5">
        <f>OBRA!R578</f>
        <v>44242</v>
      </c>
      <c r="S576" s="12">
        <f>OBRA!S578</f>
        <v>44332</v>
      </c>
      <c r="T576" s="227" t="s">
        <v>3859</v>
      </c>
      <c r="U576" s="415" t="s">
        <v>1431</v>
      </c>
      <c r="V576" s="549" t="s">
        <v>4189</v>
      </c>
      <c r="W576" s="668" t="s">
        <v>4189</v>
      </c>
      <c r="X576" s="1155">
        <f>OBRA!AP578</f>
        <v>327843.75</v>
      </c>
      <c r="Y576" s="341"/>
      <c r="Z576" s="341"/>
      <c r="AA576" s="5"/>
      <c r="AB576" s="351">
        <f>OBRA!BT578</f>
        <v>0</v>
      </c>
      <c r="AC576" s="1519"/>
      <c r="AD576" s="569"/>
    </row>
    <row r="577" spans="1:30" ht="58.5" hidden="1" customHeight="1">
      <c r="A577" s="23" t="s">
        <v>2239</v>
      </c>
      <c r="B577" s="933" t="str">
        <f>GRAL!B581</f>
        <v>2018-2021</v>
      </c>
      <c r="C577" s="17">
        <f>OBRA!I579</f>
        <v>2021</v>
      </c>
      <c r="D577" s="1676"/>
      <c r="E577" s="18" t="str">
        <f>OBRA!K579</f>
        <v>CUENTA CORRIENTE</v>
      </c>
      <c r="F577" s="525" t="s">
        <v>1431</v>
      </c>
      <c r="G577" s="546" t="s">
        <v>4335</v>
      </c>
      <c r="H577" s="545" t="s">
        <v>4335</v>
      </c>
      <c r="I577" s="546" t="s">
        <v>4335</v>
      </c>
      <c r="J577" s="56" t="str">
        <f>OBRA!U579</f>
        <v>MARCO ANTONIO PAREDES RODRÍGUEZ</v>
      </c>
      <c r="K577" s="172" t="str">
        <f>OBRA!V579</f>
        <v>ING. LUIS RIGOBERTO OLMEDO NAVARRO</v>
      </c>
      <c r="L577" s="174" t="str">
        <f>OBRA!L579</f>
        <v>GMJ 015C- OP/2021</v>
      </c>
      <c r="M577" s="2" t="str">
        <f>OBRA!M579</f>
        <v>ADJUDICACIÓN DIRECTA</v>
      </c>
      <c r="N577" s="3" t="str">
        <f>OBRA!N579</f>
        <v>"EQUIPAMIENTO DE POZO MORELOS" EN LA AGENCIA MINICIPAL DE NEXTIPAC, DEL MUNICIPIO DE JOCOTEPEC, JALISCO.</v>
      </c>
      <c r="O577" s="554" t="s">
        <v>3672</v>
      </c>
      <c r="P577" s="6">
        <f>OBRA!Q579</f>
        <v>44305</v>
      </c>
      <c r="Q577" s="4">
        <f>OBRA!P579</f>
        <v>347784.24</v>
      </c>
      <c r="R577" s="5">
        <f>OBRA!R579</f>
        <v>44378</v>
      </c>
      <c r="S577" s="12">
        <f>OBRA!S579</f>
        <v>44424</v>
      </c>
      <c r="T577" s="1601" t="s">
        <v>3859</v>
      </c>
      <c r="U577" s="415" t="s">
        <v>1431</v>
      </c>
      <c r="V577" s="549" t="s">
        <v>4335</v>
      </c>
      <c r="W577" s="668" t="s">
        <v>4335</v>
      </c>
      <c r="X577" s="1157">
        <f>OBRA!AP579</f>
        <v>121724.48</v>
      </c>
      <c r="Y577" s="344"/>
      <c r="Z577" s="341"/>
      <c r="AA577" s="5"/>
      <c r="AB577" s="351">
        <f>OBRA!BT579</f>
        <v>0</v>
      </c>
      <c r="AC577" s="1519"/>
      <c r="AD577" s="569" t="s">
        <v>551</v>
      </c>
    </row>
    <row r="578" spans="1:30" ht="87.75" hidden="1" customHeight="1">
      <c r="A578" s="23" t="s">
        <v>2239</v>
      </c>
      <c r="B578" s="933" t="str">
        <f>GRAL!B582</f>
        <v>2018-2021</v>
      </c>
      <c r="C578" s="17">
        <f>OBRA!I580</f>
        <v>2021</v>
      </c>
      <c r="D578" s="1676"/>
      <c r="E578" s="18" t="str">
        <f>OBRA!K580</f>
        <v>CUENTA CORRIENTE</v>
      </c>
      <c r="F578" s="525" t="s">
        <v>1431</v>
      </c>
      <c r="G578" s="546" t="s">
        <v>4328</v>
      </c>
      <c r="H578" s="545" t="s">
        <v>4328</v>
      </c>
      <c r="I578" s="546" t="s">
        <v>4328</v>
      </c>
      <c r="J578" s="56" t="str">
        <f>OBRA!U580</f>
        <v>CONVADI, S.A. DE C.V.</v>
      </c>
      <c r="K578" s="172" t="str">
        <f>OBRA!V580</f>
        <v>ING. ALEJANDRO SIGALA MOLINA</v>
      </c>
      <c r="L578" s="174" t="str">
        <f>OBRA!L580</f>
        <v>GMJ 016C- OP/2021</v>
      </c>
      <c r="M578" s="2" t="str">
        <f>OBRA!M580</f>
        <v>ADJUDICACIÓN DIRECTA</v>
      </c>
      <c r="N578" s="3" t="str">
        <f>OBRA!N580</f>
        <v>"PROYECTO DE ELECTRIFICACIÓN Y EQUIPAMIENTO 1ERA ETAPA DE POZO PROFUNDO ALLENDE", UBICADO EN LA CABECERA MUNICIPAL DE JOCOTEPEC, JALISCO</v>
      </c>
      <c r="O578" s="554" t="s">
        <v>3672</v>
      </c>
      <c r="P578" s="6">
        <f>OBRA!Q580</f>
        <v>44308</v>
      </c>
      <c r="Q578" s="4">
        <f>OBRA!P580</f>
        <v>1083547.78</v>
      </c>
      <c r="R578" s="5">
        <f>OBRA!R580</f>
        <v>44322</v>
      </c>
      <c r="S578" s="12">
        <f>OBRA!S580</f>
        <v>44347</v>
      </c>
      <c r="T578" s="227" t="s">
        <v>3859</v>
      </c>
      <c r="U578" s="415" t="s">
        <v>1431</v>
      </c>
      <c r="V578" s="549" t="s">
        <v>4328</v>
      </c>
      <c r="W578" s="668" t="s">
        <v>4328</v>
      </c>
      <c r="X578" s="1157">
        <f>OBRA!AP580</f>
        <v>487596.5</v>
      </c>
      <c r="Y578" s="341"/>
      <c r="Z578" s="341"/>
      <c r="AA578" s="5"/>
      <c r="AB578" s="351">
        <f>OBRA!BT580</f>
        <v>0</v>
      </c>
      <c r="AC578" s="1519"/>
      <c r="AD578" s="569" t="s">
        <v>551</v>
      </c>
    </row>
    <row r="579" spans="1:30" ht="62.25" hidden="1" customHeight="1">
      <c r="A579" s="23" t="s">
        <v>2239</v>
      </c>
      <c r="B579" s="933" t="str">
        <f>GRAL!B583</f>
        <v>2018-2021</v>
      </c>
      <c r="C579" s="17">
        <f>OBRA!I581</f>
        <v>2021</v>
      </c>
      <c r="D579" s="1676"/>
      <c r="E579" s="18" t="str">
        <f>OBRA!K581</f>
        <v>CUENTA CORRIENTE</v>
      </c>
      <c r="F579" s="525" t="s">
        <v>1431</v>
      </c>
      <c r="G579" s="546" t="s">
        <v>4339</v>
      </c>
      <c r="H579" s="1015"/>
      <c r="I579" s="546" t="s">
        <v>4339</v>
      </c>
      <c r="J579" s="56" t="str">
        <f>OBRA!U581</f>
        <v>GRUPO ARANGE, S.A. DE C.V.</v>
      </c>
      <c r="K579" s="57" t="str">
        <f>OBRA!V581</f>
        <v>LIC. SALVADOR CONTRERAS OLGUÍN</v>
      </c>
      <c r="L579" s="174" t="str">
        <f>OBRA!L581</f>
        <v>GMJ 017C- OP/2021</v>
      </c>
      <c r="M579" s="2" t="str">
        <f>OBRA!M581</f>
        <v>ADJUDICACIÓN DIRECTA</v>
      </c>
      <c r="N579" s="3" t="str">
        <f>OBRA!N581</f>
        <v>"PROYECTO DE ELÉCTRICO DEL RASTRO MUNICIPAL, ETAPA 1,  EN LA CABECERA MUNICIPAL DE JOCOTEPEC, JALISCO</v>
      </c>
      <c r="O579" s="554" t="s">
        <v>3672</v>
      </c>
      <c r="P579" s="6">
        <f>OBRA!Q581</f>
        <v>44440</v>
      </c>
      <c r="Q579" s="4">
        <f>OBRA!P581</f>
        <v>652301.56999999995</v>
      </c>
      <c r="R579" s="5">
        <f>OBRA!R581</f>
        <v>44445</v>
      </c>
      <c r="S579" s="12">
        <f>OBRA!S581</f>
        <v>44463</v>
      </c>
      <c r="T579" s="1601" t="s">
        <v>3859</v>
      </c>
      <c r="U579" s="216" t="s">
        <v>1431</v>
      </c>
      <c r="V579" s="549" t="s">
        <v>4339</v>
      </c>
      <c r="W579" s="668" t="s">
        <v>4339</v>
      </c>
      <c r="X579" s="1837">
        <f>OBRA!AP581</f>
        <v>293535.69</v>
      </c>
      <c r="Y579" s="1838" t="s">
        <v>4344</v>
      </c>
      <c r="Z579" s="341"/>
      <c r="AA579" s="5"/>
      <c r="AB579" s="351">
        <f>OBRA!BT581</f>
        <v>0</v>
      </c>
      <c r="AC579" s="1519"/>
      <c r="AD579" s="569"/>
    </row>
    <row r="580" spans="1:30" ht="117" hidden="1" customHeight="1">
      <c r="A580" s="23" t="s">
        <v>2239</v>
      </c>
      <c r="B580" s="933" t="str">
        <f>GRAL!B584</f>
        <v>2018-2021</v>
      </c>
      <c r="C580" s="17">
        <f>OBRA!I582</f>
        <v>2021</v>
      </c>
      <c r="D580" s="1676"/>
      <c r="E580" s="18" t="str">
        <f>OBRA!K582</f>
        <v>CUENTA CORRIENTE</v>
      </c>
      <c r="F580" s="525" t="s">
        <v>1431</v>
      </c>
      <c r="G580" s="171"/>
      <c r="H580" s="560"/>
      <c r="I580" s="171"/>
      <c r="J580" s="56" t="str">
        <f>OBRA!U582</f>
        <v xml:space="preserve">ING. SERGIO CABRERA </v>
      </c>
      <c r="K580" s="57" t="str">
        <f>OBRA!V582</f>
        <v>ING. J. GUADALUPE IBARRA RAMIREZ</v>
      </c>
      <c r="L580" s="20"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54" t="s">
        <v>3672</v>
      </c>
      <c r="P580" s="6">
        <f>OBRA!Q582</f>
        <v>44454</v>
      </c>
      <c r="Q580" s="4">
        <f>OBRA!P582</f>
        <v>1137012.22</v>
      </c>
      <c r="R580" s="5">
        <f>OBRA!R582</f>
        <v>44456</v>
      </c>
      <c r="S580" s="12">
        <f>OBRA!S582</f>
        <v>44499</v>
      </c>
      <c r="T580" s="227" t="s">
        <v>3859</v>
      </c>
      <c r="U580" s="415" t="s">
        <v>1431</v>
      </c>
      <c r="V580" s="591"/>
      <c r="W580" s="479"/>
      <c r="X580" s="1155">
        <f>OBRA!AP582</f>
        <v>0</v>
      </c>
      <c r="Y580" s="341"/>
      <c r="Z580" s="341"/>
      <c r="AA580" s="5"/>
      <c r="AB580" s="351">
        <f>OBRA!BT582</f>
        <v>0</v>
      </c>
      <c r="AC580" s="1519"/>
      <c r="AD580" s="569"/>
    </row>
    <row r="581" spans="1:30" ht="15" hidden="1" customHeight="1">
      <c r="A581" s="23" t="s">
        <v>2239</v>
      </c>
      <c r="B581" s="933" t="str">
        <f>GRAL!B585</f>
        <v>2021-2024</v>
      </c>
      <c r="C581" s="17">
        <f>OBRA!I583</f>
        <v>2021</v>
      </c>
      <c r="D581" s="1676"/>
      <c r="E581" s="18" t="str">
        <f>OBRA!K583</f>
        <v xml:space="preserve">CULTURA CARDINAL </v>
      </c>
      <c r="F581" s="525"/>
      <c r="G581" s="390"/>
      <c r="H581" s="1"/>
      <c r="I581" s="390"/>
      <c r="J581" s="56" t="str">
        <f>OBRA!U583</f>
        <v>N/A</v>
      </c>
      <c r="K581" s="57" t="str">
        <f>OBRA!V583</f>
        <v>ARQ. JAIME CONDE GOMEZ</v>
      </c>
      <c r="L581" s="20"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2">
        <f>OBRA!S583</f>
        <v>44561</v>
      </c>
      <c r="T581" s="55"/>
      <c r="U581" s="415" t="s">
        <v>1431</v>
      </c>
      <c r="V581" s="341"/>
      <c r="W581" s="12"/>
      <c r="X581" s="1155">
        <f>OBRA!AP583</f>
        <v>0</v>
      </c>
      <c r="Y581" s="341"/>
      <c r="Z581" s="341"/>
      <c r="AA581" s="5"/>
      <c r="AB581" s="351">
        <f>OBRA!BT583</f>
        <v>0</v>
      </c>
      <c r="AC581" s="569"/>
      <c r="AD581" s="569"/>
    </row>
    <row r="582" spans="1:30" ht="15" hidden="1" customHeight="1">
      <c r="A582" s="23" t="s">
        <v>2239</v>
      </c>
      <c r="B582" s="933" t="str">
        <f>GRAL!B586</f>
        <v>2021-2024</v>
      </c>
      <c r="C582" s="17">
        <f>OBRA!I584</f>
        <v>2021</v>
      </c>
      <c r="D582" s="1676"/>
      <c r="E582" s="18" t="str">
        <f>OBRA!K584</f>
        <v>CUENTA CORRIENTE</v>
      </c>
      <c r="F582" s="525"/>
      <c r="G582" s="390"/>
      <c r="H582" s="1"/>
      <c r="I582" s="390"/>
      <c r="J582" s="56" t="str">
        <f>OBRA!U584</f>
        <v>N/A</v>
      </c>
      <c r="K582" s="57" t="str">
        <f>OBRA!V584</f>
        <v>ING. J. GUADALUPE IBARRA RAMIREZ</v>
      </c>
      <c r="L582" s="20"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2">
        <f>OBRA!S584</f>
        <v>44651</v>
      </c>
      <c r="T582" s="55"/>
      <c r="U582" s="415" t="s">
        <v>1431</v>
      </c>
      <c r="V582" s="341"/>
      <c r="W582" s="12"/>
      <c r="X582" s="1155">
        <f>OBRA!AP584</f>
        <v>0</v>
      </c>
      <c r="Y582" s="341"/>
      <c r="Z582" s="341"/>
      <c r="AA582" s="5"/>
      <c r="AB582" s="351">
        <f>OBRA!BT584</f>
        <v>0</v>
      </c>
      <c r="AC582" s="569"/>
      <c r="AD582" s="569"/>
    </row>
    <row r="583" spans="1:30" ht="15" hidden="1" customHeight="1">
      <c r="A583" s="23" t="s">
        <v>2239</v>
      </c>
      <c r="B583" s="933" t="str">
        <f>GRAL!B587</f>
        <v>2021-2024</v>
      </c>
      <c r="C583" s="17">
        <f>OBRA!I585</f>
        <v>2021</v>
      </c>
      <c r="D583" s="1676"/>
      <c r="E583" s="18" t="str">
        <f>OBRA!K585</f>
        <v>CUENTA CORRIENTE</v>
      </c>
      <c r="F583" s="525"/>
      <c r="G583" s="390"/>
      <c r="H583" s="1"/>
      <c r="I583" s="390"/>
      <c r="J583" s="56" t="str">
        <f>OBRA!U585</f>
        <v>ECCOC DE GUADALAJARA, S.A. DE C.V.</v>
      </c>
      <c r="K583" s="57">
        <f>OBRA!V585</f>
        <v>0</v>
      </c>
      <c r="L583" s="20"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2" t="str">
        <f>OBRA!S585</f>
        <v>-</v>
      </c>
      <c r="T583" s="55"/>
      <c r="U583" s="415" t="s">
        <v>1431</v>
      </c>
      <c r="V583" s="341"/>
      <c r="W583" s="12"/>
      <c r="X583" s="1155">
        <f>OBRA!AP585</f>
        <v>0</v>
      </c>
      <c r="Y583" s="341"/>
      <c r="Z583" s="341"/>
      <c r="AA583" s="5"/>
      <c r="AB583" s="351">
        <f>OBRA!BT585</f>
        <v>0</v>
      </c>
      <c r="AC583" s="569"/>
      <c r="AD583" s="569"/>
    </row>
    <row r="584" spans="1:30" ht="15" hidden="1" customHeight="1">
      <c r="A584" s="23" t="s">
        <v>2239</v>
      </c>
      <c r="B584" s="933" t="str">
        <f>GRAL!B588</f>
        <v>2021-2024</v>
      </c>
      <c r="C584" s="17">
        <f>OBRA!I586</f>
        <v>2021</v>
      </c>
      <c r="D584" s="1676"/>
      <c r="E584" s="18" t="str">
        <f>OBRA!K586</f>
        <v>CUENTA CORRIENTE</v>
      </c>
      <c r="F584" s="525"/>
      <c r="G584" s="390"/>
      <c r="H584" s="1"/>
      <c r="I584" s="390"/>
      <c r="J584" s="56" t="str">
        <f>OBRA!U586</f>
        <v>CARLOS MANUEL PELAYO CERVERA</v>
      </c>
      <c r="K584" s="57">
        <f>OBRA!V586</f>
        <v>0</v>
      </c>
      <c r="L584" s="20"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2" t="str">
        <f>OBRA!S586</f>
        <v>-</v>
      </c>
      <c r="T584" s="55"/>
      <c r="U584" s="415" t="s">
        <v>1431</v>
      </c>
      <c r="V584" s="341"/>
      <c r="W584" s="12"/>
      <c r="X584" s="1155">
        <f>OBRA!AP586</f>
        <v>0</v>
      </c>
      <c r="Y584" s="341"/>
      <c r="Z584" s="341"/>
      <c r="AA584" s="5"/>
      <c r="AB584" s="351">
        <f>OBRA!BT586</f>
        <v>0</v>
      </c>
      <c r="AC584" s="569"/>
      <c r="AD584" s="569"/>
    </row>
    <row r="585" spans="1:30" ht="15" hidden="1" customHeight="1">
      <c r="A585" s="23" t="s">
        <v>2239</v>
      </c>
      <c r="B585" s="933" t="str">
        <f>GRAL!B589</f>
        <v>2021-2024</v>
      </c>
      <c r="C585" s="17">
        <f>OBRA!I587</f>
        <v>2021</v>
      </c>
      <c r="D585" s="1676"/>
      <c r="E585" s="18" t="str">
        <f>OBRA!K587</f>
        <v>CUENTA CORRIENTE</v>
      </c>
      <c r="F585" s="525"/>
      <c r="G585" s="390"/>
      <c r="H585" s="1"/>
      <c r="I585" s="390"/>
      <c r="J585" s="56" t="str">
        <f>OBRA!U587</f>
        <v>ING. SERGIO CABRERA</v>
      </c>
      <c r="K585" s="57">
        <f>OBRA!V587</f>
        <v>0</v>
      </c>
      <c r="L585" s="20"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2" t="str">
        <f>OBRA!S587</f>
        <v>-</v>
      </c>
      <c r="T585" s="55"/>
      <c r="U585" s="415" t="s">
        <v>1431</v>
      </c>
      <c r="V585" s="341"/>
      <c r="W585" s="12"/>
      <c r="X585" s="1155">
        <f>OBRA!AP587</f>
        <v>0</v>
      </c>
      <c r="Y585" s="341"/>
      <c r="Z585" s="341"/>
      <c r="AA585" s="5"/>
      <c r="AB585" s="351">
        <f>OBRA!BT587</f>
        <v>0</v>
      </c>
      <c r="AC585" s="569"/>
      <c r="AD585" s="569"/>
    </row>
    <row r="586" spans="1:30" ht="15" hidden="1" customHeight="1">
      <c r="A586" s="23" t="s">
        <v>2239</v>
      </c>
      <c r="B586" s="933" t="str">
        <f>GRAL!B590</f>
        <v>2021-2024</v>
      </c>
      <c r="C586" s="17">
        <f>OBRA!I588</f>
        <v>2021</v>
      </c>
      <c r="D586" s="1676"/>
      <c r="E586" s="18" t="str">
        <f>OBRA!K588</f>
        <v>CUENTA CORRIENTE</v>
      </c>
      <c r="F586" s="525"/>
      <c r="G586" s="390"/>
      <c r="H586" s="1"/>
      <c r="I586" s="390"/>
      <c r="J586" s="56" t="str">
        <f>OBRA!U588</f>
        <v xml:space="preserve">SERVICIOS Y CONSTRUCCIONES NATENIO, S.A. DE C.V. </v>
      </c>
      <c r="K586" s="57">
        <f>OBRA!V588</f>
        <v>0</v>
      </c>
      <c r="L586" s="20"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2">
        <f>OBRA!S588</f>
        <v>44546</v>
      </c>
      <c r="T586" s="55"/>
      <c r="U586" s="415" t="s">
        <v>1431</v>
      </c>
      <c r="V586" s="341"/>
      <c r="W586" s="12"/>
      <c r="X586" s="1155">
        <f>OBRA!AP588</f>
        <v>0</v>
      </c>
      <c r="Y586" s="341"/>
      <c r="Z586" s="341"/>
      <c r="AA586" s="5"/>
      <c r="AB586" s="351">
        <f>OBRA!BT588</f>
        <v>0</v>
      </c>
      <c r="AC586" s="569"/>
      <c r="AD586" s="569"/>
    </row>
    <row r="587" spans="1:30" ht="15" hidden="1" customHeight="1">
      <c r="A587" s="23" t="s">
        <v>2239</v>
      </c>
      <c r="B587" s="933" t="str">
        <f>GRAL!B591</f>
        <v>2021-2024</v>
      </c>
      <c r="C587" s="17">
        <f>OBRA!I589</f>
        <v>2021</v>
      </c>
      <c r="D587" s="1676"/>
      <c r="E587" s="18">
        <f>OBRA!K589</f>
        <v>0</v>
      </c>
      <c r="F587" s="525"/>
      <c r="G587" s="390"/>
      <c r="H587" s="1"/>
      <c r="I587" s="390"/>
      <c r="J587" s="56" t="str">
        <f>OBRA!U589</f>
        <v xml:space="preserve">ING. SERGIO CABRERA </v>
      </c>
      <c r="K587" s="57" t="str">
        <f>OBRA!V589</f>
        <v>ING. J. GUADALUPE IBARRA RAMIREZ</v>
      </c>
      <c r="L587" s="20" t="str">
        <f>OBRA!L589</f>
        <v>GMJ 001C- OP/2021</v>
      </c>
      <c r="M587" s="2" t="str">
        <f>OBRA!M589</f>
        <v>CANCELADA</v>
      </c>
      <c r="N587" s="3">
        <f>OBRA!N589</f>
        <v>0</v>
      </c>
      <c r="O587" s="3"/>
      <c r="P587" s="6">
        <f>OBRA!Q589</f>
        <v>0</v>
      </c>
      <c r="Q587" s="4">
        <f>OBRA!P589</f>
        <v>0</v>
      </c>
      <c r="R587" s="5">
        <f>OBRA!R589</f>
        <v>0</v>
      </c>
      <c r="S587" s="12">
        <f>OBRA!S589</f>
        <v>0</v>
      </c>
      <c r="T587" s="55"/>
      <c r="U587" s="415" t="s">
        <v>1431</v>
      </c>
      <c r="V587" s="341"/>
      <c r="W587" s="12"/>
      <c r="X587" s="1155">
        <f>OBRA!AP589</f>
        <v>0</v>
      </c>
      <c r="Y587" s="341"/>
      <c r="Z587" s="341"/>
      <c r="AA587" s="5"/>
      <c r="AB587" s="351">
        <f>OBRA!BT589</f>
        <v>0</v>
      </c>
      <c r="AC587" s="569"/>
      <c r="AD587" s="569"/>
    </row>
    <row r="588" spans="1:30" ht="83.25" hidden="1" customHeight="1">
      <c r="A588" s="23" t="s">
        <v>2239</v>
      </c>
      <c r="B588" s="933" t="str">
        <f>GRAL!B592</f>
        <v>2021-2024</v>
      </c>
      <c r="C588" s="17">
        <f>OBRA!I590</f>
        <v>2021</v>
      </c>
      <c r="D588" s="1676"/>
      <c r="E588" s="18" t="str">
        <f>OBRA!K590</f>
        <v>CUENTA CORRIENTE</v>
      </c>
      <c r="F588" s="525" t="s">
        <v>1431</v>
      </c>
      <c r="G588" s="171"/>
      <c r="H588" s="545" t="s">
        <v>4262</v>
      </c>
      <c r="I588" s="171"/>
      <c r="J588" s="56" t="str">
        <f>OBRA!U590</f>
        <v>ING. SERGIO CABRERA</v>
      </c>
      <c r="K588" s="57" t="str">
        <f>OBRA!V590</f>
        <v>ING. J. GUADALUPE IBARRA RAMIREZ</v>
      </c>
      <c r="L588" s="20" t="str">
        <f>OBRA!L590</f>
        <v>GMJ 002C- OP/2021</v>
      </c>
      <c r="M588" s="2" t="str">
        <f>OBRA!M590</f>
        <v>ADJUDICACIÓN DIRECTA</v>
      </c>
      <c r="N588" s="3" t="str">
        <f>OBRA!N590</f>
        <v>"REHABILITACIÓN DE LÍNEA DE AGUA POTABLE Y LÍNEA DRENAJE EN CALLE LIBERTAD" EN LA DELEGACIÓN DE POTRERILLOS, DEL MUNICIPIO DE JOCOTEPEC, JALISCO.</v>
      </c>
      <c r="O588" s="554" t="s">
        <v>3842</v>
      </c>
      <c r="P588" s="6">
        <f>OBRA!Q590</f>
        <v>44504</v>
      </c>
      <c r="Q588" s="4">
        <f>OBRA!P590</f>
        <v>715198.43</v>
      </c>
      <c r="R588" s="5">
        <f>OBRA!R590</f>
        <v>44508</v>
      </c>
      <c r="S588" s="12">
        <f>OBRA!S590</f>
        <v>44548</v>
      </c>
      <c r="T588" s="227" t="s">
        <v>3859</v>
      </c>
      <c r="U588" s="415" t="s">
        <v>1431</v>
      </c>
      <c r="V588" s="591"/>
      <c r="W588" s="668" t="s">
        <v>4262</v>
      </c>
      <c r="X588" s="1155">
        <f>OBRA!AP590</f>
        <v>0</v>
      </c>
      <c r="Y588" s="341"/>
      <c r="Z588" s="341"/>
      <c r="AA588" s="5"/>
      <c r="AB588" s="351">
        <f>OBRA!BT590</f>
        <v>0</v>
      </c>
      <c r="AC588" s="1519"/>
      <c r="AD588" s="569"/>
    </row>
    <row r="589" spans="1:30" ht="129" hidden="1" customHeight="1">
      <c r="A589" s="23" t="s">
        <v>2239</v>
      </c>
      <c r="B589" s="933" t="str">
        <f>GRAL!B593</f>
        <v>2021-2024</v>
      </c>
      <c r="C589" s="17">
        <f>OBRA!I591</f>
        <v>2021</v>
      </c>
      <c r="D589" s="1676"/>
      <c r="E589" s="18" t="str">
        <f>OBRA!K591</f>
        <v>RAMO 33</v>
      </c>
      <c r="F589" s="695" t="s">
        <v>1431</v>
      </c>
      <c r="G589" s="546" t="s">
        <v>4249</v>
      </c>
      <c r="H589" s="545" t="s">
        <v>4249</v>
      </c>
      <c r="I589" s="546" t="s">
        <v>4249</v>
      </c>
      <c r="J589" s="56" t="str">
        <f>OBRA!U591</f>
        <v>ING. SERGIO CABRERA</v>
      </c>
      <c r="K589" s="57" t="str">
        <f>OBRA!V591</f>
        <v>ING. J. GUADALUPE IBARRA RAMIREZ</v>
      </c>
      <c r="L589" s="174" t="str">
        <f>OBRA!L591</f>
        <v>GMJ 003C- OP/2021</v>
      </c>
      <c r="M589" s="202" t="str">
        <f>OBRA!M591</f>
        <v>ADJUDICACIÓN DIRECTA</v>
      </c>
      <c r="N589" s="328" t="str">
        <f>OBRA!N591</f>
        <v>"REHABILITACIÓN DE LÍNEA DE AGUA POTABLE EN CALLE GUADALUPE VICTORIA ENTRE CARRETERA Y C. LA PAZ, Y EN C. LA PAZ DE CALLE GUADALUPE VICTORIA AL CADENAMIENTO 0+516.00"EN LA DELEGACIÓN DE SAN JUAN COSALÁ, DEL MUNICIPIO DE JOCOTEPEC, JALISCO.</v>
      </c>
      <c r="O589" s="554" t="s">
        <v>3842</v>
      </c>
      <c r="P589" s="69">
        <f>OBRA!Q591</f>
        <v>44522</v>
      </c>
      <c r="Q589" s="85">
        <f>OBRA!P591</f>
        <v>347130.34</v>
      </c>
      <c r="R589" s="255">
        <f>OBRA!R591</f>
        <v>44523</v>
      </c>
      <c r="S589" s="245">
        <f>OBRA!S591</f>
        <v>44560</v>
      </c>
      <c r="T589" s="1609" t="s">
        <v>3860</v>
      </c>
      <c r="U589" s="216" t="s">
        <v>1431</v>
      </c>
      <c r="V589" s="549" t="s">
        <v>4249</v>
      </c>
      <c r="W589" s="668" t="s">
        <v>4249</v>
      </c>
      <c r="X589" s="1155">
        <f>OBRA!AP591</f>
        <v>34713.03</v>
      </c>
      <c r="Y589" s="341"/>
      <c r="Z589" s="341"/>
      <c r="AA589" s="5"/>
      <c r="AB589" s="351">
        <f>OBRA!BT591</f>
        <v>0</v>
      </c>
      <c r="AC589" s="1519"/>
      <c r="AD589" s="569"/>
    </row>
    <row r="590" spans="1:30" ht="141" hidden="1" customHeight="1">
      <c r="A590" s="23" t="s">
        <v>2239</v>
      </c>
      <c r="B590" s="933" t="str">
        <f>GRAL!B594</f>
        <v>2021-2024</v>
      </c>
      <c r="C590" s="17">
        <f>OBRA!I592</f>
        <v>2021</v>
      </c>
      <c r="D590" s="1676"/>
      <c r="E590" s="18" t="str">
        <f>OBRA!K592</f>
        <v>RAMO 33</v>
      </c>
      <c r="F590" s="695" t="s">
        <v>1431</v>
      </c>
      <c r="G590" s="546" t="s">
        <v>4252</v>
      </c>
      <c r="H590" s="545" t="s">
        <v>4252</v>
      </c>
      <c r="I590" s="546" t="s">
        <v>4252</v>
      </c>
      <c r="J590" s="56" t="str">
        <f>OBRA!U592</f>
        <v>ING. SERGIO CABRERA</v>
      </c>
      <c r="K590" s="57" t="str">
        <f>OBRA!V592</f>
        <v>ING. J. GUADALUPE IBARRA RAMIREZ</v>
      </c>
      <c r="L590" s="174" t="str">
        <f>OBRA!L592</f>
        <v>GMJ 004C- OP/2021</v>
      </c>
      <c r="M590" s="202" t="str">
        <f>OBRA!M592</f>
        <v>ADJUDICACIÓN DIRECTA</v>
      </c>
      <c r="N590"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3842</v>
      </c>
      <c r="P590" s="69">
        <f>OBRA!Q592</f>
        <v>44522</v>
      </c>
      <c r="Q590" s="85">
        <f>OBRA!P592</f>
        <v>791064.19</v>
      </c>
      <c r="R590" s="255">
        <f>OBRA!R592</f>
        <v>44523</v>
      </c>
      <c r="S590" s="245">
        <f>OBRA!S592</f>
        <v>44530</v>
      </c>
      <c r="T590" s="1609" t="s">
        <v>3860</v>
      </c>
      <c r="U590" s="216" t="s">
        <v>1431</v>
      </c>
      <c r="V590" s="549" t="s">
        <v>4252</v>
      </c>
      <c r="W590" s="668" t="s">
        <v>4252</v>
      </c>
      <c r="X590" s="1155">
        <f>OBRA!AP592</f>
        <v>79106.41</v>
      </c>
      <c r="Y590" s="341"/>
      <c r="Z590" s="341"/>
      <c r="AA590" s="5"/>
      <c r="AB590" s="351">
        <f>OBRA!BT592</f>
        <v>0</v>
      </c>
      <c r="AC590" s="1519"/>
      <c r="AD590" s="569"/>
    </row>
    <row r="591" spans="1:30" ht="83.25" hidden="1" customHeight="1">
      <c r="A591" s="23" t="s">
        <v>2239</v>
      </c>
      <c r="B591" s="933" t="str">
        <f>GRAL!B595</f>
        <v>2021-2024</v>
      </c>
      <c r="C591" s="17">
        <f>OBRA!I593</f>
        <v>2021</v>
      </c>
      <c r="D591" s="1676"/>
      <c r="E591" s="18" t="str">
        <f>OBRA!K593</f>
        <v>RAMO 33</v>
      </c>
      <c r="F591" s="525" t="s">
        <v>1431</v>
      </c>
      <c r="G591" s="546" t="s">
        <v>4325</v>
      </c>
      <c r="H591" s="545" t="s">
        <v>4255</v>
      </c>
      <c r="I591" s="546" t="s">
        <v>4255</v>
      </c>
      <c r="J591" s="56" t="str">
        <f>OBRA!U593</f>
        <v>PLANOS Y OBRAS LODEIRO S.A. DE C.V.</v>
      </c>
      <c r="K591" s="57" t="str">
        <f>OBRA!V593</f>
        <v>ING. J. GUADALUPE IBARRA RAMIREZ</v>
      </c>
      <c r="L591" s="174" t="str">
        <f>OBRA!L593</f>
        <v>GMJ 005C- OP/2021</v>
      </c>
      <c r="M591" s="2" t="str">
        <f>OBRA!M593</f>
        <v>ADJUDICACIÓN DIRECTA</v>
      </c>
      <c r="N591" s="3" t="str">
        <f>OBRA!N593</f>
        <v>"CONSTRUCCIÓN DE BANQUETAS EN CALLE LAZARO CÁRDENAS ENTRE C. VERANO Y C. INVIERNO" EN LA CABECERA MUNICIPAL DE JOCOTEPEC, JALISCO.</v>
      </c>
      <c r="O591" s="554" t="s">
        <v>3842</v>
      </c>
      <c r="P591" s="6">
        <f>OBRA!Q593</f>
        <v>44522</v>
      </c>
      <c r="Q591" s="4">
        <f>OBRA!P593</f>
        <v>100144.26</v>
      </c>
      <c r="R591" s="5">
        <f>OBRA!R593</f>
        <v>44524</v>
      </c>
      <c r="S591" s="12">
        <f>OBRA!S593</f>
        <v>44558</v>
      </c>
      <c r="T591" s="1609" t="s">
        <v>3860</v>
      </c>
      <c r="U591" s="216" t="s">
        <v>1431</v>
      </c>
      <c r="V591" s="549" t="s">
        <v>4255</v>
      </c>
      <c r="W591" s="668" t="s">
        <v>4255</v>
      </c>
      <c r="X591" s="1157">
        <f>OBRA!AP593</f>
        <v>20028.86</v>
      </c>
      <c r="Y591" s="341"/>
      <c r="Z591" s="341"/>
      <c r="AA591" s="5"/>
      <c r="AB591" s="351">
        <f>OBRA!BT593</f>
        <v>0</v>
      </c>
      <c r="AC591" s="1519"/>
      <c r="AD591" s="569" t="s">
        <v>551</v>
      </c>
    </row>
    <row r="592" spans="1:30" ht="98.25" hidden="1" customHeight="1">
      <c r="A592" s="23" t="s">
        <v>2239</v>
      </c>
      <c r="B592" s="933" t="str">
        <f>GRAL!B596</f>
        <v>2021-2024</v>
      </c>
      <c r="C592" s="17">
        <f>OBRA!I594</f>
        <v>2021</v>
      </c>
      <c r="D592" s="1676"/>
      <c r="E592" s="18" t="str">
        <f>OBRA!K594</f>
        <v>RAMO 33</v>
      </c>
      <c r="F592" s="695" t="s">
        <v>1431</v>
      </c>
      <c r="G592" s="546" t="s">
        <v>4257</v>
      </c>
      <c r="H592" s="545" t="s">
        <v>4257</v>
      </c>
      <c r="I592" s="546" t="s">
        <v>4257</v>
      </c>
      <c r="J592" s="56" t="str">
        <f>OBRA!U594</f>
        <v>ING. SERGIO CABRERA</v>
      </c>
      <c r="K592" s="57" t="str">
        <f>OBRA!V594</f>
        <v>ING. J. GUADALUPE IBARRA RAMIREZ</v>
      </c>
      <c r="L592" s="174"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54" t="s">
        <v>3842</v>
      </c>
      <c r="P592" s="6">
        <f>OBRA!Q594</f>
        <v>44522</v>
      </c>
      <c r="Q592" s="4">
        <f>OBRA!P594</f>
        <v>252763.45</v>
      </c>
      <c r="R592" s="5">
        <f>OBRA!R594</f>
        <v>44523</v>
      </c>
      <c r="S592" s="12">
        <f>OBRA!S594</f>
        <v>44559</v>
      </c>
      <c r="T592" s="1609" t="s">
        <v>3860</v>
      </c>
      <c r="U592" s="216" t="s">
        <v>1431</v>
      </c>
      <c r="V592" s="549" t="s">
        <v>4257</v>
      </c>
      <c r="W592" s="668" t="s">
        <v>4257</v>
      </c>
      <c r="X592" s="1157">
        <f>OBRA!AP594</f>
        <v>50552.68</v>
      </c>
      <c r="Y592" s="341"/>
      <c r="Z592" s="341"/>
      <c r="AA592" s="5"/>
      <c r="AB592" s="351">
        <f>OBRA!BT594</f>
        <v>0</v>
      </c>
      <c r="AC592" s="1519"/>
      <c r="AD592" s="569" t="s">
        <v>551</v>
      </c>
    </row>
    <row r="593" spans="1:30" ht="102" hidden="1" customHeight="1">
      <c r="A593" s="23" t="s">
        <v>2239</v>
      </c>
      <c r="B593" s="933" t="str">
        <f>GRAL!B597</f>
        <v>2021-2024</v>
      </c>
      <c r="C593" s="17">
        <f>OBRA!I595</f>
        <v>2021</v>
      </c>
      <c r="D593" s="1676"/>
      <c r="E593" s="18" t="str">
        <f>OBRA!K595</f>
        <v>CUENTA CORRIENTE</v>
      </c>
      <c r="F593" s="525" t="s">
        <v>1431</v>
      </c>
      <c r="G593" s="546" t="s">
        <v>4325</v>
      </c>
      <c r="H593" s="545" t="s">
        <v>4325</v>
      </c>
      <c r="I593" s="546" t="s">
        <v>4325</v>
      </c>
      <c r="J593" s="56" t="str">
        <f>OBRA!U595</f>
        <v>ING. SERGIO CABRERA</v>
      </c>
      <c r="K593" s="57" t="str">
        <f>OBRA!V595</f>
        <v>C. DANIEL RODRIGUEZ VALENZUELA</v>
      </c>
      <c r="L593" s="174"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54" t="s">
        <v>3842</v>
      </c>
      <c r="P593" s="6">
        <f>OBRA!Q595</f>
        <v>44560</v>
      </c>
      <c r="Q593" s="4">
        <f>OBRA!P595</f>
        <v>360015.52</v>
      </c>
      <c r="R593" s="5">
        <f>OBRA!R595</f>
        <v>44560</v>
      </c>
      <c r="S593" s="12">
        <f>OBRA!S595</f>
        <v>44569</v>
      </c>
      <c r="T593" s="227" t="s">
        <v>3859</v>
      </c>
      <c r="U593" s="415" t="s">
        <v>1431</v>
      </c>
      <c r="V593" s="549" t="s">
        <v>4325</v>
      </c>
      <c r="W593" s="668" t="s">
        <v>4325</v>
      </c>
      <c r="X593" s="1157">
        <f>OBRA!AP595</f>
        <v>72003.100000000006</v>
      </c>
      <c r="Y593" s="341"/>
      <c r="Z593" s="341"/>
      <c r="AA593" s="5"/>
      <c r="AB593" s="351">
        <f>OBRA!BT595</f>
        <v>0</v>
      </c>
      <c r="AC593" s="1519"/>
      <c r="AD593" s="569" t="s">
        <v>551</v>
      </c>
    </row>
    <row r="594" spans="1:30" ht="15" hidden="1" customHeight="1">
      <c r="A594" s="23" t="s">
        <v>2239</v>
      </c>
      <c r="B594" s="933" t="str">
        <f>GRAL!B598</f>
        <v>2021-2024</v>
      </c>
      <c r="C594" s="17">
        <f>OBRA!I596</f>
        <v>2022</v>
      </c>
      <c r="D594" s="1676"/>
      <c r="E594" s="18" t="str">
        <f>OBRA!K596</f>
        <v>CUENTA CORRIENTE</v>
      </c>
      <c r="F594" s="1374"/>
      <c r="G594" s="1300"/>
      <c r="H594" s="239"/>
      <c r="I594" s="1300"/>
      <c r="J594" s="56" t="str">
        <f>OBRA!U596</f>
        <v>N/A</v>
      </c>
      <c r="K594" s="57" t="str">
        <f>OBRA!V596</f>
        <v>ARQ. JAIME CONDE GOMEZ</v>
      </c>
      <c r="L594" s="20" t="str">
        <f>OBRA!L596</f>
        <v>DOP/AD/001/2022</v>
      </c>
      <c r="M594" s="2" t="str">
        <f>OBRA!M596</f>
        <v>ADMINISTRACIÓN DIRECTA</v>
      </c>
      <c r="N594" s="3" t="str">
        <f>OBRA!N596</f>
        <v>CUARTO DE EMERGENCIA PARA MUJERES EN SITUACIÓN DE VIOLENCIA EXTREMA…</v>
      </c>
      <c r="O594" s="597"/>
      <c r="P594" s="6">
        <f>OBRA!Q596</f>
        <v>44693</v>
      </c>
      <c r="Q594" s="4">
        <f>OBRA!P596</f>
        <v>70000</v>
      </c>
      <c r="R594" s="5">
        <f>OBRA!R596</f>
        <v>44697</v>
      </c>
      <c r="S594" s="12">
        <f>OBRA!S596</f>
        <v>44728</v>
      </c>
      <c r="T594" s="792"/>
      <c r="U594" s="223"/>
      <c r="V594" s="558"/>
      <c r="W594" s="559"/>
      <c r="X594" s="590">
        <f>OBRA!AP596</f>
        <v>0</v>
      </c>
      <c r="Y594" s="341"/>
      <c r="Z594" s="341"/>
      <c r="AA594" s="5"/>
      <c r="AB594" s="351">
        <f>OBRA!BT596</f>
        <v>0</v>
      </c>
      <c r="AC594" s="569"/>
      <c r="AD594" s="569"/>
    </row>
    <row r="595" spans="1:30" ht="15" hidden="1" customHeight="1">
      <c r="A595" s="23" t="s">
        <v>2239</v>
      </c>
      <c r="B595" s="933" t="str">
        <f>GRAL!B599</f>
        <v>2021-2024</v>
      </c>
      <c r="C595" s="17">
        <f>OBRA!I597</f>
        <v>2022</v>
      </c>
      <c r="D595" s="1676"/>
      <c r="E595" s="18" t="str">
        <f>OBRA!K597</f>
        <v>RAMO 33</v>
      </c>
      <c r="F595" s="1374"/>
      <c r="G595" s="1300"/>
      <c r="H595" s="239"/>
      <c r="I595" s="1300"/>
      <c r="J595" s="56" t="str">
        <f>OBRA!U597</f>
        <v>N/A</v>
      </c>
      <c r="K595" s="57" t="str">
        <f>OBRA!V597</f>
        <v>ING. LUIS RIGOBERTO OLMEDO NAVARRO</v>
      </c>
      <c r="L595" s="20" t="str">
        <f>OBRA!L597</f>
        <v>DOP/AD/002/2022</v>
      </c>
      <c r="M595" s="2" t="str">
        <f>OBRA!M597</f>
        <v>ADMINISTRACIÓN DIRECTA</v>
      </c>
      <c r="N595" s="3" t="str">
        <f>OBRA!N597</f>
        <v>"CONSTRUCCIÓN DE BANQUETAS EN EL PUENTE 20 DE NOVIEMBRE", EN LA LOCALIDAD DE ZAPOTITÁN DE HIDALGO, DEL MUNICIPIO DE JOCOTEPEC, JALISCO.</v>
      </c>
      <c r="O595" s="597"/>
      <c r="P595" s="6">
        <f>OBRA!Q597</f>
        <v>44707</v>
      </c>
      <c r="Q595" s="4">
        <f>OBRA!P597</f>
        <v>60152.28</v>
      </c>
      <c r="R595" s="5">
        <f>OBRA!R597</f>
        <v>44718</v>
      </c>
      <c r="S595" s="12">
        <f>OBRA!S597</f>
        <v>44726</v>
      </c>
      <c r="T595" s="792"/>
      <c r="U595" s="223"/>
      <c r="V595" s="558"/>
      <c r="W595" s="559"/>
      <c r="X595" s="590">
        <f>OBRA!AP597</f>
        <v>0</v>
      </c>
      <c r="Y595" s="341"/>
      <c r="Z595" s="341"/>
      <c r="AA595" s="5"/>
      <c r="AB595" s="351">
        <f>OBRA!BT597</f>
        <v>0</v>
      </c>
      <c r="AC595" s="569"/>
      <c r="AD595" s="569"/>
    </row>
    <row r="596" spans="1:30" ht="15" hidden="1" customHeight="1">
      <c r="A596" s="23" t="s">
        <v>2239</v>
      </c>
      <c r="B596" s="933" t="str">
        <f>GRAL!B600</f>
        <v>2021-2024</v>
      </c>
      <c r="C596" s="17">
        <f>OBRA!I598</f>
        <v>2022</v>
      </c>
      <c r="D596" s="1676"/>
      <c r="E596" s="18" t="str">
        <f>OBRA!K598</f>
        <v>CUENTA CORRIENTE</v>
      </c>
      <c r="F596" s="1374"/>
      <c r="G596" s="1300"/>
      <c r="H596" s="239"/>
      <c r="I596" s="1300"/>
      <c r="J596" s="56" t="str">
        <f>OBRA!U598</f>
        <v>N/A</v>
      </c>
      <c r="K596" s="57" t="str">
        <f>OBRA!V598</f>
        <v>ING. LUIS RIGOBERTO OLMEDO NAVARRO</v>
      </c>
      <c r="L596" s="20"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97"/>
      <c r="P596" s="6">
        <f>OBRA!Q598</f>
        <v>44777</v>
      </c>
      <c r="Q596" s="4">
        <f>OBRA!P598</f>
        <v>81200</v>
      </c>
      <c r="R596" s="5">
        <f>OBRA!R598</f>
        <v>44781</v>
      </c>
      <c r="S596" s="12">
        <f>OBRA!S598</f>
        <v>44799</v>
      </c>
      <c r="T596" s="792"/>
      <c r="U596" s="223"/>
      <c r="V596" s="558"/>
      <c r="W596" s="559"/>
      <c r="X596" s="590">
        <f>OBRA!AP598</f>
        <v>0</v>
      </c>
      <c r="Y596" s="341"/>
      <c r="Z596" s="341"/>
      <c r="AA596" s="5"/>
      <c r="AB596" s="351">
        <f>OBRA!BT598</f>
        <v>0</v>
      </c>
      <c r="AC596" s="569"/>
      <c r="AD596" s="569"/>
    </row>
    <row r="597" spans="1:30" ht="15" hidden="1" customHeight="1">
      <c r="A597" s="23" t="s">
        <v>2239</v>
      </c>
      <c r="B597" s="933" t="str">
        <f>GRAL!B601</f>
        <v>2021-2024</v>
      </c>
      <c r="C597" s="17">
        <f>OBRA!I599</f>
        <v>2022</v>
      </c>
      <c r="D597" s="1676"/>
      <c r="E597" s="18" t="str">
        <f>OBRA!K599</f>
        <v>CUENTA CORRIENTE</v>
      </c>
      <c r="F597" s="1374"/>
      <c r="G597" s="1300"/>
      <c r="H597" s="239"/>
      <c r="I597" s="1300"/>
      <c r="J597" s="56" t="str">
        <f>OBRA!U599</f>
        <v>N/A</v>
      </c>
      <c r="K597" s="57" t="str">
        <f>OBRA!V599</f>
        <v>C. DANIEL RODRIGUEZ VALENZUELA</v>
      </c>
      <c r="L597" s="20"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97"/>
      <c r="P597" s="6">
        <f>OBRA!Q599</f>
        <v>44595</v>
      </c>
      <c r="Q597" s="4">
        <f>OBRA!P599</f>
        <v>330190.86</v>
      </c>
      <c r="R597" s="5">
        <f>OBRA!R599</f>
        <v>44599</v>
      </c>
      <c r="S597" s="12">
        <f>OBRA!S599</f>
        <v>44617</v>
      </c>
      <c r="T597" s="792"/>
      <c r="U597" s="223"/>
      <c r="V597" s="558"/>
      <c r="W597" s="559"/>
      <c r="X597" s="590">
        <f>OBRA!AP599</f>
        <v>0</v>
      </c>
      <c r="Y597" s="341"/>
      <c r="Z597" s="341"/>
      <c r="AA597" s="5"/>
      <c r="AB597" s="351">
        <f>OBRA!BT599</f>
        <v>0</v>
      </c>
      <c r="AC597" s="569"/>
      <c r="AD597" s="569"/>
    </row>
    <row r="598" spans="1:30" ht="15" hidden="1" customHeight="1">
      <c r="A598" s="23" t="s">
        <v>2239</v>
      </c>
      <c r="B598" s="933" t="str">
        <f>GRAL!B602</f>
        <v>2021-2024</v>
      </c>
      <c r="C598" s="17">
        <f>OBRA!I600</f>
        <v>2022</v>
      </c>
      <c r="D598" s="1676"/>
      <c r="E598" s="18" t="str">
        <f>OBRA!K600</f>
        <v>CUENTA CORRIENTE</v>
      </c>
      <c r="F598" s="1374"/>
      <c r="G598" s="1300"/>
      <c r="H598" s="239"/>
      <c r="I598" s="1300"/>
      <c r="J598" s="56" t="str">
        <f>OBRA!U600</f>
        <v>N/A</v>
      </c>
      <c r="K598" s="57" t="str">
        <f>OBRA!V600</f>
        <v>C. DANIEL RODRIGUEZ VALENZUELA</v>
      </c>
      <c r="L598" s="20" t="str">
        <f>OBRA!L600</f>
        <v>DOP/AD/005/2022</v>
      </c>
      <c r="M598" s="2" t="str">
        <f>OBRA!M600</f>
        <v>ADMINISTRACIÓN DIRECTA</v>
      </c>
      <c r="N598" s="3" t="str">
        <f>OBRA!N600</f>
        <v>"CONSTRUCCIÓN DE SUPERFICIE DE RODAMIENTO EN CALLE 12 DE OCTUBRE", EN LA LOCALIDAD DE SAN PEDRO TESISTÁN, DEL MUNICIPIO DE JOCOTEPEC, JALISCO</v>
      </c>
      <c r="O598" s="597"/>
      <c r="P598" s="6">
        <f>OBRA!Q600</f>
        <v>44875</v>
      </c>
      <c r="Q598" s="4">
        <f>OBRA!P600</f>
        <v>86073.66</v>
      </c>
      <c r="R598" s="5">
        <f>OBRA!R600</f>
        <v>44886</v>
      </c>
      <c r="S598" s="12">
        <f>OBRA!S600</f>
        <v>44893</v>
      </c>
      <c r="T598" s="792"/>
      <c r="U598" s="223"/>
      <c r="V598" s="558"/>
      <c r="W598" s="559"/>
      <c r="X598" s="590">
        <f>OBRA!AP600</f>
        <v>0</v>
      </c>
      <c r="Y598" s="341"/>
      <c r="Z598" s="341"/>
      <c r="AA598" s="5"/>
      <c r="AB598" s="351">
        <f>OBRA!BT600</f>
        <v>0</v>
      </c>
      <c r="AC598" s="569"/>
      <c r="AD598" s="569"/>
    </row>
    <row r="599" spans="1:30" ht="15" hidden="1" customHeight="1">
      <c r="A599" s="23" t="s">
        <v>2239</v>
      </c>
      <c r="B599" s="933" t="str">
        <f>GRAL!B603</f>
        <v>2021-2024</v>
      </c>
      <c r="C599" s="17">
        <f>OBRA!I601</f>
        <v>2022</v>
      </c>
      <c r="D599" s="1676"/>
      <c r="E599" s="18" t="str">
        <f>OBRA!K601</f>
        <v>CUENTA CORRIENTE</v>
      </c>
      <c r="F599" s="1374"/>
      <c r="G599" s="1300"/>
      <c r="H599" s="239"/>
      <c r="I599" s="1300"/>
      <c r="J599" s="56"/>
      <c r="K599" s="57"/>
      <c r="L599" s="20" t="str">
        <f>OBRA!L601</f>
        <v>DOP/AD/006/2022</v>
      </c>
      <c r="M599" s="2" t="str">
        <f>OBRA!M601</f>
        <v>ADMINISTRACIÓN DIRECTA</v>
      </c>
      <c r="N599" s="3" t="str">
        <f>OBRA!N601</f>
        <v>"CONSTRUCCIÓN DE SUPERFICIE DE RODAMIENTO EN CALLE LIBERTAD", EN LA LOCALIDAD DE SAN PEDRO TESISTÁN, DEL MUNICIPIO DE JOCOTEPEC, JALISCO</v>
      </c>
      <c r="O599" s="597"/>
      <c r="P599" s="6">
        <f>OBRA!Q601</f>
        <v>44875</v>
      </c>
      <c r="Q599" s="4">
        <f>OBRA!P601</f>
        <v>109829.72</v>
      </c>
      <c r="R599" s="5">
        <f>OBRA!R601</f>
        <v>44879</v>
      </c>
      <c r="S599" s="12">
        <f>OBRA!S601</f>
        <v>44886</v>
      </c>
      <c r="T599" s="792"/>
      <c r="U599" s="223"/>
      <c r="V599" s="558"/>
      <c r="W599" s="559"/>
      <c r="X599" s="590">
        <f>OBRA!AP601</f>
        <v>0</v>
      </c>
      <c r="Y599" s="341"/>
      <c r="Z599" s="341"/>
      <c r="AA599" s="5"/>
      <c r="AB599" s="351">
        <f>OBRA!BT601</f>
        <v>0</v>
      </c>
      <c r="AC599" s="569"/>
      <c r="AD599" s="569"/>
    </row>
    <row r="600" spans="1:30" ht="15" hidden="1" customHeight="1">
      <c r="A600" s="23" t="s">
        <v>2239</v>
      </c>
      <c r="B600" s="933" t="str">
        <f>GRAL!B604</f>
        <v>2021-2024</v>
      </c>
      <c r="C600" s="17">
        <f>OBRA!I602</f>
        <v>2022</v>
      </c>
      <c r="D600" s="1676"/>
      <c r="E600" s="18" t="str">
        <f>OBRA!K602</f>
        <v>CUENTA CORRIENTE</v>
      </c>
      <c r="F600" s="1374"/>
      <c r="G600" s="1300"/>
      <c r="H600" s="239"/>
      <c r="I600" s="1300"/>
      <c r="J600" s="56"/>
      <c r="K600" s="57"/>
      <c r="L600" s="20" t="str">
        <f>OBRA!L602</f>
        <v>MANTENIMIENTOS</v>
      </c>
      <c r="M600" s="2" t="str">
        <f>OBRA!M602</f>
        <v>MANTENIMIENTOS</v>
      </c>
      <c r="N600" s="3" t="str">
        <f>OBRA!N602</f>
        <v>REMODELACIÓN DE PRESIDENCIA</v>
      </c>
      <c r="O600" s="597"/>
      <c r="P600" s="6" t="str">
        <f>OBRA!Q602</f>
        <v>N/A</v>
      </c>
      <c r="Q600" s="4">
        <f>OBRA!P602</f>
        <v>0</v>
      </c>
      <c r="R600" s="5">
        <f>OBRA!R602</f>
        <v>44562</v>
      </c>
      <c r="S600" s="12">
        <f>OBRA!S602</f>
        <v>44926</v>
      </c>
      <c r="T600" s="792"/>
      <c r="U600" s="223"/>
      <c r="V600" s="558"/>
      <c r="W600" s="559"/>
      <c r="X600" s="590">
        <f>OBRA!AP602</f>
        <v>0</v>
      </c>
      <c r="Y600" s="341"/>
      <c r="Z600" s="341"/>
      <c r="AA600" s="5"/>
      <c r="AB600" s="351">
        <f>OBRA!BT602</f>
        <v>0</v>
      </c>
      <c r="AC600" s="569"/>
      <c r="AD600" s="569"/>
    </row>
    <row r="601" spans="1:30" ht="15" hidden="1" customHeight="1">
      <c r="A601" s="23" t="s">
        <v>2239</v>
      </c>
      <c r="B601" s="933" t="str">
        <f>GRAL!B605</f>
        <v>2021-2024</v>
      </c>
      <c r="C601" s="17">
        <f>OBRA!I603</f>
        <v>2022</v>
      </c>
      <c r="D601" s="1676"/>
      <c r="E601" s="18" t="str">
        <f>OBRA!K603</f>
        <v>CUENTA CORRIENTE</v>
      </c>
      <c r="F601" s="1374"/>
      <c r="G601" s="1300"/>
      <c r="H601" s="239"/>
      <c r="I601" s="1300"/>
      <c r="J601" s="56"/>
      <c r="K601" s="57"/>
      <c r="L601" s="20" t="str">
        <f>OBRA!L603</f>
        <v>DOP/AD/007/2022</v>
      </c>
      <c r="M601" s="2" t="str">
        <f>OBRA!M603</f>
        <v>ADMINISTRACIÓN DIRECTA</v>
      </c>
      <c r="N601" s="3" t="str">
        <f>OBRA!N603</f>
        <v>“CONSTRUCCIÓN DE BAÑOS PÚBLICOS”, EN LA LOCALIDAD DE EL MOLINO, DEL MUNICIPIO DE JOCOTEPEC, JALISCO</v>
      </c>
      <c r="O601" s="597"/>
      <c r="P601" s="6">
        <f>OBRA!Q603</f>
        <v>44875</v>
      </c>
      <c r="Q601" s="4">
        <f>OBRA!P603</f>
        <v>297707.86</v>
      </c>
      <c r="R601" s="5">
        <f>OBRA!R603</f>
        <v>44880</v>
      </c>
      <c r="S601" s="12">
        <f>OBRA!S603</f>
        <v>44926</v>
      </c>
      <c r="T601" s="792"/>
      <c r="U601" s="223"/>
      <c r="V601" s="558"/>
      <c r="W601" s="559"/>
      <c r="X601" s="590">
        <f>OBRA!AP603</f>
        <v>0</v>
      </c>
      <c r="Y601" s="341"/>
      <c r="Z601" s="341"/>
      <c r="AA601" s="5"/>
      <c r="AB601" s="351">
        <f>OBRA!BT603</f>
        <v>0</v>
      </c>
      <c r="AC601" s="569"/>
      <c r="AD601" s="569"/>
    </row>
    <row r="602" spans="1:30" ht="15" hidden="1" customHeight="1">
      <c r="A602" s="23" t="s">
        <v>2239</v>
      </c>
      <c r="B602" s="933" t="str">
        <f>GRAL!B606</f>
        <v>2021-2024</v>
      </c>
      <c r="C602" s="17">
        <f>OBRA!I604</f>
        <v>2022</v>
      </c>
      <c r="D602" s="1676"/>
      <c r="E602" s="18" t="str">
        <f>OBRA!K604</f>
        <v>CUENTA CORRIENTE</v>
      </c>
      <c r="F602" s="1374"/>
      <c r="G602" s="1300"/>
      <c r="H602" s="239"/>
      <c r="I602" s="1300"/>
      <c r="J602" s="56"/>
      <c r="K602" s="57"/>
      <c r="L602" s="20" t="str">
        <f>OBRA!L604</f>
        <v>DOP/AD/001-B/2022</v>
      </c>
      <c r="M602" s="2" t="str">
        <f>OBRA!M604</f>
        <v>ADMINISTRACIÓN DIRECTA</v>
      </c>
      <c r="N602" s="3" t="str">
        <f>OBRA!N604</f>
        <v>"REMODELACIÓN DE PRESIDENCIA (2DA ETAPA)", EN LA CABECERA MUNICIPAL DE JOCOTEPEC.</v>
      </c>
      <c r="O602" s="597"/>
      <c r="P602" s="6">
        <f>OBRA!Q604</f>
        <v>44620</v>
      </c>
      <c r="Q602" s="4">
        <f>OBRA!P604</f>
        <v>800000</v>
      </c>
      <c r="R602" s="5">
        <f>OBRA!R604</f>
        <v>44624</v>
      </c>
      <c r="S602" s="12">
        <f>OBRA!S604</f>
        <v>44773</v>
      </c>
      <c r="T602" s="792"/>
      <c r="U602" s="223"/>
      <c r="V602" s="558"/>
      <c r="W602" s="559"/>
      <c r="X602" s="590">
        <f>OBRA!AP604</f>
        <v>0</v>
      </c>
      <c r="Y602" s="341"/>
      <c r="Z602" s="341"/>
      <c r="AA602" s="5"/>
      <c r="AB602" s="351">
        <f>OBRA!BT604</f>
        <v>0</v>
      </c>
      <c r="AC602" s="569"/>
      <c r="AD602" s="569"/>
    </row>
    <row r="603" spans="1:30" ht="15" hidden="1" customHeight="1">
      <c r="A603" s="23" t="s">
        <v>2239</v>
      </c>
      <c r="B603" s="933" t="str">
        <f>GRAL!B607</f>
        <v>2021-2024</v>
      </c>
      <c r="C603" s="17">
        <f>OBRA!I605</f>
        <v>2022</v>
      </c>
      <c r="D603" s="1676"/>
      <c r="E603" s="18">
        <f>OBRA!K605</f>
        <v>0</v>
      </c>
      <c r="F603" s="1374"/>
      <c r="G603" s="1300"/>
      <c r="H603" s="239"/>
      <c r="I603" s="1300"/>
      <c r="J603" s="56"/>
      <c r="K603" s="57"/>
      <c r="L603" s="20" t="str">
        <f>OBRA!L605</f>
        <v>DOP/AD/010/2022</v>
      </c>
      <c r="M603" s="2" t="str">
        <f>OBRA!M605</f>
        <v>CANCELADA</v>
      </c>
      <c r="N603" s="3" t="str">
        <f>OBRA!N605</f>
        <v>-</v>
      </c>
      <c r="O603" s="597"/>
      <c r="P603" s="6">
        <f>OBRA!Q605</f>
        <v>0</v>
      </c>
      <c r="Q603" s="4">
        <f>OBRA!P605</f>
        <v>0</v>
      </c>
      <c r="R603" s="5">
        <f>OBRA!R605</f>
        <v>0</v>
      </c>
      <c r="S603" s="12">
        <f>OBRA!S605</f>
        <v>0</v>
      </c>
      <c r="T603" s="792"/>
      <c r="U603" s="223"/>
      <c r="V603" s="558"/>
      <c r="W603" s="559"/>
      <c r="X603" s="590">
        <f>OBRA!AP605</f>
        <v>0</v>
      </c>
      <c r="Y603" s="341"/>
      <c r="Z603" s="341"/>
      <c r="AA603" s="5"/>
      <c r="AB603" s="351">
        <f>OBRA!BT605</f>
        <v>0</v>
      </c>
      <c r="AC603" s="569"/>
      <c r="AD603" s="569"/>
    </row>
    <row r="604" spans="1:30" ht="15" hidden="1" customHeight="1">
      <c r="A604" s="23" t="s">
        <v>2239</v>
      </c>
      <c r="B604" s="933" t="str">
        <f>GRAL!B608</f>
        <v>2021-2024</v>
      </c>
      <c r="C604" s="17">
        <f>OBRA!I606</f>
        <v>2022</v>
      </c>
      <c r="D604" s="1676"/>
      <c r="E604" s="18" t="str">
        <f>OBRA!K606</f>
        <v>CUENTA CORRIENTE</v>
      </c>
      <c r="F604" s="1374"/>
      <c r="G604" s="1300"/>
      <c r="H604" s="239"/>
      <c r="I604" s="1300"/>
      <c r="J604" s="56"/>
      <c r="K604" s="57"/>
      <c r="L604" s="20"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97"/>
      <c r="P604" s="6">
        <f>OBRA!Q606</f>
        <v>44572</v>
      </c>
      <c r="Q604" s="4">
        <f>OBRA!P606</f>
        <v>69600</v>
      </c>
      <c r="R604" s="5">
        <f>OBRA!R606</f>
        <v>44578</v>
      </c>
      <c r="S604" s="12">
        <f>OBRA!S606</f>
        <v>44581</v>
      </c>
      <c r="T604" s="792"/>
      <c r="U604" s="223"/>
      <c r="V604" s="558"/>
      <c r="W604" s="559"/>
      <c r="X604" s="590">
        <f>OBRA!AP606</f>
        <v>0</v>
      </c>
      <c r="Y604" s="341"/>
      <c r="Z604" s="341"/>
      <c r="AA604" s="5"/>
      <c r="AB604" s="351">
        <f>OBRA!BT606</f>
        <v>0</v>
      </c>
      <c r="AC604" s="569"/>
      <c r="AD604" s="569"/>
    </row>
    <row r="605" spans="1:30" ht="15" hidden="1" customHeight="1">
      <c r="A605" s="23" t="s">
        <v>2239</v>
      </c>
      <c r="B605" s="933" t="str">
        <f>GRAL!B609</f>
        <v>2021-2024</v>
      </c>
      <c r="C605" s="17">
        <f>OBRA!I607</f>
        <v>2022</v>
      </c>
      <c r="D605" s="1676"/>
      <c r="E605" s="18" t="str">
        <f>OBRA!K607</f>
        <v>CUENTA CORRIENTE</v>
      </c>
      <c r="F605" s="1374"/>
      <c r="G605" s="1300"/>
      <c r="H605" s="239"/>
      <c r="I605" s="1300"/>
      <c r="J605" s="56"/>
      <c r="K605" s="57"/>
      <c r="L605" s="20"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97"/>
      <c r="P605" s="6">
        <f>OBRA!Q607</f>
        <v>44575</v>
      </c>
      <c r="Q605" s="4">
        <f>OBRA!P607</f>
        <v>12000</v>
      </c>
      <c r="R605" s="5">
        <f>OBRA!R607</f>
        <v>44578</v>
      </c>
      <c r="S605" s="12">
        <f>OBRA!S607</f>
        <v>44582</v>
      </c>
      <c r="T605" s="792"/>
      <c r="U605" s="223"/>
      <c r="V605" s="558"/>
      <c r="W605" s="559"/>
      <c r="X605" s="590">
        <f>OBRA!AP607</f>
        <v>0</v>
      </c>
      <c r="Y605" s="341"/>
      <c r="Z605" s="341"/>
      <c r="AA605" s="5"/>
      <c r="AB605" s="351">
        <f>OBRA!BT607</f>
        <v>0</v>
      </c>
      <c r="AC605" s="569"/>
      <c r="AD605" s="569"/>
    </row>
    <row r="606" spans="1:30" ht="15" hidden="1" customHeight="1">
      <c r="A606" s="23" t="s">
        <v>2239</v>
      </c>
      <c r="B606" s="933" t="str">
        <f>GRAL!B610</f>
        <v>2021-2024</v>
      </c>
      <c r="C606" s="17">
        <f>OBRA!I608</f>
        <v>2022</v>
      </c>
      <c r="D606" s="1676"/>
      <c r="E606" s="18" t="str">
        <f>OBRA!K608</f>
        <v>CUENTA CORRIENTE</v>
      </c>
      <c r="F606" s="1374"/>
      <c r="G606" s="1300"/>
      <c r="H606" s="239"/>
      <c r="I606" s="1300"/>
      <c r="J606" s="56"/>
      <c r="K606" s="57"/>
      <c r="L606" s="20"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OBRA!Q608</f>
        <v>44592</v>
      </c>
      <c r="Q606" s="4" t="str">
        <f>OBRA!P608</f>
        <v>vie</v>
      </c>
      <c r="R606" s="5">
        <f>OBRA!R608</f>
        <v>44593</v>
      </c>
      <c r="S606" s="12">
        <f>OBRA!S608</f>
        <v>44607</v>
      </c>
      <c r="T606" s="792"/>
      <c r="U606" s="223"/>
      <c r="V606" s="558"/>
      <c r="W606" s="559"/>
      <c r="X606" s="590">
        <f>OBRA!AP608</f>
        <v>0</v>
      </c>
      <c r="Y606" s="341"/>
      <c r="Z606" s="341"/>
      <c r="AA606" s="5"/>
      <c r="AB606" s="351">
        <f>OBRA!BT608</f>
        <v>0</v>
      </c>
      <c r="AC606" s="569"/>
      <c r="AD606" s="569"/>
    </row>
    <row r="607" spans="1:30" ht="15" hidden="1" customHeight="1">
      <c r="A607" s="23" t="s">
        <v>2239</v>
      </c>
      <c r="B607" s="933" t="str">
        <f>GRAL!B611</f>
        <v>2021-2024</v>
      </c>
      <c r="C607" s="17">
        <f>OBRA!I609</f>
        <v>2022</v>
      </c>
      <c r="D607" s="1676"/>
      <c r="E607" s="18" t="str">
        <f>OBRA!K609</f>
        <v>CUENTA CORRIENTE</v>
      </c>
      <c r="F607" s="1374"/>
      <c r="G607" s="1300"/>
      <c r="H607" s="239"/>
      <c r="I607" s="1300"/>
      <c r="J607" s="56"/>
      <c r="K607" s="57"/>
      <c r="L607" s="20"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97"/>
      <c r="P607" s="6">
        <f>OBRA!Q609</f>
        <v>44634</v>
      </c>
      <c r="Q607" s="4">
        <f>OBRA!P609</f>
        <v>10000.000400000001</v>
      </c>
      <c r="R607" s="5" t="str">
        <f>OBRA!R609</f>
        <v>-</v>
      </c>
      <c r="S607" s="12" t="str">
        <f>OBRA!S609</f>
        <v>-</v>
      </c>
      <c r="T607" s="792"/>
      <c r="U607" s="223"/>
      <c r="V607" s="558"/>
      <c r="W607" s="559"/>
      <c r="X607" s="590">
        <f>OBRA!AP609</f>
        <v>0</v>
      </c>
      <c r="Y607" s="341"/>
      <c r="Z607" s="341"/>
      <c r="AA607" s="5"/>
      <c r="AB607" s="351">
        <f>OBRA!BT609</f>
        <v>0</v>
      </c>
      <c r="AC607" s="569"/>
      <c r="AD607" s="569"/>
    </row>
    <row r="608" spans="1:30" ht="15" hidden="1" customHeight="1">
      <c r="A608" s="23" t="s">
        <v>2239</v>
      </c>
      <c r="B608" s="933" t="str">
        <f>GRAL!B612</f>
        <v>2021-2024</v>
      </c>
      <c r="C608" s="17">
        <f>OBRA!I610</f>
        <v>2022</v>
      </c>
      <c r="D608" s="1676"/>
      <c r="E608" s="18" t="str">
        <f>OBRA!K610</f>
        <v>CUENTA CORRIENTE</v>
      </c>
      <c r="F608" s="1374"/>
      <c r="G608" s="1300"/>
      <c r="H608" s="239"/>
      <c r="I608" s="1300"/>
      <c r="J608" s="56"/>
      <c r="K608" s="57"/>
      <c r="L608" s="20" t="str">
        <f>OBRA!L610</f>
        <v>CPSP DOP 005/2022</v>
      </c>
      <c r="M608" s="2" t="str">
        <f>OBRA!M610</f>
        <v>SERVICIOS (CANCELADO)</v>
      </c>
      <c r="N608" s="3" t="str">
        <f>OBRA!N610</f>
        <v>-</v>
      </c>
      <c r="O608" s="597"/>
      <c r="P608" s="6">
        <f>OBRA!Q610</f>
        <v>0</v>
      </c>
      <c r="Q608" s="4">
        <f>OBRA!P610</f>
        <v>0</v>
      </c>
      <c r="R608" s="5">
        <f>OBRA!R610</f>
        <v>0</v>
      </c>
      <c r="S608" s="12">
        <f>OBRA!S610</f>
        <v>0</v>
      </c>
      <c r="T608" s="792"/>
      <c r="U608" s="223"/>
      <c r="V608" s="558"/>
      <c r="W608" s="559"/>
      <c r="X608" s="590">
        <f>OBRA!AP610</f>
        <v>0</v>
      </c>
      <c r="Y608" s="341"/>
      <c r="Z608" s="341"/>
      <c r="AA608" s="5"/>
      <c r="AB608" s="351">
        <f>OBRA!BT610</f>
        <v>0</v>
      </c>
      <c r="AC608" s="569"/>
      <c r="AD608" s="569"/>
    </row>
    <row r="609" spans="1:30" ht="15" hidden="1" customHeight="1">
      <c r="A609" s="23" t="s">
        <v>2239</v>
      </c>
      <c r="B609" s="933" t="str">
        <f>GRAL!B613</f>
        <v>2021-2024</v>
      </c>
      <c r="C609" s="17">
        <f>OBRA!I611</f>
        <v>2022</v>
      </c>
      <c r="D609" s="1676"/>
      <c r="E609" s="18" t="str">
        <f>OBRA!K611</f>
        <v>CUENTA CORRIENTE</v>
      </c>
      <c r="F609" s="1374"/>
      <c r="G609" s="1300"/>
      <c r="H609" s="239"/>
      <c r="I609" s="1300"/>
      <c r="J609" s="56"/>
      <c r="K609" s="57"/>
      <c r="L609" s="20"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97"/>
      <c r="P609" s="6">
        <f>OBRA!Q611</f>
        <v>44634</v>
      </c>
      <c r="Q609" s="4">
        <f>OBRA!P611</f>
        <v>10000.000400000001</v>
      </c>
      <c r="R609" s="5" t="str">
        <f>OBRA!R611</f>
        <v>-</v>
      </c>
      <c r="S609" s="12" t="str">
        <f>OBRA!S611</f>
        <v>-</v>
      </c>
      <c r="T609" s="792"/>
      <c r="U609" s="223"/>
      <c r="V609" s="558"/>
      <c r="W609" s="559"/>
      <c r="X609" s="590">
        <f>OBRA!AP611</f>
        <v>0</v>
      </c>
      <c r="Y609" s="341"/>
      <c r="Z609" s="341"/>
      <c r="AA609" s="5"/>
      <c r="AB609" s="351">
        <f>OBRA!BT611</f>
        <v>0</v>
      </c>
      <c r="AC609" s="569"/>
      <c r="AD609" s="569"/>
    </row>
    <row r="610" spans="1:30" ht="15" hidden="1" customHeight="1">
      <c r="A610" s="23" t="s">
        <v>2239</v>
      </c>
      <c r="B610" s="933" t="str">
        <f>GRAL!B614</f>
        <v>2021-2024</v>
      </c>
      <c r="C610" s="17">
        <f>OBRA!I612</f>
        <v>2022</v>
      </c>
      <c r="D610" s="1676"/>
      <c r="E610" s="18" t="str">
        <f>OBRA!K612</f>
        <v>CUENTA CORRIENTE</v>
      </c>
      <c r="F610" s="1374"/>
      <c r="G610" s="1300"/>
      <c r="H610" s="239"/>
      <c r="I610" s="1300"/>
      <c r="J610" s="56"/>
      <c r="K610" s="57"/>
      <c r="L610" s="20" t="str">
        <f>OBRA!L612</f>
        <v>CPSP DOP 007/2022</v>
      </c>
      <c r="M610" s="2" t="str">
        <f>OBRA!M612</f>
        <v>SERVICIOS (CANCELADO)</v>
      </c>
      <c r="N610" s="3" t="str">
        <f>OBRA!N612</f>
        <v>-</v>
      </c>
      <c r="O610" s="597"/>
      <c r="P610" s="6">
        <f>OBRA!Q612</f>
        <v>0</v>
      </c>
      <c r="Q610" s="4">
        <f>OBRA!P612</f>
        <v>0</v>
      </c>
      <c r="R610" s="5">
        <f>OBRA!R612</f>
        <v>0</v>
      </c>
      <c r="S610" s="12">
        <f>OBRA!S612</f>
        <v>0</v>
      </c>
      <c r="T610" s="792"/>
      <c r="U610" s="223"/>
      <c r="V610" s="558"/>
      <c r="W610" s="559"/>
      <c r="X610" s="590">
        <f>OBRA!AP612</f>
        <v>0</v>
      </c>
      <c r="Y610" s="341"/>
      <c r="Z610" s="341"/>
      <c r="AA610" s="5"/>
      <c r="AB610" s="351">
        <f>OBRA!BT612</f>
        <v>0</v>
      </c>
      <c r="AC610" s="569"/>
      <c r="AD610" s="569"/>
    </row>
    <row r="611" spans="1:30" ht="15" hidden="1" customHeight="1">
      <c r="A611" s="23" t="s">
        <v>2239</v>
      </c>
      <c r="B611" s="933" t="str">
        <f>GRAL!B615</f>
        <v>2021-2024</v>
      </c>
      <c r="C611" s="17">
        <f>OBRA!I613</f>
        <v>2022</v>
      </c>
      <c r="D611" s="1676"/>
      <c r="E611" s="18" t="str">
        <f>OBRA!K613</f>
        <v>CUENTA CORRIENTE</v>
      </c>
      <c r="F611" s="1374"/>
      <c r="G611" s="1300"/>
      <c r="H611" s="239"/>
      <c r="I611" s="1300"/>
      <c r="J611" s="56"/>
      <c r="K611" s="57"/>
      <c r="L611" s="20"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97"/>
      <c r="P611" s="6">
        <f>OBRA!Q613</f>
        <v>44634</v>
      </c>
      <c r="Q611" s="4">
        <f>OBRA!P613</f>
        <v>7000.0199999999995</v>
      </c>
      <c r="R611" s="5" t="str">
        <f>OBRA!R613</f>
        <v>-</v>
      </c>
      <c r="S611" s="12" t="str">
        <f>OBRA!S613</f>
        <v>-</v>
      </c>
      <c r="T611" s="792"/>
      <c r="U611" s="223"/>
      <c r="V611" s="558"/>
      <c r="W611" s="559"/>
      <c r="X611" s="590">
        <f>OBRA!AP613</f>
        <v>0</v>
      </c>
      <c r="Y611" s="341"/>
      <c r="Z611" s="341"/>
      <c r="AA611" s="5"/>
      <c r="AB611" s="351">
        <f>OBRA!BT613</f>
        <v>0</v>
      </c>
      <c r="AC611" s="569"/>
      <c r="AD611" s="569"/>
    </row>
    <row r="612" spans="1:30" ht="15" hidden="1" customHeight="1">
      <c r="A612" s="23" t="s">
        <v>2239</v>
      </c>
      <c r="B612" s="933" t="str">
        <f>GRAL!B616</f>
        <v>2021-2024</v>
      </c>
      <c r="C612" s="17">
        <f>OBRA!I614</f>
        <v>2022</v>
      </c>
      <c r="D612" s="1676"/>
      <c r="E612" s="18" t="str">
        <f>OBRA!K614</f>
        <v>CUENTA CORRIENTE</v>
      </c>
      <c r="F612" s="1374"/>
      <c r="G612" s="1300"/>
      <c r="H612" s="239"/>
      <c r="I612" s="1300"/>
      <c r="J612" s="56"/>
      <c r="K612" s="57"/>
      <c r="L612" s="20"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97"/>
      <c r="P612" s="6">
        <f>OBRA!Q614</f>
        <v>44635</v>
      </c>
      <c r="Q612" s="4">
        <f>OBRA!P614</f>
        <v>15659.999999999998</v>
      </c>
      <c r="R612" s="5" t="str">
        <f>OBRA!R614</f>
        <v>-</v>
      </c>
      <c r="S612" s="12" t="str">
        <f>OBRA!S614</f>
        <v>-</v>
      </c>
      <c r="T612" s="792"/>
      <c r="U612" s="223"/>
      <c r="V612" s="558"/>
      <c r="W612" s="559"/>
      <c r="X612" s="590">
        <f>OBRA!AP614</f>
        <v>0</v>
      </c>
      <c r="Y612" s="341"/>
      <c r="Z612" s="341"/>
      <c r="AA612" s="5"/>
      <c r="AB612" s="351">
        <f>OBRA!BT614</f>
        <v>0</v>
      </c>
      <c r="AC612" s="569"/>
      <c r="AD612" s="569"/>
    </row>
    <row r="613" spans="1:30" ht="15" hidden="1" customHeight="1">
      <c r="A613" s="23" t="s">
        <v>2239</v>
      </c>
      <c r="B613" s="933" t="str">
        <f>GRAL!B617</f>
        <v>2021-2024</v>
      </c>
      <c r="C613" s="17">
        <f>OBRA!I615</f>
        <v>2022</v>
      </c>
      <c r="D613" s="1676"/>
      <c r="E613" s="18" t="str">
        <f>OBRA!K615</f>
        <v>CUENTA CORRIENTE</v>
      </c>
      <c r="F613" s="1374"/>
      <c r="G613" s="1300"/>
      <c r="H613" s="239"/>
      <c r="I613" s="1300"/>
      <c r="J613" s="56"/>
      <c r="K613" s="57"/>
      <c r="L613" s="20"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97"/>
      <c r="P613" s="6">
        <f>OBRA!Q615</f>
        <v>44658</v>
      </c>
      <c r="Q613" s="4">
        <f>OBRA!P615</f>
        <v>4000</v>
      </c>
      <c r="R613" s="5">
        <f>OBRA!R615</f>
        <v>44660</v>
      </c>
      <c r="S613" s="12">
        <f>OBRA!S615</f>
        <v>44660</v>
      </c>
      <c r="T613" s="792"/>
      <c r="U613" s="223"/>
      <c r="V613" s="558"/>
      <c r="W613" s="559"/>
      <c r="X613" s="590">
        <f>OBRA!AP615</f>
        <v>0</v>
      </c>
      <c r="Y613" s="341"/>
      <c r="Z613" s="341"/>
      <c r="AA613" s="5"/>
      <c r="AB613" s="351">
        <f>OBRA!BT615</f>
        <v>0</v>
      </c>
      <c r="AC613" s="569"/>
      <c r="AD613" s="569"/>
    </row>
    <row r="614" spans="1:30" ht="15" hidden="1" customHeight="1">
      <c r="A614" s="23" t="s">
        <v>2239</v>
      </c>
      <c r="B614" s="933" t="str">
        <f>GRAL!B618</f>
        <v>2021-2024</v>
      </c>
      <c r="C614" s="17">
        <f>OBRA!I616</f>
        <v>2022</v>
      </c>
      <c r="D614" s="1676"/>
      <c r="E614" s="18" t="str">
        <f>OBRA!K616</f>
        <v>CUENTA CORRIENTE</v>
      </c>
      <c r="F614" s="1374"/>
      <c r="G614" s="1300"/>
      <c r="H614" s="239"/>
      <c r="I614" s="1300"/>
      <c r="J614" s="56"/>
      <c r="K614" s="57"/>
      <c r="L614" s="20"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97"/>
      <c r="P614" s="6">
        <f>OBRA!Q616</f>
        <v>44690</v>
      </c>
      <c r="Q614" s="4">
        <f>OBRA!P616</f>
        <v>17400</v>
      </c>
      <c r="R614" s="5">
        <f>OBRA!R616</f>
        <v>44693</v>
      </c>
      <c r="S614" s="12">
        <f>OBRA!S616</f>
        <v>44695</v>
      </c>
      <c r="T614" s="792"/>
      <c r="U614" s="223"/>
      <c r="V614" s="558"/>
      <c r="W614" s="559"/>
      <c r="X614" s="590">
        <f>OBRA!AP616</f>
        <v>0</v>
      </c>
      <c r="Y614" s="341"/>
      <c r="Z614" s="341"/>
      <c r="AA614" s="5"/>
      <c r="AB614" s="351">
        <f>OBRA!BT616</f>
        <v>0</v>
      </c>
      <c r="AC614" s="569"/>
      <c r="AD614" s="569"/>
    </row>
    <row r="615" spans="1:30" ht="15" hidden="1" customHeight="1">
      <c r="A615" s="23" t="s">
        <v>2239</v>
      </c>
      <c r="B615" s="933" t="str">
        <f>GRAL!B619</f>
        <v>2021-2024</v>
      </c>
      <c r="C615" s="17">
        <f>OBRA!I617</f>
        <v>2022</v>
      </c>
      <c r="D615" s="1676"/>
      <c r="E615" s="18" t="str">
        <f>OBRA!K617</f>
        <v>CUENTA CORRIENTE</v>
      </c>
      <c r="F615" s="1374"/>
      <c r="G615" s="1300"/>
      <c r="H615" s="239"/>
      <c r="I615" s="1300"/>
      <c r="J615" s="56"/>
      <c r="K615" s="57"/>
      <c r="L615" s="20"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97"/>
      <c r="P615" s="6">
        <f>OBRA!Q617</f>
        <v>44662</v>
      </c>
      <c r="Q615" s="4">
        <f>OBRA!P617</f>
        <v>32886</v>
      </c>
      <c r="R615" s="5" t="str">
        <f>OBRA!R617</f>
        <v>-</v>
      </c>
      <c r="S615" s="12" t="str">
        <f>OBRA!S617</f>
        <v>-</v>
      </c>
      <c r="T615" s="792"/>
      <c r="U615" s="223"/>
      <c r="V615" s="558"/>
      <c r="W615" s="559"/>
      <c r="X615" s="590">
        <f>OBRA!AP617</f>
        <v>0</v>
      </c>
      <c r="Y615" s="341"/>
      <c r="Z615" s="341"/>
      <c r="AA615" s="5"/>
      <c r="AB615" s="351">
        <f>OBRA!BT617</f>
        <v>0</v>
      </c>
      <c r="AC615" s="569"/>
      <c r="AD615" s="569"/>
    </row>
    <row r="616" spans="1:30" ht="15" hidden="1" customHeight="1">
      <c r="A616" s="23" t="s">
        <v>2239</v>
      </c>
      <c r="B616" s="933" t="str">
        <f>GRAL!B620</f>
        <v>2021-2024</v>
      </c>
      <c r="C616" s="17">
        <f>OBRA!I618</f>
        <v>2022</v>
      </c>
      <c r="D616" s="1676"/>
      <c r="E616" s="18" t="str">
        <f>OBRA!K618</f>
        <v>CUENTA CORRIENTE</v>
      </c>
      <c r="F616" s="1374"/>
      <c r="G616" s="1300"/>
      <c r="H616" s="239"/>
      <c r="I616" s="1300"/>
      <c r="J616" s="56"/>
      <c r="K616" s="57"/>
      <c r="L616" s="20"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OBRA!Q618</f>
        <v>44690</v>
      </c>
      <c r="Q616" s="4">
        <f>OBRA!P618</f>
        <v>18270</v>
      </c>
      <c r="R616" s="5" t="str">
        <f>OBRA!R618</f>
        <v>-</v>
      </c>
      <c r="S616" s="12" t="str">
        <f>OBRA!S618</f>
        <v>-</v>
      </c>
      <c r="T616" s="792"/>
      <c r="U616" s="223"/>
      <c r="V616" s="558"/>
      <c r="W616" s="559"/>
      <c r="X616" s="590">
        <f>OBRA!AP618</f>
        <v>0</v>
      </c>
      <c r="Y616" s="341"/>
      <c r="Z616" s="341"/>
      <c r="AA616" s="5"/>
      <c r="AB616" s="351">
        <f>OBRA!BT618</f>
        <v>0</v>
      </c>
      <c r="AC616" s="569"/>
      <c r="AD616" s="569"/>
    </row>
    <row r="617" spans="1:30" ht="15" hidden="1" customHeight="1">
      <c r="A617" s="23" t="s">
        <v>2239</v>
      </c>
      <c r="B617" s="933" t="str">
        <f>GRAL!B621</f>
        <v>2021-2024</v>
      </c>
      <c r="C617" s="17">
        <f>OBRA!I619</f>
        <v>2022</v>
      </c>
      <c r="D617" s="1676"/>
      <c r="E617" s="18" t="str">
        <f>OBRA!K619</f>
        <v>CUENTA CORRIENTE</v>
      </c>
      <c r="F617" s="1374"/>
      <c r="G617" s="1300"/>
      <c r="H617" s="239"/>
      <c r="I617" s="1300"/>
      <c r="J617" s="56"/>
      <c r="K617" s="57"/>
      <c r="L617" s="20"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OBRA!Q619</f>
        <v>44714</v>
      </c>
      <c r="Q617" s="4">
        <f>OBRA!P619</f>
        <v>3500</v>
      </c>
      <c r="R617" s="5">
        <f>OBRA!R619</f>
        <v>44716</v>
      </c>
      <c r="S617" s="12">
        <f>OBRA!S619</f>
        <v>44716</v>
      </c>
      <c r="T617" s="792"/>
      <c r="U617" s="223"/>
      <c r="V617" s="558"/>
      <c r="W617" s="559"/>
      <c r="X617" s="590">
        <f>OBRA!AP619</f>
        <v>0</v>
      </c>
      <c r="Y617" s="341"/>
      <c r="Z617" s="341"/>
      <c r="AA617" s="5"/>
      <c r="AB617" s="351">
        <f>OBRA!BT619</f>
        <v>0</v>
      </c>
      <c r="AC617" s="569"/>
      <c r="AD617" s="569"/>
    </row>
    <row r="618" spans="1:30" ht="15" hidden="1" customHeight="1">
      <c r="A618" s="23" t="s">
        <v>2239</v>
      </c>
      <c r="B618" s="933" t="str">
        <f>GRAL!B622</f>
        <v>2021-2024</v>
      </c>
      <c r="C618" s="17">
        <f>OBRA!I620</f>
        <v>2022</v>
      </c>
      <c r="D618" s="1676"/>
      <c r="E618" s="18" t="str">
        <f>OBRA!K620</f>
        <v>CUENTA CORRIENTE</v>
      </c>
      <c r="F618" s="1374"/>
      <c r="G618" s="1300"/>
      <c r="H618" s="239"/>
      <c r="I618" s="1300"/>
      <c r="J618" s="56"/>
      <c r="K618" s="57"/>
      <c r="L618" s="20" t="str">
        <f>OBRA!L620</f>
        <v>CPSP DOP 015/2022</v>
      </c>
      <c r="M618" s="2" t="str">
        <f>OBRA!M620</f>
        <v>SERVICIOS (CANCELADO)</v>
      </c>
      <c r="N618" s="3" t="str">
        <f>OBRA!N620</f>
        <v>-</v>
      </c>
      <c r="O618" s="597"/>
      <c r="P618" s="6">
        <f>OBRA!Q620</f>
        <v>0</v>
      </c>
      <c r="Q618" s="4">
        <f>OBRA!P620</f>
        <v>0</v>
      </c>
      <c r="R618" s="5">
        <f>OBRA!R620</f>
        <v>0</v>
      </c>
      <c r="S618" s="12">
        <f>OBRA!S620</f>
        <v>0</v>
      </c>
      <c r="T618" s="792"/>
      <c r="U618" s="223"/>
      <c r="V618" s="558"/>
      <c r="W618" s="559"/>
      <c r="X618" s="590">
        <f>OBRA!AP620</f>
        <v>0</v>
      </c>
      <c r="Y618" s="341"/>
      <c r="Z618" s="341"/>
      <c r="AA618" s="5"/>
      <c r="AB618" s="351">
        <f>OBRA!BT620</f>
        <v>0</v>
      </c>
      <c r="AC618" s="569"/>
      <c r="AD618" s="569"/>
    </row>
    <row r="619" spans="1:30" ht="15" hidden="1" customHeight="1">
      <c r="A619" s="23" t="s">
        <v>2239</v>
      </c>
      <c r="B619" s="933" t="str">
        <f>GRAL!B623</f>
        <v>2021-2024</v>
      </c>
      <c r="C619" s="17">
        <f>OBRA!I621</f>
        <v>2022</v>
      </c>
      <c r="D619" s="1676"/>
      <c r="E619" s="18" t="str">
        <f>OBRA!K621</f>
        <v>CUENTA CORRIENTE</v>
      </c>
      <c r="F619" s="1374"/>
      <c r="G619" s="1300"/>
      <c r="H619" s="239"/>
      <c r="I619" s="1300"/>
      <c r="J619" s="56"/>
      <c r="K619" s="57"/>
      <c r="L619" s="20" t="str">
        <f>OBRA!L621</f>
        <v>CPSP DOP 016/2022</v>
      </c>
      <c r="M619" s="2" t="str">
        <f>OBRA!M621</f>
        <v>SERVICIOS (CANCELADO)</v>
      </c>
      <c r="N619" s="3" t="str">
        <f>OBRA!N621</f>
        <v>-</v>
      </c>
      <c r="O619" s="597"/>
      <c r="P619" s="6">
        <f>OBRA!Q621</f>
        <v>0</v>
      </c>
      <c r="Q619" s="4">
        <f>OBRA!P621</f>
        <v>0</v>
      </c>
      <c r="R619" s="5">
        <f>OBRA!R621</f>
        <v>0</v>
      </c>
      <c r="S619" s="12">
        <f>OBRA!S621</f>
        <v>0</v>
      </c>
      <c r="T619" s="792"/>
      <c r="U619" s="223"/>
      <c r="V619" s="558"/>
      <c r="W619" s="559"/>
      <c r="X619" s="590">
        <f>OBRA!AP621</f>
        <v>0</v>
      </c>
      <c r="Y619" s="341"/>
      <c r="Z619" s="341"/>
      <c r="AA619" s="5"/>
      <c r="AB619" s="351">
        <f>OBRA!BT621</f>
        <v>0</v>
      </c>
      <c r="AC619" s="569"/>
      <c r="AD619" s="569"/>
    </row>
    <row r="620" spans="1:30" ht="15" hidden="1" customHeight="1">
      <c r="A620" s="23" t="s">
        <v>2239</v>
      </c>
      <c r="B620" s="933" t="str">
        <f>GRAL!B624</f>
        <v>2021-2024</v>
      </c>
      <c r="C620" s="17">
        <f>OBRA!I622</f>
        <v>2022</v>
      </c>
      <c r="D620" s="1676"/>
      <c r="E620" s="18" t="str">
        <f>OBRA!K622</f>
        <v>CUENTA CORRIENTE</v>
      </c>
      <c r="F620" s="1374"/>
      <c r="G620" s="1300"/>
      <c r="H620" s="239"/>
      <c r="I620" s="1300"/>
      <c r="J620" s="56"/>
      <c r="K620" s="57"/>
      <c r="L620" s="20" t="str">
        <f>OBRA!L622</f>
        <v>CPSP DOP 017/2022</v>
      </c>
      <c r="M620" s="2" t="str">
        <f>OBRA!M622</f>
        <v>SERVICIOS (CANCELADO)</v>
      </c>
      <c r="N620" s="3" t="str">
        <f>OBRA!N622</f>
        <v>-</v>
      </c>
      <c r="O620" s="597"/>
      <c r="P620" s="6">
        <f>OBRA!Q622</f>
        <v>0</v>
      </c>
      <c r="Q620" s="4">
        <f>OBRA!P622</f>
        <v>0</v>
      </c>
      <c r="R620" s="5">
        <f>OBRA!R622</f>
        <v>0</v>
      </c>
      <c r="S620" s="12">
        <f>OBRA!S622</f>
        <v>0</v>
      </c>
      <c r="T620" s="792"/>
      <c r="U620" s="223"/>
      <c r="V620" s="558"/>
      <c r="W620" s="559"/>
      <c r="X620" s="590">
        <f>OBRA!AP622</f>
        <v>0</v>
      </c>
      <c r="Y620" s="341"/>
      <c r="Z620" s="341"/>
      <c r="AA620" s="5"/>
      <c r="AB620" s="351">
        <f>OBRA!BT622</f>
        <v>0</v>
      </c>
      <c r="AC620" s="569"/>
      <c r="AD620" s="569"/>
    </row>
    <row r="621" spans="1:30" ht="15" hidden="1" customHeight="1">
      <c r="A621" s="23" t="s">
        <v>2239</v>
      </c>
      <c r="B621" s="933" t="str">
        <f>GRAL!B625</f>
        <v>2021-2024</v>
      </c>
      <c r="C621" s="17">
        <f>OBRA!I623</f>
        <v>2022</v>
      </c>
      <c r="D621" s="1676"/>
      <c r="E621" s="18" t="str">
        <f>OBRA!K623</f>
        <v>CUENTA CORRIENTE</v>
      </c>
      <c r="F621" s="1374"/>
      <c r="G621" s="1300"/>
      <c r="H621" s="239"/>
      <c r="I621" s="1300"/>
      <c r="J621" s="56"/>
      <c r="K621" s="57"/>
      <c r="L621" s="20" t="str">
        <f>OBRA!L623</f>
        <v>CPSP DOP 018/2022</v>
      </c>
      <c r="M621" s="2" t="str">
        <f>OBRA!M623</f>
        <v>SERVICIOS (CANCELADO)</v>
      </c>
      <c r="N621" s="3" t="str">
        <f>OBRA!N623</f>
        <v>-</v>
      </c>
      <c r="O621" s="597"/>
      <c r="P621" s="6">
        <f>OBRA!Q623</f>
        <v>0</v>
      </c>
      <c r="Q621" s="4">
        <f>OBRA!P623</f>
        <v>0</v>
      </c>
      <c r="R621" s="5">
        <f>OBRA!R623</f>
        <v>0</v>
      </c>
      <c r="S621" s="12">
        <f>OBRA!S623</f>
        <v>0</v>
      </c>
      <c r="T621" s="792"/>
      <c r="U621" s="223"/>
      <c r="V621" s="558"/>
      <c r="W621" s="559"/>
      <c r="X621" s="590">
        <f>OBRA!AP623</f>
        <v>0</v>
      </c>
      <c r="Y621" s="341"/>
      <c r="Z621" s="341"/>
      <c r="AA621" s="5"/>
      <c r="AB621" s="351">
        <f>OBRA!BT623</f>
        <v>0</v>
      </c>
      <c r="AC621" s="569"/>
      <c r="AD621" s="569"/>
    </row>
    <row r="622" spans="1:30" ht="15" hidden="1" customHeight="1">
      <c r="A622" s="23" t="s">
        <v>2239</v>
      </c>
      <c r="B622" s="933" t="str">
        <f>GRAL!B626</f>
        <v>2021-2024</v>
      </c>
      <c r="C622" s="17">
        <f>OBRA!I624</f>
        <v>2022</v>
      </c>
      <c r="D622" s="1676"/>
      <c r="E622" s="18" t="str">
        <f>OBRA!K624</f>
        <v>CUENTA CORRIENTE</v>
      </c>
      <c r="F622" s="1374"/>
      <c r="G622" s="1300"/>
      <c r="H622" s="239"/>
      <c r="I622" s="1300"/>
      <c r="J622" s="56"/>
      <c r="K622" s="57"/>
      <c r="L622" s="20" t="str">
        <f>OBRA!L624</f>
        <v>CPSP DOP 019/2022</v>
      </c>
      <c r="M622" s="2" t="str">
        <f>OBRA!M624</f>
        <v>SERVICIOS (CANCELADO)</v>
      </c>
      <c r="N622" s="3" t="str">
        <f>OBRA!N624</f>
        <v>-</v>
      </c>
      <c r="O622" s="597"/>
      <c r="P622" s="6">
        <f>OBRA!Q624</f>
        <v>0</v>
      </c>
      <c r="Q622" s="4">
        <f>OBRA!P624</f>
        <v>0</v>
      </c>
      <c r="R622" s="5">
        <f>OBRA!R624</f>
        <v>0</v>
      </c>
      <c r="S622" s="12">
        <f>OBRA!S624</f>
        <v>0</v>
      </c>
      <c r="T622" s="792"/>
      <c r="U622" s="223"/>
      <c r="V622" s="558"/>
      <c r="W622" s="559"/>
      <c r="X622" s="590">
        <f>OBRA!AP624</f>
        <v>0</v>
      </c>
      <c r="Y622" s="341"/>
      <c r="Z622" s="341"/>
      <c r="AA622" s="5"/>
      <c r="AB622" s="351">
        <f>OBRA!BT624</f>
        <v>0</v>
      </c>
      <c r="AC622" s="569"/>
      <c r="AD622" s="569"/>
    </row>
    <row r="623" spans="1:30" ht="15" hidden="1" customHeight="1">
      <c r="A623" s="23" t="s">
        <v>2239</v>
      </c>
      <c r="B623" s="933" t="str">
        <f>GRAL!B627</f>
        <v>2021-2024</v>
      </c>
      <c r="C623" s="17">
        <f>OBRA!I625</f>
        <v>2022</v>
      </c>
      <c r="D623" s="1676"/>
      <c r="E623" s="18" t="str">
        <f>OBRA!K625</f>
        <v>CUENTA CORRIENTE</v>
      </c>
      <c r="F623" s="1374"/>
      <c r="G623" s="1300"/>
      <c r="H623" s="239"/>
      <c r="I623" s="1300"/>
      <c r="J623" s="56"/>
      <c r="K623" s="57"/>
      <c r="L623" s="20" t="str">
        <f>OBRA!L625</f>
        <v>CPSP DOP 020/2022</v>
      </c>
      <c r="M623" s="2" t="str">
        <f>OBRA!M625</f>
        <v>SERVICIOS (CANCELADO)</v>
      </c>
      <c r="N623" s="3" t="str">
        <f>OBRA!N625</f>
        <v>-</v>
      </c>
      <c r="O623" s="597"/>
      <c r="P623" s="6">
        <f>OBRA!Q625</f>
        <v>0</v>
      </c>
      <c r="Q623" s="4">
        <f>OBRA!P625</f>
        <v>0</v>
      </c>
      <c r="R623" s="5">
        <f>OBRA!R625</f>
        <v>0</v>
      </c>
      <c r="S623" s="12">
        <f>OBRA!S625</f>
        <v>0</v>
      </c>
      <c r="T623" s="792"/>
      <c r="U623" s="223"/>
      <c r="V623" s="558"/>
      <c r="W623" s="559"/>
      <c r="X623" s="590">
        <f>OBRA!AP625</f>
        <v>0</v>
      </c>
      <c r="Y623" s="341"/>
      <c r="Z623" s="341"/>
      <c r="AA623" s="5"/>
      <c r="AB623" s="351">
        <f>OBRA!BT625</f>
        <v>0</v>
      </c>
      <c r="AC623" s="569"/>
      <c r="AD623" s="569"/>
    </row>
    <row r="624" spans="1:30" ht="15" hidden="1" customHeight="1">
      <c r="A624" s="23" t="s">
        <v>2239</v>
      </c>
      <c r="B624" s="933" t="str">
        <f>GRAL!B628</f>
        <v>2021-2024</v>
      </c>
      <c r="C624" s="17">
        <f>OBRA!I626</f>
        <v>2022</v>
      </c>
      <c r="D624" s="1676"/>
      <c r="E624" s="18" t="str">
        <f>OBRA!K626</f>
        <v>CUENTA CORRIENTE</v>
      </c>
      <c r="F624" s="1374"/>
      <c r="G624" s="1300"/>
      <c r="H624" s="239"/>
      <c r="I624" s="1300"/>
      <c r="J624" s="56"/>
      <c r="K624" s="57"/>
      <c r="L624" s="20"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97"/>
      <c r="P624" s="6">
        <f>OBRA!Q626</f>
        <v>44655</v>
      </c>
      <c r="Q624" s="4">
        <f>OBRA!P626</f>
        <v>1739.9999999999998</v>
      </c>
      <c r="R624" s="5">
        <f>OBRA!R626</f>
        <v>44658</v>
      </c>
      <c r="S624" s="12">
        <f>OBRA!S626</f>
        <v>44662</v>
      </c>
      <c r="T624" s="792"/>
      <c r="U624" s="223"/>
      <c r="V624" s="558"/>
      <c r="W624" s="559"/>
      <c r="X624" s="590">
        <f>OBRA!AP626</f>
        <v>0</v>
      </c>
      <c r="Y624" s="341"/>
      <c r="Z624" s="341"/>
      <c r="AA624" s="5"/>
      <c r="AB624" s="351">
        <f>OBRA!BT626</f>
        <v>0</v>
      </c>
      <c r="AC624" s="569"/>
      <c r="AD624" s="569"/>
    </row>
    <row r="625" spans="1:30" ht="15" hidden="1" customHeight="1">
      <c r="A625" s="23" t="s">
        <v>2239</v>
      </c>
      <c r="B625" s="933" t="str">
        <f>GRAL!B629</f>
        <v>2021-2024</v>
      </c>
      <c r="C625" s="17">
        <f>OBRA!I627</f>
        <v>2022</v>
      </c>
      <c r="D625" s="1676"/>
      <c r="E625" s="18" t="str">
        <f>OBRA!K627</f>
        <v>CUENTA CORRIENTE</v>
      </c>
      <c r="F625" s="1374"/>
      <c r="G625" s="1300"/>
      <c r="H625" s="239"/>
      <c r="I625" s="1300"/>
      <c r="J625" s="56"/>
      <c r="K625" s="57"/>
      <c r="L625" s="20"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97"/>
      <c r="P625" s="6">
        <f>OBRA!Q627</f>
        <v>44594</v>
      </c>
      <c r="Q625" s="4">
        <f>OBRA!P627</f>
        <v>638</v>
      </c>
      <c r="R625" s="5" t="str">
        <f>OBRA!R627</f>
        <v>-</v>
      </c>
      <c r="S625" s="12" t="str">
        <f>OBRA!S627</f>
        <v>-</v>
      </c>
      <c r="T625" s="792"/>
      <c r="U625" s="223"/>
      <c r="V625" s="558"/>
      <c r="W625" s="559"/>
      <c r="X625" s="590">
        <f>OBRA!AP627</f>
        <v>0</v>
      </c>
      <c r="Y625" s="341"/>
      <c r="Z625" s="341"/>
      <c r="AA625" s="5"/>
      <c r="AB625" s="351">
        <f>OBRA!BT627</f>
        <v>0</v>
      </c>
      <c r="AC625" s="569"/>
      <c r="AD625" s="569"/>
    </row>
    <row r="626" spans="1:30" ht="15" hidden="1" customHeight="1">
      <c r="A626" s="23" t="s">
        <v>2239</v>
      </c>
      <c r="B626" s="933" t="str">
        <f>GRAL!B630</f>
        <v>2021-2024</v>
      </c>
      <c r="C626" s="17">
        <f>OBRA!I628</f>
        <v>2022</v>
      </c>
      <c r="D626" s="1676"/>
      <c r="E626" s="18" t="str">
        <f>OBRA!K628</f>
        <v>CUENTA CORRIENTE</v>
      </c>
      <c r="F626" s="1374"/>
      <c r="G626" s="1300"/>
      <c r="H626" s="239"/>
      <c r="I626" s="1300"/>
      <c r="J626" s="56"/>
      <c r="K626" s="57"/>
      <c r="L626" s="20"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97"/>
      <c r="P626" s="6">
        <f>OBRA!Q628</f>
        <v>44673</v>
      </c>
      <c r="Q626" s="4">
        <f>OBRA!P628</f>
        <v>1739.9999999999998</v>
      </c>
      <c r="R626" s="5">
        <f>OBRA!R628</f>
        <v>44677</v>
      </c>
      <c r="S626" s="12">
        <f>OBRA!S628</f>
        <v>44707</v>
      </c>
      <c r="T626" s="792"/>
      <c r="U626" s="223"/>
      <c r="V626" s="558"/>
      <c r="W626" s="559"/>
      <c r="X626" s="590">
        <f>OBRA!AP628</f>
        <v>0</v>
      </c>
      <c r="Y626" s="341"/>
      <c r="Z626" s="341"/>
      <c r="AA626" s="5"/>
      <c r="AB626" s="351">
        <f>OBRA!BT628</f>
        <v>0</v>
      </c>
      <c r="AC626" s="569"/>
      <c r="AD626" s="569"/>
    </row>
    <row r="627" spans="1:30" ht="15" hidden="1" customHeight="1">
      <c r="A627" s="23" t="s">
        <v>2239</v>
      </c>
      <c r="B627" s="933" t="str">
        <f>GRAL!B631</f>
        <v>2021-2024</v>
      </c>
      <c r="C627" s="17">
        <f>OBRA!I629</f>
        <v>2022</v>
      </c>
      <c r="D627" s="1676"/>
      <c r="E627" s="18" t="str">
        <f>OBRA!K629</f>
        <v>CUENTA CORRIENTE</v>
      </c>
      <c r="F627" s="1374"/>
      <c r="G627" s="1300"/>
      <c r="H627" s="239"/>
      <c r="I627" s="1300"/>
      <c r="J627" s="56"/>
      <c r="K627" s="57"/>
      <c r="L627" s="20"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97"/>
      <c r="P627" s="6">
        <f>OBRA!Q629</f>
        <v>44594</v>
      </c>
      <c r="Q627" s="4">
        <f>OBRA!P629</f>
        <v>1144.8851999999999</v>
      </c>
      <c r="R627" s="5" t="str">
        <f>OBRA!R629</f>
        <v>-</v>
      </c>
      <c r="S627" s="12" t="str">
        <f>OBRA!S629</f>
        <v>-</v>
      </c>
      <c r="T627" s="792"/>
      <c r="U627" s="223"/>
      <c r="V627" s="558"/>
      <c r="W627" s="559"/>
      <c r="X627" s="590">
        <f>OBRA!AP629</f>
        <v>0</v>
      </c>
      <c r="Y627" s="341"/>
      <c r="Z627" s="341"/>
      <c r="AA627" s="5"/>
      <c r="AB627" s="351">
        <f>OBRA!BT629</f>
        <v>0</v>
      </c>
      <c r="AC627" s="569"/>
      <c r="AD627" s="569"/>
    </row>
    <row r="628" spans="1:30" ht="15" hidden="1" customHeight="1">
      <c r="A628" s="23" t="s">
        <v>2239</v>
      </c>
      <c r="B628" s="933" t="str">
        <f>GRAL!B632</f>
        <v>2021-2024</v>
      </c>
      <c r="C628" s="17">
        <f>OBRA!I630</f>
        <v>2022</v>
      </c>
      <c r="D628" s="1676"/>
      <c r="E628" s="18" t="str">
        <f>OBRA!K630</f>
        <v>CUENTA CORRIENTE</v>
      </c>
      <c r="F628" s="1374"/>
      <c r="G628" s="1300"/>
      <c r="H628" s="239"/>
      <c r="I628" s="1300"/>
      <c r="J628" s="56"/>
      <c r="K628" s="57"/>
      <c r="L628" s="20"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97"/>
      <c r="P628" s="6">
        <f>OBRA!Q630</f>
        <v>44641</v>
      </c>
      <c r="Q628" s="4">
        <f>OBRA!P630</f>
        <v>1850.8843999999997</v>
      </c>
      <c r="R628" s="5" t="str">
        <f>OBRA!R630</f>
        <v>-</v>
      </c>
      <c r="S628" s="12" t="str">
        <f>OBRA!S630</f>
        <v>-</v>
      </c>
      <c r="T628" s="792"/>
      <c r="U628" s="223"/>
      <c r="V628" s="558"/>
      <c r="W628" s="559"/>
      <c r="X628" s="590">
        <f>OBRA!AP630</f>
        <v>0</v>
      </c>
      <c r="Y628" s="341"/>
      <c r="Z628" s="341"/>
      <c r="AA628" s="5"/>
      <c r="AB628" s="351">
        <f>OBRA!BT630</f>
        <v>0</v>
      </c>
      <c r="AC628" s="569"/>
      <c r="AD628" s="569"/>
    </row>
    <row r="629" spans="1:30" ht="15" hidden="1" customHeight="1">
      <c r="A629" s="23" t="s">
        <v>2239</v>
      </c>
      <c r="B629" s="933" t="str">
        <f>GRAL!B633</f>
        <v>2021-2024</v>
      </c>
      <c r="C629" s="17">
        <f>OBRA!I631</f>
        <v>2022</v>
      </c>
      <c r="D629" s="1676"/>
      <c r="E629" s="18" t="str">
        <f>OBRA!K631</f>
        <v>CUENTA CORRIENTE</v>
      </c>
      <c r="F629" s="1374"/>
      <c r="G629" s="1300"/>
      <c r="H629" s="239"/>
      <c r="I629" s="1300"/>
      <c r="J629" s="56"/>
      <c r="K629" s="57"/>
      <c r="L629" s="20"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97"/>
      <c r="P629" s="6">
        <f>OBRA!Q631</f>
        <v>44642</v>
      </c>
      <c r="Q629" s="4">
        <f>OBRA!P631</f>
        <v>854.74599999999998</v>
      </c>
      <c r="R629" s="5">
        <f>OBRA!R631</f>
        <v>0</v>
      </c>
      <c r="S629" s="12">
        <f>OBRA!S631</f>
        <v>0</v>
      </c>
      <c r="T629" s="792"/>
      <c r="U629" s="223"/>
      <c r="V629" s="558"/>
      <c r="W629" s="559"/>
      <c r="X629" s="590">
        <f>OBRA!AP631</f>
        <v>0</v>
      </c>
      <c r="Y629" s="341"/>
      <c r="Z629" s="341"/>
      <c r="AA629" s="5"/>
      <c r="AB629" s="351">
        <f>OBRA!BT631</f>
        <v>0</v>
      </c>
      <c r="AC629" s="569"/>
      <c r="AD629" s="569"/>
    </row>
    <row r="630" spans="1:30" ht="15" hidden="1" customHeight="1">
      <c r="A630" s="23" t="s">
        <v>2239</v>
      </c>
      <c r="B630" s="933" t="str">
        <f>GRAL!B634</f>
        <v>2021-2024</v>
      </c>
      <c r="C630" s="17">
        <f>OBRA!I632</f>
        <v>2022</v>
      </c>
      <c r="D630" s="1676"/>
      <c r="E630" s="18" t="str">
        <f>OBRA!K632</f>
        <v>CUENTA CORRIENTE</v>
      </c>
      <c r="F630" s="1374"/>
      <c r="G630" s="1300"/>
      <c r="H630" s="239"/>
      <c r="I630" s="1300"/>
      <c r="J630" s="56"/>
      <c r="K630" s="57"/>
      <c r="L630" s="20"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97"/>
      <c r="P630" s="6">
        <f>OBRA!Q632</f>
        <v>44648</v>
      </c>
      <c r="Q630" s="4">
        <f>OBRA!P632</f>
        <v>818.2639999999999</v>
      </c>
      <c r="R630" s="5">
        <f>OBRA!R632</f>
        <v>0</v>
      </c>
      <c r="S630" s="12">
        <f>OBRA!S632</f>
        <v>0</v>
      </c>
      <c r="T630" s="792"/>
      <c r="U630" s="223"/>
      <c r="V630" s="558"/>
      <c r="W630" s="559"/>
      <c r="X630" s="590">
        <f>OBRA!AP632</f>
        <v>0</v>
      </c>
      <c r="Y630" s="341"/>
      <c r="Z630" s="341"/>
      <c r="AA630" s="5"/>
      <c r="AB630" s="351">
        <f>OBRA!BT632</f>
        <v>0</v>
      </c>
      <c r="AC630" s="569"/>
      <c r="AD630" s="569"/>
    </row>
    <row r="631" spans="1:30" ht="15" hidden="1" customHeight="1">
      <c r="A631" s="23" t="s">
        <v>2239</v>
      </c>
      <c r="B631" s="933" t="str">
        <f>GRAL!B635</f>
        <v>2021-2024</v>
      </c>
      <c r="C631" s="17">
        <f>OBRA!I633</f>
        <v>2022</v>
      </c>
      <c r="D631" s="1676"/>
      <c r="E631" s="18" t="str">
        <f>OBRA!K633</f>
        <v>CUENTA CORRIENTE</v>
      </c>
      <c r="F631" s="1374"/>
      <c r="G631" s="1300"/>
      <c r="H631" s="239"/>
      <c r="I631" s="1300"/>
      <c r="J631" s="56"/>
      <c r="K631" s="57"/>
      <c r="L631" s="20"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97"/>
      <c r="P631" s="6">
        <f>OBRA!Q633</f>
        <v>44642</v>
      </c>
      <c r="Q631" s="4">
        <f>OBRA!P633</f>
        <v>376.51279999999997</v>
      </c>
      <c r="R631" s="5">
        <f>OBRA!R633</f>
        <v>0</v>
      </c>
      <c r="S631" s="12">
        <f>OBRA!S633</f>
        <v>0</v>
      </c>
      <c r="T631" s="792"/>
      <c r="U631" s="223"/>
      <c r="V631" s="558"/>
      <c r="W631" s="559"/>
      <c r="X631" s="590">
        <f>OBRA!AP633</f>
        <v>0</v>
      </c>
      <c r="Y631" s="341"/>
      <c r="Z631" s="341"/>
      <c r="AA631" s="5"/>
      <c r="AB631" s="351">
        <f>OBRA!BT633</f>
        <v>0</v>
      </c>
      <c r="AC631" s="569"/>
      <c r="AD631" s="569"/>
    </row>
    <row r="632" spans="1:30" ht="15" hidden="1" customHeight="1">
      <c r="A632" s="23" t="s">
        <v>2239</v>
      </c>
      <c r="B632" s="933" t="str">
        <f>GRAL!B636</f>
        <v>2021-2024</v>
      </c>
      <c r="C632" s="17">
        <f>OBRA!I634</f>
        <v>2022</v>
      </c>
      <c r="D632" s="1676"/>
      <c r="E632" s="18">
        <f>OBRA!K634</f>
        <v>0</v>
      </c>
      <c r="F632" s="1374"/>
      <c r="G632" s="1300"/>
      <c r="H632" s="239"/>
      <c r="I632" s="1300"/>
      <c r="J632" s="56"/>
      <c r="K632" s="57"/>
      <c r="L632" s="20" t="str">
        <f>OBRA!L634</f>
        <v>C- OP 009/2022</v>
      </c>
      <c r="M632" s="2" t="str">
        <f>OBRA!M634</f>
        <v>ARRENDAMIENTO (CANCELADO)</v>
      </c>
      <c r="N632" s="3" t="str">
        <f>OBRA!N634</f>
        <v>-</v>
      </c>
      <c r="O632" s="597"/>
      <c r="P632" s="6">
        <f>OBRA!Q634</f>
        <v>0</v>
      </c>
      <c r="Q632" s="4">
        <f>OBRA!P634</f>
        <v>0</v>
      </c>
      <c r="R632" s="5">
        <f>OBRA!R634</f>
        <v>0</v>
      </c>
      <c r="S632" s="12">
        <f>OBRA!S634</f>
        <v>0</v>
      </c>
      <c r="T632" s="792"/>
      <c r="U632" s="223"/>
      <c r="V632" s="558"/>
      <c r="W632" s="559"/>
      <c r="X632" s="590">
        <f>OBRA!AP634</f>
        <v>0</v>
      </c>
      <c r="Y632" s="341"/>
      <c r="Z632" s="341"/>
      <c r="AA632" s="5"/>
      <c r="AB632" s="351">
        <f>OBRA!BT634</f>
        <v>0</v>
      </c>
      <c r="AC632" s="569"/>
      <c r="AD632" s="569"/>
    </row>
    <row r="633" spans="1:30" ht="15" hidden="1" customHeight="1">
      <c r="A633" s="23" t="s">
        <v>2239</v>
      </c>
      <c r="B633" s="933" t="str">
        <f>GRAL!B637</f>
        <v>2021-2024</v>
      </c>
      <c r="C633" s="17">
        <f>OBRA!I635</f>
        <v>2022</v>
      </c>
      <c r="D633" s="1676"/>
      <c r="E633" s="18">
        <f>OBRA!K635</f>
        <v>0</v>
      </c>
      <c r="F633" s="1374"/>
      <c r="G633" s="1300"/>
      <c r="H633" s="239"/>
      <c r="I633" s="1300"/>
      <c r="J633" s="56"/>
      <c r="K633" s="57"/>
      <c r="L633" s="20" t="str">
        <f>OBRA!L635</f>
        <v>C- OP 010/2022</v>
      </c>
      <c r="M633" s="2" t="str">
        <f>OBRA!M635</f>
        <v>ARRENDAMIENTO (CANCELADO)</v>
      </c>
      <c r="N633" s="3" t="str">
        <f>OBRA!N635</f>
        <v>-</v>
      </c>
      <c r="O633" s="597"/>
      <c r="P633" s="6">
        <f>OBRA!Q635</f>
        <v>0</v>
      </c>
      <c r="Q633" s="4">
        <f>OBRA!P635</f>
        <v>0</v>
      </c>
      <c r="R633" s="5">
        <f>OBRA!R635</f>
        <v>0</v>
      </c>
      <c r="S633" s="12">
        <f>OBRA!S635</f>
        <v>0</v>
      </c>
      <c r="T633" s="792"/>
      <c r="U633" s="223"/>
      <c r="V633" s="558"/>
      <c r="W633" s="559"/>
      <c r="X633" s="590">
        <f>OBRA!AP635</f>
        <v>0</v>
      </c>
      <c r="Y633" s="341"/>
      <c r="Z633" s="341"/>
      <c r="AA633" s="5"/>
      <c r="AB633" s="351">
        <f>OBRA!BT635</f>
        <v>0</v>
      </c>
      <c r="AC633" s="569"/>
      <c r="AD633" s="569"/>
    </row>
    <row r="634" spans="1:30" ht="98.25" hidden="1" customHeight="1">
      <c r="A634" s="23" t="s">
        <v>2239</v>
      </c>
      <c r="B634" s="933" t="str">
        <f>GRAL!B638</f>
        <v>2021-2024</v>
      </c>
      <c r="C634" s="17">
        <f>OBRA!I636</f>
        <v>2022</v>
      </c>
      <c r="D634" s="1676"/>
      <c r="E634" s="18" t="str">
        <f>OBRA!K636</f>
        <v>RAMO 33</v>
      </c>
      <c r="F634" s="1455" t="s">
        <v>1431</v>
      </c>
      <c r="G634" s="546" t="s">
        <v>4614</v>
      </c>
      <c r="H634" s="545" t="s">
        <v>4614</v>
      </c>
      <c r="I634" s="546" t="s">
        <v>4614</v>
      </c>
      <c r="J634" s="35" t="str">
        <f>OBRA!U636</f>
        <v xml:space="preserve">SERVICIOS Y CONSTRUCCIONES NATENIO, S.A. DE C.V. </v>
      </c>
      <c r="K634" s="164" t="str">
        <f>OBRA!V636</f>
        <v>C. DANIEL RODRIGUEZ VALENZUELA</v>
      </c>
      <c r="L634" s="35"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54" t="s">
        <v>4525</v>
      </c>
      <c r="P634" s="6">
        <f>OBRA!Q636</f>
        <v>44628</v>
      </c>
      <c r="Q634" s="4">
        <f>OBRA!P636</f>
        <v>98067.87</v>
      </c>
      <c r="R634" s="5">
        <f>OBRA!R636</f>
        <v>44634</v>
      </c>
      <c r="S634" s="12">
        <f>OBRA!S636</f>
        <v>44639</v>
      </c>
      <c r="T634" s="1867" t="s">
        <v>4497</v>
      </c>
      <c r="U634" s="1928" t="s">
        <v>4614</v>
      </c>
      <c r="V634" s="549" t="s">
        <v>4614</v>
      </c>
      <c r="W634" s="668" t="s">
        <v>4614</v>
      </c>
      <c r="X634" s="1154">
        <f>OBRA!AP636</f>
        <v>19613.560000000001</v>
      </c>
      <c r="Y634" s="341"/>
      <c r="Z634" s="341"/>
      <c r="AA634" s="4"/>
      <c r="AB634" s="351">
        <f>OBRA!BT636</f>
        <v>0</v>
      </c>
      <c r="AC634" s="1519"/>
      <c r="AD634" s="569" t="s">
        <v>551</v>
      </c>
    </row>
    <row r="635" spans="1:30" ht="96.75" hidden="1" customHeight="1">
      <c r="A635" s="23" t="s">
        <v>2239</v>
      </c>
      <c r="B635" s="933" t="str">
        <f>GRAL!B639</f>
        <v>2021-2024</v>
      </c>
      <c r="C635" s="17">
        <f>OBRA!I637</f>
        <v>2022</v>
      </c>
      <c r="D635" s="1676"/>
      <c r="E635" s="18" t="str">
        <f>OBRA!K637</f>
        <v>RAMO 33</v>
      </c>
      <c r="F635" s="1455" t="s">
        <v>1431</v>
      </c>
      <c r="G635" s="1918" t="s">
        <v>4615</v>
      </c>
      <c r="H635" s="545" t="s">
        <v>4615</v>
      </c>
      <c r="I635" s="806" t="s">
        <v>4615</v>
      </c>
      <c r="J635" s="56" t="str">
        <f>OBRA!U637</f>
        <v xml:space="preserve">DORIA &amp; SAMPIER CONSTRUCTORA, S.A. DE C.V. </v>
      </c>
      <c r="K635" s="164" t="str">
        <f>OBRA!V637</f>
        <v>C. DANIEL RODRIGUEZ VALENZUELA</v>
      </c>
      <c r="L635" s="35"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54" t="s">
        <v>4525</v>
      </c>
      <c r="P635" s="6">
        <f>OBRA!Q637</f>
        <v>44628</v>
      </c>
      <c r="Q635" s="4">
        <f>OBRA!P637</f>
        <v>160513.82999999999</v>
      </c>
      <c r="R635" s="5">
        <f>OBRA!R637</f>
        <v>44634</v>
      </c>
      <c r="S635" s="12">
        <f>OBRA!S637</f>
        <v>44653</v>
      </c>
      <c r="T635" s="1867" t="s">
        <v>4497</v>
      </c>
      <c r="U635" s="1928" t="s">
        <v>4615</v>
      </c>
      <c r="V635" s="549" t="s">
        <v>4615</v>
      </c>
      <c r="W635" s="668" t="s">
        <v>4615</v>
      </c>
      <c r="X635" s="1154">
        <f>OBRA!AP637</f>
        <v>32102.76</v>
      </c>
      <c r="Y635" s="341"/>
      <c r="Z635" s="341"/>
      <c r="AA635" s="4"/>
      <c r="AB635" s="351">
        <f>OBRA!BT637</f>
        <v>0</v>
      </c>
      <c r="AC635" s="1519"/>
      <c r="AD635" s="569" t="s">
        <v>551</v>
      </c>
    </row>
    <row r="636" spans="1:30" ht="97.5" hidden="1" customHeight="1">
      <c r="A636" s="23" t="s">
        <v>2239</v>
      </c>
      <c r="B636" s="933" t="str">
        <f>GRAL!B640</f>
        <v>2021-2024</v>
      </c>
      <c r="C636" s="17">
        <f>OBRA!I638</f>
        <v>2022</v>
      </c>
      <c r="D636" s="1676"/>
      <c r="E636" s="18" t="str">
        <f>OBRA!K638</f>
        <v>RAMO 33</v>
      </c>
      <c r="F636" s="1455" t="s">
        <v>1431</v>
      </c>
      <c r="G636" s="1918" t="s">
        <v>4616</v>
      </c>
      <c r="H636" s="545" t="s">
        <v>4616</v>
      </c>
      <c r="I636" s="806" t="s">
        <v>4616</v>
      </c>
      <c r="J636" s="35" t="str">
        <f>OBRA!U638</f>
        <v xml:space="preserve">DORIA &amp; SAMPIER CONSTRUCTORA, S.A. DE C.V. </v>
      </c>
      <c r="K636" s="164" t="str">
        <f>OBRA!V638</f>
        <v>C. DANIEL RODRIGUEZ VALENZUELA</v>
      </c>
      <c r="L636" s="35"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54" t="s">
        <v>4525</v>
      </c>
      <c r="P636" s="6">
        <f>OBRA!Q638</f>
        <v>44628</v>
      </c>
      <c r="Q636" s="4">
        <f>OBRA!P638</f>
        <v>236056.39</v>
      </c>
      <c r="R636" s="5">
        <f>OBRA!R638</f>
        <v>44634</v>
      </c>
      <c r="S636" s="12">
        <f>OBRA!S638</f>
        <v>44653</v>
      </c>
      <c r="T636" s="1867" t="s">
        <v>4497</v>
      </c>
      <c r="U636" s="1928" t="s">
        <v>4616</v>
      </c>
      <c r="V636" s="549" t="s">
        <v>4616</v>
      </c>
      <c r="W636" s="1443"/>
      <c r="X636" s="1155">
        <f>OBRA!AP638</f>
        <v>23605.64</v>
      </c>
      <c r="Y636" s="1989" t="s">
        <v>4616</v>
      </c>
      <c r="Z636" s="341">
        <v>44650</v>
      </c>
      <c r="AA636" s="4">
        <v>59014.07</v>
      </c>
      <c r="AB636" s="351">
        <f>OBRA!BT638</f>
        <v>0</v>
      </c>
      <c r="AC636" s="1234" t="s">
        <v>5077</v>
      </c>
      <c r="AD636" s="569" t="s">
        <v>5078</v>
      </c>
    </row>
    <row r="637" spans="1:30" ht="199.5" hidden="1" customHeight="1">
      <c r="A637" s="23" t="s">
        <v>2239</v>
      </c>
      <c r="B637" s="933" t="str">
        <f>GRAL!B641</f>
        <v>2021-2024</v>
      </c>
      <c r="C637" s="17">
        <f>OBRA!I639</f>
        <v>2022</v>
      </c>
      <c r="D637" s="1676"/>
      <c r="E637" s="18" t="str">
        <f>OBRA!K639</f>
        <v>RAMO 33</v>
      </c>
      <c r="F637" s="1455" t="s">
        <v>1431</v>
      </c>
      <c r="G637" s="1918" t="s">
        <v>4656</v>
      </c>
      <c r="H637" s="454" t="s">
        <v>4656</v>
      </c>
      <c r="I637" s="455" t="s">
        <v>4656</v>
      </c>
      <c r="J637" s="56" t="str">
        <f>OBRA!U639</f>
        <v>EDUARDO VENTURA PADILLA</v>
      </c>
      <c r="K637" s="164" t="str">
        <f>OBRA!V639</f>
        <v>ING. J. GUADALUPE IBARRA RAMIREZ</v>
      </c>
      <c r="L637" s="35"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4525</v>
      </c>
      <c r="P637" s="6">
        <f>OBRA!Q639</f>
        <v>44690</v>
      </c>
      <c r="Q637" s="4">
        <f>OBRA!P639</f>
        <v>2031883.8</v>
      </c>
      <c r="R637" s="5">
        <f>OBRA!R639</f>
        <v>44692</v>
      </c>
      <c r="S637" s="12">
        <f>OBRA!S639</f>
        <v>44765</v>
      </c>
      <c r="T637" s="1867" t="s">
        <v>4497</v>
      </c>
      <c r="U637" s="752" t="s">
        <v>4656</v>
      </c>
      <c r="V637" s="549" t="s">
        <v>5079</v>
      </c>
      <c r="W637" s="668" t="s">
        <v>4656</v>
      </c>
      <c r="X637" s="1154">
        <f>OBRA!AP639</f>
        <v>914347.71000000008</v>
      </c>
      <c r="Y637" s="341"/>
      <c r="Z637" s="341"/>
      <c r="AA637" s="4"/>
      <c r="AB637" s="351">
        <f>OBRA!BT639</f>
        <v>0</v>
      </c>
      <c r="AC637" s="1519"/>
      <c r="AD637" s="569" t="s">
        <v>551</v>
      </c>
    </row>
    <row r="638" spans="1:30" ht="81.75" hidden="1" customHeight="1">
      <c r="A638" s="23" t="s">
        <v>2239</v>
      </c>
      <c r="B638" s="933" t="str">
        <f>GRAL!B642</f>
        <v>2021-2024</v>
      </c>
      <c r="C638" s="17">
        <f>OBRA!I640</f>
        <v>2022</v>
      </c>
      <c r="D638" s="1676"/>
      <c r="E638" s="18" t="str">
        <f>OBRA!K640</f>
        <v>CUENTA CORRIENTE</v>
      </c>
      <c r="F638" s="1455" t="s">
        <v>1431</v>
      </c>
      <c r="G638" s="1918" t="s">
        <v>4659</v>
      </c>
      <c r="H638" s="454" t="s">
        <v>4659</v>
      </c>
      <c r="I638" s="455" t="s">
        <v>4659</v>
      </c>
      <c r="J638" s="35" t="str">
        <f>OBRA!U640</f>
        <v>TERRACERÍAS Y PAVIMENTOS DE LA RIBERA, S.A. DE C.V.</v>
      </c>
      <c r="K638" s="164" t="str">
        <f>OBRA!V640</f>
        <v>C. DANIEL RODRIGUEZ VALENZUELA</v>
      </c>
      <c r="L638" s="35"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54" t="s">
        <v>4525</v>
      </c>
      <c r="P638" s="6">
        <f>OBRA!Q640</f>
        <v>44704</v>
      </c>
      <c r="Q638" s="4">
        <f>OBRA!P640</f>
        <v>793754.52</v>
      </c>
      <c r="R638" s="5">
        <f>OBRA!R640</f>
        <v>44705</v>
      </c>
      <c r="S638" s="12">
        <f>OBRA!S640</f>
        <v>44712</v>
      </c>
      <c r="T638" s="2074" t="s">
        <v>4497</v>
      </c>
      <c r="U638" s="1900" t="s">
        <v>1431</v>
      </c>
      <c r="V638" s="1920" t="s">
        <v>4659</v>
      </c>
      <c r="W638" s="1919" t="s">
        <v>4659</v>
      </c>
      <c r="X638" s="1154">
        <f>OBRA!AP640</f>
        <v>79375.45</v>
      </c>
      <c r="Y638" s="341"/>
      <c r="Z638" s="341"/>
      <c r="AA638" s="4"/>
      <c r="AB638" s="351">
        <f>OBRA!BT640</f>
        <v>0</v>
      </c>
      <c r="AC638" s="1519"/>
      <c r="AD638" s="569" t="s">
        <v>551</v>
      </c>
    </row>
    <row r="639" spans="1:30" ht="100.5" hidden="1" customHeight="1">
      <c r="A639" s="23" t="s">
        <v>2239</v>
      </c>
      <c r="B639" s="933" t="str">
        <f>GRAL!B643</f>
        <v>2021-2024</v>
      </c>
      <c r="C639" s="17">
        <f>OBRA!I641</f>
        <v>2022</v>
      </c>
      <c r="D639" s="1676"/>
      <c r="E639" s="18" t="str">
        <f>OBRA!K641</f>
        <v>RAMO 33</v>
      </c>
      <c r="F639" s="1455" t="s">
        <v>1431</v>
      </c>
      <c r="G639" s="1918" t="s">
        <v>4661</v>
      </c>
      <c r="H639" s="454" t="s">
        <v>4661</v>
      </c>
      <c r="I639" s="455" t="s">
        <v>4661</v>
      </c>
      <c r="J639" s="35" t="str">
        <f>OBRA!U641</f>
        <v>TERRACERÍAS Y PAVIMENTOS DE LA RIBERA, S.A. DE C.V.</v>
      </c>
      <c r="K639" s="164" t="str">
        <f>OBRA!V641</f>
        <v>C. DANIEL RODRIGUEZ VALENZUELA</v>
      </c>
      <c r="L639" s="266" t="str">
        <f>OBRA!L641</f>
        <v>GMJ 006 C-OP/2022</v>
      </c>
      <c r="M639" s="426" t="str">
        <f>OBRA!M641</f>
        <v>ADJUDICACIÓN DIRECTA</v>
      </c>
      <c r="N639" s="780" t="str">
        <f>OBRA!N641</f>
        <v>"REHABILITACIÓN DE ANDADOR, MURO DE CONTECIÓN Y ALUMBRADO PÚBLICO EN ANDADOR MORELOS ENTRE C. RIVERA DEL LAGO Y MALECÓN", EN LA LOCALIDAD DE NEXTIPAC, DEL MUNICIPIO DE JOCTEPEC, JALISCO.</v>
      </c>
      <c r="O639" s="1917" t="s">
        <v>4525</v>
      </c>
      <c r="P639" s="767">
        <f>OBRA!Q641</f>
        <v>44704</v>
      </c>
      <c r="Q639" s="215">
        <f>OBRA!P641</f>
        <v>579637.71</v>
      </c>
      <c r="R639" s="60">
        <f>OBRA!R641</f>
        <v>44712</v>
      </c>
      <c r="S639" s="61">
        <f>OBRA!S641</f>
        <v>44722</v>
      </c>
      <c r="T639" s="1897" t="s">
        <v>4497</v>
      </c>
      <c r="U639" s="752" t="s">
        <v>4661</v>
      </c>
      <c r="V639" s="549" t="s">
        <v>4661</v>
      </c>
      <c r="W639" s="668" t="s">
        <v>4661</v>
      </c>
      <c r="X639" s="1154">
        <f>OBRA!AP641</f>
        <v>57963.77</v>
      </c>
      <c r="Y639" s="341"/>
      <c r="Z639" s="341"/>
      <c r="AA639" s="4"/>
      <c r="AB639" s="351">
        <f>OBRA!BT641</f>
        <v>0</v>
      </c>
      <c r="AC639" s="1519"/>
      <c r="AD639" s="569" t="s">
        <v>551</v>
      </c>
    </row>
    <row r="640" spans="1:30" ht="96.75" hidden="1" customHeight="1">
      <c r="A640" s="23" t="s">
        <v>2239</v>
      </c>
      <c r="B640" s="933" t="str">
        <f>GRAL!B644</f>
        <v>2021-2024</v>
      </c>
      <c r="C640" s="17">
        <f>OBRA!I642</f>
        <v>2022</v>
      </c>
      <c r="D640" s="1676"/>
      <c r="E640" s="18" t="str">
        <f>OBRA!K642</f>
        <v>RAMO 33</v>
      </c>
      <c r="F640" s="1455" t="s">
        <v>1431</v>
      </c>
      <c r="G640" s="546" t="s">
        <v>4618</v>
      </c>
      <c r="H640" s="545" t="s">
        <v>4618</v>
      </c>
      <c r="I640" s="806" t="s">
        <v>4618</v>
      </c>
      <c r="J640" s="56" t="str">
        <f>OBRA!U642</f>
        <v>ESTRUCTURAS PLANEADAS DE OCCIDENTE, S.A. DE C.V.</v>
      </c>
      <c r="K640" s="164" t="str">
        <f>OBRA!V642</f>
        <v>C. DANIEL RODRIGUEZ VALENZUELA</v>
      </c>
      <c r="L640" s="35"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54" t="s">
        <v>4525</v>
      </c>
      <c r="P640" s="6">
        <f>OBRA!Q642</f>
        <v>44704</v>
      </c>
      <c r="Q640" s="4">
        <f>OBRA!P642</f>
        <v>627108.43000000005</v>
      </c>
      <c r="R640" s="5">
        <f>OBRA!R642</f>
        <v>44705</v>
      </c>
      <c r="S640" s="12">
        <f>OBRA!S642</f>
        <v>44742</v>
      </c>
      <c r="T640" s="1867" t="s">
        <v>4497</v>
      </c>
      <c r="U640" s="1899"/>
      <c r="V640" s="549" t="s">
        <v>4618</v>
      </c>
      <c r="W640" s="668" t="s">
        <v>4618</v>
      </c>
      <c r="X640" s="1154">
        <f>OBRA!AP642</f>
        <v>125421.68</v>
      </c>
      <c r="Y640" s="341"/>
      <c r="Z640" s="341"/>
      <c r="AA640" s="4"/>
      <c r="AB640" s="351">
        <f>OBRA!BT642</f>
        <v>0</v>
      </c>
      <c r="AC640" s="1519"/>
      <c r="AD640" s="569" t="s">
        <v>5075</v>
      </c>
    </row>
    <row r="641" spans="1:30" ht="103.5" hidden="1" customHeight="1">
      <c r="A641" s="23" t="s">
        <v>2239</v>
      </c>
      <c r="B641" s="933" t="str">
        <f>GRAL!B645</f>
        <v>2021-2024</v>
      </c>
      <c r="C641" s="17">
        <f>OBRA!I643</f>
        <v>2022</v>
      </c>
      <c r="D641" s="1676"/>
      <c r="E641" s="18" t="str">
        <f>OBRA!K643</f>
        <v>RAMO 33</v>
      </c>
      <c r="F641" s="1455" t="s">
        <v>1431</v>
      </c>
      <c r="G641" s="546" t="s">
        <v>4619</v>
      </c>
      <c r="H641" s="545" t="s">
        <v>4619</v>
      </c>
      <c r="I641" s="806" t="s">
        <v>4619</v>
      </c>
      <c r="J641" s="56" t="str">
        <f>OBRA!U643</f>
        <v xml:space="preserve">SERVICIOS Y CONSTRUCCIONES NATENIO, S.A. DE C.V. </v>
      </c>
      <c r="K641" s="164" t="str">
        <f>OBRA!V643</f>
        <v>C. DANIEL RODRIGUEZ VALENZUELA</v>
      </c>
      <c r="L641" s="35"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54" t="s">
        <v>4525</v>
      </c>
      <c r="P641" s="6">
        <f>OBRA!Q643</f>
        <v>44707</v>
      </c>
      <c r="Q641" s="4">
        <f>OBRA!P643</f>
        <v>168470.35</v>
      </c>
      <c r="R641" s="5">
        <f>OBRA!R643</f>
        <v>44711</v>
      </c>
      <c r="S641" s="12">
        <f>OBRA!S643</f>
        <v>44722</v>
      </c>
      <c r="T641" s="1867" t="s">
        <v>4497</v>
      </c>
      <c r="U641" s="1899"/>
      <c r="V641" s="549" t="s">
        <v>4619</v>
      </c>
      <c r="W641" s="1919" t="s">
        <v>4619</v>
      </c>
      <c r="X641" s="1154">
        <f>OBRA!AP643</f>
        <v>33694.06</v>
      </c>
      <c r="Y641" s="341"/>
      <c r="Z641" s="341"/>
      <c r="AA641" s="4"/>
      <c r="AB641" s="351">
        <f>OBRA!BT643</f>
        <v>0</v>
      </c>
      <c r="AC641" s="1519"/>
      <c r="AD641" s="569" t="s">
        <v>5075</v>
      </c>
    </row>
    <row r="642" spans="1:30" ht="95.25" hidden="1" customHeight="1">
      <c r="A642" s="23" t="s">
        <v>2239</v>
      </c>
      <c r="B642" s="933" t="str">
        <f>GRAL!B646</f>
        <v>2021-2024</v>
      </c>
      <c r="C642" s="17">
        <f>OBRA!I644</f>
        <v>2022</v>
      </c>
      <c r="D642" s="1676"/>
      <c r="E642" s="18" t="str">
        <f>OBRA!K644</f>
        <v>RAMO 33</v>
      </c>
      <c r="F642" s="1455" t="s">
        <v>1431</v>
      </c>
      <c r="G642" s="546" t="s">
        <v>4620</v>
      </c>
      <c r="H642" s="545" t="s">
        <v>4620</v>
      </c>
      <c r="I642" s="806" t="s">
        <v>4620</v>
      </c>
      <c r="J642" s="35" t="str">
        <f>OBRA!U644</f>
        <v>SOLEC ENERGY, S.A. DE C.V.</v>
      </c>
      <c r="K642" s="164" t="str">
        <f>OBRA!V644</f>
        <v>C. DANIEL RODRIGUEZ VALENZUELA</v>
      </c>
      <c r="L642" s="35"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54" t="s">
        <v>4525</v>
      </c>
      <c r="P642" s="6">
        <f>OBRA!Q644</f>
        <v>44736</v>
      </c>
      <c r="Q642" s="4">
        <f>OBRA!P644</f>
        <v>809084.8</v>
      </c>
      <c r="R642" s="5">
        <f>OBRA!R644</f>
        <v>44760</v>
      </c>
      <c r="S642" s="12">
        <f>OBRA!S644</f>
        <v>44804</v>
      </c>
      <c r="T642" s="1867" t="s">
        <v>4497</v>
      </c>
      <c r="U642" s="1928" t="s">
        <v>4620</v>
      </c>
      <c r="V642" s="654"/>
      <c r="W642" s="1919" t="s">
        <v>4620</v>
      </c>
      <c r="X642" s="1154">
        <f>OBRA!AP644</f>
        <v>80908.479999999996</v>
      </c>
      <c r="Y642" s="341"/>
      <c r="Z642" s="341"/>
      <c r="AA642" s="4"/>
      <c r="AB642" s="351">
        <f>OBRA!BT644</f>
        <v>0</v>
      </c>
      <c r="AC642" s="1519"/>
      <c r="AD642" s="569" t="s">
        <v>5078</v>
      </c>
    </row>
    <row r="643" spans="1:30" ht="114.75" hidden="1" customHeight="1">
      <c r="A643" s="23" t="s">
        <v>2239</v>
      </c>
      <c r="B643" s="933" t="str">
        <f>GRAL!B647</f>
        <v>2021-2024</v>
      </c>
      <c r="C643" s="17">
        <f>OBRA!I645</f>
        <v>2022</v>
      </c>
      <c r="D643" s="1676"/>
      <c r="E643" s="18" t="str">
        <f>OBRA!K645</f>
        <v>RAMO 33</v>
      </c>
      <c r="F643" s="1455" t="s">
        <v>1431</v>
      </c>
      <c r="G643" s="1918" t="s">
        <v>4666</v>
      </c>
      <c r="H643" s="454" t="s">
        <v>4666</v>
      </c>
      <c r="I643" s="455" t="s">
        <v>4666</v>
      </c>
      <c r="J643" s="56" t="str">
        <f>OBRA!U645</f>
        <v>ING. SERGIO CABRERA</v>
      </c>
      <c r="K643" s="164" t="str">
        <f>OBRA!V645</f>
        <v>C. DANIEL RODRIGUEZ VALENZUELA</v>
      </c>
      <c r="L643" s="35"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54" t="s">
        <v>4525</v>
      </c>
      <c r="P643" s="6">
        <f>OBRA!Q645</f>
        <v>44763</v>
      </c>
      <c r="Q643" s="4">
        <f>OBRA!P645</f>
        <v>1697255.04</v>
      </c>
      <c r="R643" s="5">
        <f>OBRA!R645</f>
        <v>44767</v>
      </c>
      <c r="S643" s="12">
        <f>OBRA!S645</f>
        <v>44814</v>
      </c>
      <c r="T643" s="1867" t="s">
        <v>4497</v>
      </c>
      <c r="U643" s="1928" t="s">
        <v>4666</v>
      </c>
      <c r="V643" s="1920" t="s">
        <v>4666</v>
      </c>
      <c r="W643" s="1919" t="s">
        <v>4666</v>
      </c>
      <c r="X643" s="1154">
        <f>OBRA!AP645</f>
        <v>848627.51</v>
      </c>
      <c r="Y643" s="341"/>
      <c r="Z643" s="341"/>
      <c r="AA643" s="4"/>
      <c r="AB643" s="351">
        <f>OBRA!BT645</f>
        <v>0</v>
      </c>
      <c r="AC643" s="1519"/>
      <c r="AD643" s="569" t="s">
        <v>551</v>
      </c>
    </row>
    <row r="644" spans="1:30" ht="101.25" hidden="1" customHeight="1">
      <c r="A644" s="23" t="s">
        <v>2239</v>
      </c>
      <c r="B644" s="933" t="str">
        <f>GRAL!B648</f>
        <v>2021-2024</v>
      </c>
      <c r="C644" s="17">
        <f>OBRA!I646</f>
        <v>2022</v>
      </c>
      <c r="D644" s="1676"/>
      <c r="E644" s="18" t="str">
        <f>OBRA!K646</f>
        <v>CUENTA CORRIENTE</v>
      </c>
      <c r="F644" s="1455" t="s">
        <v>1431</v>
      </c>
      <c r="G644" s="1918" t="s">
        <v>4667</v>
      </c>
      <c r="H644" s="454" t="s">
        <v>4667</v>
      </c>
      <c r="I644" s="455" t="s">
        <v>4667</v>
      </c>
      <c r="J644" s="35" t="str">
        <f>OBRA!U646</f>
        <v>ING. SERGIO CABRERA</v>
      </c>
      <c r="K644" s="164" t="str">
        <f>OBRA!V646</f>
        <v>ING. J. GUADALUPE IBARRA RAMIREZ</v>
      </c>
      <c r="L644" s="35"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54" t="s">
        <v>4617</v>
      </c>
      <c r="P644" s="6">
        <f>OBRA!Q646</f>
        <v>44767</v>
      </c>
      <c r="Q644" s="4">
        <f>OBRA!P646</f>
        <v>1343062.53</v>
      </c>
      <c r="R644" s="5">
        <f>OBRA!R646</f>
        <v>44770</v>
      </c>
      <c r="S644" s="12">
        <f>OBRA!S646</f>
        <v>44814</v>
      </c>
      <c r="T644" s="1867" t="s">
        <v>4498</v>
      </c>
      <c r="U644" s="1900" t="s">
        <v>1431</v>
      </c>
      <c r="V644" s="654"/>
      <c r="W644" s="1443"/>
      <c r="X644" s="1154">
        <f>OBRA!AP646</f>
        <v>671531.25</v>
      </c>
      <c r="Y644" s="341"/>
      <c r="Z644" s="341"/>
      <c r="AA644" s="4"/>
      <c r="AB644" s="351">
        <f>OBRA!BT646</f>
        <v>0</v>
      </c>
      <c r="AC644" s="1519"/>
      <c r="AD644" s="569"/>
    </row>
    <row r="645" spans="1:30" ht="65.25" hidden="1" customHeight="1">
      <c r="A645" s="23" t="s">
        <v>2239</v>
      </c>
      <c r="B645" s="933" t="str">
        <f>GRAL!B649</f>
        <v>2021-2024</v>
      </c>
      <c r="C645" s="17">
        <f>OBRA!I647</f>
        <v>2022</v>
      </c>
      <c r="D645" s="1676"/>
      <c r="E645" s="18" t="str">
        <f>OBRA!K647</f>
        <v>CUENTA CORRIENTE</v>
      </c>
      <c r="F645" s="1455" t="s">
        <v>1431</v>
      </c>
      <c r="G645" s="1918" t="s">
        <v>4668</v>
      </c>
      <c r="H645" s="454" t="s">
        <v>4668</v>
      </c>
      <c r="I645" s="455" t="s">
        <v>4668</v>
      </c>
      <c r="J645" s="1898" t="str">
        <f>OBRA!U647</f>
        <v>ESTRUCTURAS PLANEADAS DE OCCIDENTE, S.A. DE C.V.</v>
      </c>
      <c r="K645" s="19" t="str">
        <f>OBRA!V647</f>
        <v>ING. J. GUADALUPE IBARRA RAMIREZ</v>
      </c>
      <c r="L645" s="35" t="str">
        <f>OBRA!L647</f>
        <v>GMJ 012 C-OP/2022</v>
      </c>
      <c r="M645" s="2" t="str">
        <f>OBRA!M647</f>
        <v>ADJUDICACIÓN DIRECTA</v>
      </c>
      <c r="N645" s="3" t="str">
        <f>OBRA!N647</f>
        <v>"REPARACIÓN DE BANQUETA PERIMETRAL EN LA PLAZA PRINCIPAL" DE LA CABECERA MUNICPAL DE JOCOTEPEC, JALISCO.</v>
      </c>
      <c r="O645" s="554" t="s">
        <v>4617</v>
      </c>
      <c r="P645" s="6">
        <f>OBRA!Q647</f>
        <v>44816</v>
      </c>
      <c r="Q645" s="4">
        <f>OBRA!P647</f>
        <v>85733.34</v>
      </c>
      <c r="R645" s="5">
        <f>OBRA!R647</f>
        <v>44817</v>
      </c>
      <c r="S645" s="12">
        <f>OBRA!S647</f>
        <v>44834</v>
      </c>
      <c r="T645" s="1867" t="s">
        <v>4498</v>
      </c>
      <c r="U645" s="1900" t="s">
        <v>1431</v>
      </c>
      <c r="V645" s="654"/>
      <c r="W645" s="1443"/>
      <c r="X645" s="1854">
        <f>OBRA!AP647</f>
        <v>0</v>
      </c>
      <c r="Y645" s="341"/>
      <c r="Z645" s="341"/>
      <c r="AA645" s="4"/>
      <c r="AB645" s="351">
        <f>OBRA!BT647</f>
        <v>0</v>
      </c>
      <c r="AC645" s="1519"/>
      <c r="AD645" s="569"/>
    </row>
    <row r="646" spans="1:30" ht="15" hidden="1" customHeight="1">
      <c r="A646" s="23" t="s">
        <v>2239</v>
      </c>
      <c r="B646" s="933" t="str">
        <f>GRAL!B650</f>
        <v>2021-2024</v>
      </c>
      <c r="C646" s="17">
        <f>OBRA!I648</f>
        <v>2022</v>
      </c>
      <c r="D646" s="1676"/>
      <c r="E646" s="18" t="str">
        <f>OBRA!K648</f>
        <v>RAMO 33</v>
      </c>
      <c r="F646" s="1374"/>
      <c r="G646" s="546"/>
      <c r="H646" s="1015"/>
      <c r="I646" s="1447"/>
      <c r="J646" s="1898"/>
      <c r="K646" s="40"/>
      <c r="L646" s="20" t="str">
        <f>OBRA!L648</f>
        <v>FAIS-RAMO/33-OP-CSS-013/2022</v>
      </c>
      <c r="M646" s="2" t="str">
        <f>OBRA!M648</f>
        <v>CONCURSO SIMPLIFICADO SUMARIO</v>
      </c>
      <c r="N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OBRA!Q648</f>
        <v>44810</v>
      </c>
      <c r="Q646" s="4">
        <f>OBRA!P648</f>
        <v>4165845.27</v>
      </c>
      <c r="R646" s="5">
        <f>OBRA!R648</f>
        <v>44812</v>
      </c>
      <c r="S646" s="12">
        <f>OBRA!S648</f>
        <v>44834</v>
      </c>
      <c r="T646" s="792"/>
      <c r="U646" s="223"/>
      <c r="V646" s="654"/>
      <c r="W646" s="1443"/>
      <c r="X646" s="1854">
        <f>OBRA!AP648</f>
        <v>2115489.1800000002</v>
      </c>
      <c r="Y646" s="341"/>
      <c r="Z646" s="341"/>
      <c r="AA646" s="5"/>
      <c r="AB646" s="351">
        <f>OBRA!BT648</f>
        <v>0</v>
      </c>
      <c r="AC646" s="1519"/>
      <c r="AD646" s="569"/>
    </row>
    <row r="647" spans="1:30" ht="15" hidden="1" customHeight="1">
      <c r="A647" s="23" t="s">
        <v>2239</v>
      </c>
      <c r="B647" s="933" t="str">
        <f>GRAL!B651</f>
        <v>2021-2024</v>
      </c>
      <c r="C647" s="17">
        <f>OBRA!I649</f>
        <v>2022</v>
      </c>
      <c r="D647" s="1676"/>
      <c r="E647" s="18" t="str">
        <f>OBRA!K649</f>
        <v>RAMO 33</v>
      </c>
      <c r="F647" s="1374"/>
      <c r="G647" s="546"/>
      <c r="H647" s="1015"/>
      <c r="I647" s="1447"/>
      <c r="J647" s="1898"/>
      <c r="K647" s="40"/>
      <c r="L647" s="20"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97"/>
      <c r="P647" s="6">
        <f>OBRA!Q649</f>
        <v>44839</v>
      </c>
      <c r="Q647" s="4">
        <f>OBRA!P649</f>
        <v>4216204.78</v>
      </c>
      <c r="R647" s="5">
        <f>OBRA!R649</f>
        <v>44847</v>
      </c>
      <c r="S647" s="12">
        <f>OBRA!S649</f>
        <v>44895</v>
      </c>
      <c r="T647" s="792"/>
      <c r="U647" s="223"/>
      <c r="V647" s="654"/>
      <c r="W647" s="1443"/>
      <c r="X647" s="1854">
        <f>OBRA!AP649</f>
        <v>2229168.31</v>
      </c>
      <c r="Y647" s="341"/>
      <c r="Z647" s="341"/>
      <c r="AA647" s="5"/>
      <c r="AB647" s="351">
        <f>OBRA!BT649</f>
        <v>0</v>
      </c>
      <c r="AC647" s="1519"/>
      <c r="AD647" s="569"/>
    </row>
    <row r="648" spans="1:30" ht="15" hidden="1" customHeight="1">
      <c r="A648" s="23" t="s">
        <v>2239</v>
      </c>
      <c r="B648" s="933" t="str">
        <f>GRAL!B652</f>
        <v>2021-2024</v>
      </c>
      <c r="C648" s="17">
        <f>OBRA!I650</f>
        <v>2022</v>
      </c>
      <c r="D648" s="1676"/>
      <c r="E648" s="18" t="str">
        <f>OBRA!K650</f>
        <v>CUENTA CORRIENTE</v>
      </c>
      <c r="F648" s="1374"/>
      <c r="G648" s="546"/>
      <c r="H648" s="1015"/>
      <c r="I648" s="1447"/>
      <c r="J648" s="1898"/>
      <c r="K648" s="40"/>
      <c r="L648" s="20"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97"/>
      <c r="P648" s="6">
        <f>OBRA!Q650</f>
        <v>44839</v>
      </c>
      <c r="Q648" s="4">
        <f>OBRA!P650</f>
        <v>3845696.93</v>
      </c>
      <c r="R648" s="5">
        <f>OBRA!R650</f>
        <v>44847</v>
      </c>
      <c r="S648" s="12">
        <f>OBRA!S650</f>
        <v>44895</v>
      </c>
      <c r="T648" s="792"/>
      <c r="U648" s="223"/>
      <c r="V648" s="654"/>
      <c r="W648" s="1443"/>
      <c r="X648" s="1854">
        <f>OBRA!AP650</f>
        <v>1922848.46</v>
      </c>
      <c r="Y648" s="341"/>
      <c r="Z648" s="341"/>
      <c r="AA648" s="5"/>
      <c r="AB648" s="351">
        <f>OBRA!BT650</f>
        <v>0</v>
      </c>
      <c r="AC648" s="1519"/>
      <c r="AD648" s="569"/>
    </row>
    <row r="649" spans="1:30" ht="99.75" hidden="1" customHeight="1">
      <c r="A649" s="23" t="s">
        <v>2239</v>
      </c>
      <c r="B649" s="933" t="str">
        <f>GRAL!B653</f>
        <v>2021-2024</v>
      </c>
      <c r="C649" s="17">
        <f>OBRA!I651</f>
        <v>2022</v>
      </c>
      <c r="D649" s="1676"/>
      <c r="E649" s="18" t="str">
        <f>OBRA!K651</f>
        <v>RAMO 33</v>
      </c>
      <c r="F649" s="1455" t="s">
        <v>1431</v>
      </c>
      <c r="G649" s="1439"/>
      <c r="H649" s="454" t="s">
        <v>4669</v>
      </c>
      <c r="I649" s="455" t="s">
        <v>4669</v>
      </c>
      <c r="J649" s="35" t="str">
        <f>OBRA!U651</f>
        <v xml:space="preserve">INFRAESTRUCTURA Y EDIFICACIONES OROZCO S.A. DE C.V. </v>
      </c>
      <c r="K649" s="164" t="str">
        <f>OBRA!V651</f>
        <v>C. DANIEL RODRIGUEZ VALENZUELA</v>
      </c>
      <c r="L649" s="35"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54" t="s">
        <v>4617</v>
      </c>
      <c r="P649" s="6">
        <f>OBRA!Q651</f>
        <v>44851</v>
      </c>
      <c r="Q649" s="4">
        <f>OBRA!P651</f>
        <v>645484.5</v>
      </c>
      <c r="R649" s="5">
        <f>OBRA!R651</f>
        <v>44865</v>
      </c>
      <c r="S649" s="12">
        <f>OBRA!S651</f>
        <v>44883</v>
      </c>
      <c r="T649" s="1867" t="s">
        <v>4497</v>
      </c>
      <c r="U649" s="1899"/>
      <c r="V649" s="549" t="s">
        <v>4669</v>
      </c>
      <c r="W649" s="668" t="s">
        <v>4669</v>
      </c>
      <c r="X649" s="1154">
        <f>OBRA!AP651</f>
        <v>346035.52</v>
      </c>
      <c r="Y649" s="341"/>
      <c r="Z649" s="341"/>
      <c r="AA649" s="4"/>
      <c r="AB649" s="351">
        <f>OBRA!BT651</f>
        <v>0</v>
      </c>
      <c r="AC649" s="1519"/>
      <c r="AD649" s="569"/>
    </row>
    <row r="650" spans="1:30" ht="15" hidden="1" customHeight="1">
      <c r="A650" s="23" t="s">
        <v>2239</v>
      </c>
      <c r="B650" s="933" t="str">
        <f>GRAL!B654</f>
        <v>2021-2024</v>
      </c>
      <c r="C650" s="17">
        <f>OBRA!I652</f>
        <v>2022</v>
      </c>
      <c r="D650" s="1676"/>
      <c r="E650" s="18" t="str">
        <f>OBRA!K652</f>
        <v>RAMO 33</v>
      </c>
      <c r="F650" s="1374"/>
      <c r="G650" s="546"/>
      <c r="H650" s="1015"/>
      <c r="I650" s="1447"/>
      <c r="J650" s="1898"/>
      <c r="K650" s="57"/>
      <c r="L650" s="20"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97"/>
      <c r="P650" s="6">
        <f>OBRA!Q652</f>
        <v>44859</v>
      </c>
      <c r="Q650" s="4">
        <f>OBRA!P652</f>
        <v>2479806.63</v>
      </c>
      <c r="R650" s="5">
        <f>OBRA!R652</f>
        <v>44862</v>
      </c>
      <c r="S650" s="12">
        <f>OBRA!S652</f>
        <v>44898</v>
      </c>
      <c r="T650" s="792"/>
      <c r="U650" s="223"/>
      <c r="V650" s="654"/>
      <c r="W650" s="1443"/>
      <c r="X650" s="1854">
        <f>OBRA!AP652</f>
        <v>991922.65</v>
      </c>
      <c r="Y650" s="341"/>
      <c r="Z650" s="341"/>
      <c r="AA650" s="5"/>
      <c r="AB650" s="351">
        <f>OBRA!BT652</f>
        <v>0</v>
      </c>
      <c r="AC650" s="1519"/>
      <c r="AD650" s="569"/>
    </row>
    <row r="651" spans="1:30" ht="15" hidden="1" customHeight="1">
      <c r="A651" s="23" t="s">
        <v>2239</v>
      </c>
      <c r="B651" s="933" t="str">
        <f>GRAL!B655</f>
        <v>2021-2024</v>
      </c>
      <c r="C651" s="17">
        <f>OBRA!I653</f>
        <v>2022</v>
      </c>
      <c r="D651" s="1676"/>
      <c r="E651" s="18" t="str">
        <f>OBRA!K653</f>
        <v>RAMO 33</v>
      </c>
      <c r="F651" s="1374"/>
      <c r="G651" s="546"/>
      <c r="H651" s="1015"/>
      <c r="I651" s="1447"/>
      <c r="J651" s="1898"/>
      <c r="K651" s="57"/>
      <c r="L651" s="20"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OBRA!Q653</f>
        <v>44859</v>
      </c>
      <c r="Q651" s="4">
        <f>OBRA!P653</f>
        <v>2218847.77</v>
      </c>
      <c r="R651" s="5">
        <f>OBRA!R653</f>
        <v>44862</v>
      </c>
      <c r="S651" s="12">
        <f>OBRA!S653</f>
        <v>44898</v>
      </c>
      <c r="T651" s="792"/>
      <c r="U651" s="223"/>
      <c r="V651" s="654"/>
      <c r="W651" s="1443"/>
      <c r="X651" s="1854">
        <f>OBRA!AP653</f>
        <v>1060839.56</v>
      </c>
      <c r="Y651" s="341"/>
      <c r="Z651" s="341"/>
      <c r="AA651" s="5"/>
      <c r="AB651" s="351">
        <f>OBRA!BT653</f>
        <v>0</v>
      </c>
      <c r="AC651" s="1519"/>
      <c r="AD651" s="569"/>
    </row>
    <row r="652" spans="1:30" ht="84" hidden="1" customHeight="1">
      <c r="A652" s="23" t="s">
        <v>2239</v>
      </c>
      <c r="B652" s="933" t="str">
        <f>GRAL!B656</f>
        <v>2021-2024</v>
      </c>
      <c r="C652" s="17">
        <f>OBRA!I654</f>
        <v>2022</v>
      </c>
      <c r="D652" s="1676"/>
      <c r="E652" s="18" t="str">
        <f>OBRA!K654</f>
        <v>RAMO 33</v>
      </c>
      <c r="F652" s="1455" t="s">
        <v>1431</v>
      </c>
      <c r="G652" s="546" t="s">
        <v>5098</v>
      </c>
      <c r="H652" s="545" t="s">
        <v>5098</v>
      </c>
      <c r="I652" s="806" t="s">
        <v>5098</v>
      </c>
      <c r="J652" s="1999" t="str">
        <f>OBRA!U654</f>
        <v>ESTRUCTURAS PLANEADAS DE OCCIDENTE, S.A. DE C.V.</v>
      </c>
      <c r="K652" s="172" t="str">
        <f>OBRA!V654</f>
        <v>C. DANIEL RODRIGUEZ VALENZUELA</v>
      </c>
      <c r="L652" s="180" t="str">
        <f>OBRA!L654</f>
        <v>GMJ 019 C-OP/2022</v>
      </c>
      <c r="M652" s="202" t="str">
        <f>OBRA!M654</f>
        <v>ADJUDICACIÓN DIRECTA</v>
      </c>
      <c r="N652" s="3" t="str">
        <f>OBRA!N654</f>
        <v>“CONSTRUCCIÓN DE REDES HIDROSANITARÍAS EN CALLE PRIV. JUAN PABLO II”, EN LA LOCALIDAD DE SAN JUAN COSALÁ, DEL MUNICIPIO DE JOCOTEPEC, JALISCO</v>
      </c>
      <c r="O652" s="554" t="s">
        <v>4617</v>
      </c>
      <c r="P652" s="6">
        <f>OBRA!Q654</f>
        <v>44872</v>
      </c>
      <c r="Q652" s="4">
        <f>OBRA!P654</f>
        <v>762057.5</v>
      </c>
      <c r="R652" s="5">
        <f>OBRA!R654</f>
        <v>44889</v>
      </c>
      <c r="S652" s="12">
        <f>OBRA!S654</f>
        <v>44900</v>
      </c>
      <c r="T652" s="1867" t="s">
        <v>4497</v>
      </c>
      <c r="U652" s="1899"/>
      <c r="V652" s="549" t="s">
        <v>5098</v>
      </c>
      <c r="W652" s="668" t="s">
        <v>5098</v>
      </c>
      <c r="X652" s="1154">
        <f>OBRA!AP654</f>
        <v>381028.75</v>
      </c>
      <c r="Y652" s="341"/>
      <c r="Z652" s="341"/>
      <c r="AA652" s="4"/>
      <c r="AB652" s="351">
        <f>OBRA!BT654</f>
        <v>0</v>
      </c>
      <c r="AC652" s="1519"/>
      <c r="AD652" s="569" t="s">
        <v>5075</v>
      </c>
    </row>
    <row r="653" spans="1:30" ht="15" hidden="1" customHeight="1">
      <c r="A653" s="23" t="s">
        <v>2239</v>
      </c>
      <c r="B653" s="933" t="str">
        <f>GRAL!B657</f>
        <v>2021-2024</v>
      </c>
      <c r="C653" s="17">
        <f>OBRA!I655</f>
        <v>2022</v>
      </c>
      <c r="D653" s="1676"/>
      <c r="E653" s="18">
        <f>OBRA!K655</f>
        <v>0</v>
      </c>
      <c r="F653" s="1374"/>
      <c r="G653" s="1300"/>
      <c r="H653" s="239"/>
      <c r="I653" s="1300"/>
      <c r="J653" s="56"/>
      <c r="K653" s="57"/>
      <c r="L653" s="20" t="str">
        <f>OBRA!L655</f>
        <v>GMJ 020 C-OP/2022</v>
      </c>
      <c r="M653" s="2" t="str">
        <f>OBRA!M655</f>
        <v>CANCELADA</v>
      </c>
      <c r="N653" s="3">
        <f>OBRA!N655</f>
        <v>0</v>
      </c>
      <c r="O653" s="597"/>
      <c r="P653" s="6">
        <f>OBRA!Q655</f>
        <v>0</v>
      </c>
      <c r="Q653" s="4">
        <f>OBRA!P655</f>
        <v>0</v>
      </c>
      <c r="R653" s="5">
        <f>OBRA!R655</f>
        <v>0</v>
      </c>
      <c r="S653" s="12">
        <f>OBRA!S655</f>
        <v>0</v>
      </c>
      <c r="T653" s="792"/>
      <c r="U653" s="223"/>
      <c r="V653" s="558"/>
      <c r="W653" s="559"/>
      <c r="X653" s="590">
        <f>OBRA!AP655</f>
        <v>0</v>
      </c>
      <c r="Y653" s="341"/>
      <c r="Z653" s="341"/>
      <c r="AA653" s="5"/>
      <c r="AB653" s="351">
        <f>OBRA!BT655</f>
        <v>0</v>
      </c>
      <c r="AC653" s="569"/>
      <c r="AD653" s="569"/>
    </row>
    <row r="654" spans="1:30" ht="15" hidden="1" customHeight="1">
      <c r="A654" s="23" t="s">
        <v>2239</v>
      </c>
      <c r="B654" s="933">
        <f>GRAL!B842</f>
        <v>0</v>
      </c>
      <c r="C654" s="17">
        <f>OBRA!I656</f>
        <v>2022</v>
      </c>
      <c r="D654" s="1676"/>
      <c r="E654" s="18" t="str">
        <f>OBRA!K656</f>
        <v>CEA-FISE</v>
      </c>
      <c r="F654" s="1374"/>
      <c r="G654" s="1300"/>
      <c r="H654" s="239"/>
      <c r="I654" s="1300"/>
      <c r="J654" s="56"/>
      <c r="K654" s="57"/>
      <c r="L654" s="20" t="str">
        <f>OBRA!L656</f>
        <v>CEA-FISE-003/2022</v>
      </c>
      <c r="M654" s="2" t="str">
        <f>OBRA!M656</f>
        <v>CONVENIOS</v>
      </c>
      <c r="N654" s="3" t="str">
        <f>OBRA!N656</f>
        <v xml:space="preserve">CONSTRUCCIÓN DE LÍNEA DE CONDUCCIÓN DE AGUA POTABLE DEL POZO ALLENDE AL TANQUE EXISTENTE Y LÍNEA DE DE CONEXIÓN A RED DE DISTRIBUCCIÓN DE AGUA POTABLE, EN LA CABECERA MUNICIPAL DE JOCOTEPEC, JALISCO". </v>
      </c>
      <c r="O654" s="597"/>
      <c r="P654" s="6">
        <f>OBRA!Q656</f>
        <v>44848</v>
      </c>
      <c r="Q654" s="4">
        <f>OBRA!P656</f>
        <v>4000000</v>
      </c>
      <c r="R654" s="5">
        <f>OBRA!R656</f>
        <v>45213</v>
      </c>
      <c r="S654" s="12">
        <f>OBRA!S656</f>
        <v>45565</v>
      </c>
      <c r="T654" s="792"/>
      <c r="U654" s="223"/>
      <c r="V654" s="558"/>
      <c r="W654" s="559"/>
      <c r="X654" s="590">
        <f>OBRA!AP656</f>
        <v>0</v>
      </c>
      <c r="Y654" s="341"/>
      <c r="Z654" s="341"/>
      <c r="AA654" s="5"/>
      <c r="AB654" s="351">
        <f>OBRA!BT656</f>
        <v>0</v>
      </c>
      <c r="AC654" s="569"/>
      <c r="AD654" s="569"/>
    </row>
    <row r="655" spans="1:30" ht="15" hidden="1" customHeight="1">
      <c r="A655" s="23" t="s">
        <v>2239</v>
      </c>
      <c r="B655" s="933">
        <f>GRAL!B843</f>
        <v>0</v>
      </c>
      <c r="C655" s="17">
        <f>OBRA!I657</f>
        <v>2022</v>
      </c>
      <c r="D655" s="1676"/>
      <c r="E655" s="18" t="str">
        <f>OBRA!K657</f>
        <v>CEA-FISE</v>
      </c>
      <c r="F655" s="1374"/>
      <c r="G655" s="1300"/>
      <c r="H655" s="239"/>
      <c r="I655" s="1300"/>
      <c r="J655" s="56"/>
      <c r="K655" s="57"/>
      <c r="L655" s="20" t="str">
        <f>OBRA!L657</f>
        <v>CEA-FISE-004/2022</v>
      </c>
      <c r="M655" s="2" t="str">
        <f>OBRA!M657</f>
        <v>CONVENIOS</v>
      </c>
      <c r="N655" s="3" t="str">
        <f>OBRA!N657</f>
        <v>CONSTRUCCIÓN DE COLECTOR PRINCIPAL Y CARCAMO DE BOMBEO, ENTRE CALLE VICENTE GUERRERO Y PLANTA DE TRATAMIENTO DE LA LOCALIDAD DE SAN CRISTÓBAL ZAPOTITLÁN, MUNICIPIO DE JOCOTEPEC, JALISCO.</v>
      </c>
      <c r="O655" s="597"/>
      <c r="P655" s="6">
        <f>OBRA!Q657</f>
        <v>44848</v>
      </c>
      <c r="Q655" s="4">
        <f>OBRA!P657</f>
        <v>4000000</v>
      </c>
      <c r="R655" s="5">
        <f>OBRA!R657</f>
        <v>44848</v>
      </c>
      <c r="S655" s="12">
        <f>OBRA!S657</f>
        <v>45565</v>
      </c>
      <c r="T655" s="792"/>
      <c r="U655" s="223"/>
      <c r="V655" s="558"/>
      <c r="W655" s="559"/>
      <c r="X655" s="590">
        <f>OBRA!AP657</f>
        <v>0</v>
      </c>
      <c r="Y655" s="341"/>
      <c r="Z655" s="341"/>
      <c r="AA655" s="5"/>
      <c r="AB655" s="351">
        <f>OBRA!BT657</f>
        <v>0</v>
      </c>
      <c r="AC655" s="569"/>
      <c r="AD655" s="569"/>
    </row>
    <row r="656" spans="1:30" ht="15" hidden="1" customHeight="1">
      <c r="A656" s="23" t="s">
        <v>2239</v>
      </c>
      <c r="B656" s="933">
        <f>GRAL!B844</f>
        <v>0</v>
      </c>
      <c r="C656" s="17">
        <f>OBRA!I658</f>
        <v>2023</v>
      </c>
      <c r="D656" s="1676"/>
      <c r="E656" s="18" t="str">
        <f>OBRA!K658</f>
        <v>FOCOCI</v>
      </c>
      <c r="F656" s="1374"/>
      <c r="G656" s="1300"/>
      <c r="H656" s="239"/>
      <c r="I656" s="1300"/>
      <c r="J656" s="56"/>
      <c r="K656" s="57"/>
      <c r="L656" s="20" t="str">
        <f>OBRA!L658</f>
        <v>CONV/FOCOCI/014/2023</v>
      </c>
      <c r="M656" s="2" t="str">
        <f>OBRA!M658</f>
        <v>CONVENIOS</v>
      </c>
      <c r="N656" s="3" t="str">
        <f>OBRA!N658</f>
        <v>PAVIMENTACIÓN CON EMPEDRADO ZAMPEADO, EN CALLE LA PAZ EN LA DELEGACIÓN DE SAN JUAN COSALÁ, MUNICIPIO DE JOCOTPEC, JALISCO</v>
      </c>
      <c r="O656" s="597"/>
      <c r="P656" s="6">
        <f>OBRA!Q658</f>
        <v>45086</v>
      </c>
      <c r="Q656" s="4">
        <f>OBRA!P658</f>
        <v>5000000</v>
      </c>
      <c r="R656" s="5">
        <f>OBRA!R658</f>
        <v>45086</v>
      </c>
      <c r="S656" s="12">
        <f>OBRA!S658</f>
        <v>45291</v>
      </c>
      <c r="T656" s="792"/>
      <c r="U656" s="223"/>
      <c r="V656" s="558"/>
      <c r="W656" s="559"/>
      <c r="X656" s="590">
        <f>OBRA!AP658</f>
        <v>0</v>
      </c>
      <c r="Y656" s="341"/>
      <c r="Z656" s="341"/>
      <c r="AA656" s="5"/>
      <c r="AB656" s="351">
        <f>OBRA!BT658</f>
        <v>0</v>
      </c>
      <c r="AC656" s="569"/>
      <c r="AD656" s="569"/>
    </row>
    <row r="657" spans="1:30" ht="15" hidden="1" customHeight="1">
      <c r="A657" s="23" t="s">
        <v>2239</v>
      </c>
      <c r="B657" s="933">
        <f>GRAL!B845</f>
        <v>0</v>
      </c>
      <c r="C657" s="17">
        <f>OBRA!I659</f>
        <v>2023</v>
      </c>
      <c r="D657" s="1676"/>
      <c r="E657" s="18" t="str">
        <f>OBRA!K659</f>
        <v>CEA-FISE</v>
      </c>
      <c r="F657" s="1374"/>
      <c r="G657" s="1300"/>
      <c r="H657" s="239"/>
      <c r="I657" s="1300"/>
      <c r="J657" s="56"/>
      <c r="K657" s="57"/>
      <c r="L657" s="20" t="str">
        <f>OBRA!L659</f>
        <v>CEA-IHAP-FISE-021/2023</v>
      </c>
      <c r="M657" s="2" t="str">
        <f>OBRA!M659</f>
        <v>CONVENIOS</v>
      </c>
      <c r="N657" s="3" t="str">
        <f>OBRA!N659</f>
        <v>PERFORACIÓN DE POZO PROFUNDO PARA LA EXTRACCIÓN DE AGUA POTABLE, UBICADO EN LA LOCALIDAD DE SAN JUAN COSALÁ MUNICIPIO DE JOCOTEPEC, JALISCO.</v>
      </c>
      <c r="O657" s="597"/>
      <c r="P657" s="6">
        <f>OBRA!Q659</f>
        <v>45153</v>
      </c>
      <c r="Q657" s="4">
        <f>OBRA!P659</f>
        <v>4000000</v>
      </c>
      <c r="R657" s="5">
        <f>OBRA!R659</f>
        <v>45153</v>
      </c>
      <c r="S657" s="12">
        <f>OBRA!S659</f>
        <v>45565</v>
      </c>
      <c r="T657" s="792"/>
      <c r="U657" s="223"/>
      <c r="V657" s="558"/>
      <c r="W657" s="559"/>
      <c r="X657" s="590">
        <f>OBRA!AP659</f>
        <v>0</v>
      </c>
      <c r="Y657" s="341"/>
      <c r="Z657" s="341"/>
      <c r="AA657" s="5"/>
      <c r="AB657" s="351">
        <f>OBRA!BT659</f>
        <v>0</v>
      </c>
      <c r="AC657" s="569"/>
      <c r="AD657" s="569"/>
    </row>
    <row r="658" spans="1:30" ht="15" hidden="1" customHeight="1">
      <c r="A658" s="23" t="s">
        <v>2239</v>
      </c>
      <c r="B658" s="933">
        <f>GRAL!B846</f>
        <v>0</v>
      </c>
      <c r="C658" s="17">
        <f>OBRA!I660</f>
        <v>2023</v>
      </c>
      <c r="D658" s="1676"/>
      <c r="E658" s="18" t="str">
        <f>OBRA!K660</f>
        <v>CEA-FISE</v>
      </c>
      <c r="F658" s="1374"/>
      <c r="G658" s="1300"/>
      <c r="H658" s="239"/>
      <c r="I658" s="1300"/>
      <c r="J658" s="56"/>
      <c r="K658" s="57"/>
      <c r="L658" s="20" t="str">
        <f>OBRA!L660</f>
        <v>CEA-IHAP-FISE-022/2023</v>
      </c>
      <c r="M658" s="2" t="str">
        <f>OBRA!M660</f>
        <v>CONVENIOS</v>
      </c>
      <c r="N658" s="3" t="str">
        <f>OBRA!N660</f>
        <v>PERFORACIÓN DE POZO PROFUNDO PARA LA EXTRACCIÓN DE AGUA POTABLE, UBICADO EN LA CABECERA MUNICIPAL DE JOCOTEPEC, JALISCO.</v>
      </c>
      <c r="O658" s="597"/>
      <c r="P658" s="6">
        <f>OBRA!Q660</f>
        <v>45153</v>
      </c>
      <c r="Q658" s="4">
        <f>OBRA!P660</f>
        <v>4000000</v>
      </c>
      <c r="R658" s="5">
        <f>OBRA!R660</f>
        <v>45153</v>
      </c>
      <c r="S658" s="12">
        <f>OBRA!S660</f>
        <v>45565</v>
      </c>
      <c r="T658" s="792"/>
      <c r="U658" s="223"/>
      <c r="V658" s="558"/>
      <c r="W658" s="559"/>
      <c r="X658" s="590">
        <f>OBRA!AP660</f>
        <v>0</v>
      </c>
      <c r="Y658" s="341"/>
      <c r="Z658" s="341"/>
      <c r="AA658" s="5"/>
      <c r="AB658" s="351">
        <f>OBRA!BT660</f>
        <v>0</v>
      </c>
      <c r="AC658" s="569"/>
      <c r="AD658" s="569"/>
    </row>
    <row r="659" spans="1:30" ht="15" hidden="1" customHeight="1">
      <c r="A659" s="23" t="s">
        <v>2239</v>
      </c>
      <c r="B659" s="933">
        <f>GRAL!B847</f>
        <v>0</v>
      </c>
      <c r="C659" s="17">
        <f>OBRA!I661</f>
        <v>2023</v>
      </c>
      <c r="D659" s="1676"/>
      <c r="E659" s="18" t="str">
        <f>OBRA!K661</f>
        <v>CUENTA CORRIENTE</v>
      </c>
      <c r="F659" s="1374"/>
      <c r="G659" s="1300"/>
      <c r="H659" s="239"/>
      <c r="I659" s="1300"/>
      <c r="J659" s="56"/>
      <c r="K659" s="57"/>
      <c r="L659" s="20"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97"/>
      <c r="P659" s="6">
        <f>OBRA!Q661</f>
        <v>44928</v>
      </c>
      <c r="Q659" s="4">
        <f>OBRA!P661</f>
        <v>17400</v>
      </c>
      <c r="R659" s="5">
        <f>OBRA!R661</f>
        <v>44929</v>
      </c>
      <c r="S659" s="12">
        <f>OBRA!S661</f>
        <v>44931</v>
      </c>
      <c r="T659" s="792"/>
      <c r="U659" s="223"/>
      <c r="V659" s="558"/>
      <c r="W659" s="559"/>
      <c r="X659" s="590">
        <f>OBRA!AP661</f>
        <v>0</v>
      </c>
      <c r="Y659" s="341"/>
      <c r="Z659" s="341"/>
      <c r="AA659" s="5"/>
      <c r="AB659" s="351">
        <f>OBRA!BT661</f>
        <v>0</v>
      </c>
      <c r="AC659" s="569"/>
      <c r="AD659" s="569"/>
    </row>
    <row r="660" spans="1:30" ht="15" hidden="1" customHeight="1">
      <c r="A660" s="23" t="s">
        <v>2239</v>
      </c>
      <c r="B660" s="933">
        <f>GRAL!B848</f>
        <v>0</v>
      </c>
      <c r="C660" s="17">
        <f>OBRA!I662</f>
        <v>2023</v>
      </c>
      <c r="D660" s="1676"/>
      <c r="E660" s="18" t="str">
        <f>OBRA!K662</f>
        <v>CUENTA CORRIENTE</v>
      </c>
      <c r="F660" s="1374"/>
      <c r="G660" s="1300"/>
      <c r="H660" s="239"/>
      <c r="I660" s="1300"/>
      <c r="J660" s="56"/>
      <c r="K660" s="57"/>
      <c r="L660" s="20"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97"/>
      <c r="P660" s="6">
        <f>OBRA!Q662</f>
        <v>44928</v>
      </c>
      <c r="Q660" s="4">
        <f>OBRA!P662</f>
        <v>17400</v>
      </c>
      <c r="R660" s="5">
        <f>OBRA!R662</f>
        <v>44931</v>
      </c>
      <c r="S660" s="12">
        <f>OBRA!S662</f>
        <v>44932</v>
      </c>
      <c r="T660" s="792"/>
      <c r="U660" s="223"/>
      <c r="V660" s="558"/>
      <c r="W660" s="559"/>
      <c r="X660" s="590">
        <f>OBRA!AP662</f>
        <v>0</v>
      </c>
      <c r="Y660" s="341"/>
      <c r="Z660" s="341"/>
      <c r="AA660" s="5"/>
      <c r="AB660" s="351">
        <f>OBRA!BT662</f>
        <v>0</v>
      </c>
      <c r="AC660" s="569"/>
      <c r="AD660" s="569"/>
    </row>
    <row r="661" spans="1:30" ht="15" hidden="1" customHeight="1">
      <c r="A661" s="23" t="s">
        <v>2239</v>
      </c>
      <c r="B661" s="933">
        <f>GRAL!B849</f>
        <v>0</v>
      </c>
      <c r="C661" s="17">
        <f>OBRA!I663</f>
        <v>2023</v>
      </c>
      <c r="D661" s="1676"/>
      <c r="E661" s="18" t="str">
        <f>OBRA!K663</f>
        <v>CUENTA CORRIENTE</v>
      </c>
      <c r="F661" s="1374"/>
      <c r="G661" s="1300"/>
      <c r="H661" s="239"/>
      <c r="I661" s="1300"/>
      <c r="J661" s="56"/>
      <c r="K661" s="57"/>
      <c r="L661" s="20"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97"/>
      <c r="P661" s="6">
        <f>OBRA!Q663</f>
        <v>44928</v>
      </c>
      <c r="Q661" s="4">
        <f>OBRA!P663</f>
        <v>17400</v>
      </c>
      <c r="R661" s="5">
        <f>OBRA!R663</f>
        <v>0</v>
      </c>
      <c r="S661" s="12">
        <f>OBRA!S663</f>
        <v>0</v>
      </c>
      <c r="T661" s="792"/>
      <c r="U661" s="223"/>
      <c r="V661" s="558"/>
      <c r="W661" s="559"/>
      <c r="X661" s="590">
        <f>OBRA!AP663</f>
        <v>0</v>
      </c>
      <c r="Y661" s="341"/>
      <c r="Z661" s="341"/>
      <c r="AA661" s="5"/>
      <c r="AB661" s="351">
        <f>OBRA!BT663</f>
        <v>0</v>
      </c>
      <c r="AC661" s="569"/>
      <c r="AD661" s="569"/>
    </row>
    <row r="662" spans="1:30" ht="15" hidden="1" customHeight="1">
      <c r="A662" s="23" t="s">
        <v>2239</v>
      </c>
      <c r="B662" s="933">
        <f>GRAL!B850</f>
        <v>0</v>
      </c>
      <c r="C662" s="17">
        <f>OBRA!I664</f>
        <v>2023</v>
      </c>
      <c r="D662" s="1676"/>
      <c r="E662" s="18" t="str">
        <f>OBRA!K664</f>
        <v>CUENTA CORRIENTE</v>
      </c>
      <c r="F662" s="1374"/>
      <c r="G662" s="1300"/>
      <c r="H662" s="239"/>
      <c r="I662" s="1300"/>
      <c r="J662" s="56"/>
      <c r="K662" s="57"/>
      <c r="L662" s="20"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97"/>
      <c r="P662" s="6">
        <f>OBRA!Q664</f>
        <v>44953</v>
      </c>
      <c r="Q662" s="4">
        <f>OBRA!P664</f>
        <v>25520</v>
      </c>
      <c r="R662" s="5">
        <f>OBRA!R664</f>
        <v>44958</v>
      </c>
      <c r="S662" s="12">
        <f>OBRA!S664</f>
        <v>44960</v>
      </c>
      <c r="T662" s="792"/>
      <c r="U662" s="223"/>
      <c r="V662" s="558"/>
      <c r="W662" s="559"/>
      <c r="X662" s="590">
        <f>OBRA!AP664</f>
        <v>0</v>
      </c>
      <c r="Y662" s="341"/>
      <c r="Z662" s="341"/>
      <c r="AA662" s="5"/>
      <c r="AB662" s="351">
        <f>OBRA!BT664</f>
        <v>0</v>
      </c>
      <c r="AC662" s="569"/>
      <c r="AD662" s="569"/>
    </row>
    <row r="663" spans="1:30" ht="15" hidden="1" customHeight="1">
      <c r="A663" s="23" t="s">
        <v>2239</v>
      </c>
      <c r="B663" s="933">
        <f>GRAL!B851</f>
        <v>0</v>
      </c>
      <c r="C663" s="17">
        <f>OBRA!I665</f>
        <v>2023</v>
      </c>
      <c r="D663" s="1676"/>
      <c r="E663" s="18" t="str">
        <f>OBRA!K665</f>
        <v>CUENTA CORRIENTE</v>
      </c>
      <c r="F663" s="1374"/>
      <c r="G663" s="1300"/>
      <c r="H663" s="239"/>
      <c r="I663" s="1300"/>
      <c r="J663" s="56"/>
      <c r="K663" s="57"/>
      <c r="L663" s="20"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97"/>
      <c r="P663" s="6">
        <f>OBRA!Q665</f>
        <v>44953</v>
      </c>
      <c r="Q663" s="4">
        <f>OBRA!P665</f>
        <v>17400</v>
      </c>
      <c r="R663" s="5">
        <f>OBRA!R665</f>
        <v>44960</v>
      </c>
      <c r="S663" s="12">
        <f>OBRA!S665</f>
        <v>44962</v>
      </c>
      <c r="T663" s="792"/>
      <c r="U663" s="223"/>
      <c r="V663" s="558"/>
      <c r="W663" s="559"/>
      <c r="X663" s="590">
        <f>OBRA!AP665</f>
        <v>0</v>
      </c>
      <c r="Y663" s="341"/>
      <c r="Z663" s="341"/>
      <c r="AA663" s="5"/>
      <c r="AB663" s="351">
        <f>OBRA!BT665</f>
        <v>0</v>
      </c>
      <c r="AC663" s="569"/>
      <c r="AD663" s="569"/>
    </row>
    <row r="664" spans="1:30" ht="15" hidden="1" customHeight="1">
      <c r="A664" s="23" t="s">
        <v>2239</v>
      </c>
      <c r="B664" s="933">
        <f>GRAL!B852</f>
        <v>0</v>
      </c>
      <c r="C664" s="17">
        <f>OBRA!I666</f>
        <v>2023</v>
      </c>
      <c r="D664" s="1676"/>
      <c r="E664" s="18" t="str">
        <f>OBRA!K666</f>
        <v>CUENTA CORRIENTE</v>
      </c>
      <c r="F664" s="1374"/>
      <c r="G664" s="1300"/>
      <c r="H664" s="239"/>
      <c r="I664" s="1300"/>
      <c r="J664" s="56"/>
      <c r="K664" s="57"/>
      <c r="L664" s="20"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97"/>
      <c r="P664" s="6">
        <f>OBRA!Q666</f>
        <v>44929</v>
      </c>
      <c r="Q664" s="4">
        <f>OBRA!P666</f>
        <v>3500</v>
      </c>
      <c r="R664" s="5">
        <f>OBRA!R666</f>
        <v>44931</v>
      </c>
      <c r="S664" s="12">
        <f>OBRA!S666</f>
        <v>44931</v>
      </c>
      <c r="T664" s="792"/>
      <c r="U664" s="223"/>
      <c r="V664" s="558"/>
      <c r="W664" s="559"/>
      <c r="X664" s="590">
        <f>OBRA!AP666</f>
        <v>0</v>
      </c>
      <c r="Y664" s="341"/>
      <c r="Z664" s="341"/>
      <c r="AA664" s="5"/>
      <c r="AB664" s="351">
        <f>OBRA!BT666</f>
        <v>0</v>
      </c>
      <c r="AC664" s="569"/>
      <c r="AD664" s="569"/>
    </row>
    <row r="665" spans="1:30" ht="15" hidden="1" customHeight="1">
      <c r="A665" s="23" t="s">
        <v>2239</v>
      </c>
      <c r="B665" s="933">
        <f>GRAL!B853</f>
        <v>0</v>
      </c>
      <c r="C665" s="17">
        <f>OBRA!I667</f>
        <v>2023</v>
      </c>
      <c r="D665" s="1676"/>
      <c r="E665" s="18" t="str">
        <f>OBRA!K667</f>
        <v>CUENTA CORRIENTE</v>
      </c>
      <c r="F665" s="1374"/>
      <c r="G665" s="1300"/>
      <c r="H665" s="239"/>
      <c r="I665" s="1300"/>
      <c r="J665" s="56"/>
      <c r="K665" s="57"/>
      <c r="L665" s="20"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97"/>
      <c r="P665" s="6">
        <f>OBRA!Q667</f>
        <v>44970</v>
      </c>
      <c r="Q665" s="4">
        <f>OBRA!P667</f>
        <v>3500</v>
      </c>
      <c r="R665" s="5">
        <f>OBRA!R667</f>
        <v>44972</v>
      </c>
      <c r="S665" s="12">
        <f>OBRA!S667</f>
        <v>44972</v>
      </c>
      <c r="T665" s="792"/>
      <c r="U665" s="223"/>
      <c r="V665" s="558"/>
      <c r="W665" s="559"/>
      <c r="X665" s="590">
        <f>OBRA!AP667</f>
        <v>0</v>
      </c>
      <c r="Y665" s="341"/>
      <c r="Z665" s="341"/>
      <c r="AA665" s="5"/>
      <c r="AB665" s="351">
        <f>OBRA!BT667</f>
        <v>0</v>
      </c>
      <c r="AC665" s="569"/>
      <c r="AD665" s="569"/>
    </row>
    <row r="666" spans="1:30" ht="15" hidden="1" customHeight="1">
      <c r="A666" s="23" t="s">
        <v>2239</v>
      </c>
      <c r="B666" s="933">
        <f>GRAL!B854</f>
        <v>0</v>
      </c>
      <c r="C666" s="17">
        <f>OBRA!I668</f>
        <v>2023</v>
      </c>
      <c r="D666" s="1676"/>
      <c r="E666" s="18" t="str">
        <f>OBRA!K668</f>
        <v>CUENTA CORRIENTE</v>
      </c>
      <c r="F666" s="1374"/>
      <c r="G666" s="1300"/>
      <c r="H666" s="239"/>
      <c r="I666" s="1300"/>
      <c r="J666" s="56"/>
      <c r="K666" s="57"/>
      <c r="L666" s="20"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97"/>
      <c r="P666" s="6">
        <f>OBRA!Q668</f>
        <v>44978</v>
      </c>
      <c r="Q666" s="4">
        <f>OBRA!P668</f>
        <v>22272</v>
      </c>
      <c r="R666" s="5">
        <f>OBRA!R668</f>
        <v>44979</v>
      </c>
      <c r="S666" s="12">
        <f>OBRA!S668</f>
        <v>44979</v>
      </c>
      <c r="T666" s="792"/>
      <c r="U666" s="223"/>
      <c r="V666" s="558"/>
      <c r="W666" s="559"/>
      <c r="X666" s="590">
        <f>OBRA!AP668</f>
        <v>0</v>
      </c>
      <c r="Y666" s="341"/>
      <c r="Z666" s="341"/>
      <c r="AA666" s="5"/>
      <c r="AB666" s="351">
        <f>OBRA!BT668</f>
        <v>0</v>
      </c>
      <c r="AC666" s="569"/>
      <c r="AD666" s="569"/>
    </row>
    <row r="667" spans="1:30" ht="15" hidden="1" customHeight="1">
      <c r="A667" s="23" t="s">
        <v>2239</v>
      </c>
      <c r="B667" s="933">
        <f>GRAL!B855</f>
        <v>0</v>
      </c>
      <c r="C667" s="17">
        <f>OBRA!I669</f>
        <v>2023</v>
      </c>
      <c r="D667" s="1676"/>
      <c r="E667" s="18" t="str">
        <f>OBRA!K669</f>
        <v>CUENTA CORRIENTE</v>
      </c>
      <c r="F667" s="1374"/>
      <c r="G667" s="1300"/>
      <c r="H667" s="239"/>
      <c r="I667" s="1300"/>
      <c r="J667" s="56"/>
      <c r="K667" s="57"/>
      <c r="L667" s="20"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97"/>
      <c r="P667" s="6">
        <f>OBRA!Q669</f>
        <v>45007</v>
      </c>
      <c r="Q667" s="4">
        <f>OBRA!P669</f>
        <v>20880</v>
      </c>
      <c r="R667" s="5">
        <f>OBRA!R669</f>
        <v>45009</v>
      </c>
      <c r="S667" s="12">
        <f>OBRA!S669</f>
        <v>45016</v>
      </c>
      <c r="T667" s="792"/>
      <c r="U667" s="223"/>
      <c r="V667" s="558"/>
      <c r="W667" s="559"/>
      <c r="X667" s="590">
        <f>OBRA!AP669</f>
        <v>0</v>
      </c>
      <c r="Y667" s="341"/>
      <c r="Z667" s="341"/>
      <c r="AA667" s="5"/>
      <c r="AB667" s="351">
        <f>OBRA!BT669</f>
        <v>0</v>
      </c>
      <c r="AC667" s="569"/>
      <c r="AD667" s="569"/>
    </row>
    <row r="668" spans="1:30" ht="15" hidden="1" customHeight="1">
      <c r="A668" s="23" t="s">
        <v>2239</v>
      </c>
      <c r="B668" s="933">
        <f>GRAL!B856</f>
        <v>0</v>
      </c>
      <c r="C668" s="17">
        <f>OBRA!I670</f>
        <v>2023</v>
      </c>
      <c r="D668" s="1676"/>
      <c r="E668" s="18" t="str">
        <f>OBRA!K670</f>
        <v>CUENTA CORRIENTE</v>
      </c>
      <c r="F668" s="1374"/>
      <c r="G668" s="1300"/>
      <c r="H668" s="239"/>
      <c r="I668" s="1300"/>
      <c r="J668" s="56"/>
      <c r="K668" s="57"/>
      <c r="L668" s="20"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97"/>
      <c r="P668" s="6">
        <f>OBRA!Q670</f>
        <v>45009</v>
      </c>
      <c r="Q668" s="4">
        <f>OBRA!P670</f>
        <v>27839.999999999996</v>
      </c>
      <c r="R668" s="5">
        <f>OBRA!R670</f>
        <v>45013</v>
      </c>
      <c r="S668" s="12">
        <f>OBRA!S670</f>
        <v>45016</v>
      </c>
      <c r="T668" s="792"/>
      <c r="U668" s="223"/>
      <c r="V668" s="558"/>
      <c r="W668" s="559"/>
      <c r="X668" s="590">
        <f>OBRA!AP670</f>
        <v>0</v>
      </c>
      <c r="Y668" s="341"/>
      <c r="Z668" s="341"/>
      <c r="AA668" s="5"/>
      <c r="AB668" s="351">
        <f>OBRA!BT670</f>
        <v>0</v>
      </c>
      <c r="AC668" s="569"/>
      <c r="AD668" s="569"/>
    </row>
    <row r="669" spans="1:30" ht="15" hidden="1" customHeight="1">
      <c r="A669" s="23" t="s">
        <v>2239</v>
      </c>
      <c r="B669" s="933">
        <f>GRAL!B858</f>
        <v>0</v>
      </c>
      <c r="C669" s="17">
        <f>OBRA!I671</f>
        <v>2023</v>
      </c>
      <c r="D669" s="1676"/>
      <c r="E669" s="18" t="str">
        <f>OBRA!K671</f>
        <v>CUENTA CORRIENTE</v>
      </c>
      <c r="F669" s="1374"/>
      <c r="G669" s="1300"/>
      <c r="H669" s="239"/>
      <c r="I669" s="1300"/>
      <c r="J669" s="56"/>
      <c r="K669" s="57"/>
      <c r="L669" s="20"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97"/>
      <c r="P669" s="6">
        <f>OBRA!Q671</f>
        <v>44988</v>
      </c>
      <c r="Q669" s="4">
        <f>OBRA!P671</f>
        <v>18560</v>
      </c>
      <c r="R669" s="5">
        <f>OBRA!R671</f>
        <v>44991</v>
      </c>
      <c r="S669" s="12">
        <f>OBRA!S671</f>
        <v>44995</v>
      </c>
      <c r="T669" s="792"/>
      <c r="U669" s="223"/>
      <c r="V669" s="558"/>
      <c r="W669" s="559"/>
      <c r="X669" s="590">
        <f>OBRA!AP671</f>
        <v>0</v>
      </c>
      <c r="Y669" s="341"/>
      <c r="Z669" s="341"/>
      <c r="AA669" s="5"/>
      <c r="AB669" s="351">
        <f>OBRA!BT671</f>
        <v>0</v>
      </c>
      <c r="AC669" s="569"/>
      <c r="AD669" s="569"/>
    </row>
    <row r="670" spans="1:30" ht="15" hidden="1" customHeight="1">
      <c r="A670" s="23" t="s">
        <v>2239</v>
      </c>
      <c r="B670" s="933">
        <f>GRAL!B859</f>
        <v>0</v>
      </c>
      <c r="C670" s="17">
        <f>OBRA!I672</f>
        <v>2023</v>
      </c>
      <c r="D670" s="1676"/>
      <c r="E670" s="18" t="str">
        <f>OBRA!K672</f>
        <v>CUENTA CORRIENTE</v>
      </c>
      <c r="F670" s="1374"/>
      <c r="G670" s="1300"/>
      <c r="H670" s="239"/>
      <c r="I670" s="1300"/>
      <c r="J670" s="56"/>
      <c r="K670" s="57"/>
      <c r="L670" s="20"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97"/>
      <c r="P670" s="6">
        <f>OBRA!Q672</f>
        <v>44995</v>
      </c>
      <c r="Q670" s="4">
        <f>OBRA!P672</f>
        <v>18560</v>
      </c>
      <c r="R670" s="5">
        <f>OBRA!R672</f>
        <v>44998</v>
      </c>
      <c r="S670" s="12">
        <f>OBRA!S672</f>
        <v>45002</v>
      </c>
      <c r="T670" s="792"/>
      <c r="U670" s="223"/>
      <c r="V670" s="558"/>
      <c r="W670" s="559"/>
      <c r="X670" s="590">
        <f>OBRA!AP672</f>
        <v>0</v>
      </c>
      <c r="Y670" s="341"/>
      <c r="Z670" s="341"/>
      <c r="AA670" s="5"/>
      <c r="AB670" s="351">
        <f>OBRA!BT672</f>
        <v>0</v>
      </c>
      <c r="AC670" s="569"/>
      <c r="AD670" s="569"/>
    </row>
    <row r="671" spans="1:30" ht="15" hidden="1" customHeight="1">
      <c r="A671" s="23" t="s">
        <v>2239</v>
      </c>
      <c r="B671" s="933">
        <f>GRAL!B860</f>
        <v>0</v>
      </c>
      <c r="C671" s="17">
        <f>OBRA!I673</f>
        <v>2023</v>
      </c>
      <c r="D671" s="1676"/>
      <c r="E671" s="18" t="str">
        <f>OBRA!K673</f>
        <v>CUENTA CORRIENTE</v>
      </c>
      <c r="F671" s="1374"/>
      <c r="G671" s="1300"/>
      <c r="H671" s="239"/>
      <c r="I671" s="1300"/>
      <c r="J671" s="56"/>
      <c r="K671" s="57"/>
      <c r="L671" s="20"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97"/>
      <c r="P671" s="6">
        <f>OBRA!Q673</f>
        <v>45002</v>
      </c>
      <c r="Q671" s="4">
        <f>OBRA!P673</f>
        <v>18560</v>
      </c>
      <c r="R671" s="5">
        <f>OBRA!R673</f>
        <v>45005</v>
      </c>
      <c r="S671" s="12">
        <f>OBRA!S673</f>
        <v>45009</v>
      </c>
      <c r="T671" s="792"/>
      <c r="U671" s="223"/>
      <c r="V671" s="558"/>
      <c r="W671" s="559"/>
      <c r="X671" s="590">
        <f>OBRA!AP673</f>
        <v>0</v>
      </c>
      <c r="Y671" s="341"/>
      <c r="Z671" s="341"/>
      <c r="AA671" s="5"/>
      <c r="AB671" s="351">
        <f>OBRA!BT673</f>
        <v>0</v>
      </c>
      <c r="AC671" s="569"/>
      <c r="AD671" s="569"/>
    </row>
    <row r="672" spans="1:30" ht="15" hidden="1" customHeight="1">
      <c r="A672" s="23" t="s">
        <v>2239</v>
      </c>
      <c r="B672" s="933">
        <f>GRAL!B861</f>
        <v>0</v>
      </c>
      <c r="C672" s="17">
        <f>OBRA!I674</f>
        <v>2023</v>
      </c>
      <c r="D672" s="1676"/>
      <c r="E672" s="18" t="str">
        <f>OBRA!K674</f>
        <v>CUENTA CORRIENTE</v>
      </c>
      <c r="F672" s="1374"/>
      <c r="G672" s="1300"/>
      <c r="H672" s="239"/>
      <c r="I672" s="1300"/>
      <c r="J672" s="56"/>
      <c r="K672" s="57"/>
      <c r="L672" s="20"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97"/>
      <c r="P672" s="6">
        <f>OBRA!Q674</f>
        <v>45001</v>
      </c>
      <c r="Q672" s="4">
        <f>OBRA!P674</f>
        <v>18560</v>
      </c>
      <c r="R672" s="5">
        <f>OBRA!R674</f>
        <v>45005</v>
      </c>
      <c r="S672" s="12">
        <f>OBRA!S674</f>
        <v>45009</v>
      </c>
      <c r="T672" s="792"/>
      <c r="U672" s="223"/>
      <c r="V672" s="558"/>
      <c r="W672" s="559"/>
      <c r="X672" s="590">
        <f>OBRA!AP674</f>
        <v>0</v>
      </c>
      <c r="Y672" s="341"/>
      <c r="Z672" s="341"/>
      <c r="AA672" s="5"/>
      <c r="AB672" s="351">
        <f>OBRA!BT674</f>
        <v>0</v>
      </c>
      <c r="AC672" s="569"/>
      <c r="AD672" s="569"/>
    </row>
    <row r="673" spans="1:30" ht="15" hidden="1" customHeight="1">
      <c r="A673" s="23" t="s">
        <v>2239</v>
      </c>
      <c r="B673" s="933">
        <f>GRAL!B862</f>
        <v>0</v>
      </c>
      <c r="C673" s="17">
        <f>OBRA!I675</f>
        <v>2023</v>
      </c>
      <c r="D673" s="1676"/>
      <c r="E673" s="18" t="str">
        <f>OBRA!K675</f>
        <v>CUENTA CORRIENTE</v>
      </c>
      <c r="F673" s="1374"/>
      <c r="G673" s="1300"/>
      <c r="H673" s="239"/>
      <c r="I673" s="1300"/>
      <c r="J673" s="56"/>
      <c r="K673" s="57"/>
      <c r="L673" s="20"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97"/>
      <c r="P673" s="6">
        <f>OBRA!Q675</f>
        <v>45005</v>
      </c>
      <c r="Q673" s="4">
        <f>OBRA!P675</f>
        <v>11600</v>
      </c>
      <c r="R673" s="5">
        <f>OBRA!R675</f>
        <v>45012</v>
      </c>
      <c r="S673" s="12">
        <f>OBRA!S675</f>
        <v>45016</v>
      </c>
      <c r="T673" s="792"/>
      <c r="U673" s="223"/>
      <c r="V673" s="558"/>
      <c r="W673" s="559"/>
      <c r="X673" s="590">
        <f>OBRA!AP675</f>
        <v>0</v>
      </c>
      <c r="Y673" s="341"/>
      <c r="Z673" s="341"/>
      <c r="AA673" s="5"/>
      <c r="AB673" s="351">
        <f>OBRA!BT675</f>
        <v>0</v>
      </c>
      <c r="AC673" s="569"/>
      <c r="AD673" s="569"/>
    </row>
    <row r="674" spans="1:30" ht="15" hidden="1" customHeight="1">
      <c r="A674" s="23" t="s">
        <v>2239</v>
      </c>
      <c r="B674" s="933">
        <f>GRAL!B863</f>
        <v>0</v>
      </c>
      <c r="C674" s="17">
        <f>OBRA!I676</f>
        <v>2023</v>
      </c>
      <c r="D674" s="1676"/>
      <c r="E674" s="18" t="str">
        <f>OBRA!K676</f>
        <v>CUENTA CORRIENTE</v>
      </c>
      <c r="F674" s="1374"/>
      <c r="G674" s="1300"/>
      <c r="H674" s="239"/>
      <c r="I674" s="1300"/>
      <c r="J674" s="56"/>
      <c r="K674" s="57"/>
      <c r="L674" s="20"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97"/>
      <c r="P674" s="6">
        <f>OBRA!Q680</f>
        <v>45118</v>
      </c>
      <c r="Q674" s="4">
        <f>OBRA!P680</f>
        <v>96447.573600000003</v>
      </c>
      <c r="R674" s="5">
        <f>OBRA!R680</f>
        <v>45120</v>
      </c>
      <c r="S674" s="12">
        <f>OBRA!S680</f>
        <v>45129</v>
      </c>
      <c r="T674" s="792"/>
      <c r="U674" s="223"/>
      <c r="V674" s="558"/>
      <c r="W674" s="559"/>
      <c r="X674" s="590">
        <f>OBRA!AP676</f>
        <v>0</v>
      </c>
      <c r="Y674" s="341"/>
      <c r="Z674" s="341"/>
      <c r="AA674" s="5"/>
      <c r="AB674" s="351">
        <f>OBRA!BT676</f>
        <v>0</v>
      </c>
      <c r="AC674" s="569"/>
      <c r="AD674" s="569"/>
    </row>
    <row r="675" spans="1:30" ht="15" hidden="1" customHeight="1">
      <c r="A675" s="23" t="s">
        <v>2239</v>
      </c>
      <c r="B675" s="933">
        <f>GRAL!B864</f>
        <v>0</v>
      </c>
      <c r="C675" s="17">
        <f>OBRA!I677</f>
        <v>2023</v>
      </c>
      <c r="D675" s="1676"/>
      <c r="E675" s="18" t="str">
        <f>OBRA!K677</f>
        <v>CUENTA CORRIENTE</v>
      </c>
      <c r="F675" s="1374"/>
      <c r="G675" s="1300"/>
      <c r="H675" s="239"/>
      <c r="I675" s="1300"/>
      <c r="J675" s="56"/>
      <c r="K675" s="57"/>
      <c r="L675" s="20"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97"/>
      <c r="P675" s="6">
        <f>OBRA!Q677</f>
        <v>45065</v>
      </c>
      <c r="Q675" s="4">
        <f>OBRA!P677</f>
        <v>23200</v>
      </c>
      <c r="R675" s="5">
        <f>OBRA!R677</f>
        <v>45068</v>
      </c>
      <c r="S675" s="12">
        <f>OBRA!S677</f>
        <v>45070</v>
      </c>
      <c r="T675" s="792"/>
      <c r="U675" s="223"/>
      <c r="V675" s="558"/>
      <c r="W675" s="559"/>
      <c r="X675" s="590">
        <f>OBRA!AP677</f>
        <v>0</v>
      </c>
      <c r="Y675" s="341"/>
      <c r="Z675" s="341"/>
      <c r="AA675" s="5"/>
      <c r="AB675" s="351">
        <f>OBRA!BT677</f>
        <v>0</v>
      </c>
      <c r="AC675" s="569"/>
      <c r="AD675" s="569"/>
    </row>
    <row r="676" spans="1:30" ht="15" hidden="1" customHeight="1">
      <c r="A676" s="23" t="s">
        <v>2239</v>
      </c>
      <c r="B676" s="933">
        <f>GRAL!B865</f>
        <v>0</v>
      </c>
      <c r="C676" s="17">
        <f>OBRA!I678</f>
        <v>2023</v>
      </c>
      <c r="D676" s="1676"/>
      <c r="E676" s="18" t="str">
        <f>OBRA!K678</f>
        <v>CUENTA CORRIENTE</v>
      </c>
      <c r="F676" s="1374"/>
      <c r="G676" s="1300"/>
      <c r="H676" s="239"/>
      <c r="I676" s="1300"/>
      <c r="J676" s="56"/>
      <c r="K676" s="57"/>
      <c r="L676" s="20"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97"/>
      <c r="P676" s="6">
        <f>OBRA!Q678</f>
        <v>45069</v>
      </c>
      <c r="Q676" s="4">
        <f>OBRA!P678</f>
        <v>23200</v>
      </c>
      <c r="R676" s="5">
        <f>OBRA!R678</f>
        <v>45071</v>
      </c>
      <c r="S676" s="12">
        <f>OBRA!S678</f>
        <v>45072</v>
      </c>
      <c r="T676" s="792"/>
      <c r="U676" s="223"/>
      <c r="V676" s="558"/>
      <c r="W676" s="559"/>
      <c r="X676" s="590">
        <f>OBRA!AP678</f>
        <v>0</v>
      </c>
      <c r="Y676" s="341"/>
      <c r="Z676" s="341"/>
      <c r="AA676" s="5"/>
      <c r="AB676" s="351">
        <f>OBRA!BT678</f>
        <v>0</v>
      </c>
      <c r="AC676" s="569"/>
      <c r="AD676" s="569"/>
    </row>
    <row r="677" spans="1:30" ht="15" hidden="1" customHeight="1">
      <c r="A677" s="23" t="s">
        <v>2239</v>
      </c>
      <c r="B677" s="933">
        <f>GRAL!B866</f>
        <v>0</v>
      </c>
      <c r="C677" s="17">
        <f>OBRA!I679</f>
        <v>2023</v>
      </c>
      <c r="D677" s="1676"/>
      <c r="E677" s="18" t="str">
        <f>OBRA!K679</f>
        <v>CUENTA CORRIENTE</v>
      </c>
      <c r="F677" s="1374"/>
      <c r="G677" s="1300"/>
      <c r="H677" s="239"/>
      <c r="I677" s="1300"/>
      <c r="J677" s="56"/>
      <c r="K677" s="57"/>
      <c r="L677" s="20"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97"/>
      <c r="P677" s="6">
        <f>OBRA!Q679</f>
        <v>45099</v>
      </c>
      <c r="Q677" s="4">
        <f>OBRA!P679</f>
        <v>5999.9955999999993</v>
      </c>
      <c r="R677" s="5">
        <f>OBRA!R679</f>
        <v>45099</v>
      </c>
      <c r="S677" s="12">
        <f>OBRA!S679</f>
        <v>45103</v>
      </c>
      <c r="T677" s="792"/>
      <c r="U677" s="223"/>
      <c r="V677" s="558"/>
      <c r="W677" s="559"/>
      <c r="X677" s="590">
        <f>OBRA!AP679</f>
        <v>0</v>
      </c>
      <c r="Y677" s="341"/>
      <c r="Z677" s="341"/>
      <c r="AA677" s="5"/>
      <c r="AB677" s="351">
        <f>OBRA!BT679</f>
        <v>0</v>
      </c>
      <c r="AC677" s="569"/>
      <c r="AD677" s="569"/>
    </row>
    <row r="678" spans="1:30" ht="15" hidden="1" customHeight="1">
      <c r="A678" s="23" t="s">
        <v>2239</v>
      </c>
      <c r="B678" s="933">
        <f>GRAL!B867</f>
        <v>0</v>
      </c>
      <c r="C678" s="17">
        <f>OBRA!I680</f>
        <v>2023</v>
      </c>
      <c r="D678" s="1676"/>
      <c r="E678" s="18" t="str">
        <f>OBRA!K680</f>
        <v>CUENTA CORRIENTE</v>
      </c>
      <c r="F678" s="1374"/>
      <c r="G678" s="1300"/>
      <c r="H678" s="239"/>
      <c r="I678" s="1300"/>
      <c r="J678" s="56"/>
      <c r="K678" s="57"/>
      <c r="L678" s="20" t="str">
        <f>OBRA!L680</f>
        <v>C.P.S.P. DOP 020/2023</v>
      </c>
      <c r="M678" s="2" t="str">
        <f>OBRA!M680</f>
        <v>SERVICIOS</v>
      </c>
      <c r="N678" s="3" t="e">
        <f>OBRA!#REF!</f>
        <v>#REF!</v>
      </c>
      <c r="O678" s="597"/>
      <c r="P678" s="6" t="e">
        <f>OBRA!#REF!</f>
        <v>#REF!</v>
      </c>
      <c r="Q678" s="4" t="e">
        <f>OBRA!#REF!</f>
        <v>#REF!</v>
      </c>
      <c r="R678" s="5" t="e">
        <f>OBRA!#REF!</f>
        <v>#REF!</v>
      </c>
      <c r="S678" s="12" t="e">
        <f>OBRA!#REF!</f>
        <v>#REF!</v>
      </c>
      <c r="T678" s="792"/>
      <c r="U678" s="223"/>
      <c r="V678" s="558"/>
      <c r="W678" s="559"/>
      <c r="X678" s="590">
        <f>OBRA!AP680</f>
        <v>0</v>
      </c>
      <c r="Y678" s="341"/>
      <c r="Z678" s="341"/>
      <c r="AA678" s="5"/>
      <c r="AB678" s="351">
        <f>OBRA!BT680</f>
        <v>0</v>
      </c>
      <c r="AC678" s="569"/>
      <c r="AD678" s="569"/>
    </row>
    <row r="679" spans="1:30" ht="15" hidden="1" customHeight="1">
      <c r="A679" s="23" t="s">
        <v>2239</v>
      </c>
      <c r="B679" s="933">
        <f>GRAL!B868</f>
        <v>0</v>
      </c>
      <c r="C679" s="17">
        <f>OBRA!I681</f>
        <v>2023</v>
      </c>
      <c r="D679" s="1676"/>
      <c r="E679" s="18" t="str">
        <f>OBRA!K681</f>
        <v>CUENTA CORRIENTE</v>
      </c>
      <c r="F679" s="1374"/>
      <c r="G679" s="1300"/>
      <c r="H679" s="239"/>
      <c r="I679" s="1300"/>
      <c r="J679" s="56"/>
      <c r="K679" s="57"/>
      <c r="L679" s="20"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97"/>
      <c r="P679" s="6">
        <f>OBRA!Q681</f>
        <v>45131</v>
      </c>
      <c r="Q679" s="4">
        <f>OBRA!P681</f>
        <v>17400</v>
      </c>
      <c r="R679" s="5">
        <f>OBRA!R681</f>
        <v>45138</v>
      </c>
      <c r="S679" s="12">
        <f>OBRA!S681</f>
        <v>45187</v>
      </c>
      <c r="T679" s="792"/>
      <c r="U679" s="223"/>
      <c r="V679" s="558"/>
      <c r="W679" s="559"/>
      <c r="X679" s="590">
        <f>OBRA!AP681</f>
        <v>0</v>
      </c>
      <c r="Y679" s="341"/>
      <c r="Z679" s="341"/>
      <c r="AA679" s="5"/>
      <c r="AB679" s="351">
        <f>OBRA!BT681</f>
        <v>0</v>
      </c>
      <c r="AC679" s="569"/>
      <c r="AD679" s="569"/>
    </row>
    <row r="680" spans="1:30" ht="15" hidden="1" customHeight="1">
      <c r="A680" s="23" t="s">
        <v>2239</v>
      </c>
      <c r="B680" s="933">
        <f>GRAL!B869</f>
        <v>0</v>
      </c>
      <c r="C680" s="17">
        <f>OBRA!I682</f>
        <v>2023</v>
      </c>
      <c r="D680" s="1676"/>
      <c r="E680" s="18" t="str">
        <f>OBRA!K682</f>
        <v>CUENTA CORRIENTE</v>
      </c>
      <c r="F680" s="1374"/>
      <c r="G680" s="1300"/>
      <c r="H680" s="239"/>
      <c r="I680" s="1300"/>
      <c r="J680" s="56"/>
      <c r="K680" s="57"/>
      <c r="L680" s="20"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97"/>
      <c r="P680" s="6">
        <f>OBRA!Q682</f>
        <v>45133</v>
      </c>
      <c r="Q680" s="4">
        <f>OBRA!P682</f>
        <v>73689.208799999993</v>
      </c>
      <c r="R680" s="5">
        <f>OBRA!R682</f>
        <v>45141</v>
      </c>
      <c r="S680" s="12">
        <f>OBRA!S682</f>
        <v>45155</v>
      </c>
      <c r="T680" s="792"/>
      <c r="U680" s="223"/>
      <c r="V680" s="558"/>
      <c r="W680" s="559"/>
      <c r="X680" s="590">
        <f>OBRA!AP682</f>
        <v>0</v>
      </c>
      <c r="Y680" s="341"/>
      <c r="Z680" s="341"/>
      <c r="AA680" s="5"/>
      <c r="AB680" s="351">
        <f>OBRA!BT682</f>
        <v>0</v>
      </c>
      <c r="AC680" s="569"/>
      <c r="AD680" s="569"/>
    </row>
    <row r="681" spans="1:30" ht="15" hidden="1" customHeight="1">
      <c r="A681" s="23" t="s">
        <v>2239</v>
      </c>
      <c r="B681" s="933">
        <f>GRAL!B870</f>
        <v>0</v>
      </c>
      <c r="C681" s="17">
        <f>OBRA!I683</f>
        <v>2023</v>
      </c>
      <c r="D681" s="1676"/>
      <c r="E681" s="18" t="str">
        <f>OBRA!K683</f>
        <v>CUENTA CORRIENTE</v>
      </c>
      <c r="F681" s="1374"/>
      <c r="G681" s="1300"/>
      <c r="H681" s="239"/>
      <c r="I681" s="1300"/>
      <c r="J681" s="56"/>
      <c r="K681" s="57"/>
      <c r="L681" s="20"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97"/>
      <c r="P681" s="6">
        <f>OBRA!Q683</f>
        <v>45148</v>
      </c>
      <c r="Q681" s="4">
        <f>OBRA!P683</f>
        <v>161863.23319999999</v>
      </c>
      <c r="R681" s="5">
        <f>OBRA!R683</f>
        <v>45152</v>
      </c>
      <c r="S681" s="12">
        <f>OBRA!S683</f>
        <v>45163</v>
      </c>
      <c r="T681" s="792"/>
      <c r="U681" s="223"/>
      <c r="V681" s="558"/>
      <c r="W681" s="559"/>
      <c r="X681" s="590">
        <f>OBRA!AP683</f>
        <v>0</v>
      </c>
      <c r="Y681" s="341"/>
      <c r="Z681" s="341"/>
      <c r="AA681" s="5"/>
      <c r="AB681" s="351">
        <f>OBRA!BT683</f>
        <v>0</v>
      </c>
      <c r="AC681" s="569"/>
      <c r="AD681" s="569"/>
    </row>
    <row r="682" spans="1:30" ht="15" hidden="1" customHeight="1">
      <c r="A682" s="23" t="s">
        <v>2239</v>
      </c>
      <c r="B682" s="933">
        <f>GRAL!B871</f>
        <v>0</v>
      </c>
      <c r="C682" s="17">
        <f>OBRA!I684</f>
        <v>2023</v>
      </c>
      <c r="D682" s="1676"/>
      <c r="E682" s="18" t="str">
        <f>OBRA!K684</f>
        <v>CUENTA CORRIENTE</v>
      </c>
      <c r="F682" s="1374"/>
      <c r="G682" s="1300"/>
      <c r="H682" s="239"/>
      <c r="I682" s="1300"/>
      <c r="J682" s="56"/>
      <c r="K682" s="57"/>
      <c r="L682" s="20"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97"/>
      <c r="P682" s="6">
        <f>OBRA!Q684</f>
        <v>45140</v>
      </c>
      <c r="Q682" s="4">
        <f>OBRA!P684</f>
        <v>34800</v>
      </c>
      <c r="R682" s="5">
        <f>OBRA!R684</f>
        <v>45141</v>
      </c>
      <c r="S682" s="12">
        <f>OBRA!S684</f>
        <v>45143</v>
      </c>
      <c r="T682" s="792"/>
      <c r="U682" s="223"/>
      <c r="V682" s="558"/>
      <c r="W682" s="559"/>
      <c r="X682" s="590">
        <f>OBRA!AP684</f>
        <v>0</v>
      </c>
      <c r="Y682" s="341"/>
      <c r="Z682" s="341"/>
      <c r="AA682" s="5"/>
      <c r="AB682" s="351">
        <f>OBRA!BT684</f>
        <v>0</v>
      </c>
      <c r="AC682" s="569"/>
      <c r="AD682" s="569"/>
    </row>
    <row r="683" spans="1:30" ht="15" hidden="1" customHeight="1">
      <c r="A683" s="23" t="s">
        <v>2239</v>
      </c>
      <c r="B683" s="933">
        <f>GRAL!B872</f>
        <v>0</v>
      </c>
      <c r="C683" s="17">
        <f>OBRA!I685</f>
        <v>2023</v>
      </c>
      <c r="D683" s="1676"/>
      <c r="E683" s="18" t="str">
        <f>OBRA!K685</f>
        <v>CUENTA CORRIENTE</v>
      </c>
      <c r="F683" s="1374"/>
      <c r="G683" s="1300"/>
      <c r="H683" s="239"/>
      <c r="I683" s="1300"/>
      <c r="J683" s="56"/>
      <c r="K683" s="57"/>
      <c r="L683" s="20"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97"/>
      <c r="P683" s="6">
        <f>OBRA!Q685</f>
        <v>45140</v>
      </c>
      <c r="Q683" s="4">
        <f>OBRA!P685</f>
        <v>54531.6</v>
      </c>
      <c r="R683" s="5">
        <f>OBRA!R685</f>
        <v>45152</v>
      </c>
      <c r="S683" s="12">
        <f>OBRA!S685</f>
        <v>45155</v>
      </c>
      <c r="T683" s="792"/>
      <c r="U683" s="223"/>
      <c r="V683" s="558"/>
      <c r="W683" s="559"/>
      <c r="X683" s="590">
        <f>OBRA!AP685</f>
        <v>0</v>
      </c>
      <c r="Y683" s="341"/>
      <c r="Z683" s="341"/>
      <c r="AA683" s="5"/>
      <c r="AB683" s="351">
        <f>OBRA!BT685</f>
        <v>0</v>
      </c>
      <c r="AC683" s="569"/>
      <c r="AD683" s="569"/>
    </row>
    <row r="684" spans="1:30" ht="15" hidden="1" customHeight="1">
      <c r="A684" s="23" t="s">
        <v>2239</v>
      </c>
      <c r="B684" s="933">
        <f>GRAL!B873</f>
        <v>0</v>
      </c>
      <c r="C684" s="17">
        <f>OBRA!I686</f>
        <v>2023</v>
      </c>
      <c r="D684" s="1676"/>
      <c r="E684" s="18" t="str">
        <f>OBRA!K686</f>
        <v>CUENTA CORRIENTE</v>
      </c>
      <c r="F684" s="1374"/>
      <c r="G684" s="1300"/>
      <c r="H684" s="239"/>
      <c r="I684" s="1300"/>
      <c r="J684" s="56"/>
      <c r="K684" s="57"/>
      <c r="L684" s="20"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97"/>
      <c r="P684" s="6">
        <f>OBRA!Q686</f>
        <v>45140</v>
      </c>
      <c r="Q684" s="4">
        <f>OBRA!P686</f>
        <v>34800</v>
      </c>
      <c r="R684" s="5">
        <f>OBRA!R686</f>
        <v>45144</v>
      </c>
      <c r="S684" s="12">
        <f>OBRA!S686</f>
        <v>45146</v>
      </c>
      <c r="T684" s="792"/>
      <c r="U684" s="223"/>
      <c r="V684" s="558"/>
      <c r="W684" s="559"/>
      <c r="X684" s="590">
        <f>OBRA!AP686</f>
        <v>0</v>
      </c>
      <c r="Y684" s="341"/>
      <c r="Z684" s="341"/>
      <c r="AA684" s="5"/>
      <c r="AB684" s="351">
        <f>OBRA!BT686</f>
        <v>0</v>
      </c>
      <c r="AC684" s="569"/>
      <c r="AD684" s="569"/>
    </row>
    <row r="685" spans="1:30" ht="15" hidden="1" customHeight="1">
      <c r="A685" s="23" t="s">
        <v>2239</v>
      </c>
      <c r="B685" s="933">
        <f>GRAL!B874</f>
        <v>0</v>
      </c>
      <c r="C685" s="17">
        <f>OBRA!I687</f>
        <v>2023</v>
      </c>
      <c r="D685" s="1676"/>
      <c r="E685" s="18" t="str">
        <f>OBRA!K687</f>
        <v>CUENTA CORRIENTE</v>
      </c>
      <c r="F685" s="1374"/>
      <c r="G685" s="1300"/>
      <c r="H685" s="239"/>
      <c r="I685" s="1300"/>
      <c r="J685" s="56"/>
      <c r="K685" s="57"/>
      <c r="L685" s="20" t="str">
        <f>OBRA!L687</f>
        <v>C.P.S.P. DOP 027/2023</v>
      </c>
      <c r="M685" s="2" t="str">
        <f>OBRA!M687</f>
        <v>SERVICIOS</v>
      </c>
      <c r="N685" s="3" t="str">
        <f>OBRA!N687</f>
        <v>-</v>
      </c>
      <c r="O685" s="597"/>
      <c r="P685" s="6">
        <f>OBRA!Q687</f>
        <v>0</v>
      </c>
      <c r="Q685" s="4">
        <f>OBRA!P687</f>
        <v>0</v>
      </c>
      <c r="R685" s="5">
        <f>OBRA!R687</f>
        <v>0</v>
      </c>
      <c r="S685" s="12">
        <f>OBRA!S687</f>
        <v>0</v>
      </c>
      <c r="T685" s="792"/>
      <c r="U685" s="223"/>
      <c r="V685" s="558"/>
      <c r="W685" s="559"/>
      <c r="X685" s="590">
        <f>OBRA!AP687</f>
        <v>0</v>
      </c>
      <c r="Y685" s="341"/>
      <c r="Z685" s="341"/>
      <c r="AA685" s="5"/>
      <c r="AB685" s="351">
        <f>OBRA!BT687</f>
        <v>0</v>
      </c>
      <c r="AC685" s="569"/>
      <c r="AD685" s="569"/>
    </row>
    <row r="686" spans="1:30" ht="15" hidden="1" customHeight="1">
      <c r="A686" s="23" t="s">
        <v>2239</v>
      </c>
      <c r="B686" s="933">
        <f>GRAL!B875</f>
        <v>0</v>
      </c>
      <c r="C686" s="17">
        <f>OBRA!I688</f>
        <v>2023</v>
      </c>
      <c r="D686" s="1676"/>
      <c r="E686" s="18" t="str">
        <f>OBRA!K688</f>
        <v>CUENTA CORRIENTE</v>
      </c>
      <c r="F686" s="1374"/>
      <c r="G686" s="1300"/>
      <c r="H686" s="239"/>
      <c r="I686" s="1300"/>
      <c r="J686" s="56"/>
      <c r="K686" s="57"/>
      <c r="L686" s="20" t="str">
        <f>OBRA!L688</f>
        <v>C.P.S.P. DOP 028/2023</v>
      </c>
      <c r="M686" s="2" t="str">
        <f>OBRA!M688</f>
        <v>SERVICIOS</v>
      </c>
      <c r="N686" s="3" t="str">
        <f>OBRA!N688</f>
        <v>-</v>
      </c>
      <c r="O686" s="597"/>
      <c r="P686" s="6">
        <f>OBRA!Q688</f>
        <v>0</v>
      </c>
      <c r="Q686" s="4">
        <f>OBRA!P688</f>
        <v>0</v>
      </c>
      <c r="R686" s="5">
        <f>OBRA!R688</f>
        <v>0</v>
      </c>
      <c r="S686" s="12">
        <f>OBRA!S688</f>
        <v>0</v>
      </c>
      <c r="T686" s="792"/>
      <c r="U686" s="223"/>
      <c r="V686" s="558"/>
      <c r="W686" s="559"/>
      <c r="X686" s="590">
        <f>OBRA!AP688</f>
        <v>0</v>
      </c>
      <c r="Y686" s="341"/>
      <c r="Z686" s="341"/>
      <c r="AA686" s="5"/>
      <c r="AB686" s="351">
        <f>OBRA!BT688</f>
        <v>0</v>
      </c>
      <c r="AC686" s="569"/>
      <c r="AD686" s="569"/>
    </row>
    <row r="687" spans="1:30" ht="15" hidden="1" customHeight="1">
      <c r="A687" s="23" t="s">
        <v>2239</v>
      </c>
      <c r="B687" s="933">
        <f>GRAL!B876</f>
        <v>0</v>
      </c>
      <c r="C687" s="17">
        <f>OBRA!I689</f>
        <v>2023</v>
      </c>
      <c r="D687" s="1676"/>
      <c r="E687" s="18" t="str">
        <f>OBRA!K689</f>
        <v>CUENTA CORRIENTE</v>
      </c>
      <c r="F687" s="1374"/>
      <c r="G687" s="1300"/>
      <c r="H687" s="239"/>
      <c r="I687" s="1300"/>
      <c r="J687" s="56"/>
      <c r="K687" s="57"/>
      <c r="L687" s="20" t="str">
        <f>OBRA!L689</f>
        <v>C.P.S.P. DOP 029/2023</v>
      </c>
      <c r="M687" s="2" t="str">
        <f>OBRA!M689</f>
        <v>SERVICIOS</v>
      </c>
      <c r="N687" s="3" t="str">
        <f>OBRA!N689</f>
        <v>-</v>
      </c>
      <c r="O687" s="597"/>
      <c r="P687" s="6">
        <f>OBRA!Q689</f>
        <v>0</v>
      </c>
      <c r="Q687" s="4">
        <f>OBRA!P689</f>
        <v>0</v>
      </c>
      <c r="R687" s="5">
        <f>OBRA!R689</f>
        <v>0</v>
      </c>
      <c r="S687" s="12">
        <f>OBRA!S689</f>
        <v>0</v>
      </c>
      <c r="T687" s="792"/>
      <c r="U687" s="223"/>
      <c r="V687" s="558"/>
      <c r="W687" s="559"/>
      <c r="X687" s="590">
        <f>OBRA!AP689</f>
        <v>0</v>
      </c>
      <c r="Y687" s="341"/>
      <c r="Z687" s="341"/>
      <c r="AA687" s="5"/>
      <c r="AB687" s="351">
        <f>OBRA!BT689</f>
        <v>0</v>
      </c>
      <c r="AC687" s="569"/>
      <c r="AD687" s="569"/>
    </row>
    <row r="688" spans="1:30" ht="15" hidden="1" customHeight="1">
      <c r="A688" s="23" t="s">
        <v>2239</v>
      </c>
      <c r="B688" s="933">
        <f>GRAL!B877</f>
        <v>0</v>
      </c>
      <c r="C688" s="17">
        <f>OBRA!I690</f>
        <v>2023</v>
      </c>
      <c r="D688" s="1676"/>
      <c r="E688" s="18" t="str">
        <f>OBRA!K690</f>
        <v>CUENTA CORRIENTE</v>
      </c>
      <c r="F688" s="1374"/>
      <c r="G688" s="1300"/>
      <c r="H688" s="239"/>
      <c r="I688" s="1300"/>
      <c r="J688" s="56"/>
      <c r="K688" s="57"/>
      <c r="L688" s="20" t="str">
        <f>OBRA!L690</f>
        <v>C.P.S.P. DOP 030/2023</v>
      </c>
      <c r="M688" s="2" t="str">
        <f>OBRA!M690</f>
        <v>SERVICIOS</v>
      </c>
      <c r="N688" s="3" t="str">
        <f>OBRA!N690</f>
        <v>-</v>
      </c>
      <c r="O688" s="597"/>
      <c r="P688" s="6">
        <f>OBRA!Q690</f>
        <v>0</v>
      </c>
      <c r="Q688" s="4">
        <f>OBRA!P690</f>
        <v>0</v>
      </c>
      <c r="R688" s="5">
        <f>OBRA!R690</f>
        <v>0</v>
      </c>
      <c r="S688" s="12">
        <f>OBRA!S690</f>
        <v>0</v>
      </c>
      <c r="T688" s="792"/>
      <c r="U688" s="223"/>
      <c r="V688" s="558"/>
      <c r="W688" s="559"/>
      <c r="X688" s="590">
        <f>OBRA!AP690</f>
        <v>0</v>
      </c>
      <c r="Y688" s="341"/>
      <c r="Z688" s="341"/>
      <c r="AA688" s="5"/>
      <c r="AB688" s="351">
        <f>OBRA!BT690</f>
        <v>0</v>
      </c>
      <c r="AC688" s="569"/>
      <c r="AD688" s="569"/>
    </row>
    <row r="689" spans="1:30" ht="15" hidden="1" customHeight="1">
      <c r="A689" s="23" t="s">
        <v>2239</v>
      </c>
      <c r="B689" s="933">
        <f>GRAL!B857</f>
        <v>0</v>
      </c>
      <c r="C689" s="17">
        <f>OBRA!I691</f>
        <v>2023</v>
      </c>
      <c r="D689" s="1676"/>
      <c r="E689" s="18" t="str">
        <f>OBRA!K691</f>
        <v>CUENTA CORRIENTE</v>
      </c>
      <c r="F689" s="1374"/>
      <c r="G689" s="1300"/>
      <c r="H689" s="239"/>
      <c r="I689" s="1300"/>
      <c r="J689" s="56"/>
      <c r="K689" s="57"/>
      <c r="L689" s="20" t="str">
        <f>OBRA!L691</f>
        <v>C- OP 001/2023</v>
      </c>
      <c r="M689" s="2" t="str">
        <f>OBRA!M691</f>
        <v>ARRENDAMIENTO</v>
      </c>
      <c r="N689" s="3" t="str">
        <f>OBRA!N691</f>
        <v>RENTA DE UNA RETROEXCAVADORA JHON DEERE 310SJ 4X4, PARA SER UTILIZADAEN DIVERSOS MANTENIMIENTOS REQUERIDOS POR LA DIRECCIÓN DE OBRAS PÚBLICAS DEL GOBIERNO MUNICIPAL DE JOCOTEPEC, JALISCO.</v>
      </c>
      <c r="O689" s="597"/>
      <c r="P689" s="6">
        <f>OBRA!Q691</f>
        <v>44928</v>
      </c>
      <c r="Q689" s="4">
        <f>OBRA!P691</f>
        <v>56839.999999999993</v>
      </c>
      <c r="R689" s="5">
        <f>OBRA!R691</f>
        <v>44928</v>
      </c>
      <c r="S689" s="12">
        <f>OBRA!S691</f>
        <v>44957</v>
      </c>
      <c r="T689" s="792"/>
      <c r="U689" s="223"/>
      <c r="V689" s="558"/>
      <c r="W689" s="559"/>
      <c r="X689" s="590">
        <f>OBRA!AP691</f>
        <v>0</v>
      </c>
      <c r="Y689" s="341"/>
      <c r="Z689" s="341"/>
      <c r="AA689" s="5"/>
      <c r="AB689" s="351">
        <f>OBRA!BT691</f>
        <v>0</v>
      </c>
      <c r="AC689" s="569"/>
      <c r="AD689" s="569"/>
    </row>
    <row r="690" spans="1:30" ht="15" hidden="1" customHeight="1">
      <c r="A690" s="23" t="s">
        <v>2239</v>
      </c>
      <c r="B690" s="933">
        <f>GRAL!B858</f>
        <v>0</v>
      </c>
      <c r="C690" s="17">
        <f>OBRA!I692</f>
        <v>2023</v>
      </c>
      <c r="D690" s="1676"/>
      <c r="E690" s="18" t="str">
        <f>OBRA!K692</f>
        <v>CUENTA CORRIENTE</v>
      </c>
      <c r="F690" s="1374"/>
      <c r="G690" s="1300"/>
      <c r="H690" s="239"/>
      <c r="I690" s="1300"/>
      <c r="J690" s="56"/>
      <c r="K690" s="57"/>
      <c r="L690" s="20" t="str">
        <f>OBRA!L692</f>
        <v>C- OP 001A/2023</v>
      </c>
      <c r="M690" s="2" t="str">
        <f>OBRA!M692</f>
        <v>ARRENDAMIENTO</v>
      </c>
      <c r="N690" s="3" t="str">
        <f>OBRA!N692</f>
        <v>RENTA DE UN CAMIÓN (VOLTEO 7 M3) DODGE, MODELO 1989 CON PLACAS JL-0889, PARA SER UTILIZADO EN LAS OBRAS: MANTENIMIENTOS VARIOS EN LAS AGENCIAS, DELEGACIONES Y CABECERA MUNICIPAL DEL MUNICIPIO DE JOCOTEPEC, JALISCO.</v>
      </c>
      <c r="O690" s="597"/>
      <c r="P690" s="6">
        <f>OBRA!Q692</f>
        <v>44929</v>
      </c>
      <c r="Q690" s="4">
        <f>OBRA!P692</f>
        <v>3248</v>
      </c>
      <c r="R690" s="5">
        <f>OBRA!R692</f>
        <v>44929</v>
      </c>
      <c r="S690" s="12">
        <f>OBRA!S692</f>
        <v>44985</v>
      </c>
      <c r="T690" s="792"/>
      <c r="U690" s="223"/>
      <c r="V690" s="558"/>
      <c r="W690" s="559"/>
      <c r="X690" s="590">
        <f>OBRA!AP692</f>
        <v>0</v>
      </c>
      <c r="Y690" s="341"/>
      <c r="Z690" s="341"/>
      <c r="AA690" s="5"/>
      <c r="AB690" s="351">
        <f>OBRA!BT692</f>
        <v>0</v>
      </c>
      <c r="AC690" s="569"/>
      <c r="AD690" s="569"/>
    </row>
    <row r="691" spans="1:30" ht="15" hidden="1" customHeight="1">
      <c r="A691" s="23" t="s">
        <v>2239</v>
      </c>
      <c r="B691" s="933">
        <f>GRAL!B859</f>
        <v>0</v>
      </c>
      <c r="C691" s="17">
        <f>OBRA!I693</f>
        <v>2023</v>
      </c>
      <c r="D691" s="1676"/>
      <c r="E691" s="18" t="str">
        <f>OBRA!K693</f>
        <v>CUENTA CORRIENTE</v>
      </c>
      <c r="F691" s="1374"/>
      <c r="G691" s="1300"/>
      <c r="H691" s="239"/>
      <c r="I691" s="1300"/>
      <c r="J691" s="56"/>
      <c r="K691" s="57"/>
      <c r="L691" s="20" t="str">
        <f>OBRA!L693</f>
        <v>C- OP 002/2023</v>
      </c>
      <c r="M691" s="2" t="str">
        <f>OBRA!M693</f>
        <v>ARRENDAMIENTO</v>
      </c>
      <c r="N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O691" s="597"/>
      <c r="P691" s="6">
        <f>OBRA!Q693</f>
        <v>45005</v>
      </c>
      <c r="Q691" s="4">
        <f>OBRA!P693</f>
        <v>28999.999999999996</v>
      </c>
      <c r="R691" s="5">
        <f>OBRA!R693</f>
        <v>45007</v>
      </c>
      <c r="S691" s="12">
        <f>OBRA!S693</f>
        <v>45038</v>
      </c>
      <c r="T691" s="792"/>
      <c r="U691" s="223"/>
      <c r="V691" s="558"/>
      <c r="W691" s="559"/>
      <c r="X691" s="590">
        <f>OBRA!AP693</f>
        <v>0</v>
      </c>
      <c r="Y691" s="341"/>
      <c r="Z691" s="341"/>
      <c r="AA691" s="5"/>
      <c r="AB691" s="351">
        <f>OBRA!BT693</f>
        <v>0</v>
      </c>
      <c r="AC691" s="569"/>
      <c r="AD691" s="569"/>
    </row>
    <row r="692" spans="1:30" ht="15" hidden="1" customHeight="1">
      <c r="A692" s="23" t="s">
        <v>2239</v>
      </c>
      <c r="B692" s="933">
        <f>GRAL!B860</f>
        <v>0</v>
      </c>
      <c r="C692" s="17">
        <f>OBRA!I694</f>
        <v>2023</v>
      </c>
      <c r="D692" s="1676"/>
      <c r="E692" s="18" t="str">
        <f>OBRA!K694</f>
        <v>CUENTA CORRIENTE</v>
      </c>
      <c r="F692" s="1374"/>
      <c r="G692" s="1300"/>
      <c r="H692" s="239"/>
      <c r="I692" s="1300"/>
      <c r="J692" s="56"/>
      <c r="K692" s="57"/>
      <c r="L692" s="20" t="str">
        <f>OBRA!L694</f>
        <v>C- OP 003/2023</v>
      </c>
      <c r="M692" s="2" t="str">
        <f>OBRA!M694</f>
        <v>ARRENDAMIENTO</v>
      </c>
      <c r="N692" s="3" t="str">
        <f>OBRA!N694</f>
        <v>RENTA DE UNA RETROEXCAVADORA JHON DEERE 310SJ 4X4, PARA SER UTILIZADA EN DIVERSOS MANTENIMIENTOS REQUERIDOS POR LA DIRECCIÓN DE OBRAS PÚBLICAS DEL GOBIERNO MUNICIPAL DE JOCOTEPEC, JALISCO.</v>
      </c>
      <c r="O692" s="597"/>
      <c r="P692" s="6">
        <f>OBRA!Q694</f>
        <v>44956</v>
      </c>
      <c r="Q692" s="4">
        <f>OBRA!P694</f>
        <v>59681.999999999993</v>
      </c>
      <c r="R692" s="5">
        <f>OBRA!R694</f>
        <v>44958</v>
      </c>
      <c r="S692" s="12">
        <f>OBRA!S694</f>
        <v>44985</v>
      </c>
      <c r="T692" s="792"/>
      <c r="U692" s="223"/>
      <c r="V692" s="558"/>
      <c r="W692" s="559"/>
      <c r="X692" s="590">
        <f>OBRA!AP694</f>
        <v>0</v>
      </c>
      <c r="Y692" s="341"/>
      <c r="Z692" s="341"/>
      <c r="AA692" s="5"/>
      <c r="AB692" s="351">
        <f>OBRA!BT694</f>
        <v>0</v>
      </c>
      <c r="AC692" s="569"/>
      <c r="AD692" s="569"/>
    </row>
    <row r="693" spans="1:30" ht="15" hidden="1" customHeight="1">
      <c r="A693" s="23" t="s">
        <v>2239</v>
      </c>
      <c r="B693" s="933">
        <f>GRAL!B861</f>
        <v>0</v>
      </c>
      <c r="C693" s="17">
        <f>OBRA!I695</f>
        <v>2023</v>
      </c>
      <c r="D693" s="1676"/>
      <c r="E693" s="18" t="str">
        <f>OBRA!K695</f>
        <v>CUENTA CORRIENTE</v>
      </c>
      <c r="F693" s="1374"/>
      <c r="G693" s="1300"/>
      <c r="H693" s="239"/>
      <c r="I693" s="1300"/>
      <c r="J693" s="56"/>
      <c r="K693" s="57"/>
      <c r="L693" s="20" t="str">
        <f>OBRA!L695</f>
        <v>C- OP 004/2023</v>
      </c>
      <c r="M693" s="2" t="str">
        <f>OBRA!M695</f>
        <v>ARRENDAMIENTO</v>
      </c>
      <c r="N693" s="3" t="str">
        <f>OBRA!N695</f>
        <v>RENTA DE UNA RETROEXCAVADORA MARCA JCB MOD. 2000 SERIE 4214E, PARA SER UTILIZADA EN LA CONSTRUCCIÓN DE BASE PARA LA COLOCACIÓN DE LETRAS MONUMENTALES DE SAN JOSE POTRERILLOS, DEL MUNICIPIO DE JOCOTEPEC, JALISCO.</v>
      </c>
      <c r="O693" s="597"/>
      <c r="P693" s="6">
        <f>OBRA!Q695</f>
        <v>44981</v>
      </c>
      <c r="Q693" s="4">
        <f>OBRA!P695</f>
        <v>638</v>
      </c>
      <c r="R693" s="5">
        <f>OBRA!R695</f>
        <v>44985</v>
      </c>
      <c r="S693" s="12">
        <f>OBRA!S695</f>
        <v>44989</v>
      </c>
      <c r="T693" s="792"/>
      <c r="U693" s="223"/>
      <c r="V693" s="558"/>
      <c r="W693" s="559"/>
      <c r="X693" s="590">
        <f>OBRA!AP695</f>
        <v>0</v>
      </c>
      <c r="Y693" s="341"/>
      <c r="Z693" s="341"/>
      <c r="AA693" s="5"/>
      <c r="AB693" s="351">
        <f>OBRA!BT695</f>
        <v>0</v>
      </c>
      <c r="AC693" s="569"/>
      <c r="AD693" s="569"/>
    </row>
    <row r="694" spans="1:30" ht="15" hidden="1" customHeight="1">
      <c r="A694" s="23" t="s">
        <v>2239</v>
      </c>
      <c r="B694" s="933">
        <f>GRAL!B862</f>
        <v>0</v>
      </c>
      <c r="C694" s="17">
        <f>OBRA!I696</f>
        <v>2023</v>
      </c>
      <c r="D694" s="1676"/>
      <c r="E694" s="18" t="str">
        <f>OBRA!K696</f>
        <v>CUENTA CORRIENTE</v>
      </c>
      <c r="F694" s="1374"/>
      <c r="G694" s="1300"/>
      <c r="H694" s="239"/>
      <c r="I694" s="1300"/>
      <c r="J694" s="56"/>
      <c r="K694" s="57"/>
      <c r="L694" s="20" t="str">
        <f>OBRA!L696</f>
        <v>C- OP 005/2023</v>
      </c>
      <c r="M694" s="2" t="str">
        <f>OBRA!M696</f>
        <v>ARRENDAMIENTO</v>
      </c>
      <c r="N694" s="3" t="str">
        <f>OBRA!N696</f>
        <v>RENTA DE CAMIÓN TIPO PIPA MARCA DODGE RAM 6500 MOD. 1996 PLACAS JM57075, CON CAPACIDAD DE 10,000 LITROS PARA EL SERVICIO DE ACARREO DE AGUA EN EL MUNICIPIO DE JOCOTEPEC, JALISCO.</v>
      </c>
      <c r="O694" s="597"/>
      <c r="P694" s="6">
        <f>OBRA!Q696</f>
        <v>45037</v>
      </c>
      <c r="Q694" s="4">
        <f>OBRA!P696</f>
        <v>28999.999999999996</v>
      </c>
      <c r="R694" s="5">
        <f>OBRA!R696</f>
        <v>45039</v>
      </c>
      <c r="S694" s="12">
        <f>OBRA!S696</f>
        <v>45069</v>
      </c>
      <c r="T694" s="792"/>
      <c r="U694" s="223"/>
      <c r="V694" s="558"/>
      <c r="W694" s="559"/>
      <c r="X694" s="590">
        <f>OBRA!AP696</f>
        <v>0</v>
      </c>
      <c r="Y694" s="341"/>
      <c r="Z694" s="341"/>
      <c r="AA694" s="5"/>
      <c r="AB694" s="351">
        <f>OBRA!BT696</f>
        <v>0</v>
      </c>
      <c r="AC694" s="569"/>
      <c r="AD694" s="569"/>
    </row>
    <row r="695" spans="1:30" ht="15" hidden="1" customHeight="1">
      <c r="A695" s="23" t="s">
        <v>2239</v>
      </c>
      <c r="B695" s="933">
        <f>GRAL!B863</f>
        <v>0</v>
      </c>
      <c r="C695" s="17">
        <f>OBRA!I697</f>
        <v>2023</v>
      </c>
      <c r="D695" s="1676"/>
      <c r="E695" s="18" t="str">
        <f>OBRA!K697</f>
        <v>CUENTA CORRIENTE</v>
      </c>
      <c r="F695" s="1374"/>
      <c r="G695" s="1300"/>
      <c r="H695" s="239"/>
      <c r="I695" s="1300"/>
      <c r="J695" s="56"/>
      <c r="K695" s="57"/>
      <c r="L695" s="20" t="str">
        <f>OBRA!L697</f>
        <v>C- OP 006/2023</v>
      </c>
      <c r="M695" s="2" t="str">
        <f>OBRA!M697</f>
        <v>ARRENDAMIENTO</v>
      </c>
      <c r="N695" s="3" t="str">
        <f>OBRA!N697</f>
        <v>RENTA DE UNA RETROEXCAVADORA DEE 310SJ 4X4, PARA SER UTILIZADA EN DIVERSOS MANTENIMIENTOS REQUERIDOS POR LA DIRECCIÓN DE OBRAS PÚBLICAS DEL GOBIERNO MUNICIPAL DE JOCOTEPEC, JALISCO.</v>
      </c>
      <c r="O695" s="597"/>
      <c r="P695" s="6">
        <f>OBRA!Q697</f>
        <v>45015</v>
      </c>
      <c r="Q695" s="4">
        <f>OBRA!P697</f>
        <v>59681.999999999993</v>
      </c>
      <c r="R695" s="5">
        <f>OBRA!R697</f>
        <v>45017</v>
      </c>
      <c r="S695" s="12">
        <f>OBRA!S697</f>
        <v>45046</v>
      </c>
      <c r="T695" s="792"/>
      <c r="U695" s="223"/>
      <c r="V695" s="558"/>
      <c r="W695" s="559"/>
      <c r="X695" s="590">
        <f>OBRA!AP697</f>
        <v>0</v>
      </c>
      <c r="Y695" s="341"/>
      <c r="Z695" s="341"/>
      <c r="AA695" s="5"/>
      <c r="AB695" s="351">
        <f>OBRA!BT697</f>
        <v>0</v>
      </c>
      <c r="AC695" s="569"/>
      <c r="AD695" s="569"/>
    </row>
    <row r="696" spans="1:30" ht="15" hidden="1" customHeight="1">
      <c r="A696" s="23" t="s">
        <v>2239</v>
      </c>
      <c r="B696" s="933">
        <f>GRAL!B864</f>
        <v>0</v>
      </c>
      <c r="C696" s="17">
        <f>OBRA!I698</f>
        <v>2023</v>
      </c>
      <c r="D696" s="1676"/>
      <c r="E696" s="18" t="str">
        <f>OBRA!K698</f>
        <v>CUENTA CORRIENTE</v>
      </c>
      <c r="F696" s="1374"/>
      <c r="G696" s="1300"/>
      <c r="H696" s="239"/>
      <c r="I696" s="1300"/>
      <c r="J696" s="56"/>
      <c r="K696" s="57"/>
      <c r="L696" s="20" t="str">
        <f>OBRA!L698</f>
        <v>C- OP 006A/2023</v>
      </c>
      <c r="M696" s="2" t="str">
        <f>OBRA!M698</f>
        <v>ARRENDAMIENTO</v>
      </c>
      <c r="N696" s="3" t="str">
        <f>OBRA!N698</f>
        <v>RENTA DE EXCAVADORA CAT 320, PARA SER UTILIZADA EN LAS OBRAS: DESAZOLVES EN ARROYOS, DE LAS DELEGACIONES Y DE LA CABECERA DEL MUNICIPIO DE JOCOTEPEC, JALISCO.</v>
      </c>
      <c r="O696" s="597"/>
      <c r="P696" s="6">
        <f>OBRA!Q698</f>
        <v>45033</v>
      </c>
      <c r="Q696" s="4">
        <f>OBRA!P698</f>
        <v>4750.0027999999993</v>
      </c>
      <c r="R696" s="5">
        <f>OBRA!R698</f>
        <v>45033</v>
      </c>
      <c r="S696" s="12">
        <f>OBRA!S698</f>
        <v>45094</v>
      </c>
      <c r="T696" s="792"/>
      <c r="U696" s="223"/>
      <c r="V696" s="558"/>
      <c r="W696" s="559"/>
      <c r="X696" s="590">
        <f>OBRA!AP698</f>
        <v>0</v>
      </c>
      <c r="Y696" s="341"/>
      <c r="Z696" s="341"/>
      <c r="AA696" s="5"/>
      <c r="AB696" s="351">
        <f>OBRA!BT698</f>
        <v>0</v>
      </c>
      <c r="AC696" s="569"/>
      <c r="AD696" s="569"/>
    </row>
    <row r="697" spans="1:30" ht="15" hidden="1" customHeight="1">
      <c r="A697" s="23" t="s">
        <v>2239</v>
      </c>
      <c r="B697" s="933">
        <f>GRAL!B865</f>
        <v>0</v>
      </c>
      <c r="C697" s="17">
        <f>OBRA!I699</f>
        <v>2023</v>
      </c>
      <c r="D697" s="1676"/>
      <c r="E697" s="18" t="str">
        <f>OBRA!K699</f>
        <v>CUENTA CORRIENTE</v>
      </c>
      <c r="F697" s="1374"/>
      <c r="G697" s="1300"/>
      <c r="H697" s="239"/>
      <c r="I697" s="1300"/>
      <c r="J697" s="56"/>
      <c r="K697" s="57"/>
      <c r="L697" s="20" t="str">
        <f>OBRA!L699</f>
        <v>C- OP 006B/2023</v>
      </c>
      <c r="M697" s="2" t="str">
        <f>OBRA!M699</f>
        <v>ARRENDAMIENTO</v>
      </c>
      <c r="N697" s="3" t="str">
        <f>OBRA!N699</f>
        <v>RENTA DE UNA EXCAVADORA, PARA SER UTILIZADA EN LAS OBRAS: MANTENIMIENTOS VARIOS EN LAS AGENCIAS, DELEGACIONES Y CABECERA DEL MUNICIPIO DE JOCOTEPEC, JALISCO.</v>
      </c>
      <c r="O697" s="597"/>
      <c r="P697" s="6">
        <f>OBRA!Q699</f>
        <v>45033</v>
      </c>
      <c r="Q697" s="4">
        <f>OBRA!P699</f>
        <v>1899.9987999999998</v>
      </c>
      <c r="R697" s="5">
        <f>OBRA!R699</f>
        <v>45033</v>
      </c>
      <c r="S697" s="12">
        <f>OBRA!S699</f>
        <v>45094</v>
      </c>
      <c r="T697" s="792"/>
      <c r="U697" s="223"/>
      <c r="V697" s="558"/>
      <c r="W697" s="559"/>
      <c r="X697" s="590">
        <f>OBRA!AP699</f>
        <v>0</v>
      </c>
      <c r="Y697" s="341"/>
      <c r="Z697" s="341"/>
      <c r="AA697" s="5"/>
      <c r="AB697" s="351">
        <f>OBRA!BT699</f>
        <v>0</v>
      </c>
      <c r="AC697" s="569"/>
      <c r="AD697" s="569"/>
    </row>
    <row r="698" spans="1:30" ht="15" hidden="1" customHeight="1">
      <c r="A698" s="23" t="s">
        <v>2239</v>
      </c>
      <c r="B698" s="933">
        <f>GRAL!B864</f>
        <v>0</v>
      </c>
      <c r="C698" s="17">
        <f>OBRA!I700</f>
        <v>2023</v>
      </c>
      <c r="D698" s="1676"/>
      <c r="E698" s="18" t="str">
        <f>OBRA!K700</f>
        <v>CUENTA CORRIENTE</v>
      </c>
      <c r="F698" s="1374"/>
      <c r="G698" s="1300"/>
      <c r="H698" s="239"/>
      <c r="I698" s="1300"/>
      <c r="J698" s="56"/>
      <c r="K698" s="57"/>
      <c r="L698" s="20" t="str">
        <f>OBRA!L700</f>
        <v>C- OP 007/2023</v>
      </c>
      <c r="M698" s="2" t="str">
        <f>OBRA!M700</f>
        <v>ARRENDAMIENTO</v>
      </c>
      <c r="N698" s="3" t="str">
        <f>OBRA!N700</f>
        <v>RENTA DE UN CAMIÓN VOLTEO MARCA KENWORTH COLOR AZUL PLACA JU00932 Y UN CAMIÓN VOLTEO MARCA INTERNACIONAL COLOR AMARILLO PLACA 09AF9U, PARA SER UTILIZADO EN EL ACARREO DE MATERIAL POR DESAZOLVES DE ARROYOS EN EL MUNICIPIO DE JOCOTEPEC, JALISCO.</v>
      </c>
      <c r="O698" s="597"/>
      <c r="P698" s="6">
        <f>OBRA!Q700</f>
        <v>45034</v>
      </c>
      <c r="Q698" s="4">
        <f>OBRA!P700</f>
        <v>5220</v>
      </c>
      <c r="R698" s="5">
        <f>OBRA!R700</f>
        <v>45036</v>
      </c>
      <c r="S698" s="12">
        <f>OBRA!S700</f>
        <v>45066</v>
      </c>
      <c r="T698" s="792"/>
      <c r="U698" s="223"/>
      <c r="V698" s="558"/>
      <c r="W698" s="559"/>
      <c r="X698" s="590">
        <f>OBRA!AP700</f>
        <v>0</v>
      </c>
      <c r="Y698" s="341"/>
      <c r="Z698" s="341"/>
      <c r="AA698" s="5"/>
      <c r="AB698" s="351">
        <f>OBRA!BT700</f>
        <v>0</v>
      </c>
      <c r="AC698" s="569"/>
      <c r="AD698" s="569"/>
    </row>
    <row r="699" spans="1:30" ht="15" hidden="1" customHeight="1">
      <c r="A699" s="23" t="s">
        <v>2239</v>
      </c>
      <c r="B699" s="933">
        <f>GRAL!B865</f>
        <v>0</v>
      </c>
      <c r="C699" s="17">
        <f>OBRA!I701</f>
        <v>2023</v>
      </c>
      <c r="D699" s="1676"/>
      <c r="E699" s="18" t="str">
        <f>OBRA!K701</f>
        <v>CUENTA CORRIENTE</v>
      </c>
      <c r="F699" s="1374"/>
      <c r="G699" s="1300"/>
      <c r="H699" s="239"/>
      <c r="I699" s="1300"/>
      <c r="J699" s="56"/>
      <c r="K699" s="57"/>
      <c r="L699" s="20" t="str">
        <f>OBRA!L701</f>
        <v>C- OP 008/2023</v>
      </c>
      <c r="M699" s="2" t="str">
        <f>OBRA!M701</f>
        <v>ARRENDAMIENTO</v>
      </c>
      <c r="N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O699" s="597"/>
      <c r="P699" s="6">
        <f>OBRA!Q701</f>
        <v>45034</v>
      </c>
      <c r="Q699" s="4">
        <f>OBRA!P701</f>
        <v>5220</v>
      </c>
      <c r="R699" s="5">
        <f>OBRA!R701</f>
        <v>45036</v>
      </c>
      <c r="S699" s="12">
        <f>OBRA!S701</f>
        <v>45066</v>
      </c>
      <c r="T699" s="792"/>
      <c r="U699" s="223"/>
      <c r="V699" s="558"/>
      <c r="W699" s="559"/>
      <c r="X699" s="590">
        <f>OBRA!AP701</f>
        <v>0</v>
      </c>
      <c r="Y699" s="341"/>
      <c r="Z699" s="341"/>
      <c r="AA699" s="5"/>
      <c r="AB699" s="351">
        <f>OBRA!BT701</f>
        <v>0</v>
      </c>
      <c r="AC699" s="569"/>
      <c r="AD699" s="569"/>
    </row>
    <row r="700" spans="1:30" ht="15" hidden="1" customHeight="1">
      <c r="A700" s="23" t="s">
        <v>2239</v>
      </c>
      <c r="B700" s="933">
        <f>GRAL!B866</f>
        <v>0</v>
      </c>
      <c r="C700" s="17">
        <f>OBRA!I702</f>
        <v>2023</v>
      </c>
      <c r="D700" s="1676"/>
      <c r="E700" s="18" t="str">
        <f>OBRA!K702</f>
        <v>CUENTA CORRIENTE</v>
      </c>
      <c r="F700" s="1374"/>
      <c r="G700" s="1300"/>
      <c r="H700" s="239"/>
      <c r="I700" s="1300"/>
      <c r="J700" s="56"/>
      <c r="K700" s="57"/>
      <c r="L700" s="20" t="str">
        <f>OBRA!L702</f>
        <v>C- OP 009/2023</v>
      </c>
      <c r="M700" s="2" t="str">
        <f>OBRA!M702</f>
        <v>ARRENDAMIENTO</v>
      </c>
      <c r="N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O700" s="597"/>
      <c r="P700" s="6">
        <f>OBRA!Q702</f>
        <v>44972</v>
      </c>
      <c r="Q700" s="4">
        <f>OBRA!P702</f>
        <v>696</v>
      </c>
      <c r="R700" s="5">
        <f>OBRA!R702</f>
        <v>44974</v>
      </c>
      <c r="S700" s="12">
        <f>OBRA!S702</f>
        <v>44976</v>
      </c>
      <c r="T700" s="792"/>
      <c r="U700" s="223"/>
      <c r="V700" s="558"/>
      <c r="W700" s="559"/>
      <c r="X700" s="590">
        <f>OBRA!AP702</f>
        <v>0</v>
      </c>
      <c r="Y700" s="341"/>
      <c r="Z700" s="341"/>
      <c r="AA700" s="5"/>
      <c r="AB700" s="351">
        <f>OBRA!BT702</f>
        <v>0</v>
      </c>
      <c r="AC700" s="569"/>
      <c r="AD700" s="569"/>
    </row>
    <row r="701" spans="1:30" ht="15" hidden="1" customHeight="1">
      <c r="A701" s="23" t="s">
        <v>2239</v>
      </c>
      <c r="B701" s="933">
        <f>GRAL!B867</f>
        <v>0</v>
      </c>
      <c r="C701" s="17">
        <f>OBRA!I703</f>
        <v>2023</v>
      </c>
      <c r="D701" s="1676"/>
      <c r="E701" s="18" t="str">
        <f>OBRA!K703</f>
        <v>CUENTA CORRIENTE</v>
      </c>
      <c r="F701" s="1374"/>
      <c r="G701" s="1300"/>
      <c r="H701" s="239"/>
      <c r="I701" s="1300"/>
      <c r="J701" s="56"/>
      <c r="K701" s="57"/>
      <c r="L701" s="20" t="str">
        <f>OBRA!L703</f>
        <v>C- OP 010/2023</v>
      </c>
      <c r="M701" s="2" t="str">
        <f>OBRA!M703</f>
        <v>ARRENDAMIENTO</v>
      </c>
      <c r="N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O701" s="597"/>
      <c r="P701" s="6">
        <f>OBRA!Q703</f>
        <v>44966</v>
      </c>
      <c r="Q701" s="4">
        <f>OBRA!P703</f>
        <v>754</v>
      </c>
      <c r="R701" s="5">
        <f>OBRA!R703</f>
        <v>44970</v>
      </c>
      <c r="S701" s="12">
        <f>OBRA!S703</f>
        <v>44976</v>
      </c>
      <c r="T701" s="792"/>
      <c r="U701" s="223"/>
      <c r="V701" s="558"/>
      <c r="W701" s="559"/>
      <c r="X701" s="590">
        <f>OBRA!AP703</f>
        <v>0</v>
      </c>
      <c r="Y701" s="341"/>
      <c r="Z701" s="341"/>
      <c r="AA701" s="5"/>
      <c r="AB701" s="351">
        <f>OBRA!BT703</f>
        <v>0</v>
      </c>
      <c r="AC701" s="569"/>
      <c r="AD701" s="569"/>
    </row>
    <row r="702" spans="1:30" ht="15" hidden="1" customHeight="1">
      <c r="A702" s="23" t="s">
        <v>2239</v>
      </c>
      <c r="B702" s="933">
        <f>GRAL!B868</f>
        <v>0</v>
      </c>
      <c r="C702" s="17">
        <f>OBRA!I704</f>
        <v>2023</v>
      </c>
      <c r="D702" s="1676"/>
      <c r="E702" s="18" t="str">
        <f>OBRA!K704</f>
        <v>CUENTA CORRIENTE</v>
      </c>
      <c r="F702" s="1374"/>
      <c r="G702" s="1300"/>
      <c r="H702" s="239"/>
      <c r="I702" s="1300"/>
      <c r="J702" s="56"/>
      <c r="K702" s="57"/>
      <c r="L702" s="20" t="str">
        <f>OBRA!L704</f>
        <v>C- OP 011/2023</v>
      </c>
      <c r="M702" s="2" t="str">
        <f>OBRA!M704</f>
        <v>ARRENDAMIENTO</v>
      </c>
      <c r="N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02" s="597"/>
      <c r="P702" s="6">
        <f>OBRA!Q704</f>
        <v>44966</v>
      </c>
      <c r="Q702" s="4">
        <f>OBRA!P704</f>
        <v>1020.8</v>
      </c>
      <c r="R702" s="5">
        <f>OBRA!R704</f>
        <v>44970</v>
      </c>
      <c r="S702" s="12">
        <f>OBRA!S704</f>
        <v>44977</v>
      </c>
      <c r="T702" s="792"/>
      <c r="U702" s="223"/>
      <c r="V702" s="558"/>
      <c r="W702" s="559"/>
      <c r="X702" s="590">
        <f>OBRA!AP704</f>
        <v>0</v>
      </c>
      <c r="Y702" s="341"/>
      <c r="Z702" s="341"/>
      <c r="AA702" s="5"/>
      <c r="AB702" s="351">
        <f>OBRA!BT704</f>
        <v>0</v>
      </c>
      <c r="AC702" s="569"/>
      <c r="AD702" s="569"/>
    </row>
    <row r="703" spans="1:30" ht="15" hidden="1" customHeight="1">
      <c r="A703" s="23" t="s">
        <v>2239</v>
      </c>
      <c r="B703" s="933">
        <f>GRAL!B869</f>
        <v>0</v>
      </c>
      <c r="C703" s="17">
        <f>OBRA!I705</f>
        <v>2023</v>
      </c>
      <c r="D703" s="1676"/>
      <c r="E703" s="18" t="str">
        <f>OBRA!K705</f>
        <v>CUENTA CORRIENTE</v>
      </c>
      <c r="F703" s="1374"/>
      <c r="G703" s="1300"/>
      <c r="H703" s="239"/>
      <c r="I703" s="1300"/>
      <c r="J703" s="56"/>
      <c r="K703" s="57"/>
      <c r="L703" s="20" t="str">
        <f>OBRA!L705</f>
        <v>C- OP 012/2023</v>
      </c>
      <c r="M703" s="2" t="str">
        <f>OBRA!M705</f>
        <v>ARRENDAMIENTO</v>
      </c>
      <c r="N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O703" s="597"/>
      <c r="P703" s="6">
        <f>OBRA!Q705</f>
        <v>44974</v>
      </c>
      <c r="Q703" s="4">
        <f>OBRA!P705</f>
        <v>754</v>
      </c>
      <c r="R703" s="5">
        <f>OBRA!R705</f>
        <v>44977</v>
      </c>
      <c r="S703" s="12">
        <f>OBRA!S705</f>
        <v>44982</v>
      </c>
      <c r="T703" s="792"/>
      <c r="U703" s="223"/>
      <c r="V703" s="558"/>
      <c r="W703" s="559"/>
      <c r="X703" s="590">
        <f>OBRA!AP705</f>
        <v>0</v>
      </c>
      <c r="Y703" s="341"/>
      <c r="Z703" s="341"/>
      <c r="AA703" s="5"/>
      <c r="AB703" s="351">
        <f>OBRA!BT705</f>
        <v>0</v>
      </c>
      <c r="AC703" s="569"/>
      <c r="AD703" s="569"/>
    </row>
    <row r="704" spans="1:30" ht="15" hidden="1" customHeight="1">
      <c r="A704" s="23" t="s">
        <v>2239</v>
      </c>
      <c r="B704" s="933">
        <f>GRAL!B870</f>
        <v>0</v>
      </c>
      <c r="C704" s="17">
        <f>OBRA!I706</f>
        <v>2023</v>
      </c>
      <c r="D704" s="1676"/>
      <c r="E704" s="18" t="str">
        <f>OBRA!K706</f>
        <v>CUENTA CORRIENTE</v>
      </c>
      <c r="F704" s="1374"/>
      <c r="G704" s="1300"/>
      <c r="H704" s="239"/>
      <c r="I704" s="1300"/>
      <c r="J704" s="56"/>
      <c r="K704" s="57"/>
      <c r="L704" s="20" t="str">
        <f>OBRA!L706</f>
        <v>C- OP 013/2023</v>
      </c>
      <c r="M704" s="2" t="str">
        <f>OBRA!M706</f>
        <v>ARRENDAMIENTO</v>
      </c>
      <c r="N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04" s="597"/>
      <c r="P704" s="6">
        <f>OBRA!Q706</f>
        <v>44974</v>
      </c>
      <c r="Q704" s="4">
        <f>OBRA!P706</f>
        <v>1020.8</v>
      </c>
      <c r="R704" s="5">
        <f>OBRA!R706</f>
        <v>44977</v>
      </c>
      <c r="S704" s="12">
        <f>OBRA!S706</f>
        <v>44982</v>
      </c>
      <c r="T704" s="792"/>
      <c r="U704" s="223"/>
      <c r="V704" s="558"/>
      <c r="W704" s="559"/>
      <c r="X704" s="590">
        <f>OBRA!AP706</f>
        <v>0</v>
      </c>
      <c r="Y704" s="341"/>
      <c r="Z704" s="341"/>
      <c r="AA704" s="5"/>
      <c r="AB704" s="351">
        <f>OBRA!BT706</f>
        <v>0</v>
      </c>
      <c r="AC704" s="569"/>
      <c r="AD704" s="569"/>
    </row>
    <row r="705" spans="1:30" ht="15" hidden="1" customHeight="1">
      <c r="A705" s="23" t="s">
        <v>2239</v>
      </c>
      <c r="B705" s="933">
        <f>GRAL!B871</f>
        <v>0</v>
      </c>
      <c r="C705" s="17">
        <f>OBRA!I707</f>
        <v>2023</v>
      </c>
      <c r="D705" s="1676"/>
      <c r="E705" s="18" t="str">
        <f>OBRA!K707</f>
        <v>CUENTA CORRIENTE</v>
      </c>
      <c r="F705" s="1374"/>
      <c r="G705" s="1300"/>
      <c r="H705" s="239"/>
      <c r="I705" s="1300"/>
      <c r="J705" s="56"/>
      <c r="K705" s="57"/>
      <c r="L705" s="20" t="str">
        <f>OBRA!L707</f>
        <v>C- OP 014/2023</v>
      </c>
      <c r="M705" s="2" t="str">
        <f>OBRA!M707</f>
        <v>ARRENDAMIENTO</v>
      </c>
      <c r="N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O705" s="597"/>
      <c r="P705" s="6">
        <f>OBRA!Q707</f>
        <v>44977</v>
      </c>
      <c r="Q705" s="4">
        <f>OBRA!P707</f>
        <v>696</v>
      </c>
      <c r="R705" s="5">
        <f>OBRA!R707</f>
        <v>44978</v>
      </c>
      <c r="S705" s="12">
        <f>OBRA!S707</f>
        <v>44982</v>
      </c>
      <c r="T705" s="792"/>
      <c r="U705" s="223"/>
      <c r="V705" s="558"/>
      <c r="W705" s="559"/>
      <c r="X705" s="590">
        <f>OBRA!AP707</f>
        <v>0</v>
      </c>
      <c r="Y705" s="341"/>
      <c r="Z705" s="341"/>
      <c r="AA705" s="5"/>
      <c r="AB705" s="351">
        <f>OBRA!BT707</f>
        <v>0</v>
      </c>
      <c r="AC705" s="569"/>
      <c r="AD705" s="569"/>
    </row>
    <row r="706" spans="1:30" ht="15" hidden="1" customHeight="1">
      <c r="A706" s="23" t="s">
        <v>2239</v>
      </c>
      <c r="B706" s="933">
        <f>GRAL!B872</f>
        <v>0</v>
      </c>
      <c r="C706" s="17">
        <f>OBRA!I708</f>
        <v>2023</v>
      </c>
      <c r="D706" s="1676"/>
      <c r="E706" s="18" t="str">
        <f>OBRA!K708</f>
        <v>CUENTA CORRIENTE</v>
      </c>
      <c r="F706" s="1374"/>
      <c r="G706" s="1300"/>
      <c r="H706" s="239"/>
      <c r="I706" s="1300"/>
      <c r="J706" s="56"/>
      <c r="K706" s="57"/>
      <c r="L706" s="20" t="str">
        <f>OBRA!L708</f>
        <v>C- OP 015/2023</v>
      </c>
      <c r="M706" s="2" t="str">
        <f>OBRA!M708</f>
        <v>ARRENDAMIENTO</v>
      </c>
      <c r="N706" s="3" t="str">
        <f>OBRA!N708</f>
        <v>RENTA DE UNA RETROEXCAVADORA JHON DEERE 310SJ 4X4, PARA SER UTILIZADA EN DIVERSOS MANTENIMIENTOS REQUERIDOS POR LA DIRECCIÓN DE OBRAS PÚBLICAS DEL GOBIERNO MUNICIPAL DE JOCOTEPEC, JALISCO.</v>
      </c>
      <c r="O706" s="597"/>
      <c r="P706" s="6">
        <f>OBRA!Q708</f>
        <v>45044</v>
      </c>
      <c r="Q706" s="4">
        <f>OBRA!P708</f>
        <v>59681.999999999993</v>
      </c>
      <c r="R706" s="5">
        <f>OBRA!R708</f>
        <v>45047</v>
      </c>
      <c r="S706" s="12">
        <f>OBRA!S708</f>
        <v>45077</v>
      </c>
      <c r="T706" s="792"/>
      <c r="U706" s="223"/>
      <c r="V706" s="558"/>
      <c r="W706" s="559"/>
      <c r="X706" s="590">
        <f>OBRA!AP708</f>
        <v>0</v>
      </c>
      <c r="Y706" s="341"/>
      <c r="Z706" s="341"/>
      <c r="AA706" s="5"/>
      <c r="AB706" s="351">
        <f>OBRA!BT708</f>
        <v>0</v>
      </c>
      <c r="AC706" s="569"/>
      <c r="AD706" s="569"/>
    </row>
    <row r="707" spans="1:30" ht="15" hidden="1" customHeight="1">
      <c r="A707" s="23" t="s">
        <v>2239</v>
      </c>
      <c r="B707" s="933">
        <f>GRAL!B873</f>
        <v>0</v>
      </c>
      <c r="C707" s="17">
        <f>OBRA!I709</f>
        <v>2023</v>
      </c>
      <c r="D707" s="1676"/>
      <c r="E707" s="18" t="str">
        <f>OBRA!K709</f>
        <v>CUENTA CORRIENTE</v>
      </c>
      <c r="F707" s="1374"/>
      <c r="G707" s="1300"/>
      <c r="H707" s="239"/>
      <c r="I707" s="1300"/>
      <c r="J707" s="56"/>
      <c r="K707" s="57"/>
      <c r="L707" s="20" t="str">
        <f>OBRA!L709</f>
        <v>C- OP 016/2023</v>
      </c>
      <c r="M707" s="2" t="str">
        <f>OBRA!M709</f>
        <v>ARRENDAMIENTO</v>
      </c>
      <c r="N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07" s="597"/>
      <c r="P707" s="6">
        <f>OBRA!Q709</f>
        <v>45113</v>
      </c>
      <c r="Q707" s="4">
        <f>OBRA!P709</f>
        <v>2900</v>
      </c>
      <c r="R707" s="5">
        <f>OBRA!R709</f>
        <v>45117</v>
      </c>
      <c r="S707" s="12">
        <f>OBRA!S709</f>
        <v>45127</v>
      </c>
      <c r="T707" s="792"/>
      <c r="U707" s="223"/>
      <c r="V707" s="558"/>
      <c r="W707" s="559"/>
      <c r="X707" s="590">
        <f>OBRA!AP709</f>
        <v>0</v>
      </c>
      <c r="Y707" s="341"/>
      <c r="Z707" s="341"/>
      <c r="AA707" s="5"/>
      <c r="AB707" s="351">
        <f>OBRA!BT709</f>
        <v>0</v>
      </c>
      <c r="AC707" s="569"/>
      <c r="AD707" s="569"/>
    </row>
    <row r="708" spans="1:30" ht="15" hidden="1" customHeight="1">
      <c r="A708" s="23" t="s">
        <v>2239</v>
      </c>
      <c r="B708" s="933">
        <f>GRAL!B874</f>
        <v>0</v>
      </c>
      <c r="C708" s="17">
        <f>OBRA!I710</f>
        <v>2023</v>
      </c>
      <c r="D708" s="1676"/>
      <c r="E708" s="18" t="str">
        <f>OBRA!K710</f>
        <v>CUENTA CORRIENTE</v>
      </c>
      <c r="F708" s="1374"/>
      <c r="G708" s="1300"/>
      <c r="H708" s="239"/>
      <c r="I708" s="1300"/>
      <c r="J708" s="56"/>
      <c r="K708" s="57"/>
      <c r="L708" s="20" t="str">
        <f>OBRA!L710</f>
        <v>C- OP 017/2023</v>
      </c>
      <c r="M708" s="2" t="str">
        <f>OBRA!M710</f>
        <v>ARRENDAMIENTO</v>
      </c>
      <c r="N708" s="3" t="str">
        <f>OBRA!N710</f>
        <v>RENTA DE UNA RETROEXCAVADORA CATERPILLAR 416E 4X4 DE 77HP, PARA SER UTITLIZADO PARA LA CONSTRUCCIÓN DE BASE PARA COLOCACIÓN DE LETRAS MONUMENTALES EN LAS TROJES, MUNICIPIO DE JOCOTEPEC, JALISCO</v>
      </c>
      <c r="O708" s="597"/>
      <c r="P708" s="6">
        <f>OBRA!Q710</f>
        <v>45133</v>
      </c>
      <c r="Q708" s="4">
        <f>OBRA!P710</f>
        <v>696</v>
      </c>
      <c r="R708" s="5">
        <f>OBRA!R710</f>
        <v>45139</v>
      </c>
      <c r="S708" s="12">
        <f>OBRA!S710</f>
        <v>45148</v>
      </c>
      <c r="T708" s="792"/>
      <c r="U708" s="223"/>
      <c r="V708" s="558"/>
      <c r="W708" s="559"/>
      <c r="X708" s="590">
        <f>OBRA!AP710</f>
        <v>0</v>
      </c>
      <c r="Y708" s="341"/>
      <c r="Z708" s="341"/>
      <c r="AA708" s="5"/>
      <c r="AB708" s="351">
        <f>OBRA!BT710</f>
        <v>0</v>
      </c>
      <c r="AC708" s="569"/>
      <c r="AD708" s="569"/>
    </row>
    <row r="709" spans="1:30" ht="15" hidden="1" customHeight="1">
      <c r="A709" s="23" t="s">
        <v>2239</v>
      </c>
      <c r="B709" s="933">
        <f>GRAL!B875</f>
        <v>0</v>
      </c>
      <c r="C709" s="17">
        <f>OBRA!I711</f>
        <v>2023</v>
      </c>
      <c r="D709" s="1676"/>
      <c r="E709" s="18" t="str">
        <f>OBRA!K711</f>
        <v>CUENTA CORRIENTE</v>
      </c>
      <c r="F709" s="1374"/>
      <c r="G709" s="1300"/>
      <c r="H709" s="239"/>
      <c r="I709" s="1300"/>
      <c r="J709" s="56"/>
      <c r="K709" s="57"/>
      <c r="L709" s="20" t="str">
        <f>OBRA!L711</f>
        <v>C- OP 018/2023</v>
      </c>
      <c r="M709" s="2" t="str">
        <f>OBRA!M711</f>
        <v>ARRENDAMIENTO</v>
      </c>
      <c r="N709" s="3" t="str">
        <f>OBRA!N711</f>
        <v>-</v>
      </c>
      <c r="O709" s="597"/>
      <c r="P709" s="6">
        <f>OBRA!Q711</f>
        <v>0</v>
      </c>
      <c r="Q709" s="4">
        <f>OBRA!P711</f>
        <v>0</v>
      </c>
      <c r="R709" s="5">
        <f>OBRA!R711</f>
        <v>0</v>
      </c>
      <c r="S709" s="12">
        <f>OBRA!S711</f>
        <v>0</v>
      </c>
      <c r="T709" s="792"/>
      <c r="U709" s="223"/>
      <c r="V709" s="558"/>
      <c r="W709" s="559"/>
      <c r="X709" s="590">
        <f>OBRA!AP711</f>
        <v>0</v>
      </c>
      <c r="Y709" s="341"/>
      <c r="Z709" s="341"/>
      <c r="AA709" s="5"/>
      <c r="AB709" s="351">
        <f>OBRA!BT711</f>
        <v>0</v>
      </c>
      <c r="AC709" s="569"/>
      <c r="AD709" s="569"/>
    </row>
    <row r="710" spans="1:30" ht="15" hidden="1" customHeight="1">
      <c r="A710" s="23" t="s">
        <v>2239</v>
      </c>
      <c r="B710" s="933">
        <f>GRAL!B876</f>
        <v>0</v>
      </c>
      <c r="C710" s="17">
        <f>OBRA!I712</f>
        <v>2023</v>
      </c>
      <c r="D710" s="1676"/>
      <c r="E710" s="18" t="str">
        <f>OBRA!K712</f>
        <v>CUENTA CORRIENTE</v>
      </c>
      <c r="F710" s="1374"/>
      <c r="G710" s="1300"/>
      <c r="H710" s="239"/>
      <c r="I710" s="1300"/>
      <c r="J710" s="56"/>
      <c r="K710" s="57"/>
      <c r="L710" s="20" t="str">
        <f>OBRA!L712</f>
        <v>C- OP 019/2023</v>
      </c>
      <c r="M710" s="2" t="str">
        <f>OBRA!M712</f>
        <v>ARRENDAMIENTO</v>
      </c>
      <c r="N710" s="3" t="str">
        <f>OBRA!N712</f>
        <v>-</v>
      </c>
      <c r="O710" s="597"/>
      <c r="P710" s="6">
        <f>OBRA!Q712</f>
        <v>0</v>
      </c>
      <c r="Q710" s="4">
        <f>OBRA!P712</f>
        <v>0</v>
      </c>
      <c r="R710" s="5">
        <f>OBRA!R712</f>
        <v>0</v>
      </c>
      <c r="S710" s="12">
        <f>OBRA!S712</f>
        <v>0</v>
      </c>
      <c r="T710" s="792"/>
      <c r="U710" s="223"/>
      <c r="V710" s="558"/>
      <c r="W710" s="559"/>
      <c r="X710" s="590">
        <f>OBRA!AP712</f>
        <v>0</v>
      </c>
      <c r="Y710" s="341"/>
      <c r="Z710" s="341"/>
      <c r="AA710" s="5"/>
      <c r="AB710" s="351">
        <f>OBRA!BT712</f>
        <v>0</v>
      </c>
      <c r="AC710" s="569"/>
      <c r="AD710" s="569"/>
    </row>
    <row r="711" spans="1:30" ht="15" hidden="1" customHeight="1">
      <c r="A711" s="23" t="s">
        <v>2239</v>
      </c>
      <c r="B711" s="933">
        <f>GRAL!B877</f>
        <v>0</v>
      </c>
      <c r="C711" s="17">
        <f>OBRA!I713</f>
        <v>2023</v>
      </c>
      <c r="D711" s="1676"/>
      <c r="E711" s="18" t="str">
        <f>OBRA!K713</f>
        <v>CUENTA CORRIENTE</v>
      </c>
      <c r="F711" s="1374"/>
      <c r="G711" s="1300"/>
      <c r="H711" s="239"/>
      <c r="I711" s="1300"/>
      <c r="J711" s="56"/>
      <c r="K711" s="57"/>
      <c r="L711" s="20" t="str">
        <f>OBRA!L713</f>
        <v>C- OP 020/2023</v>
      </c>
      <c r="M711" s="2" t="str">
        <f>OBRA!M713</f>
        <v>ARRENDAMIENTO</v>
      </c>
      <c r="N711" s="3" t="str">
        <f>OBRA!N713</f>
        <v>-</v>
      </c>
      <c r="O711" s="597"/>
      <c r="P711" s="6">
        <f>OBRA!Q713</f>
        <v>0</v>
      </c>
      <c r="Q711" s="4">
        <f>OBRA!P713</f>
        <v>0</v>
      </c>
      <c r="R711" s="5">
        <f>OBRA!R713</f>
        <v>0</v>
      </c>
      <c r="S711" s="12">
        <f>OBRA!S713</f>
        <v>0</v>
      </c>
      <c r="T711" s="792"/>
      <c r="U711" s="223"/>
      <c r="V711" s="558"/>
      <c r="W711" s="559"/>
      <c r="X711" s="590">
        <f>OBRA!AP713</f>
        <v>0</v>
      </c>
      <c r="Y711" s="341"/>
      <c r="Z711" s="341"/>
      <c r="AA711" s="5"/>
      <c r="AB711" s="351">
        <f>OBRA!BT713</f>
        <v>0</v>
      </c>
      <c r="AC711" s="569"/>
      <c r="AD711" s="569"/>
    </row>
    <row r="712" spans="1:30" ht="15" hidden="1" customHeight="1">
      <c r="A712" s="23" t="s">
        <v>2239</v>
      </c>
      <c r="B712" s="933">
        <f>GRAL!B868</f>
        <v>0</v>
      </c>
      <c r="C712" s="17">
        <f>OBRA!I714</f>
        <v>2023</v>
      </c>
      <c r="D712" s="1676"/>
      <c r="E712" s="18" t="str">
        <f>OBRA!K714</f>
        <v>CUENTA CORRIENTE</v>
      </c>
      <c r="F712" s="1374"/>
      <c r="G712" s="1300"/>
      <c r="H712" s="239"/>
      <c r="I712" s="1300"/>
      <c r="J712" s="56"/>
      <c r="K712" s="57"/>
      <c r="L712" s="20" t="str">
        <f>OBRA!L714</f>
        <v>DOP/AD/001/2023</v>
      </c>
      <c r="M712" s="2" t="str">
        <f>OBRA!M714</f>
        <v>ADMINISTRACIÓN DIRECTA</v>
      </c>
      <c r="N712" s="3" t="str">
        <f>OBRA!N714</f>
        <v>"CONSTRUCCIÓN DE REDES HIDROSANITARIAS EN CALLE FILÓSOFOS ENTRE CALLE JOSEFA ORTÍZ DE DOMINGUEZ E HIDALGO", EN LA CABECERA MUNICIPAL DE JOCOTEPEC, JALISCO</v>
      </c>
      <c r="O712" s="597"/>
      <c r="P712" s="6">
        <f>OBRA!Q714</f>
        <v>44967</v>
      </c>
      <c r="Q712" s="4">
        <f>OBRA!P714</f>
        <v>307647.35999999999</v>
      </c>
      <c r="R712" s="5">
        <f>OBRA!R714</f>
        <v>44968</v>
      </c>
      <c r="S712" s="12">
        <f>OBRA!S714</f>
        <v>44985</v>
      </c>
      <c r="T712" s="792"/>
      <c r="U712" s="223"/>
      <c r="V712" s="558"/>
      <c r="W712" s="559"/>
      <c r="X712" s="590">
        <f>OBRA!AP714</f>
        <v>0</v>
      </c>
      <c r="Y712" s="341"/>
      <c r="Z712" s="341"/>
      <c r="AA712" s="5"/>
      <c r="AB712" s="351">
        <f>OBRA!BT714</f>
        <v>0</v>
      </c>
      <c r="AC712" s="569"/>
      <c r="AD712" s="569"/>
    </row>
    <row r="713" spans="1:30" ht="15" hidden="1" customHeight="1">
      <c r="A713" s="23" t="s">
        <v>2239</v>
      </c>
      <c r="B713" s="933">
        <f>GRAL!B869</f>
        <v>0</v>
      </c>
      <c r="C713" s="17">
        <f>OBRA!I715</f>
        <v>2023</v>
      </c>
      <c r="D713" s="1676"/>
      <c r="E713" s="18" t="str">
        <f>OBRA!K715</f>
        <v>REGULARIZACIÓN DE VEHÍCULOS DE PROCEDENCIA EXTRANJERA, 2022</v>
      </c>
      <c r="F713" s="1374"/>
      <c r="G713" s="1300"/>
      <c r="H713" s="239"/>
      <c r="I713" s="1300"/>
      <c r="J713" s="56"/>
      <c r="K713" s="57"/>
      <c r="L713" s="20" t="str">
        <f>OBRA!L715</f>
        <v>DOP/AD/002/2023</v>
      </c>
      <c r="M713" s="2" t="str">
        <f>OBRA!M715</f>
        <v>ADMINISTRACIÓN DIRECTA</v>
      </c>
      <c r="N713" s="3" t="str">
        <f>OBRA!N715</f>
        <v>"BACHEO SUPERFICIAL AISLADO EN CALLE INDEPENDENCIA NORTE ENTRE C. MORELOS Y C. DEGOLLADO", EN LA CABECERA MUNICIPAL DE JOCOTEPEC, JALISCO.</v>
      </c>
      <c r="O713" s="597"/>
      <c r="P713" s="6">
        <f>OBRA!Q715</f>
        <v>45033</v>
      </c>
      <c r="Q713" s="4">
        <f>OBRA!P715</f>
        <v>27472.5</v>
      </c>
      <c r="R713" s="5">
        <f>OBRA!R715</f>
        <v>45036</v>
      </c>
      <c r="S713" s="12">
        <f>OBRA!S715</f>
        <v>45038</v>
      </c>
      <c r="T713" s="792"/>
      <c r="U713" s="223"/>
      <c r="V713" s="558"/>
      <c r="W713" s="559"/>
      <c r="X713" s="590">
        <f>OBRA!AP715</f>
        <v>0</v>
      </c>
      <c r="Y713" s="341"/>
      <c r="Z713" s="341"/>
      <c r="AA713" s="5"/>
      <c r="AB713" s="351">
        <f>OBRA!BT715</f>
        <v>0</v>
      </c>
      <c r="AC713" s="569"/>
      <c r="AD713" s="569"/>
    </row>
    <row r="714" spans="1:30" ht="15" hidden="1" customHeight="1">
      <c r="A714" s="23" t="s">
        <v>2239</v>
      </c>
      <c r="B714" s="933">
        <f>GRAL!B870</f>
        <v>0</v>
      </c>
      <c r="C714" s="17">
        <f>OBRA!I716</f>
        <v>2023</v>
      </c>
      <c r="D714" s="1676"/>
      <c r="E714" s="18">
        <f>OBRA!K716</f>
        <v>0</v>
      </c>
      <c r="F714" s="1374"/>
      <c r="G714" s="1300"/>
      <c r="H714" s="239"/>
      <c r="I714" s="1300"/>
      <c r="J714" s="56"/>
      <c r="K714" s="57"/>
      <c r="L714" s="20" t="str">
        <f>OBRA!L716</f>
        <v>DOP/AD/003/2023</v>
      </c>
      <c r="M714" s="2" t="str">
        <f>OBRA!M716</f>
        <v>ADMINISTRACIÓN DIRECTA</v>
      </c>
      <c r="N714" s="3" t="str">
        <f>OBRA!N716</f>
        <v>-</v>
      </c>
      <c r="O714" s="597"/>
      <c r="P714" s="6">
        <f>OBRA!Q716</f>
        <v>0</v>
      </c>
      <c r="Q714" s="4">
        <f>OBRA!P716</f>
        <v>0</v>
      </c>
      <c r="R714" s="5">
        <f>OBRA!R716</f>
        <v>0</v>
      </c>
      <c r="S714" s="12">
        <f>OBRA!S716</f>
        <v>0</v>
      </c>
      <c r="T714" s="792"/>
      <c r="U714" s="223"/>
      <c r="V714" s="558"/>
      <c r="W714" s="559"/>
      <c r="X714" s="590">
        <f>OBRA!AP716</f>
        <v>0</v>
      </c>
      <c r="Y714" s="341"/>
      <c r="Z714" s="341"/>
      <c r="AA714" s="5"/>
      <c r="AB714" s="351">
        <f>OBRA!BT716</f>
        <v>0</v>
      </c>
      <c r="AC714" s="569"/>
      <c r="AD714" s="569"/>
    </row>
    <row r="715" spans="1:30" ht="15" hidden="1" customHeight="1">
      <c r="A715" s="23" t="s">
        <v>2239</v>
      </c>
      <c r="B715" s="933">
        <f>GRAL!B871</f>
        <v>0</v>
      </c>
      <c r="C715" s="17">
        <f>OBRA!I717</f>
        <v>2023</v>
      </c>
      <c r="D715" s="1676"/>
      <c r="E715" s="18">
        <f>OBRA!K717</f>
        <v>0</v>
      </c>
      <c r="F715" s="1374"/>
      <c r="G715" s="1300"/>
      <c r="H715" s="239"/>
      <c r="I715" s="1300"/>
      <c r="J715" s="56"/>
      <c r="K715" s="57"/>
      <c r="L715" s="20" t="str">
        <f>OBRA!L717</f>
        <v>DOP/AD/004/2023</v>
      </c>
      <c r="M715" s="2" t="str">
        <f>OBRA!M717</f>
        <v>ADMINISTRACIÓN DIRECTA</v>
      </c>
      <c r="N715" s="3" t="str">
        <f>OBRA!N717</f>
        <v>-</v>
      </c>
      <c r="O715" s="597"/>
      <c r="P715" s="6">
        <f>OBRA!Q717</f>
        <v>0</v>
      </c>
      <c r="Q715" s="4">
        <f>OBRA!P717</f>
        <v>0</v>
      </c>
      <c r="R715" s="5">
        <f>OBRA!R717</f>
        <v>0</v>
      </c>
      <c r="S715" s="12">
        <f>OBRA!S717</f>
        <v>0</v>
      </c>
      <c r="T715" s="792"/>
      <c r="U715" s="223"/>
      <c r="V715" s="558"/>
      <c r="W715" s="559"/>
      <c r="X715" s="590">
        <f>OBRA!AP717</f>
        <v>0</v>
      </c>
      <c r="Y715" s="341"/>
      <c r="Z715" s="341"/>
      <c r="AA715" s="5"/>
      <c r="AB715" s="351">
        <f>OBRA!BT717</f>
        <v>0</v>
      </c>
      <c r="AC715" s="569"/>
      <c r="AD715" s="569"/>
    </row>
    <row r="716" spans="1:30" ht="15" hidden="1" customHeight="1">
      <c r="A716" s="23" t="s">
        <v>2239</v>
      </c>
      <c r="B716" s="933">
        <f>GRAL!B872</f>
        <v>0</v>
      </c>
      <c r="C716" s="17">
        <f>OBRA!I718</f>
        <v>2023</v>
      </c>
      <c r="D716" s="1676"/>
      <c r="E716" s="18" t="str">
        <f>OBRA!K718</f>
        <v>REGULARIZACIÓN DE VEHÍCULOS DE PROCEDENCIA EXTRANJERA, 2022</v>
      </c>
      <c r="F716" s="1374"/>
      <c r="G716" s="1300"/>
      <c r="H716" s="239"/>
      <c r="I716" s="1300"/>
      <c r="J716" s="56"/>
      <c r="K716" s="57"/>
      <c r="L716" s="20" t="str">
        <f>OBRA!L718</f>
        <v>DOP/AD/005/2023</v>
      </c>
      <c r="M716" s="2" t="str">
        <f>OBRA!M718</f>
        <v>ADMINISTRACIÓN DIRECTA</v>
      </c>
      <c r="N716" s="3" t="str">
        <f>OBRA!N718</f>
        <v>"BACHEO SUPERFICIAL AISLADO DE MEZCLA ASFÁLTICA EN LA CALLE MORELOS ENTRE CALLE NIÑOS HÉROES YCALLE ZARAGOZA EN EL BARRIO LA CALABAZA" DE LA CABECERA MUNICIPAL DE JOCOTEPEC, MUNICIPIO DE JOCOTEPEC, JALISCO.</v>
      </c>
      <c r="O716" s="597"/>
      <c r="P716" s="6">
        <f>OBRA!Q718</f>
        <v>45244</v>
      </c>
      <c r="Q716" s="4">
        <f>OBRA!P718</f>
        <v>92407.5</v>
      </c>
      <c r="R716" s="5">
        <f>OBRA!R718</f>
        <v>45264</v>
      </c>
      <c r="S716" s="12">
        <f>OBRA!S718</f>
        <v>45268</v>
      </c>
      <c r="T716" s="792"/>
      <c r="U716" s="223"/>
      <c r="V716" s="558"/>
      <c r="W716" s="559"/>
      <c r="X716" s="590">
        <f>OBRA!AP718</f>
        <v>0</v>
      </c>
      <c r="Y716" s="341"/>
      <c r="Z716" s="341"/>
      <c r="AA716" s="5"/>
      <c r="AB716" s="351">
        <f>OBRA!BT718</f>
        <v>0</v>
      </c>
      <c r="AC716" s="569"/>
      <c r="AD716" s="569"/>
    </row>
    <row r="717" spans="1:30" ht="15" hidden="1" customHeight="1">
      <c r="A717" s="23" t="s">
        <v>2239</v>
      </c>
      <c r="B717" s="933">
        <f>GRAL!B873</f>
        <v>0</v>
      </c>
      <c r="C717" s="17">
        <f>OBRA!I719</f>
        <v>2023</v>
      </c>
      <c r="D717" s="1676"/>
      <c r="E717" s="18">
        <f>OBRA!K719</f>
        <v>0</v>
      </c>
      <c r="F717" s="1374"/>
      <c r="G717" s="1300"/>
      <c r="H717" s="239"/>
      <c r="I717" s="1300"/>
      <c r="J717" s="56"/>
      <c r="K717" s="57"/>
      <c r="L717" s="20" t="str">
        <f>OBRA!L719</f>
        <v>DOP/AD/006/2023</v>
      </c>
      <c r="M717" s="2" t="str">
        <f>OBRA!M719</f>
        <v>CANCELADA</v>
      </c>
      <c r="N717" s="3" t="str">
        <f>OBRA!N719</f>
        <v>-</v>
      </c>
      <c r="O717" s="597"/>
      <c r="P717" s="6">
        <f>OBRA!Q719</f>
        <v>0</v>
      </c>
      <c r="Q717" s="4">
        <f>OBRA!P719</f>
        <v>0</v>
      </c>
      <c r="R717" s="5">
        <f>OBRA!R719</f>
        <v>0</v>
      </c>
      <c r="S717" s="12">
        <f>OBRA!S719</f>
        <v>0</v>
      </c>
      <c r="T717" s="792"/>
      <c r="U717" s="223"/>
      <c r="V717" s="558"/>
      <c r="W717" s="559"/>
      <c r="X717" s="590">
        <f>OBRA!AP719</f>
        <v>0</v>
      </c>
      <c r="Y717" s="341"/>
      <c r="Z717" s="341"/>
      <c r="AA717" s="5"/>
      <c r="AB717" s="351">
        <f>OBRA!BT719</f>
        <v>0</v>
      </c>
      <c r="AC717" s="569"/>
      <c r="AD717" s="569"/>
    </row>
    <row r="718" spans="1:30" ht="15" hidden="1" customHeight="1">
      <c r="A718" s="23" t="s">
        <v>2239</v>
      </c>
      <c r="B718" s="933">
        <f>GRAL!B874</f>
        <v>0</v>
      </c>
      <c r="C718" s="17">
        <f>OBRA!I720</f>
        <v>2023</v>
      </c>
      <c r="D718" s="1676"/>
      <c r="E718" s="18">
        <f>OBRA!K720</f>
        <v>0</v>
      </c>
      <c r="F718" s="1374"/>
      <c r="G718" s="1300"/>
      <c r="H718" s="239"/>
      <c r="I718" s="1300"/>
      <c r="J718" s="56"/>
      <c r="K718" s="57"/>
      <c r="L718" s="20" t="str">
        <f>OBRA!L720</f>
        <v>DOP/AD/007/2023</v>
      </c>
      <c r="M718" s="2" t="str">
        <f>OBRA!M720</f>
        <v>CANCELADA</v>
      </c>
      <c r="N718" s="3" t="str">
        <f>OBRA!N720</f>
        <v>-</v>
      </c>
      <c r="O718" s="597"/>
      <c r="P718" s="6">
        <f>OBRA!Q720</f>
        <v>0</v>
      </c>
      <c r="Q718" s="4">
        <f>OBRA!P720</f>
        <v>0</v>
      </c>
      <c r="R718" s="5">
        <f>OBRA!R720</f>
        <v>0</v>
      </c>
      <c r="S718" s="12">
        <f>OBRA!S720</f>
        <v>0</v>
      </c>
      <c r="T718" s="792"/>
      <c r="U718" s="223"/>
      <c r="V718" s="558"/>
      <c r="W718" s="559"/>
      <c r="X718" s="590">
        <f>OBRA!AP720</f>
        <v>0</v>
      </c>
      <c r="Y718" s="341"/>
      <c r="Z718" s="341"/>
      <c r="AA718" s="5"/>
      <c r="AB718" s="351">
        <f>OBRA!BT720</f>
        <v>0</v>
      </c>
      <c r="AC718" s="569"/>
      <c r="AD718" s="569"/>
    </row>
    <row r="719" spans="1:30" ht="15" hidden="1" customHeight="1">
      <c r="A719" s="23" t="s">
        <v>2239</v>
      </c>
      <c r="B719" s="933">
        <f>GRAL!B875</f>
        <v>0</v>
      </c>
      <c r="C719" s="17">
        <f>OBRA!I721</f>
        <v>2023</v>
      </c>
      <c r="D719" s="1676"/>
      <c r="E719" s="18">
        <f>OBRA!K721</f>
        <v>0</v>
      </c>
      <c r="F719" s="1374"/>
      <c r="G719" s="1300"/>
      <c r="H719" s="239"/>
      <c r="I719" s="1300"/>
      <c r="J719" s="56"/>
      <c r="K719" s="57"/>
      <c r="L719" s="20" t="str">
        <f>OBRA!L721</f>
        <v>DOP/AD/008/2023</v>
      </c>
      <c r="M719" s="2" t="str">
        <f>OBRA!M721</f>
        <v>CANCELADA</v>
      </c>
      <c r="N719" s="3" t="str">
        <f>OBRA!N721</f>
        <v>-</v>
      </c>
      <c r="O719" s="597"/>
      <c r="P719" s="6">
        <f>OBRA!Q721</f>
        <v>0</v>
      </c>
      <c r="Q719" s="4">
        <f>OBRA!P721</f>
        <v>0</v>
      </c>
      <c r="R719" s="5">
        <f>OBRA!R721</f>
        <v>0</v>
      </c>
      <c r="S719" s="12">
        <f>OBRA!S721</f>
        <v>0</v>
      </c>
      <c r="T719" s="792"/>
      <c r="U719" s="223"/>
      <c r="V719" s="558"/>
      <c r="W719" s="559"/>
      <c r="X719" s="590">
        <f>OBRA!AP721</f>
        <v>0</v>
      </c>
      <c r="Y719" s="341"/>
      <c r="Z719" s="341"/>
      <c r="AA719" s="5"/>
      <c r="AB719" s="351">
        <f>OBRA!BT721</f>
        <v>0</v>
      </c>
      <c r="AC719" s="569"/>
      <c r="AD719" s="569"/>
    </row>
    <row r="720" spans="1:30" ht="15" hidden="1" customHeight="1">
      <c r="A720" s="23" t="s">
        <v>2239</v>
      </c>
      <c r="B720" s="933">
        <f>GRAL!B876</f>
        <v>0</v>
      </c>
      <c r="C720" s="17">
        <f>OBRA!I722</f>
        <v>2023</v>
      </c>
      <c r="D720" s="1676"/>
      <c r="E720" s="18">
        <f>OBRA!K722</f>
        <v>0</v>
      </c>
      <c r="F720" s="1374"/>
      <c r="G720" s="1300"/>
      <c r="H720" s="239"/>
      <c r="I720" s="1300"/>
      <c r="J720" s="56"/>
      <c r="K720" s="57"/>
      <c r="L720" s="20" t="str">
        <f>OBRA!L722</f>
        <v>DOP/AD/009/2023</v>
      </c>
      <c r="M720" s="2" t="str">
        <f>OBRA!M722</f>
        <v>CANCELADA</v>
      </c>
      <c r="N720" s="3" t="str">
        <f>OBRA!N722</f>
        <v>-</v>
      </c>
      <c r="O720" s="597"/>
      <c r="P720" s="6">
        <f>OBRA!Q722</f>
        <v>0</v>
      </c>
      <c r="Q720" s="4">
        <f>OBRA!P722</f>
        <v>0</v>
      </c>
      <c r="R720" s="5">
        <f>OBRA!R722</f>
        <v>0</v>
      </c>
      <c r="S720" s="12">
        <f>OBRA!S722</f>
        <v>0</v>
      </c>
      <c r="T720" s="792"/>
      <c r="U720" s="223"/>
      <c r="V720" s="558"/>
      <c r="W720" s="559"/>
      <c r="X720" s="590">
        <f>OBRA!AP722</f>
        <v>0</v>
      </c>
      <c r="Y720" s="341"/>
      <c r="Z720" s="341"/>
      <c r="AA720" s="5"/>
      <c r="AB720" s="351">
        <f>OBRA!BT722</f>
        <v>0</v>
      </c>
      <c r="AC720" s="569"/>
      <c r="AD720" s="569"/>
    </row>
    <row r="721" spans="1:30" ht="15" hidden="1" customHeight="1">
      <c r="A721" s="23" t="s">
        <v>2239</v>
      </c>
      <c r="B721" s="933">
        <f>GRAL!B877</f>
        <v>0</v>
      </c>
      <c r="C721" s="17">
        <f>OBRA!I723</f>
        <v>2023</v>
      </c>
      <c r="D721" s="1676"/>
      <c r="E721" s="18">
        <f>OBRA!K723</f>
        <v>0</v>
      </c>
      <c r="F721" s="1374"/>
      <c r="G721" s="1300"/>
      <c r="H721" s="239"/>
      <c r="I721" s="1300"/>
      <c r="J721" s="56"/>
      <c r="K721" s="57"/>
      <c r="L721" s="20" t="str">
        <f>OBRA!L723</f>
        <v>DOP/AD/010/2023</v>
      </c>
      <c r="M721" s="2" t="str">
        <f>OBRA!M723</f>
        <v>CANCELADA</v>
      </c>
      <c r="N721" s="3" t="str">
        <f>OBRA!N723</f>
        <v>-</v>
      </c>
      <c r="O721" s="597"/>
      <c r="P721" s="6">
        <f>OBRA!Q723</f>
        <v>0</v>
      </c>
      <c r="Q721" s="4">
        <f>OBRA!P723</f>
        <v>0</v>
      </c>
      <c r="R721" s="5">
        <f>OBRA!R723</f>
        <v>0</v>
      </c>
      <c r="S721" s="12">
        <f>OBRA!S723</f>
        <v>0</v>
      </c>
      <c r="T721" s="792"/>
      <c r="U721" s="223"/>
      <c r="V721" s="558"/>
      <c r="W721" s="559"/>
      <c r="X721" s="590">
        <f>OBRA!AP723</f>
        <v>0</v>
      </c>
      <c r="Y721" s="341"/>
      <c r="Z721" s="341"/>
      <c r="AA721" s="5"/>
      <c r="AB721" s="351">
        <f>OBRA!BT723</f>
        <v>0</v>
      </c>
      <c r="AC721" s="569"/>
      <c r="AD721" s="569"/>
    </row>
    <row r="722" spans="1:30" ht="136.5" customHeight="1" thickTop="1">
      <c r="A722" s="335" t="s">
        <v>2239</v>
      </c>
      <c r="B722" s="1056" t="str">
        <f>GRAL!B726</f>
        <v>2021-2024</v>
      </c>
      <c r="C722" s="327">
        <f>OBRA!I724</f>
        <v>2023</v>
      </c>
      <c r="D722" s="1676"/>
      <c r="E722" s="532" t="str">
        <f>OBRA!K724</f>
        <v>RAMO 33</v>
      </c>
      <c r="F722" s="695" t="s">
        <v>1431</v>
      </c>
      <c r="G722" s="546" t="s">
        <v>5599</v>
      </c>
      <c r="H722" s="545" t="s">
        <v>5599</v>
      </c>
      <c r="I722" s="546" t="s">
        <v>5599</v>
      </c>
      <c r="J722" s="339" t="str">
        <f>OBRA!U724</f>
        <v>EDIFICACIONES Y TERRACERIAS CH, S.A. DE C.V.</v>
      </c>
      <c r="K722" s="172" t="str">
        <f>OBRA!V724</f>
        <v>C. DANIEL RODRIGUEZ VALENZUELA</v>
      </c>
      <c r="L722" s="174" t="str">
        <f>OBRA!L724</f>
        <v>GMJ 001C OP/2023</v>
      </c>
      <c r="M722" s="202" t="str">
        <f>OBRA!M724</f>
        <v>ADJUDICACIÓN DIRECTA</v>
      </c>
      <c r="N722" s="328" t="str">
        <f>OBRA!N724</f>
        <v>"CONSTRUCCIÓN DE LÍNEA DE DRENAJE SANITARIO, LÍNEA DE AGUA POTABLE, HUELLA DE CONCRETO Y EMPEDRADO AHOGADO EN CONCRETO EN LA CALLE JOSEFA ORTIZ DE DOMINGUEZ DE CALLE ALDAMA PONIENTE A CALLE FILÓSOFOS", EN LA CABECERA MUNICIPAL DE JOCOTEPEC, JALISCO.</v>
      </c>
      <c r="O722" s="554" t="s">
        <v>5592</v>
      </c>
      <c r="P722" s="69">
        <f>OBRA!Q724</f>
        <v>44974</v>
      </c>
      <c r="Q722" s="85">
        <f>OBRA!P724</f>
        <v>1211066.4099999999</v>
      </c>
      <c r="R722" s="255">
        <f>OBRA!R724</f>
        <v>44977</v>
      </c>
      <c r="S722" s="245">
        <f>OBRA!S724</f>
        <v>45021</v>
      </c>
      <c r="T722" s="1897" t="s">
        <v>4497</v>
      </c>
      <c r="U722" s="216"/>
      <c r="V722" s="549" t="s">
        <v>5599</v>
      </c>
      <c r="W722" s="668" t="s">
        <v>5599</v>
      </c>
      <c r="X722" s="1154">
        <f>OBRA!AP724</f>
        <v>242213.28</v>
      </c>
      <c r="Y722" s="344"/>
      <c r="Z722" s="344"/>
      <c r="AA722" s="255"/>
      <c r="AB722" s="1057">
        <f>OBRA!BT724</f>
        <v>0</v>
      </c>
      <c r="AC722" s="1058"/>
      <c r="AD722" s="1058"/>
    </row>
    <row r="723" spans="1:30" ht="117.75" customHeight="1">
      <c r="A723" s="335" t="s">
        <v>2239</v>
      </c>
      <c r="B723" s="1056" t="str">
        <f>GRAL!B727</f>
        <v>2021-2024</v>
      </c>
      <c r="C723" s="327">
        <f>OBRA!I725</f>
        <v>2023</v>
      </c>
      <c r="D723" s="1676"/>
      <c r="E723" s="532" t="str">
        <f>OBRA!K725</f>
        <v>RAMO 33</v>
      </c>
      <c r="F723" s="695" t="s">
        <v>1431</v>
      </c>
      <c r="G723" s="546" t="s">
        <v>5598</v>
      </c>
      <c r="H723" s="545" t="s">
        <v>5598</v>
      </c>
      <c r="I723" s="546" t="s">
        <v>5598</v>
      </c>
      <c r="J723" s="339" t="str">
        <f>OBRA!U725</f>
        <v>ING. SERGIO CABRERA</v>
      </c>
      <c r="K723" s="172" t="str">
        <f>OBRA!V725</f>
        <v>C. DANIEL RODRIGUEZ VALENZUELA</v>
      </c>
      <c r="L723" s="174" t="str">
        <f>OBRA!L725</f>
        <v>GMJ 002C OP/2023</v>
      </c>
      <c r="M723" s="202" t="str">
        <f>OBRA!M725</f>
        <v>ADJUDICACIÓN DIRECTA</v>
      </c>
      <c r="N723" s="328" t="str">
        <f>OBRA!N725</f>
        <v>"CONSTRUCCIÓN DE HUELLAS DE CONCRETO Y EMPEDRADO AHOGADO EN CEMENTO EN LA CALLE JOSEFA ORTIZ DE DOMINGUEZ DE CALLE ALDAMA PONIENTE A CALLE FILÓSOFOS", EN LA CABECERA MUNICIPAL DE JOCOTEPEC, JALISCO.</v>
      </c>
      <c r="O723" s="554" t="s">
        <v>5592</v>
      </c>
      <c r="P723" s="69">
        <f>OBRA!Q725</f>
        <v>45022</v>
      </c>
      <c r="Q723" s="85">
        <f>OBRA!P725</f>
        <v>1810170.95</v>
      </c>
      <c r="R723" s="255">
        <f>OBRA!R725</f>
        <v>45024</v>
      </c>
      <c r="S723" s="245">
        <f>OBRA!S725</f>
        <v>45061</v>
      </c>
      <c r="T723" s="1897" t="s">
        <v>4497</v>
      </c>
      <c r="U723" s="216"/>
      <c r="V723" s="549" t="s">
        <v>5598</v>
      </c>
      <c r="W723" s="668" t="s">
        <v>5598</v>
      </c>
      <c r="X723" s="1154">
        <f>OBRA!AP725</f>
        <v>362034.18</v>
      </c>
      <c r="Y723" s="344"/>
      <c r="Z723" s="344"/>
      <c r="AA723" s="255"/>
      <c r="AB723" s="1057">
        <f>OBRA!BT725</f>
        <v>0</v>
      </c>
      <c r="AC723" s="1058"/>
      <c r="AD723" s="1058"/>
    </row>
    <row r="724" spans="1:30" ht="15" hidden="1" customHeight="1">
      <c r="A724" s="23" t="s">
        <v>2239</v>
      </c>
      <c r="B724" s="933">
        <f>GRAL!B880</f>
        <v>0</v>
      </c>
      <c r="C724" s="17">
        <f>OBRA!I726</f>
        <v>2023</v>
      </c>
      <c r="D724" s="1676"/>
      <c r="E724" s="18" t="str">
        <f>OBRA!K726</f>
        <v>CUENTA CORRIENTE</v>
      </c>
      <c r="F724" s="1374"/>
      <c r="G724" s="1300"/>
      <c r="H724" s="239"/>
      <c r="I724" s="1300"/>
      <c r="J724" s="56"/>
      <c r="K724" s="57"/>
      <c r="L724" s="20" t="str">
        <f>OBRA!L726</f>
        <v>CSS-OP-CC-003/2023</v>
      </c>
      <c r="M724" s="2" t="str">
        <f>OBRA!M726</f>
        <v>CONCURSO SIMPLIFICADO SUMARIO</v>
      </c>
      <c r="N724" s="3" t="str">
        <f>OBRA!N726</f>
        <v>“CONSTRUCCIÓN DE LINEA DE DRENAJE, LINEA DE AGUA POTABLE, HUELLA DE CONCRETO Y EMPEDRADO AHOGADO EN CONCRETO EN LA CALLE JOSEFA ORTIZ DE DOMINGUEZ DE CALLE FILÓSOFOS HASTA EL LIBRAMIENTO”, EN LA CABECERA MUNICIPAL DE JOCOTEPEC, JALISCO.</v>
      </c>
      <c r="O724" s="554" t="s">
        <v>5592</v>
      </c>
      <c r="P724" s="6">
        <f>OBRA!Q726</f>
        <v>44981</v>
      </c>
      <c r="Q724" s="4">
        <f>OBRA!P726</f>
        <v>4378573.75</v>
      </c>
      <c r="R724" s="5">
        <f>OBRA!R726</f>
        <v>44987</v>
      </c>
      <c r="S724" s="12">
        <f>OBRA!S726</f>
        <v>45048</v>
      </c>
      <c r="T724" s="792"/>
      <c r="U724" s="223"/>
      <c r="V724" s="558"/>
      <c r="W724" s="559"/>
      <c r="X724" s="590">
        <f>OBRA!AP726</f>
        <v>875714.74</v>
      </c>
      <c r="Y724" s="341"/>
      <c r="Z724" s="341"/>
      <c r="AA724" s="5"/>
      <c r="AB724" s="351">
        <f>OBRA!BT726</f>
        <v>0</v>
      </c>
      <c r="AC724" s="569"/>
      <c r="AD724" s="569"/>
    </row>
    <row r="725" spans="1:30" ht="118.5" customHeight="1">
      <c r="A725" s="335" t="s">
        <v>2239</v>
      </c>
      <c r="B725" s="1056" t="str">
        <f>GRAL!B729</f>
        <v>2021-2024</v>
      </c>
      <c r="C725" s="327">
        <f>OBRA!I727</f>
        <v>2023</v>
      </c>
      <c r="D725" s="1676"/>
      <c r="E725" s="532" t="str">
        <f>OBRA!K727</f>
        <v>RAMO 33</v>
      </c>
      <c r="F725" s="695" t="s">
        <v>1431</v>
      </c>
      <c r="G725" s="546" t="s">
        <v>5600</v>
      </c>
      <c r="H725" s="545" t="s">
        <v>5600</v>
      </c>
      <c r="I725" s="546" t="s">
        <v>5600</v>
      </c>
      <c r="J725" s="339" t="str">
        <f>OBRA!U727</f>
        <v>URBANIZADORA Y PAVIMENTADORA MONLE S.A. DE C.V.</v>
      </c>
      <c r="K725" s="172" t="str">
        <f>OBRA!V727</f>
        <v>ING. J. GUADALUPE IBARRA RAMIREZ</v>
      </c>
      <c r="L725" s="174" t="str">
        <f>OBRA!L727</f>
        <v>GMJ 004C OP/2023</v>
      </c>
      <c r="M725" s="202" t="str">
        <f>OBRA!M727</f>
        <v>ADJUDICACIÓN DIRECTA</v>
      </c>
      <c r="N725" s="328" t="str">
        <f>OBRA!N727</f>
        <v>"COMPLEMENTO DE OBRA: EQUIPAMIENTO, ELECTRIFICACIÓN, TREN DE DESCARGA, CASETA DE CLORACIÓN, CERCADO PERIMETRAL Y PUESTA EN MARCHA DEL POZO DE AGUA", EN LA LOCALIDAD DE CHANTEPEC DEL MUNICIPIO DE JOCOTEPEC, JALISCO.</v>
      </c>
      <c r="O725" s="554" t="s">
        <v>5592</v>
      </c>
      <c r="P725" s="69">
        <f>OBRA!Q727</f>
        <v>45036</v>
      </c>
      <c r="Q725" s="85">
        <f>OBRA!P727</f>
        <v>1196296.56</v>
      </c>
      <c r="R725" s="255">
        <f>OBRA!R727</f>
        <v>45048</v>
      </c>
      <c r="S725" s="245">
        <f>OBRA!S727</f>
        <v>45079</v>
      </c>
      <c r="T725" s="1897" t="s">
        <v>4497</v>
      </c>
      <c r="U725" s="216"/>
      <c r="V725" s="549" t="s">
        <v>5600</v>
      </c>
      <c r="W725" s="668" t="s">
        <v>5600</v>
      </c>
      <c r="X725" s="2083">
        <f>OBRA!AP727</f>
        <v>584851.71</v>
      </c>
      <c r="Y725" s="344"/>
      <c r="Z725" s="344"/>
      <c r="AA725" s="255"/>
      <c r="AB725" s="1057">
        <f>OBRA!BT727</f>
        <v>0</v>
      </c>
      <c r="AC725" s="1058"/>
      <c r="AD725" s="1058"/>
    </row>
    <row r="726" spans="1:30" ht="121.5" customHeight="1">
      <c r="A726" s="335" t="s">
        <v>2239</v>
      </c>
      <c r="B726" s="1056" t="str">
        <f>GRAL!B730</f>
        <v>2021-2024</v>
      </c>
      <c r="C726" s="327">
        <f>OBRA!I728</f>
        <v>2023</v>
      </c>
      <c r="D726" s="1676"/>
      <c r="E726" s="532" t="str">
        <f>OBRA!K728</f>
        <v>RAMO 33</v>
      </c>
      <c r="F726" s="695" t="s">
        <v>1431</v>
      </c>
      <c r="G726" s="546" t="s">
        <v>5601</v>
      </c>
      <c r="H726" s="545" t="s">
        <v>5601</v>
      </c>
      <c r="I726" s="546" t="s">
        <v>5601</v>
      </c>
      <c r="J726" s="339" t="str">
        <f>OBRA!U728</f>
        <v>CONSTRUCTORA ELÉCTRICA DEL LAGO S.A. DE C.V.</v>
      </c>
      <c r="K726" s="172" t="str">
        <f>OBRA!V728</f>
        <v>ING. J. GUADALUPE IBARRA RAMIREZ</v>
      </c>
      <c r="L726" s="174" t="str">
        <f>OBRA!L728</f>
        <v>GMJ 005C OP/2023</v>
      </c>
      <c r="M726" s="202" t="str">
        <f>OBRA!M728</f>
        <v>ADJUDICACIÓN DIRECTA</v>
      </c>
      <c r="N726" s="328" t="str">
        <f>OBRA!N728</f>
        <v>"COMPLEMENTO DE OBRA: EQUIPAMIENTO, ELECTRIFICACIÓN, TREN DE DESCARGA, CASETA DE CLORACIÓN, CERCADO PERIMETRAL Y PUESTA EN MARCHA DEL POZO DE AGUA", EN LA LOCALIDAD DE CHANTEPEC DEL MUNICIPIO DE JOCOTEPEC, JALISCO.</v>
      </c>
      <c r="O726" s="554" t="s">
        <v>5592</v>
      </c>
      <c r="P726" s="69">
        <f>OBRA!Q728</f>
        <v>45044</v>
      </c>
      <c r="Q726" s="85">
        <f>OBRA!P728</f>
        <v>544139.78</v>
      </c>
      <c r="R726" s="255">
        <f>OBRA!R728</f>
        <v>45054</v>
      </c>
      <c r="S726" s="245">
        <f>OBRA!S728</f>
        <v>45086</v>
      </c>
      <c r="T726" s="1897" t="s">
        <v>4497</v>
      </c>
      <c r="U726" s="216"/>
      <c r="V726" s="549" t="s">
        <v>5601</v>
      </c>
      <c r="W726" s="668" t="s">
        <v>5601</v>
      </c>
      <c r="X726" s="2083">
        <f>OBRA!AP728</f>
        <v>272069.87</v>
      </c>
      <c r="Y726" s="344"/>
      <c r="Z726" s="344"/>
      <c r="AA726" s="255"/>
      <c r="AB726" s="1057">
        <f>OBRA!BT728</f>
        <v>0</v>
      </c>
      <c r="AC726" s="1058"/>
      <c r="AD726" s="1058"/>
    </row>
    <row r="727" spans="1:30" ht="158.25" customHeight="1">
      <c r="A727" s="335" t="s">
        <v>2239</v>
      </c>
      <c r="B727" s="1056" t="str">
        <f>GRAL!B731</f>
        <v>2021-2024</v>
      </c>
      <c r="C727" s="327">
        <f>OBRA!I729</f>
        <v>2023</v>
      </c>
      <c r="D727" s="1676"/>
      <c r="E727" s="532" t="str">
        <f>OBRA!K729</f>
        <v>CUENTA CORRIENTE</v>
      </c>
      <c r="F727" s="695" t="s">
        <v>1431</v>
      </c>
      <c r="G727" s="546" t="s">
        <v>5602</v>
      </c>
      <c r="H727" s="545" t="s">
        <v>5602</v>
      </c>
      <c r="I727" s="546" t="s">
        <v>5602</v>
      </c>
      <c r="J727" s="339" t="str">
        <f>OBRA!U729</f>
        <v>ESTRUCTURAS PLANEADAS DE OCCIDENTE, S.A. DE C.V.</v>
      </c>
      <c r="K727" s="172" t="str">
        <f>OBRA!V729</f>
        <v>ARQ. JAIME CONDE GOMEZ</v>
      </c>
      <c r="L727" s="174" t="str">
        <f>OBRA!L729</f>
        <v>GMJ 006C OP/2023</v>
      </c>
      <c r="M727" s="202" t="str">
        <f>OBRA!M729</f>
        <v>ADJUDICACIÓN DIRECTA</v>
      </c>
      <c r="N727" s="328"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O727" s="554" t="s">
        <v>5592</v>
      </c>
      <c r="P727" s="69">
        <f>OBRA!Q729</f>
        <v>45042</v>
      </c>
      <c r="Q727" s="85">
        <f>OBRA!P729</f>
        <v>584259.75</v>
      </c>
      <c r="R727" s="255">
        <f>OBRA!R729</f>
        <v>45048</v>
      </c>
      <c r="S727" s="245">
        <f>OBRA!S729</f>
        <v>45168</v>
      </c>
      <c r="T727" s="1897" t="s">
        <v>4498</v>
      </c>
      <c r="U727" s="1477" t="s">
        <v>1431</v>
      </c>
      <c r="V727" s="549" t="s">
        <v>5602</v>
      </c>
      <c r="W727" s="668" t="s">
        <v>5602</v>
      </c>
      <c r="X727" s="1154">
        <f>OBRA!AP729</f>
        <v>77410.84</v>
      </c>
      <c r="Y727" s="344"/>
      <c r="Z727" s="344"/>
      <c r="AA727" s="255"/>
      <c r="AB727" s="1057">
        <f>OBRA!BT729</f>
        <v>0</v>
      </c>
      <c r="AC727" s="1058"/>
      <c r="AD727" s="1058"/>
    </row>
    <row r="728" spans="1:30" ht="105" customHeight="1">
      <c r="A728" s="335" t="s">
        <v>2239</v>
      </c>
      <c r="B728" s="1056" t="str">
        <f>GRAL!B732</f>
        <v>2021-2024</v>
      </c>
      <c r="C728" s="327">
        <f>OBRA!I730</f>
        <v>2023</v>
      </c>
      <c r="D728" s="1676"/>
      <c r="E728" s="532" t="str">
        <f>OBRA!K730</f>
        <v>CUENTA CORRIENTE</v>
      </c>
      <c r="F728" s="695" t="s">
        <v>1431</v>
      </c>
      <c r="G728" s="546" t="s">
        <v>6036</v>
      </c>
      <c r="H728" s="545" t="s">
        <v>6036</v>
      </c>
      <c r="I728" s="546" t="s">
        <v>6036</v>
      </c>
      <c r="J728" s="339" t="str">
        <f>OBRA!U730</f>
        <v>EDIFICACIONES Y TERRACERIAS CH, S.A. DE C.V.</v>
      </c>
      <c r="K728" s="172" t="str">
        <f>OBRA!V730</f>
        <v>C. DANIEL RODRIGUEZ VALENZUELA</v>
      </c>
      <c r="L728" s="174" t="str">
        <f>OBRA!L730</f>
        <v>GMJ 007C OP/2023</v>
      </c>
      <c r="M728" s="202" t="str">
        <f>OBRA!M730</f>
        <v>ADJUDICACIÓN DIRECTA</v>
      </c>
      <c r="N728" s="328" t="str">
        <f>OBRA!N730</f>
        <v>“CONSTRUCCIÓN DE LÍNEA DE ABASTECIMIENTO DE AGUA POTABLE DE 6” EN CALLE JOSEFA ORTÍZ DE DOMINGUEZ DEL LIBRAMIENTO AL DEPÓSITO DE AGUA”, EN LA CABECERA MUNICIPAL DE JOCOTEPEC, JALISCO.</v>
      </c>
      <c r="O728" s="554" t="s">
        <v>5592</v>
      </c>
      <c r="P728" s="69">
        <f>OBRA!Q730</f>
        <v>45056</v>
      </c>
      <c r="Q728" s="85">
        <f>OBRA!P730</f>
        <v>387303.55</v>
      </c>
      <c r="R728" s="255">
        <f>OBRA!R730</f>
        <v>45061</v>
      </c>
      <c r="S728" s="245">
        <f>OBRA!S730</f>
        <v>45090</v>
      </c>
      <c r="T728" s="1897" t="s">
        <v>4498</v>
      </c>
      <c r="U728" s="1477" t="s">
        <v>1431</v>
      </c>
      <c r="V728" s="549" t="s">
        <v>6036</v>
      </c>
      <c r="W728" s="668" t="s">
        <v>6036</v>
      </c>
      <c r="X728" s="1154">
        <f>OBRA!AP730</f>
        <v>77460.7</v>
      </c>
      <c r="Y728" s="344"/>
      <c r="Z728" s="344"/>
      <c r="AA728" s="255"/>
      <c r="AB728" s="1057">
        <f>OBRA!BT730</f>
        <v>0</v>
      </c>
      <c r="AC728" s="1058"/>
      <c r="AD728" s="1058" t="s">
        <v>551</v>
      </c>
    </row>
    <row r="729" spans="1:30" ht="77.25" customHeight="1">
      <c r="A729" s="335" t="s">
        <v>2239</v>
      </c>
      <c r="B729" s="1056" t="str">
        <f>GRAL!B733</f>
        <v>2021-2024</v>
      </c>
      <c r="C729" s="327">
        <f>OBRA!I731</f>
        <v>2023</v>
      </c>
      <c r="D729" s="1676"/>
      <c r="E729" s="532" t="str">
        <f>OBRA!K731</f>
        <v>CUENTA CORRIENTE</v>
      </c>
      <c r="F729" s="695" t="s">
        <v>1431</v>
      </c>
      <c r="G729" s="546" t="s">
        <v>5603</v>
      </c>
      <c r="H729" s="545" t="s">
        <v>5603</v>
      </c>
      <c r="I729" s="546" t="s">
        <v>5603</v>
      </c>
      <c r="J729" s="339" t="str">
        <f>OBRA!U731</f>
        <v>ESTRUCTURAS PLANEADAS DE OCCIDENTE, S.A. DE C.V.</v>
      </c>
      <c r="K729" s="172" t="str">
        <f>OBRA!V731</f>
        <v>ING. J. GUADALUPE IBARRA RAMIREZ</v>
      </c>
      <c r="L729" s="174" t="str">
        <f>OBRA!L731</f>
        <v>GMJ 008C OP/2023</v>
      </c>
      <c r="M729" s="202" t="str">
        <f>OBRA!M731</f>
        <v>ADJUDICACIÓN DIRECTA</v>
      </c>
      <c r="N729" s="328" t="str">
        <f>OBRA!N731</f>
        <v>“REPARACIÓN DE TANQUE ALMACENAMIENTO DE AGUA POTABLE ZONA NORTE”, EN LA CABECERA MUNICIPAL DE JOCOTEPEC, JALISCO</v>
      </c>
      <c r="O729" s="554" t="s">
        <v>5592</v>
      </c>
      <c r="P729" s="69">
        <f>OBRA!Q731</f>
        <v>45056</v>
      </c>
      <c r="Q729" s="85">
        <f>OBRA!P731</f>
        <v>374761.47</v>
      </c>
      <c r="R729" s="255">
        <f>OBRA!R731</f>
        <v>45061</v>
      </c>
      <c r="S729" s="245">
        <f>OBRA!S731</f>
        <v>45086</v>
      </c>
      <c r="T729" s="1897" t="s">
        <v>4498</v>
      </c>
      <c r="U729" s="1477" t="s">
        <v>1431</v>
      </c>
      <c r="V729" s="549" t="s">
        <v>5603</v>
      </c>
      <c r="W729" s="668" t="s">
        <v>5603</v>
      </c>
      <c r="X729" s="1154">
        <f>OBRA!AP731</f>
        <v>86551.25</v>
      </c>
      <c r="Y729" s="344"/>
      <c r="Z729" s="344"/>
      <c r="AA729" s="255"/>
      <c r="AB729" s="1057">
        <f>OBRA!BT731</f>
        <v>0</v>
      </c>
      <c r="AC729" s="1058"/>
      <c r="AD729" s="1058" t="s">
        <v>551</v>
      </c>
    </row>
    <row r="730" spans="1:30" ht="105" customHeight="1">
      <c r="A730" s="335" t="s">
        <v>2239</v>
      </c>
      <c r="B730" s="1056" t="str">
        <f>GRAL!B734</f>
        <v>2021-2024</v>
      </c>
      <c r="C730" s="327">
        <f>OBRA!I732</f>
        <v>2023</v>
      </c>
      <c r="D730" s="1676"/>
      <c r="E730" s="532" t="str">
        <f>OBRA!K732</f>
        <v>CUENTA CORRIENTE</v>
      </c>
      <c r="F730" s="695" t="s">
        <v>1431</v>
      </c>
      <c r="G730" s="546" t="s">
        <v>6042</v>
      </c>
      <c r="H730" s="545" t="s">
        <v>6042</v>
      </c>
      <c r="I730" s="179"/>
      <c r="J730" s="339" t="str">
        <f>OBRA!U732</f>
        <v>EDIFICACIONES Y TERRACERIAS CH, S.A. DE C.V.</v>
      </c>
      <c r="K730" s="172" t="str">
        <f>OBRA!V732</f>
        <v>C. DANIEL RODRIGUEZ VALENZUELA</v>
      </c>
      <c r="L730" s="174" t="str">
        <f>OBRA!L732</f>
        <v>GMJ 009C OP/2023</v>
      </c>
      <c r="M730" s="202" t="str">
        <f>OBRA!M732</f>
        <v>ADJUDICACIÓN DIRECTA</v>
      </c>
      <c r="N730" s="328" t="str">
        <f>OBRA!N732</f>
        <v>“CONSTRUCCIÓN DE LÍNEA DE ABASTECIMIENTO DE AGUA POTABLE DE 6” EN CALLE JOSEFA ORTÍZ DE DOMINGUEZ DEL LIBRAMIENTO A CALLE FILÓSOFOS”, EN LA CABECERA MUNICIPAL DE JOCOTEPEC, JALISCO</v>
      </c>
      <c r="O730" s="554" t="s">
        <v>5592</v>
      </c>
      <c r="P730" s="69">
        <f>OBRA!Q732</f>
        <v>45056</v>
      </c>
      <c r="Q730" s="85">
        <f>OBRA!P732</f>
        <v>835320.31999999995</v>
      </c>
      <c r="R730" s="255">
        <f>OBRA!R732</f>
        <v>45061</v>
      </c>
      <c r="S730" s="245">
        <f>OBRA!S732</f>
        <v>45090</v>
      </c>
      <c r="T730" s="1897" t="s">
        <v>4498</v>
      </c>
      <c r="U730" s="1477" t="s">
        <v>1431</v>
      </c>
      <c r="V730" s="349"/>
      <c r="W730" s="642"/>
      <c r="X730" s="1154">
        <f>OBRA!AP732</f>
        <v>0</v>
      </c>
      <c r="Y730" s="344"/>
      <c r="Z730" s="344"/>
      <c r="AA730" s="255"/>
      <c r="AB730" s="1057">
        <f>OBRA!BT732</f>
        <v>0</v>
      </c>
      <c r="AC730" s="1058"/>
      <c r="AD730" s="1058"/>
    </row>
    <row r="731" spans="1:30" ht="88.5" customHeight="1">
      <c r="A731" s="335" t="s">
        <v>2239</v>
      </c>
      <c r="B731" s="1056" t="str">
        <f>GRAL!B735</f>
        <v>2021-2024</v>
      </c>
      <c r="C731" s="327">
        <f>OBRA!I733</f>
        <v>2023</v>
      </c>
      <c r="D731" s="1676"/>
      <c r="E731" s="532" t="str">
        <f>OBRA!K733</f>
        <v>CUENTA CORRIENTE</v>
      </c>
      <c r="F731" s="695" t="s">
        <v>1431</v>
      </c>
      <c r="G731" s="546" t="s">
        <v>5604</v>
      </c>
      <c r="H731" s="545" t="s">
        <v>5604</v>
      </c>
      <c r="I731" s="546" t="s">
        <v>5604</v>
      </c>
      <c r="J731" s="339" t="str">
        <f>OBRA!U733</f>
        <v>ESTRUCTURAS PLANEADAS DE OCCIDENTE, S.A. DE C.V.</v>
      </c>
      <c r="K731" s="172" t="str">
        <f>OBRA!V733</f>
        <v>ING. J. GUADALUPE IBARRA RAMIREZ</v>
      </c>
      <c r="L731" s="174" t="str">
        <f>OBRA!L733</f>
        <v>GMJ 010C OP/2023</v>
      </c>
      <c r="M731" s="202" t="str">
        <f>OBRA!M733</f>
        <v>ADJUDICACIÓN DIRECTA</v>
      </c>
      <c r="N731" s="328" t="str">
        <f>OBRA!N733</f>
        <v>“REPARACIÓN DE TANQUE ALMACENAMIENTO DE AGUA POTABLE”, EN LA LOCALIDAD DE SAN CRISTÓBAL ZAPOTITLÁN DEL MUNICIPIO DE JOCOTEPEC, JALISCO</v>
      </c>
      <c r="O731" s="554" t="s">
        <v>5592</v>
      </c>
      <c r="P731" s="69">
        <f>OBRA!Q733</f>
        <v>45059</v>
      </c>
      <c r="Q731" s="85">
        <f>OBRA!P733</f>
        <v>168796.66</v>
      </c>
      <c r="R731" s="255">
        <f>OBRA!R733</f>
        <v>45075</v>
      </c>
      <c r="S731" s="245">
        <f>OBRA!S733</f>
        <v>45094</v>
      </c>
      <c r="T731" s="1897" t="s">
        <v>4498</v>
      </c>
      <c r="U731" s="1477" t="s">
        <v>1431</v>
      </c>
      <c r="V731" s="549" t="s">
        <v>5604</v>
      </c>
      <c r="W731" s="668" t="s">
        <v>5604</v>
      </c>
      <c r="X731" s="1154">
        <f>OBRA!AP733</f>
        <v>42295.46</v>
      </c>
      <c r="Y731" s="344"/>
      <c r="Z731" s="344"/>
      <c r="AA731" s="255"/>
      <c r="AB731" s="1057">
        <f>OBRA!BT733</f>
        <v>0</v>
      </c>
      <c r="AC731" s="1058"/>
      <c r="AD731" s="1058" t="s">
        <v>551</v>
      </c>
    </row>
    <row r="732" spans="1:30" ht="87.75" customHeight="1">
      <c r="A732" s="335" t="s">
        <v>2239</v>
      </c>
      <c r="B732" s="1056" t="str">
        <f>GRAL!B736</f>
        <v>2021-2024</v>
      </c>
      <c r="C732" s="327">
        <f>OBRA!I734</f>
        <v>2023</v>
      </c>
      <c r="D732" s="1676"/>
      <c r="E732" s="532" t="str">
        <f>OBRA!K734</f>
        <v>CUENTA CORRIENTE</v>
      </c>
      <c r="F732" s="695" t="s">
        <v>1431</v>
      </c>
      <c r="G732" s="546" t="s">
        <v>6049</v>
      </c>
      <c r="H732" s="545" t="s">
        <v>6049</v>
      </c>
      <c r="I732" s="546" t="s">
        <v>6049</v>
      </c>
      <c r="J732" s="339" t="str">
        <f>OBRA!U734</f>
        <v>MANUEL PALOS VACA</v>
      </c>
      <c r="K732" s="172" t="str">
        <f>OBRA!V734</f>
        <v>C. DANIEL RODRIGUEZ VALENZUELA</v>
      </c>
      <c r="L732" s="174" t="str">
        <f>OBRA!L734</f>
        <v>GMJ 011C OP/2023</v>
      </c>
      <c r="M732" s="202" t="str">
        <f>OBRA!M734</f>
        <v>ADJUDICACIÓN DIRECTA</v>
      </c>
      <c r="N732" s="328" t="str">
        <f>OBRA!N734</f>
        <v>“CONSTRUCCIÓN DE REDES HIDROSANITARIAS EN CALLE FILÓSOFOS ENTRE CALLE HIDALGO NORTE Y CALLE ALLENDE”, EN LA CABECERA MUNICIPAL DE JOCOTEPEC, JALISCO</v>
      </c>
      <c r="O732" s="554" t="s">
        <v>5606</v>
      </c>
      <c r="P732" s="69">
        <f>OBRA!Q734</f>
        <v>45141</v>
      </c>
      <c r="Q732" s="85">
        <f>OBRA!P734</f>
        <v>254339.78</v>
      </c>
      <c r="R732" s="255">
        <f>OBRA!R734</f>
        <v>45187</v>
      </c>
      <c r="S732" s="245">
        <f>OBRA!S734</f>
        <v>45219</v>
      </c>
      <c r="T732" s="1897" t="s">
        <v>4498</v>
      </c>
      <c r="U732" s="1477" t="s">
        <v>1431</v>
      </c>
      <c r="V732" s="549" t="s">
        <v>6049</v>
      </c>
      <c r="W732" s="668" t="s">
        <v>6049</v>
      </c>
      <c r="X732" s="1154">
        <f>OBRA!AP734</f>
        <v>135867.75</v>
      </c>
      <c r="Y732" s="344"/>
      <c r="Z732" s="344"/>
      <c r="AA732" s="255"/>
      <c r="AB732" s="1057">
        <f>OBRA!BT734</f>
        <v>0</v>
      </c>
      <c r="AC732" s="1058"/>
      <c r="AD732" s="1058" t="s">
        <v>551</v>
      </c>
    </row>
    <row r="733" spans="1:30" ht="104.25" customHeight="1">
      <c r="A733" s="335" t="s">
        <v>2239</v>
      </c>
      <c r="B733" s="1056" t="str">
        <f>GRAL!B737</f>
        <v>2021-2024</v>
      </c>
      <c r="C733" s="327">
        <f>OBRA!I735</f>
        <v>2023</v>
      </c>
      <c r="D733" s="1676"/>
      <c r="E733" s="532" t="str">
        <f>OBRA!K735</f>
        <v>RAMO 33</v>
      </c>
      <c r="F733" s="695" t="s">
        <v>1431</v>
      </c>
      <c r="G733" s="546" t="s">
        <v>6052</v>
      </c>
      <c r="H733" s="545"/>
      <c r="I733" s="546" t="s">
        <v>6052</v>
      </c>
      <c r="J733" s="339" t="str">
        <f>OBRA!U735</f>
        <v>MANUEL PALOS VACA</v>
      </c>
      <c r="K733" s="172" t="str">
        <f>OBRA!V735</f>
        <v>C. DANIEL RODRIGUEZ VALENZUELA</v>
      </c>
      <c r="L733" s="174" t="str">
        <f>OBRA!L735</f>
        <v>GMJ 012C OP/2023</v>
      </c>
      <c r="M733" s="202" t="str">
        <f>OBRA!M735</f>
        <v>ADJUDICACIÓN DIRECTA</v>
      </c>
      <c r="N733" s="328" t="str">
        <f>OBRA!N735</f>
        <v>“CONSTRUCCIÓN DE REDES HIDROSANITARIAS EN CALLE FILÓSOFOS ENTRE CALLE INDEPENDENCIA Y CALLE JOSEFA ORTÍZ DE DOMÍNGUEZ”, EN LA CABECERA MUNICIPAL DE JOCOTEPEC, JALISCO</v>
      </c>
      <c r="O733" s="554" t="s">
        <v>5606</v>
      </c>
      <c r="P733" s="69">
        <f>OBRA!Q735</f>
        <v>45141</v>
      </c>
      <c r="Q733" s="85">
        <f>OBRA!P735</f>
        <v>553159.56000000006</v>
      </c>
      <c r="R733" s="255">
        <f>OBRA!R735</f>
        <v>45148</v>
      </c>
      <c r="S733" s="245">
        <f>OBRA!S735</f>
        <v>45170</v>
      </c>
      <c r="T733" s="1897" t="s">
        <v>4497</v>
      </c>
      <c r="U733" s="216"/>
      <c r="V733" s="549" t="s">
        <v>6052</v>
      </c>
      <c r="W733" s="668" t="s">
        <v>6052</v>
      </c>
      <c r="X733" s="1154">
        <f>OBRA!AP735</f>
        <v>292025.84999999998</v>
      </c>
      <c r="Y733" s="344"/>
      <c r="Z733" s="344"/>
      <c r="AA733" s="255"/>
      <c r="AB733" s="1057">
        <f>OBRA!BT735</f>
        <v>0</v>
      </c>
      <c r="AC733" s="1058"/>
      <c r="AD733" s="1058"/>
    </row>
    <row r="734" spans="1:30" ht="89.25" customHeight="1">
      <c r="A734" s="335" t="s">
        <v>2239</v>
      </c>
      <c r="B734" s="1056" t="str">
        <f>GRAL!B738</f>
        <v>2021-2024</v>
      </c>
      <c r="C734" s="327">
        <f>OBRA!I736</f>
        <v>2023</v>
      </c>
      <c r="D734" s="1676"/>
      <c r="E734" s="532" t="str">
        <f>OBRA!K736</f>
        <v>RAMO 33</v>
      </c>
      <c r="F734" s="695" t="s">
        <v>1431</v>
      </c>
      <c r="G734" s="546" t="s">
        <v>5842</v>
      </c>
      <c r="H734" s="545" t="s">
        <v>5842</v>
      </c>
      <c r="I734" s="179"/>
      <c r="J734" s="339" t="str">
        <f>OBRA!U736</f>
        <v>EDIFICACIONES Y TERRACERIAS CH, S.A. DE C.V.</v>
      </c>
      <c r="K734" s="172" t="str">
        <f>OBRA!V736</f>
        <v>C. DANIEL RODRIGUEZ VALENZUELA</v>
      </c>
      <c r="L734" s="174" t="str">
        <f>OBRA!L736</f>
        <v>GMJ 013C OP/2023</v>
      </c>
      <c r="M734" s="202" t="str">
        <f>OBRA!M736</f>
        <v>ADJUDICACIÓN DIRECTA</v>
      </c>
      <c r="N734" s="328" t="str">
        <f>OBRA!N736</f>
        <v>“CONSTRUCCIÓN DE RED DE DRENAJE SANITARIO Y RED DE AGUA POTABLE EN CALLE PLAYAS DE LA LAGUNA”, EN LA LOCALIDAD DE CHANTEPEC DEL MUNICIPIO DE JOCOTEPEC, JALISCO</v>
      </c>
      <c r="O734" s="554" t="s">
        <v>5606</v>
      </c>
      <c r="P734" s="69">
        <f>OBRA!Q736</f>
        <v>45105</v>
      </c>
      <c r="Q734" s="85">
        <f>OBRA!P736</f>
        <v>724743.66</v>
      </c>
      <c r="R734" s="255">
        <f>OBRA!R736</f>
        <v>45110</v>
      </c>
      <c r="S734" s="245">
        <f>OBRA!S736</f>
        <v>45141</v>
      </c>
      <c r="T734" s="1609" t="s">
        <v>4497</v>
      </c>
      <c r="U734" s="216"/>
      <c r="V734" s="549" t="s">
        <v>5842</v>
      </c>
      <c r="W734" s="668" t="s">
        <v>5842</v>
      </c>
      <c r="X734" s="1154">
        <f>OBRA!AP736</f>
        <v>362371.81</v>
      </c>
      <c r="Y734" s="344"/>
      <c r="Z734" s="344"/>
      <c r="AA734" s="255"/>
      <c r="AB734" s="1057">
        <f>OBRA!BT736</f>
        <v>0</v>
      </c>
      <c r="AC734" s="1058"/>
      <c r="AD734" s="1058"/>
    </row>
    <row r="735" spans="1:30" ht="87.75" customHeight="1">
      <c r="A735" s="335" t="s">
        <v>2239</v>
      </c>
      <c r="B735" s="1056" t="str">
        <f>GRAL!B739</f>
        <v>2021-2024</v>
      </c>
      <c r="C735" s="327">
        <f>OBRA!I737</f>
        <v>2023</v>
      </c>
      <c r="D735" s="1676"/>
      <c r="E735" s="532" t="str">
        <f>OBRA!K737</f>
        <v>RAMO 33</v>
      </c>
      <c r="F735" s="695" t="s">
        <v>1431</v>
      </c>
      <c r="G735" s="546" t="s">
        <v>5843</v>
      </c>
      <c r="H735" s="545" t="s">
        <v>5843</v>
      </c>
      <c r="I735" s="546" t="s">
        <v>5843</v>
      </c>
      <c r="J735" s="339" t="str">
        <f>OBRA!U737</f>
        <v>EDIFICACIONES Y TERRACERIAS CH, S.A. DE C.V.</v>
      </c>
      <c r="K735" s="172" t="str">
        <f>OBRA!V737</f>
        <v>C. DANIEL RODRIGUEZ VALENZUELA</v>
      </c>
      <c r="L735" s="174" t="str">
        <f>OBRA!L737</f>
        <v>GMJ 014C OP/2023</v>
      </c>
      <c r="M735" s="202" t="str">
        <f>OBRA!M737</f>
        <v>ADJUDICACIÓN DIRECTA</v>
      </c>
      <c r="N735" s="328" t="str">
        <f>OBRA!N737</f>
        <v>“CONSTRUCCIÓN DE RED DE DRENAJE SANITARIO Y RED DE AGUA POTABLE EN CALLE PLAYA AZUL”, EN LA LOCALIDAD DE CHANTEPEC DEL MUNICIPIO DE JOCOTEPEC, JALISCO</v>
      </c>
      <c r="O735" s="554" t="s">
        <v>5606</v>
      </c>
      <c r="P735" s="69">
        <f>OBRA!Q737</f>
        <v>45105</v>
      </c>
      <c r="Q735" s="85">
        <f>OBRA!P737</f>
        <v>543995.47</v>
      </c>
      <c r="R735" s="255">
        <f>OBRA!R737</f>
        <v>45110</v>
      </c>
      <c r="S735" s="245">
        <f>OBRA!S737</f>
        <v>45141</v>
      </c>
      <c r="T735" s="1609" t="s">
        <v>4497</v>
      </c>
      <c r="U735" s="216"/>
      <c r="V735" s="549" t="s">
        <v>5843</v>
      </c>
      <c r="W735" s="668" t="s">
        <v>5843</v>
      </c>
      <c r="X735" s="1154">
        <f>OBRA!AP737</f>
        <v>163198.62</v>
      </c>
      <c r="Y735" s="344"/>
      <c r="Z735" s="344"/>
      <c r="AA735" s="255"/>
      <c r="AB735" s="1057">
        <f>OBRA!BT737</f>
        <v>0</v>
      </c>
      <c r="AC735" s="1058"/>
      <c r="AD735" s="1058"/>
    </row>
    <row r="736" spans="1:30" ht="109.5" customHeight="1">
      <c r="A736" s="335" t="s">
        <v>2239</v>
      </c>
      <c r="B736" s="1056" t="str">
        <f>GRAL!B740</f>
        <v>2021-2024</v>
      </c>
      <c r="C736" s="327">
        <f>OBRA!I738</f>
        <v>2023</v>
      </c>
      <c r="D736" s="1676"/>
      <c r="E736" s="532" t="str">
        <f>OBRA!K738</f>
        <v>CUENTA CORRIENTE</v>
      </c>
      <c r="F736" s="695" t="s">
        <v>1431</v>
      </c>
      <c r="G736" s="546" t="s">
        <v>5844</v>
      </c>
      <c r="H736" s="545" t="s">
        <v>5844</v>
      </c>
      <c r="I736" s="546" t="s">
        <v>5844</v>
      </c>
      <c r="J736" s="339" t="str">
        <f>OBRA!U738</f>
        <v>ALSERCON SA DE CV</v>
      </c>
      <c r="K736" s="172" t="str">
        <f>OBRA!V738</f>
        <v>C. DANIEL RODRIGUEZ VALENZUELA</v>
      </c>
      <c r="L736" s="174" t="str">
        <f>OBRA!L738</f>
        <v>GMJ 015C OP/2023</v>
      </c>
      <c r="M736" s="202" t="str">
        <f>OBRA!M738</f>
        <v>ADJUDICACIÓN DIRECTA</v>
      </c>
      <c r="N736" s="328" t="str">
        <f>OBRA!N738</f>
        <v>“TERMINACIÓN DE DEPÓSITO DE AGUA, LÍNEA DE LLENADO Y DISTRIBUCIÓN DE AGUA POTABLE EN CUARTEL DE LA GUARDIA NACIONAL (OBRA CIVIL)”, EN LA LOCALIDAD DE POTRERILLOS DEL MUNICIPIO DE JOCOTEPEC, JALISCO</v>
      </c>
      <c r="O736" s="554" t="s">
        <v>5606</v>
      </c>
      <c r="P736" s="69">
        <f>OBRA!Q738</f>
        <v>45105</v>
      </c>
      <c r="Q736" s="85">
        <f>OBRA!P738</f>
        <v>703136.32</v>
      </c>
      <c r="R736" s="255">
        <f>OBRA!R738</f>
        <v>45113</v>
      </c>
      <c r="S736" s="245">
        <f>OBRA!S738</f>
        <v>45168</v>
      </c>
      <c r="T736" s="1897" t="s">
        <v>4498</v>
      </c>
      <c r="U736" s="1477" t="s">
        <v>1431</v>
      </c>
      <c r="V736" s="349"/>
      <c r="W736" s="668" t="s">
        <v>5844</v>
      </c>
      <c r="X736" s="1154">
        <f>OBRA!AP738</f>
        <v>368380.80000000005</v>
      </c>
      <c r="Y736" s="344"/>
      <c r="Z736" s="344"/>
      <c r="AA736" s="255"/>
      <c r="AB736" s="1057">
        <f>OBRA!BT738</f>
        <v>0</v>
      </c>
      <c r="AC736" s="1058"/>
      <c r="AD736" s="1058"/>
    </row>
    <row r="737" spans="1:30" ht="79.5" customHeight="1">
      <c r="A737" s="335" t="s">
        <v>2239</v>
      </c>
      <c r="B737" s="1056">
        <f>GRAL!B893</f>
        <v>0</v>
      </c>
      <c r="C737" s="327">
        <f>OBRA!I739</f>
        <v>2023</v>
      </c>
      <c r="D737" s="1676"/>
      <c r="E737" s="532" t="str">
        <f>OBRA!K739</f>
        <v>CUENTA CORRIENTE</v>
      </c>
      <c r="F737" s="695" t="s">
        <v>1431</v>
      </c>
      <c r="G737" s="546" t="s">
        <v>5845</v>
      </c>
      <c r="H737" s="545" t="s">
        <v>5845</v>
      </c>
      <c r="I737" s="546" t="s">
        <v>5845</v>
      </c>
      <c r="J737" s="339" t="str">
        <f>OBRA!U739</f>
        <v>C. ANA LUZ HIDALGO VELA</v>
      </c>
      <c r="K737" s="172" t="str">
        <f>OBRA!V739</f>
        <v>ARQ. JAIME CONDE GOMEZ</v>
      </c>
      <c r="L737" s="174" t="str">
        <f>OBRA!L739</f>
        <v>GMJ 016C OP/2023</v>
      </c>
      <c r="M737" s="202" t="str">
        <f>OBRA!M739</f>
        <v>ADJUDICACIÓN DIRECTA</v>
      </c>
      <c r="N737" s="328" t="str">
        <f>OBRA!N739</f>
        <v>“INTALACIÓN DE RIELERIA PARA EL PROCESO DE MATANZA EN RASTRO MUNICIPAL”, EN LA CABECERA MUNICIPAL DE JOCOTEPEC, JALISCO</v>
      </c>
      <c r="O737" s="554" t="s">
        <v>5606</v>
      </c>
      <c r="P737" s="69">
        <f>OBRA!Q739</f>
        <v>45134</v>
      </c>
      <c r="Q737" s="85">
        <f>OBRA!P739</f>
        <v>821212.44</v>
      </c>
      <c r="R737" s="255">
        <f>OBRA!R739</f>
        <v>45145</v>
      </c>
      <c r="S737" s="245">
        <f>OBRA!S739</f>
        <v>45169</v>
      </c>
      <c r="T737" s="1897" t="s">
        <v>4498</v>
      </c>
      <c r="U737" s="1477" t="s">
        <v>1431</v>
      </c>
      <c r="V737" s="349"/>
      <c r="W737" s="642"/>
      <c r="X737" s="1154">
        <f>OBRA!AP739</f>
        <v>328484.97000000003</v>
      </c>
      <c r="Y737" s="344"/>
      <c r="Z737" s="344"/>
      <c r="AA737" s="255"/>
      <c r="AB737" s="1057">
        <f>OBRA!BT739</f>
        <v>0</v>
      </c>
      <c r="AC737" s="1058"/>
      <c r="AD737" s="1058"/>
    </row>
    <row r="738" spans="1:30" ht="21" hidden="1" customHeight="1">
      <c r="A738" s="23" t="s">
        <v>2239</v>
      </c>
      <c r="B738" s="933">
        <f>GRAL!B894</f>
        <v>0</v>
      </c>
      <c r="C738" s="17">
        <f>OBRA!I740</f>
        <v>2023</v>
      </c>
      <c r="D738" s="1676"/>
      <c r="E738" s="18" t="str">
        <f>OBRA!K740</f>
        <v>FOCOCI</v>
      </c>
      <c r="F738" s="1374"/>
      <c r="G738" s="1300"/>
      <c r="H738" s="239"/>
      <c r="I738" s="1300"/>
      <c r="J738" s="56"/>
      <c r="K738" s="57"/>
      <c r="L738" s="20" t="str">
        <f>OBRA!L740</f>
        <v>CSS-OP-CC-017/2023</v>
      </c>
      <c r="M738" s="2" t="str">
        <f>OBRA!M740</f>
        <v>CONCURSO SIMPLIFICADO SUMARIO</v>
      </c>
      <c r="N738" s="3" t="str">
        <f>OBRA!N740</f>
        <v>“PAVIMENTACIÓN CON EMPEDRADO ZAMPEADO, EN CALLE LA PAZ EN LA DELEGACIÓN DE SAN JUAN COSALÁ, MUNICIPIO DE JOCOTEPEC, JALISCO”</v>
      </c>
      <c r="O738" s="597"/>
      <c r="P738" s="6">
        <f>OBRA!Q740</f>
        <v>45152</v>
      </c>
      <c r="Q738" s="4">
        <f>OBRA!P740</f>
        <v>4998360.84</v>
      </c>
      <c r="R738" s="5">
        <f>OBRA!R740</f>
        <v>45155</v>
      </c>
      <c r="S738" s="12">
        <f>OBRA!S740</f>
        <v>45274</v>
      </c>
      <c r="T738" s="792"/>
      <c r="U738" s="223"/>
      <c r="V738" s="558"/>
      <c r="W738" s="559"/>
      <c r="X738" s="590">
        <f>OBRA!AP740</f>
        <v>0</v>
      </c>
      <c r="Y738" s="341"/>
      <c r="Z738" s="341"/>
      <c r="AA738" s="5"/>
      <c r="AB738" s="351">
        <f>OBRA!BT740</f>
        <v>0</v>
      </c>
      <c r="AC738" s="569"/>
      <c r="AD738" s="569"/>
    </row>
    <row r="739" spans="1:30" ht="21" hidden="1" customHeight="1">
      <c r="A739" s="23" t="s">
        <v>2239</v>
      </c>
      <c r="B739" s="933">
        <f>GRAL!B895</f>
        <v>0</v>
      </c>
      <c r="C739" s="17">
        <f>OBRA!I741</f>
        <v>2023</v>
      </c>
      <c r="D739" s="1676"/>
      <c r="E739" s="18" t="str">
        <f>OBRA!K741</f>
        <v>RAMO 33</v>
      </c>
      <c r="F739" s="1374"/>
      <c r="G739" s="1300"/>
      <c r="H739" s="239"/>
      <c r="I739" s="1300"/>
      <c r="J739" s="56"/>
      <c r="K739" s="57"/>
      <c r="L739" s="20" t="str">
        <f>OBRA!L741</f>
        <v>CSS-OP-CC-018/2023</v>
      </c>
      <c r="M739" s="2" t="str">
        <f>OBRA!M741</f>
        <v>CONCURSO SIMPLIFICADO SUMARIO</v>
      </c>
      <c r="N739" s="3" t="str">
        <f>OBRA!N741</f>
        <v>“CONSTRUCCIÓN DE SUPERFICIE DE RODAMIENTO EN CALLE PLAYAS DE LA LAGUNA”, EN LA LOCALIDAD DE CHANTEPEC, MUNICIPIO DE JOCOTEPEC, JALISCO</v>
      </c>
      <c r="O739" s="597"/>
      <c r="P739" s="6">
        <f>OBRA!Q741</f>
        <v>45168</v>
      </c>
      <c r="Q739" s="4">
        <f>OBRA!P741</f>
        <v>2808816.17</v>
      </c>
      <c r="R739" s="5">
        <f>OBRA!R741</f>
        <v>45173</v>
      </c>
      <c r="S739" s="12">
        <f>OBRA!S741</f>
        <v>45237</v>
      </c>
      <c r="T739" s="792"/>
      <c r="U739" s="223"/>
      <c r="V739" s="558"/>
      <c r="W739" s="559"/>
      <c r="X739" s="590">
        <f>OBRA!AP741</f>
        <v>0</v>
      </c>
      <c r="Y739" s="341"/>
      <c r="Z739" s="341"/>
      <c r="AA739" s="5"/>
      <c r="AB739" s="351">
        <f>OBRA!BT741</f>
        <v>0</v>
      </c>
      <c r="AC739" s="569"/>
      <c r="AD739" s="569"/>
    </row>
    <row r="740" spans="1:30" ht="67.5" customHeight="1">
      <c r="A740" s="335" t="s">
        <v>2239</v>
      </c>
      <c r="B740" s="1056">
        <f>GRAL!B896</f>
        <v>0</v>
      </c>
      <c r="C740" s="327">
        <f>OBRA!I742</f>
        <v>2023</v>
      </c>
      <c r="D740" s="1676"/>
      <c r="E740" s="532" t="str">
        <f>OBRA!K742</f>
        <v>RAMO 33</v>
      </c>
      <c r="F740" s="695" t="s">
        <v>1431</v>
      </c>
      <c r="G740" s="546" t="s">
        <v>6066</v>
      </c>
      <c r="H740" s="545" t="s">
        <v>6066</v>
      </c>
      <c r="I740" s="546" t="s">
        <v>6066</v>
      </c>
      <c r="J740" s="339" t="str">
        <f>OBRA!U742</f>
        <v>C. REFUGIO GUTIÉRREZ NIEVES</v>
      </c>
      <c r="K740" s="172" t="str">
        <f>OBRA!V742</f>
        <v>C. DANIEL RODRIGUEZ VALENZUELA</v>
      </c>
      <c r="L740" s="174" t="str">
        <f>OBRA!L742</f>
        <v>GMJ 019C OP/2023</v>
      </c>
      <c r="M740" s="202" t="str">
        <f>OBRA!M742</f>
        <v>ADJUDICACIÓN DIRECTA</v>
      </c>
      <c r="N740" s="328" t="str">
        <f>OBRA!N742</f>
        <v>“CONSTRUCCIÓN DE SUPERFICIE DE RODAMIENTO EN CALLE PLAYA AZUL”, EN LA LOCALIDAD DE CHANTEPEC, MUNICIPIO DE JOCOTEPEC, JALISCO</v>
      </c>
      <c r="O740" s="554" t="s">
        <v>5606</v>
      </c>
      <c r="P740" s="69">
        <f>OBRA!Q742</f>
        <v>45168</v>
      </c>
      <c r="Q740" s="85">
        <f>OBRA!P742</f>
        <v>2049615.46</v>
      </c>
      <c r="R740" s="255">
        <f>OBRA!R742</f>
        <v>45180</v>
      </c>
      <c r="S740" s="245">
        <f>OBRA!S742</f>
        <v>45230</v>
      </c>
      <c r="T740" s="1609" t="s">
        <v>4497</v>
      </c>
      <c r="U740" s="216"/>
      <c r="V740" s="349"/>
      <c r="W740" s="642"/>
      <c r="X740" s="1154">
        <f>OBRA!AP742</f>
        <v>819846.19</v>
      </c>
      <c r="Y740" s="344"/>
      <c r="Z740" s="344"/>
      <c r="AA740" s="255"/>
      <c r="AB740" s="1057">
        <f>OBRA!BT742</f>
        <v>0</v>
      </c>
      <c r="AC740" s="1058"/>
      <c r="AD740" s="1058"/>
    </row>
    <row r="741" spans="1:30" ht="63.75" customHeight="1">
      <c r="A741" s="335" t="s">
        <v>2239</v>
      </c>
      <c r="B741" s="1056">
        <f>GRAL!B897</f>
        <v>0</v>
      </c>
      <c r="C741" s="327">
        <f>OBRA!I743</f>
        <v>2023</v>
      </c>
      <c r="D741" s="1676"/>
      <c r="E741" s="532" t="str">
        <f>OBRA!K743</f>
        <v>CUENTA CORRIENTE</v>
      </c>
      <c r="F741" s="695" t="s">
        <v>1431</v>
      </c>
      <c r="G741" s="546" t="s">
        <v>6068</v>
      </c>
      <c r="H741" s="545" t="s">
        <v>6068</v>
      </c>
      <c r="I741" s="546" t="s">
        <v>6068</v>
      </c>
      <c r="J741" s="339" t="str">
        <f>OBRA!U743</f>
        <v xml:space="preserve">DORIA &amp; SAMPIER CONSTRUCTORA, S.A. DE C.V. </v>
      </c>
      <c r="K741" s="172" t="str">
        <f>OBRA!V743</f>
        <v>ARQ. JAIME CONDE GOMEZ</v>
      </c>
      <c r="L741" s="174" t="str">
        <f>OBRA!L743</f>
        <v>GMJ 020C OP/2023</v>
      </c>
      <c r="M741" s="202" t="str">
        <f>OBRA!M743</f>
        <v>ADJUDICACIÓN DIRECTA</v>
      </c>
      <c r="N741" s="328" t="str">
        <f>OBRA!N743</f>
        <v>“REHABILITACIÓN DE PLAZA PRINCIPAL”, EN LA LOCALIDAD DE HUEJOTITÁN, MUNICIPIO DE JOCOTEPEC, JALISCO</v>
      </c>
      <c r="O741" s="554" t="s">
        <v>5606</v>
      </c>
      <c r="P741" s="69">
        <f>OBRA!Q743</f>
        <v>45166</v>
      </c>
      <c r="Q741" s="85">
        <f>OBRA!P743</f>
        <v>304838.93</v>
      </c>
      <c r="R741" s="255">
        <f>OBRA!R743</f>
        <v>45168</v>
      </c>
      <c r="S741" s="245">
        <f>OBRA!S743</f>
        <v>45199</v>
      </c>
      <c r="T741" s="1897" t="s">
        <v>4498</v>
      </c>
      <c r="U741" s="1477" t="s">
        <v>1431</v>
      </c>
      <c r="V741" s="349"/>
      <c r="W741" s="642"/>
      <c r="X741" s="1154">
        <f>OBRA!AP743</f>
        <v>0</v>
      </c>
      <c r="Y741" s="344"/>
      <c r="Z741" s="344"/>
      <c r="AA741" s="255"/>
      <c r="AB741" s="1057">
        <f>OBRA!BT743</f>
        <v>0</v>
      </c>
      <c r="AC741" s="1058"/>
      <c r="AD741" s="1058"/>
    </row>
    <row r="742" spans="1:30" ht="123.75" customHeight="1">
      <c r="A742" s="335" t="s">
        <v>2239</v>
      </c>
      <c r="B742" s="1056">
        <f>GRAL!B898</f>
        <v>0</v>
      </c>
      <c r="C742" s="327">
        <f>OBRA!I744</f>
        <v>2023</v>
      </c>
      <c r="D742" s="1676"/>
      <c r="E742" s="532" t="str">
        <f>OBRA!K744</f>
        <v>RAMO 33</v>
      </c>
      <c r="F742" s="695" t="s">
        <v>1431</v>
      </c>
      <c r="G742" s="546" t="s">
        <v>6073</v>
      </c>
      <c r="H742" s="545" t="s">
        <v>6073</v>
      </c>
      <c r="I742" s="179"/>
      <c r="J742" s="339" t="str">
        <f>OBRA!U744</f>
        <v>ING. SERGIO CABRERA</v>
      </c>
      <c r="K742" s="172" t="str">
        <f>OBRA!V744</f>
        <v>C. DANIEL RODRIGUEZ VALENZUELA</v>
      </c>
      <c r="L742" s="174" t="str">
        <f>OBRA!L744</f>
        <v>GMJ 021- OP/2023</v>
      </c>
      <c r="M742" s="202" t="str">
        <f>OBRA!M744</f>
        <v>ADJUDICACIÓN DIRECTA</v>
      </c>
      <c r="N742" s="328" t="str">
        <f>OBRA!N744</f>
        <v>"CONSTRUCCIÓN DE BANQUETAS E IMAGEN URBANA EN CALLE LA PAZ DE CALLE HIDALGO A CALLE ROTARIO Y CALLE ROTARIO DE CALLE LA PAZ A CARRETERA JOCOTEPEC-CHAPALA", EN LA LOCALIDAD DE SAN JUAN COSALÁ, MUNICIPIO DE JOCOTEPEC, JALISCO.</v>
      </c>
      <c r="O742" s="554" t="s">
        <v>5606</v>
      </c>
      <c r="P742" s="69">
        <f>OBRA!Q744</f>
        <v>45203</v>
      </c>
      <c r="Q742" s="85">
        <f>OBRA!P744</f>
        <v>853249.52</v>
      </c>
      <c r="R742" s="255">
        <f>OBRA!R744</f>
        <v>45209</v>
      </c>
      <c r="S742" s="245">
        <f>OBRA!S744</f>
        <v>45222</v>
      </c>
      <c r="T742" s="1609" t="s">
        <v>4497</v>
      </c>
      <c r="U742" s="216"/>
      <c r="V742" s="349"/>
      <c r="W742" s="668" t="s">
        <v>6073</v>
      </c>
      <c r="X742" s="1154">
        <f>OBRA!AP744</f>
        <v>341299.8</v>
      </c>
      <c r="Y742" s="344"/>
      <c r="Z742" s="344"/>
      <c r="AA742" s="255"/>
      <c r="AB742" s="1057">
        <f>OBRA!BT744</f>
        <v>0</v>
      </c>
      <c r="AC742" s="1058"/>
      <c r="AD742" s="1058"/>
    </row>
    <row r="743" spans="1:30" ht="66" customHeight="1">
      <c r="A743" s="335" t="s">
        <v>2239</v>
      </c>
      <c r="B743" s="1056">
        <f>GRAL!B899</f>
        <v>0</v>
      </c>
      <c r="C743" s="327">
        <f>OBRA!I745</f>
        <v>2023</v>
      </c>
      <c r="D743" s="1676"/>
      <c r="E743" s="532" t="str">
        <f>OBRA!K745</f>
        <v>CUENTA CORRIENTE</v>
      </c>
      <c r="F743" s="695" t="s">
        <v>1431</v>
      </c>
      <c r="G743" s="546" t="s">
        <v>6074</v>
      </c>
      <c r="H743" s="202"/>
      <c r="I743" s="546" t="s">
        <v>6074</v>
      </c>
      <c r="J743" s="339" t="str">
        <f>OBRA!U745</f>
        <v>SOLEC ENERGY, S.A. DE C.V.</v>
      </c>
      <c r="K743" s="172" t="str">
        <f>OBRA!V745</f>
        <v>C. DANIEL RODRIGUEZ VALENZUELA</v>
      </c>
      <c r="L743" s="174" t="str">
        <f>OBRA!L745</f>
        <v>GMJ 022 OP/2023</v>
      </c>
      <c r="M743" s="202" t="str">
        <f>OBRA!M745</f>
        <v>ADJUDICACIÓN DIRECTA</v>
      </c>
      <c r="N743" s="328" t="str">
        <f>OBRA!N745</f>
        <v>"ELECTRIFICACIÓN DE POZO CAMICHINES UBICADO EN CALLE FRANCISCO VILLA", EN LA CABECERA MUNICIPAL DE JOCOTEPEC, JALISCO.</v>
      </c>
      <c r="O743" s="554" t="s">
        <v>5606</v>
      </c>
      <c r="P743" s="69">
        <f>OBRA!Q745</f>
        <v>45212</v>
      </c>
      <c r="Q743" s="85">
        <f>OBRA!P745</f>
        <v>247646.07999999999</v>
      </c>
      <c r="R743" s="255">
        <f>OBRA!R745</f>
        <v>45215</v>
      </c>
      <c r="S743" s="245">
        <f>OBRA!S745</f>
        <v>45258</v>
      </c>
      <c r="T743" s="1897" t="s">
        <v>4498</v>
      </c>
      <c r="U743" s="1477" t="s">
        <v>1431</v>
      </c>
      <c r="V743" s="349"/>
      <c r="W743" s="642"/>
      <c r="X743" s="1154">
        <f>OBRA!AP745</f>
        <v>0</v>
      </c>
      <c r="Y743" s="344"/>
      <c r="Z743" s="344"/>
      <c r="AA743" s="255"/>
      <c r="AB743" s="1057">
        <f>OBRA!BT745</f>
        <v>0</v>
      </c>
      <c r="AC743" s="1058"/>
      <c r="AD743" s="1058"/>
    </row>
    <row r="744" spans="1:30" ht="77.25" customHeight="1">
      <c r="A744" s="335" t="s">
        <v>2239</v>
      </c>
      <c r="B744" s="1056">
        <f>GRAL!B900</f>
        <v>0</v>
      </c>
      <c r="C744" s="327">
        <f>OBRA!I746</f>
        <v>2023</v>
      </c>
      <c r="D744" s="1676"/>
      <c r="E744" s="532" t="str">
        <f>OBRA!K746</f>
        <v>CUENTA CORRIENTE</v>
      </c>
      <c r="F744" s="695" t="s">
        <v>1431</v>
      </c>
      <c r="G744" s="546" t="s">
        <v>6075</v>
      </c>
      <c r="H744" s="202"/>
      <c r="I744" s="546" t="s">
        <v>6075</v>
      </c>
      <c r="J744" s="339" t="str">
        <f>OBRA!U746</f>
        <v>SOLEC ENERGY, S.A. DE C.V.</v>
      </c>
      <c r="K744" s="172" t="str">
        <f>OBRA!V746</f>
        <v>C. DANIEL RODRIGUEZ VALENZUELA</v>
      </c>
      <c r="L744" s="174" t="str">
        <f>OBRA!L746</f>
        <v>GMJ 023 OP/2023</v>
      </c>
      <c r="M744" s="202" t="str">
        <f>OBRA!M746</f>
        <v>ADJUDICACIÓN DIRECTA</v>
      </c>
      <c r="N744" s="328" t="str">
        <f>OBRA!N746</f>
        <v>"ELECTRIFICACIÓN DE POZO EN PRIVADA GUADALUPE VICTORIA", EN LA LOCALIDAD DE SAN JUAN COSALÁ, MUNICIPIO DE JOCOTEPEC, JALISCO.</v>
      </c>
      <c r="O744" s="554" t="s">
        <v>5606</v>
      </c>
      <c r="P744" s="69">
        <f>OBRA!Q746</f>
        <v>45212</v>
      </c>
      <c r="Q744" s="85">
        <f>OBRA!P746</f>
        <v>330252</v>
      </c>
      <c r="R744" s="255">
        <f>OBRA!R746</f>
        <v>45222</v>
      </c>
      <c r="S744" s="245">
        <f>OBRA!S746</f>
        <v>45282</v>
      </c>
      <c r="T744" s="1897" t="s">
        <v>4498</v>
      </c>
      <c r="U744" s="1477" t="s">
        <v>1431</v>
      </c>
      <c r="V744" s="349"/>
      <c r="W744" s="642"/>
      <c r="X744" s="1154">
        <f>OBRA!AP746</f>
        <v>0</v>
      </c>
      <c r="Y744" s="344"/>
      <c r="Z744" s="344"/>
      <c r="AA744" s="255"/>
      <c r="AB744" s="1057">
        <f>OBRA!BT746</f>
        <v>0</v>
      </c>
      <c r="AC744" s="1058"/>
      <c r="AD744" s="1058"/>
    </row>
    <row r="745" spans="1:30" ht="21" hidden="1" customHeight="1">
      <c r="A745" s="23" t="s">
        <v>2239</v>
      </c>
      <c r="B745" s="933">
        <f>GRAL!B901</f>
        <v>0</v>
      </c>
      <c r="C745" s="17">
        <f>OBRA!I747</f>
        <v>2023</v>
      </c>
      <c r="D745" s="1676"/>
      <c r="E745" s="18" t="str">
        <f>OBRA!K747</f>
        <v>CUENTA CORRIENTE</v>
      </c>
      <c r="F745" s="1374"/>
      <c r="G745" s="1300"/>
      <c r="H745" s="239"/>
      <c r="I745" s="1300"/>
      <c r="J745" s="56"/>
      <c r="K745" s="57"/>
      <c r="L745" s="20" t="str">
        <f>OBRA!L747</f>
        <v>CSS-OP-CC-024/2023</v>
      </c>
      <c r="M745" s="2" t="str">
        <f>OBRA!M747</f>
        <v>CONCURSO SIMPLIFICADO SUMARIO</v>
      </c>
      <c r="N745" s="3" t="str">
        <f>OBRA!N747</f>
        <v>"CONSTRUCCIÓN DE 29 LOCALES COMERCIALES EN PLAZOLETA", EN LA LOCALIDAD DE CHANTEPEC, MUNICIPIO DE JOCOTEPEC, JALISCO.</v>
      </c>
      <c r="O745" s="597"/>
      <c r="P745" s="6">
        <f>OBRA!Q747</f>
        <v>45245</v>
      </c>
      <c r="Q745" s="4">
        <f>OBRA!P747</f>
        <v>5281923.58</v>
      </c>
      <c r="R745" s="5">
        <f>OBRA!R747</f>
        <v>45251</v>
      </c>
      <c r="S745" s="12">
        <f>OBRA!S747</f>
        <v>45004</v>
      </c>
      <c r="T745" s="792"/>
      <c r="U745" s="223"/>
      <c r="V745" s="558"/>
      <c r="W745" s="559"/>
      <c r="X745" s="590">
        <f>OBRA!AP747</f>
        <v>0</v>
      </c>
      <c r="Y745" s="341"/>
      <c r="Z745" s="341"/>
      <c r="AA745" s="5"/>
      <c r="AB745" s="351">
        <f>OBRA!BT747</f>
        <v>0</v>
      </c>
      <c r="AC745" s="569"/>
      <c r="AD745" s="569"/>
    </row>
    <row r="746" spans="1:30" ht="66.75" customHeight="1">
      <c r="A746" s="335" t="s">
        <v>2239</v>
      </c>
      <c r="B746" s="1056">
        <f>GRAL!B902</f>
        <v>0</v>
      </c>
      <c r="C746" s="327">
        <f>OBRA!I748</f>
        <v>2023</v>
      </c>
      <c r="D746" s="1676"/>
      <c r="E746" s="532" t="str">
        <f>OBRA!K748</f>
        <v>CUENTA CORRIENTE</v>
      </c>
      <c r="F746" s="695" t="s">
        <v>1431</v>
      </c>
      <c r="G746" s="1541"/>
      <c r="H746" s="71"/>
      <c r="I746" s="1541"/>
      <c r="J746" s="339" t="str">
        <f>OBRA!U748</f>
        <v xml:space="preserve">DORIA &amp; SAMPIER CONSTRUCTORA, S.A. DE C.V. </v>
      </c>
      <c r="K746" s="172" t="str">
        <f>OBRA!V748</f>
        <v>ARQ. JAIME CONDE GOMEZ</v>
      </c>
      <c r="L746" s="174" t="str">
        <f>OBRA!L748</f>
        <v>GMJ 025C OP/2023</v>
      </c>
      <c r="M746" s="202" t="str">
        <f>OBRA!M748</f>
        <v>ADJUDICACIÓN DIRECTA</v>
      </c>
      <c r="N746" s="328" t="str">
        <f>OBRA!N748</f>
        <v>"REHABILITACIÓN DE PLAZA PRINCIPAL (3RA ETAPA)", EN LA LOCALIDAD DE HUEJOTITÁN, MUNICIPIO DE JOCOTEPEC, JALISCO.</v>
      </c>
      <c r="O746" s="554" t="s">
        <v>5606</v>
      </c>
      <c r="P746" s="69">
        <f>OBRA!Q748</f>
        <v>45247</v>
      </c>
      <c r="Q746" s="85">
        <f>OBRA!P748</f>
        <v>441962.08</v>
      </c>
      <c r="R746" s="255">
        <f>OBRA!R748</f>
        <v>45245</v>
      </c>
      <c r="S746" s="245">
        <f>OBRA!S748</f>
        <v>45290</v>
      </c>
      <c r="T746" s="1897" t="s">
        <v>4498</v>
      </c>
      <c r="U746" s="1477" t="s">
        <v>1431</v>
      </c>
      <c r="V746" s="344"/>
      <c r="W746" s="245"/>
      <c r="X746" s="601">
        <f>OBRA!AP748</f>
        <v>0</v>
      </c>
      <c r="Y746" s="344"/>
      <c r="Z746" s="344"/>
      <c r="AA746" s="255"/>
      <c r="AB746" s="1057">
        <f>OBRA!BT748</f>
        <v>0</v>
      </c>
      <c r="AC746" s="1058"/>
      <c r="AD746" s="1058"/>
    </row>
    <row r="747" spans="1:30" ht="21" hidden="1" customHeight="1">
      <c r="A747" s="23" t="s">
        <v>2239</v>
      </c>
      <c r="B747" s="933">
        <f>GRAL!B903</f>
        <v>0</v>
      </c>
      <c r="C747" s="17">
        <f>OBRA!I749</f>
        <v>2023</v>
      </c>
      <c r="D747" s="1676"/>
      <c r="E747" s="18" t="str">
        <f>OBRA!K749</f>
        <v>CTA-CTE / RAMO 33</v>
      </c>
      <c r="F747" s="1374"/>
      <c r="G747" s="1300"/>
      <c r="H747" s="239"/>
      <c r="I747" s="1300"/>
      <c r="J747" s="56"/>
      <c r="K747" s="57"/>
      <c r="L747" s="20" t="str">
        <f>OBRA!L749</f>
        <v>FAIS-RAMO33/CC-OP-CSS-026/2023</v>
      </c>
      <c r="M747" s="2" t="str">
        <f>OBRA!M749</f>
        <v>CONCURSO SIMPLIFICADO SUMARIO CON RECURSOS CONCURRIDOS</v>
      </c>
      <c r="N747" s="3" t="str">
        <f>OBRA!N749</f>
        <v>"CONSTRUCCIÓN DE UN CARCAMO DE BOMBEO EN LA ZONA DEL MALECÓN, CERCA DE LA PLANTA DE TRATAMIENTO DE AGUAS RESIDUALES, POR CALLE RIVERA DEL LAGO, ESQUINA CON CALLE JOSÉ SANTANA", EN LA CABECERA MUNICIPAL DE JOCOTEPEC, JALISCO.</v>
      </c>
      <c r="O747" s="597"/>
      <c r="P747" s="6">
        <f>OBRA!Q749</f>
        <v>45268</v>
      </c>
      <c r="Q747" s="4">
        <f>OBRA!P749</f>
        <v>2969939.23</v>
      </c>
      <c r="R747" s="5">
        <f>OBRA!R749</f>
        <v>45271</v>
      </c>
      <c r="S747" s="12">
        <f>OBRA!S749</f>
        <v>45290</v>
      </c>
      <c r="T747" s="792"/>
      <c r="U747" s="223"/>
      <c r="V747" s="558"/>
      <c r="W747" s="559"/>
      <c r="X747" s="590">
        <f>OBRA!AP749</f>
        <v>0</v>
      </c>
      <c r="Y747" s="341"/>
      <c r="Z747" s="341"/>
      <c r="AA747" s="5"/>
      <c r="AB747" s="351">
        <f>OBRA!BT749</f>
        <v>0</v>
      </c>
      <c r="AC747" s="569"/>
      <c r="AD747" s="569"/>
    </row>
    <row r="748" spans="1:30" ht="78" customHeight="1">
      <c r="A748" s="335" t="s">
        <v>2239</v>
      </c>
      <c r="B748" s="1056">
        <f>GRAL!B904</f>
        <v>0</v>
      </c>
      <c r="C748" s="327">
        <f>OBRA!I750</f>
        <v>2023</v>
      </c>
      <c r="D748" s="1676"/>
      <c r="E748" s="532" t="str">
        <f>OBRA!K750</f>
        <v>CUENTA CORRIENTE</v>
      </c>
      <c r="F748" s="695" t="s">
        <v>1431</v>
      </c>
      <c r="G748" s="1541"/>
      <c r="H748" s="71"/>
      <c r="I748" s="1541"/>
      <c r="J748" s="339" t="str">
        <f>OBRA!U750</f>
        <v xml:space="preserve">DESARROLLADORA FARAR, S.A. DE C.V. </v>
      </c>
      <c r="K748" s="172" t="str">
        <f>OBRA!V750</f>
        <v>C. DANIEL RODRIGUEZ VALENZUELA</v>
      </c>
      <c r="L748" s="174" t="str">
        <f>OBRA!L750</f>
        <v>GMJ 027C OP/2023</v>
      </c>
      <c r="M748" s="202" t="str">
        <f>OBRA!M750</f>
        <v>ADJUDICACIÓN DIRECTA</v>
      </c>
      <c r="N748" s="328" t="str">
        <f>OBRA!N750</f>
        <v>"CONSTRUCCIÓN DE CALLE, ESTACIONAMIENTO, MACHUELOS Y CANCHA DE UNIDAD DEPORTIVA", EN LA LOCALIDAD DE CHANTEPEC, MUNICIPIO DE JOCOTEPEC.</v>
      </c>
      <c r="O748" s="554" t="s">
        <v>5606</v>
      </c>
      <c r="P748" s="69">
        <f>OBRA!Q750</f>
        <v>45258</v>
      </c>
      <c r="Q748" s="85">
        <f>OBRA!P750</f>
        <v>1515153.08</v>
      </c>
      <c r="R748" s="255">
        <f>OBRA!R750</f>
        <v>45264</v>
      </c>
      <c r="S748" s="245">
        <f>OBRA!S750</f>
        <v>45374</v>
      </c>
      <c r="T748" s="1897" t="s">
        <v>4498</v>
      </c>
      <c r="U748" s="1477" t="s">
        <v>1431</v>
      </c>
      <c r="V748" s="344"/>
      <c r="W748" s="245"/>
      <c r="X748" s="601">
        <f>OBRA!AP750</f>
        <v>0</v>
      </c>
      <c r="Y748" s="344"/>
      <c r="Z748" s="344"/>
      <c r="AA748" s="255"/>
      <c r="AB748" s="1057">
        <f>OBRA!BT750</f>
        <v>0</v>
      </c>
      <c r="AC748" s="1058"/>
      <c r="AD748" s="1058"/>
    </row>
    <row r="749" spans="1:30" ht="96" customHeight="1">
      <c r="A749" s="335" t="s">
        <v>2239</v>
      </c>
      <c r="B749" s="1056">
        <f>GRAL!B905</f>
        <v>0</v>
      </c>
      <c r="C749" s="327">
        <f>OBRA!I751</f>
        <v>2023</v>
      </c>
      <c r="D749" s="1676"/>
      <c r="E749" s="532" t="str">
        <f>OBRA!K751</f>
        <v>CUENTA CORRIENTE</v>
      </c>
      <c r="F749" s="695" t="s">
        <v>1431</v>
      </c>
      <c r="G749" s="1541"/>
      <c r="H749" s="71"/>
      <c r="I749" s="1541"/>
      <c r="J749" s="339" t="str">
        <f>OBRA!U751</f>
        <v>ACROX CONSTRUCCIONES, S.A. DE C.V.</v>
      </c>
      <c r="K749" s="172" t="str">
        <f>OBRA!V751</f>
        <v>C. DANIEL RODRIGUEZ VALENZUELA</v>
      </c>
      <c r="L749" s="174" t="str">
        <f>OBRA!L751</f>
        <v>GMJ 028C OP/2023</v>
      </c>
      <c r="M749" s="202" t="str">
        <f>OBRA!M751</f>
        <v>ADJUDICACIÓN DIRECTA</v>
      </c>
      <c r="N749" s="328" t="str">
        <f>OBRA!N751</f>
        <v>"CONSTRUCCIÓN DE BAÑOS, VESTIDORES, LOCALES COMERCIALES, DRENAJE SANITARIO Y PLUVIALES EN UNIDAD DEPORTIVA", EN LA LOCALIDAD DE CHANTEPEC, MUNICIPIO DE JOCOTEPEC, JALISCO.</v>
      </c>
      <c r="O749" s="554" t="s">
        <v>5606</v>
      </c>
      <c r="P749" s="69">
        <f>OBRA!Q751</f>
        <v>45258</v>
      </c>
      <c r="Q749" s="85">
        <f>OBRA!P751</f>
        <v>1777367.51</v>
      </c>
      <c r="R749" s="255">
        <f>OBRA!R751</f>
        <v>45264</v>
      </c>
      <c r="S749" s="245">
        <f>OBRA!S751</f>
        <v>45374</v>
      </c>
      <c r="T749" s="1897" t="s">
        <v>4498</v>
      </c>
      <c r="U749" s="1477" t="s">
        <v>1431</v>
      </c>
      <c r="V749" s="344"/>
      <c r="W749" s="245"/>
      <c r="X749" s="601">
        <f>OBRA!AP751</f>
        <v>0</v>
      </c>
      <c r="Y749" s="344"/>
      <c r="Z749" s="344"/>
      <c r="AA749" s="255"/>
      <c r="AB749" s="1057">
        <f>OBRA!BT751</f>
        <v>0</v>
      </c>
      <c r="AC749" s="1058"/>
      <c r="AD749" s="1058"/>
    </row>
    <row r="750" spans="1:30" ht="128.25" customHeight="1">
      <c r="A750" s="335" t="s">
        <v>2239</v>
      </c>
      <c r="B750" s="1056">
        <f>GRAL!B906</f>
        <v>0</v>
      </c>
      <c r="C750" s="327">
        <f>OBRA!I752</f>
        <v>2023</v>
      </c>
      <c r="D750" s="1676"/>
      <c r="E750" s="532" t="str">
        <f>OBRA!K752</f>
        <v>RAMO 33</v>
      </c>
      <c r="F750" s="695" t="s">
        <v>1431</v>
      </c>
      <c r="G750" s="1541"/>
      <c r="H750" s="71"/>
      <c r="I750" s="1541"/>
      <c r="J750" s="339" t="str">
        <f>OBRA!U752</f>
        <v>TERRACERÍAS Y PAVIMENTOS DE LA RIBERA, S.A. DE C.V.</v>
      </c>
      <c r="K750" s="172" t="str">
        <f>OBRA!V752</f>
        <v>C. DANIEL RODRIGUEZ VALENZUELA</v>
      </c>
      <c r="L750" s="174" t="str">
        <f>OBRA!L752</f>
        <v>GMJ 029C OP/2023</v>
      </c>
      <c r="M750" s="202" t="str">
        <f>OBRA!M752</f>
        <v>ADJUDICACIÓN DIRECTA</v>
      </c>
      <c r="N750" s="328" t="str">
        <f>OBRA!N752</f>
        <v>"CONSTRUCCIÓN DE LÍNEA DE COLECTOR SANITARIO DE PVC DE 18 PULGADAS A NUEVO CARCAMOS DE BOMBEO Y LÍNEA DE BOMBEO DE ACERO DE 8 PULGADAS DE NUEVO CARCAMO A PLANTA DE TRATAMIENTO", EN LA CABECERA MUNICIPAL DE JOCOTEPEC, JALISCO.</v>
      </c>
      <c r="O750" s="554" t="s">
        <v>5606</v>
      </c>
      <c r="P750" s="69">
        <f>OBRA!Q752</f>
        <v>45257</v>
      </c>
      <c r="Q750" s="85">
        <f>OBRA!P752</f>
        <v>521271.1</v>
      </c>
      <c r="R750" s="255">
        <f>OBRA!R752</f>
        <v>45258</v>
      </c>
      <c r="S750" s="245">
        <f>OBRA!S752</f>
        <v>45276</v>
      </c>
      <c r="T750" s="1609" t="s">
        <v>4497</v>
      </c>
      <c r="U750" s="216"/>
      <c r="V750" s="344"/>
      <c r="W750" s="245"/>
      <c r="X750" s="601">
        <f>OBRA!AP752</f>
        <v>52127.11</v>
      </c>
      <c r="Y750" s="344"/>
      <c r="Z750" s="344"/>
      <c r="AA750" s="255"/>
      <c r="AB750" s="1057">
        <f>OBRA!BT752</f>
        <v>0</v>
      </c>
      <c r="AC750" s="1058"/>
      <c r="AD750" s="1058"/>
    </row>
    <row r="751" spans="1:30" ht="99" customHeight="1">
      <c r="A751" s="335" t="s">
        <v>2239</v>
      </c>
      <c r="B751" s="1056">
        <f>GRAL!B907</f>
        <v>0</v>
      </c>
      <c r="C751" s="327">
        <f>OBRA!I753</f>
        <v>2023</v>
      </c>
      <c r="D751" s="1676"/>
      <c r="E751" s="532" t="str">
        <f>OBRA!K753</f>
        <v xml:space="preserve">FORTAMUN </v>
      </c>
      <c r="F751" s="695" t="s">
        <v>1431</v>
      </c>
      <c r="G751" s="1541"/>
      <c r="H751" s="71"/>
      <c r="I751" s="1541"/>
      <c r="J751" s="339" t="str">
        <f>OBRA!U753</f>
        <v>ESTRUCTURAS PLANEADAS DE OCCIDENTE, S.A. DE C.V.</v>
      </c>
      <c r="K751" s="172" t="str">
        <f>OBRA!V753</f>
        <v>C. DANIEL RODRIGUEZ VALENZUELA</v>
      </c>
      <c r="L751" s="174" t="str">
        <f>OBRA!L753</f>
        <v>GMJ 030C OP/2023</v>
      </c>
      <c r="M751" s="202" t="str">
        <f>OBRA!M753</f>
        <v>ADJUDICACIÓN DIRECTA</v>
      </c>
      <c r="N751" s="328" t="str">
        <f>OBRA!N753</f>
        <v>"CONSTRUCCIÓN DE LÍNEA DE ABASTECIMIENTO DEL POZO DE AGUA POTABLE EN PRIV. GUADALUPE VICTORIA A RED PRINCIPAL EN C. ZARAGOZA", EN LA LOCALIDAD DE SAN JUAN COSALÁ, MUNICIPIO DE JOCOTEPEC, JALISCO.</v>
      </c>
      <c r="O751" s="554" t="s">
        <v>5606</v>
      </c>
      <c r="P751" s="69">
        <f>OBRA!Q753</f>
        <v>45269</v>
      </c>
      <c r="Q751" s="85">
        <f>OBRA!P753</f>
        <v>810268.98</v>
      </c>
      <c r="R751" s="255">
        <f>OBRA!R753</f>
        <v>45271</v>
      </c>
      <c r="S751" s="245">
        <f>OBRA!S753</f>
        <v>45290</v>
      </c>
      <c r="T751" s="1609" t="s">
        <v>3860</v>
      </c>
      <c r="U751" s="216"/>
      <c r="V751" s="344"/>
      <c r="W751" s="245"/>
      <c r="X751" s="601">
        <f>OBRA!AP753</f>
        <v>0</v>
      </c>
      <c r="Y751" s="344"/>
      <c r="Z751" s="344"/>
      <c r="AA751" s="255"/>
      <c r="AB751" s="1057">
        <f>OBRA!BT753</f>
        <v>0</v>
      </c>
      <c r="AC751" s="1058"/>
      <c r="AD751" s="1058"/>
    </row>
    <row r="752" spans="1:30" ht="21" hidden="1" customHeight="1">
      <c r="A752" s="23" t="s">
        <v>2239</v>
      </c>
      <c r="B752" s="933">
        <f>GRAL!B908</f>
        <v>0</v>
      </c>
      <c r="C752" s="17">
        <f>OBRA!I754</f>
        <v>0</v>
      </c>
      <c r="D752" s="1676"/>
      <c r="E752" s="18">
        <f>OBRA!K754</f>
        <v>0</v>
      </c>
      <c r="F752" s="1374"/>
      <c r="G752" s="1300"/>
      <c r="H752" s="239"/>
      <c r="I752" s="1300"/>
      <c r="J752" s="56"/>
      <c r="K752" s="57"/>
      <c r="L752" s="20">
        <f>OBRA!L754</f>
        <v>0</v>
      </c>
      <c r="M752" s="2">
        <f>OBRA!M754</f>
        <v>0</v>
      </c>
      <c r="N752" s="3">
        <f>OBRA!N754</f>
        <v>0</v>
      </c>
      <c r="O752" s="597"/>
      <c r="P752" s="6">
        <f>OBRA!Q754</f>
        <v>0</v>
      </c>
      <c r="Q752" s="4">
        <f>OBRA!P754</f>
        <v>0</v>
      </c>
      <c r="R752" s="5">
        <f>OBRA!R754</f>
        <v>0</v>
      </c>
      <c r="S752" s="12">
        <f>OBRA!S754</f>
        <v>0</v>
      </c>
      <c r="T752" s="792"/>
      <c r="U752" s="223"/>
      <c r="V752" s="558"/>
      <c r="W752" s="559"/>
      <c r="X752" s="590">
        <f>OBRA!AP754</f>
        <v>0</v>
      </c>
      <c r="Y752" s="341"/>
      <c r="Z752" s="341"/>
      <c r="AA752" s="5"/>
      <c r="AB752" s="351">
        <f>OBRA!BT754</f>
        <v>0</v>
      </c>
      <c r="AC752" s="569"/>
      <c r="AD752" s="569"/>
    </row>
    <row r="753" spans="1:30" ht="21" hidden="1" customHeight="1">
      <c r="A753" s="23" t="s">
        <v>2239</v>
      </c>
      <c r="B753" s="933">
        <f>GRAL!B909</f>
        <v>0</v>
      </c>
      <c r="C753" s="17">
        <f>OBRA!I755</f>
        <v>0</v>
      </c>
      <c r="D753" s="1676"/>
      <c r="E753" s="18">
        <f>OBRA!K755</f>
        <v>0</v>
      </c>
      <c r="F753" s="1374"/>
      <c r="G753" s="1300"/>
      <c r="H753" s="239"/>
      <c r="I753" s="1300"/>
      <c r="J753" s="56"/>
      <c r="K753" s="57"/>
      <c r="L753" s="20">
        <f>OBRA!L755</f>
        <v>0</v>
      </c>
      <c r="M753" s="2">
        <f>OBRA!M755</f>
        <v>0</v>
      </c>
      <c r="N753" s="3">
        <f>OBRA!N755</f>
        <v>0</v>
      </c>
      <c r="O753" s="597"/>
      <c r="P753" s="6">
        <f>OBRA!Q755</f>
        <v>0</v>
      </c>
      <c r="Q753" s="4">
        <f>OBRA!P755</f>
        <v>0</v>
      </c>
      <c r="R753" s="5">
        <f>OBRA!R755</f>
        <v>0</v>
      </c>
      <c r="S753" s="12">
        <f>OBRA!S755</f>
        <v>0</v>
      </c>
      <c r="T753" s="792"/>
      <c r="U753" s="223"/>
      <c r="V753" s="558"/>
      <c r="W753" s="559"/>
      <c r="X753" s="590">
        <f>OBRA!AP755</f>
        <v>0</v>
      </c>
      <c r="Y753" s="341"/>
      <c r="Z753" s="341"/>
      <c r="AA753" s="5"/>
      <c r="AB753" s="351">
        <f>OBRA!BT755</f>
        <v>0</v>
      </c>
      <c r="AC753" s="569"/>
      <c r="AD753" s="569"/>
    </row>
    <row r="754" spans="1:30" ht="21" hidden="1" customHeight="1">
      <c r="A754" s="23" t="s">
        <v>2239</v>
      </c>
      <c r="B754" s="933">
        <f>GRAL!B910</f>
        <v>0</v>
      </c>
      <c r="C754" s="17">
        <f>OBRA!I756</f>
        <v>0</v>
      </c>
      <c r="D754" s="1676"/>
      <c r="E754" s="18">
        <f>OBRA!K756</f>
        <v>0</v>
      </c>
      <c r="F754" s="1374"/>
      <c r="G754" s="1300"/>
      <c r="H754" s="239"/>
      <c r="I754" s="1300"/>
      <c r="J754" s="56"/>
      <c r="K754" s="57"/>
      <c r="L754" s="20">
        <f>OBRA!L756</f>
        <v>0</v>
      </c>
      <c r="M754" s="2">
        <f>OBRA!M756</f>
        <v>0</v>
      </c>
      <c r="N754" s="3">
        <f>OBRA!N756</f>
        <v>0</v>
      </c>
      <c r="O754" s="597"/>
      <c r="P754" s="6">
        <f>OBRA!Q756</f>
        <v>0</v>
      </c>
      <c r="Q754" s="4">
        <f>OBRA!P756</f>
        <v>0</v>
      </c>
      <c r="R754" s="5">
        <f>OBRA!R756</f>
        <v>0</v>
      </c>
      <c r="S754" s="12">
        <f>OBRA!S756</f>
        <v>0</v>
      </c>
      <c r="T754" s="792"/>
      <c r="U754" s="223"/>
      <c r="V754" s="558"/>
      <c r="W754" s="559"/>
      <c r="X754" s="590">
        <f>OBRA!AP756</f>
        <v>0</v>
      </c>
      <c r="Y754" s="341"/>
      <c r="Z754" s="341"/>
      <c r="AA754" s="5"/>
      <c r="AB754" s="351">
        <f>OBRA!BT756</f>
        <v>0</v>
      </c>
      <c r="AC754" s="569"/>
      <c r="AD754" s="569"/>
    </row>
    <row r="755" spans="1:30" ht="21" hidden="1" customHeight="1">
      <c r="A755" s="23" t="s">
        <v>2239</v>
      </c>
      <c r="B755" s="933">
        <f>GRAL!B911</f>
        <v>0</v>
      </c>
      <c r="C755" s="17">
        <f>OBRA!I757</f>
        <v>0</v>
      </c>
      <c r="D755" s="1676"/>
      <c r="E755" s="18">
        <f>OBRA!K757</f>
        <v>0</v>
      </c>
      <c r="F755" s="1374"/>
      <c r="G755" s="1300"/>
      <c r="H755" s="239"/>
      <c r="I755" s="1300"/>
      <c r="J755" s="56"/>
      <c r="K755" s="57"/>
      <c r="L755" s="20">
        <f>OBRA!L757</f>
        <v>0</v>
      </c>
      <c r="M755" s="2">
        <f>OBRA!M757</f>
        <v>0</v>
      </c>
      <c r="N755" s="3">
        <f>OBRA!N757</f>
        <v>0</v>
      </c>
      <c r="O755" s="597"/>
      <c r="P755" s="6">
        <f>OBRA!Q757</f>
        <v>0</v>
      </c>
      <c r="Q755" s="4">
        <f>OBRA!P757</f>
        <v>0</v>
      </c>
      <c r="R755" s="5">
        <f>OBRA!R757</f>
        <v>0</v>
      </c>
      <c r="S755" s="12">
        <f>OBRA!S757</f>
        <v>0</v>
      </c>
      <c r="T755" s="792"/>
      <c r="U755" s="223"/>
      <c r="V755" s="558"/>
      <c r="W755" s="559"/>
      <c r="X755" s="590">
        <f>OBRA!AP757</f>
        <v>0</v>
      </c>
      <c r="Y755" s="341"/>
      <c r="Z755" s="341"/>
      <c r="AA755" s="5"/>
      <c r="AB755" s="351">
        <f>OBRA!BT757</f>
        <v>0</v>
      </c>
      <c r="AC755" s="569"/>
      <c r="AD755" s="569"/>
    </row>
    <row r="756" spans="1:30" ht="21" hidden="1" customHeight="1">
      <c r="A756" s="23" t="s">
        <v>2239</v>
      </c>
      <c r="B756" s="933">
        <f>GRAL!B912</f>
        <v>0</v>
      </c>
      <c r="C756" s="17">
        <f>OBRA!I758</f>
        <v>0</v>
      </c>
      <c r="D756" s="1676"/>
      <c r="E756" s="18">
        <f>OBRA!K758</f>
        <v>0</v>
      </c>
      <c r="F756" s="1374"/>
      <c r="G756" s="1300"/>
      <c r="H756" s="239"/>
      <c r="I756" s="1300"/>
      <c r="J756" s="56"/>
      <c r="K756" s="57"/>
      <c r="L756" s="20">
        <f>OBRA!L758</f>
        <v>0</v>
      </c>
      <c r="M756" s="2">
        <f>OBRA!M758</f>
        <v>0</v>
      </c>
      <c r="N756" s="3">
        <f>OBRA!N758</f>
        <v>0</v>
      </c>
      <c r="O756" s="597"/>
      <c r="P756" s="6">
        <f>OBRA!Q758</f>
        <v>0</v>
      </c>
      <c r="Q756" s="4">
        <f>OBRA!P758</f>
        <v>0</v>
      </c>
      <c r="R756" s="5">
        <f>OBRA!R758</f>
        <v>0</v>
      </c>
      <c r="S756" s="12">
        <f>OBRA!S758</f>
        <v>0</v>
      </c>
      <c r="T756" s="792"/>
      <c r="U756" s="223"/>
      <c r="V756" s="558"/>
      <c r="W756" s="559"/>
      <c r="X756" s="590">
        <f>OBRA!AP758</f>
        <v>0</v>
      </c>
      <c r="Y756" s="341"/>
      <c r="Z756" s="341"/>
      <c r="AA756" s="5"/>
      <c r="AB756" s="351">
        <f>OBRA!BT758</f>
        <v>0</v>
      </c>
      <c r="AC756" s="569"/>
      <c r="AD756" s="569"/>
    </row>
    <row r="757" spans="1:30" ht="21" hidden="1" customHeight="1">
      <c r="A757" s="23" t="s">
        <v>2239</v>
      </c>
      <c r="B757" s="933">
        <f>GRAL!B913</f>
        <v>0</v>
      </c>
      <c r="C757" s="17">
        <f>OBRA!I759</f>
        <v>0</v>
      </c>
      <c r="D757" s="1676"/>
      <c r="E757" s="18">
        <f>OBRA!K759</f>
        <v>0</v>
      </c>
      <c r="F757" s="1374"/>
      <c r="G757" s="1300"/>
      <c r="H757" s="239"/>
      <c r="I757" s="1300"/>
      <c r="J757" s="56"/>
      <c r="K757" s="57"/>
      <c r="L757" s="20">
        <f>OBRA!L759</f>
        <v>0</v>
      </c>
      <c r="M757" s="2">
        <f>OBRA!M759</f>
        <v>0</v>
      </c>
      <c r="N757" s="3">
        <f>OBRA!N759</f>
        <v>0</v>
      </c>
      <c r="O757" s="597"/>
      <c r="P757" s="6">
        <f>OBRA!Q759</f>
        <v>0</v>
      </c>
      <c r="Q757" s="4">
        <f>OBRA!P759</f>
        <v>0</v>
      </c>
      <c r="R757" s="5">
        <f>OBRA!R759</f>
        <v>0</v>
      </c>
      <c r="S757" s="12">
        <f>OBRA!S759</f>
        <v>0</v>
      </c>
      <c r="T757" s="792"/>
      <c r="U757" s="223"/>
      <c r="V757" s="558"/>
      <c r="W757" s="559"/>
      <c r="X757" s="590">
        <f>OBRA!AP759</f>
        <v>0</v>
      </c>
      <c r="Y757" s="341"/>
      <c r="Z757" s="341"/>
      <c r="AA757" s="5"/>
      <c r="AB757" s="351">
        <f>OBRA!BT759</f>
        <v>0</v>
      </c>
      <c r="AC757" s="569"/>
      <c r="AD757" s="569"/>
    </row>
    <row r="758" spans="1:30" ht="21" hidden="1" customHeight="1">
      <c r="A758" s="23" t="s">
        <v>2239</v>
      </c>
      <c r="B758" s="933">
        <f>GRAL!B914</f>
        <v>0</v>
      </c>
      <c r="C758" s="17">
        <f>OBRA!I760</f>
        <v>0</v>
      </c>
      <c r="D758" s="1676"/>
      <c r="E758" s="18">
        <f>OBRA!K760</f>
        <v>0</v>
      </c>
      <c r="F758" s="1374"/>
      <c r="G758" s="1300"/>
      <c r="H758" s="239"/>
      <c r="I758" s="1300"/>
      <c r="J758" s="56"/>
      <c r="K758" s="57"/>
      <c r="L758" s="20">
        <f>OBRA!L760</f>
        <v>0</v>
      </c>
      <c r="M758" s="2">
        <f>OBRA!M760</f>
        <v>0</v>
      </c>
      <c r="N758" s="3">
        <f>OBRA!N760</f>
        <v>0</v>
      </c>
      <c r="O758" s="597"/>
      <c r="P758" s="6">
        <f>OBRA!Q760</f>
        <v>0</v>
      </c>
      <c r="Q758" s="4">
        <f>OBRA!P760</f>
        <v>0</v>
      </c>
      <c r="R758" s="5">
        <f>OBRA!R760</f>
        <v>0</v>
      </c>
      <c r="S758" s="12">
        <f>OBRA!S760</f>
        <v>0</v>
      </c>
      <c r="T758" s="792"/>
      <c r="U758" s="223"/>
      <c r="V758" s="558"/>
      <c r="W758" s="559"/>
      <c r="X758" s="590">
        <f>OBRA!AP760</f>
        <v>0</v>
      </c>
      <c r="Y758" s="341"/>
      <c r="Z758" s="341"/>
      <c r="AA758" s="5"/>
      <c r="AB758" s="351">
        <f>OBRA!BT760</f>
        <v>0</v>
      </c>
      <c r="AC758" s="569"/>
      <c r="AD758" s="569"/>
    </row>
    <row r="759" spans="1:30" ht="21" hidden="1" customHeight="1">
      <c r="A759" s="23" t="s">
        <v>2239</v>
      </c>
      <c r="B759" s="933">
        <f>GRAL!B915</f>
        <v>0</v>
      </c>
      <c r="C759" s="17">
        <f>OBRA!I761</f>
        <v>0</v>
      </c>
      <c r="D759" s="1676"/>
      <c r="E759" s="18">
        <f>OBRA!K761</f>
        <v>0</v>
      </c>
      <c r="F759" s="1374"/>
      <c r="G759" s="1300"/>
      <c r="H759" s="239"/>
      <c r="I759" s="1300"/>
      <c r="J759" s="56"/>
      <c r="K759" s="57"/>
      <c r="L759" s="20">
        <f>OBRA!L761</f>
        <v>0</v>
      </c>
      <c r="M759" s="2">
        <f>OBRA!M761</f>
        <v>0</v>
      </c>
      <c r="N759" s="3">
        <f>OBRA!N761</f>
        <v>0</v>
      </c>
      <c r="O759" s="597"/>
      <c r="P759" s="6">
        <f>OBRA!Q761</f>
        <v>0</v>
      </c>
      <c r="Q759" s="4">
        <f>OBRA!P761</f>
        <v>0</v>
      </c>
      <c r="R759" s="5">
        <f>OBRA!R761</f>
        <v>0</v>
      </c>
      <c r="S759" s="12">
        <f>OBRA!S761</f>
        <v>0</v>
      </c>
      <c r="T759" s="792"/>
      <c r="U759" s="223"/>
      <c r="V759" s="558"/>
      <c r="W759" s="559"/>
      <c r="X759" s="590">
        <f>OBRA!AP761</f>
        <v>0</v>
      </c>
      <c r="Y759" s="341"/>
      <c r="Z759" s="341"/>
      <c r="AA759" s="5"/>
      <c r="AB759" s="351">
        <f>OBRA!BT761</f>
        <v>0</v>
      </c>
      <c r="AC759" s="569"/>
      <c r="AD759" s="569"/>
    </row>
    <row r="760" spans="1:30" ht="21" hidden="1" customHeight="1">
      <c r="A760" s="23" t="s">
        <v>2239</v>
      </c>
      <c r="B760" s="933">
        <f>GRAL!B916</f>
        <v>0</v>
      </c>
      <c r="C760" s="17">
        <f>OBRA!I762</f>
        <v>0</v>
      </c>
      <c r="D760" s="1676"/>
      <c r="E760" s="18">
        <f>OBRA!K762</f>
        <v>0</v>
      </c>
      <c r="F760" s="1374"/>
      <c r="G760" s="1300"/>
      <c r="H760" s="239"/>
      <c r="I760" s="1300"/>
      <c r="J760" s="56"/>
      <c r="K760" s="57"/>
      <c r="L760" s="20">
        <f>OBRA!L762</f>
        <v>0</v>
      </c>
      <c r="M760" s="2">
        <f>OBRA!M762</f>
        <v>0</v>
      </c>
      <c r="N760" s="3">
        <f>OBRA!N762</f>
        <v>0</v>
      </c>
      <c r="O760" s="597"/>
      <c r="P760" s="6">
        <f>OBRA!Q762</f>
        <v>0</v>
      </c>
      <c r="Q760" s="4">
        <f>OBRA!P762</f>
        <v>0</v>
      </c>
      <c r="R760" s="5">
        <f>OBRA!R762</f>
        <v>0</v>
      </c>
      <c r="S760" s="12">
        <f>OBRA!S762</f>
        <v>0</v>
      </c>
      <c r="T760" s="792"/>
      <c r="U760" s="223"/>
      <c r="V760" s="558"/>
      <c r="W760" s="559"/>
      <c r="X760" s="590">
        <f>OBRA!AP762</f>
        <v>0</v>
      </c>
      <c r="Y760" s="341"/>
      <c r="Z760" s="341"/>
      <c r="AA760" s="5"/>
      <c r="AB760" s="351">
        <f>OBRA!BT762</f>
        <v>0</v>
      </c>
      <c r="AC760" s="569"/>
      <c r="AD760" s="569"/>
    </row>
    <row r="761" spans="1:30" ht="21" hidden="1" customHeight="1">
      <c r="A761" s="23" t="s">
        <v>2239</v>
      </c>
      <c r="B761" s="933">
        <f>GRAL!B917</f>
        <v>0</v>
      </c>
      <c r="C761" s="17">
        <f>OBRA!I763</f>
        <v>0</v>
      </c>
      <c r="D761" s="1676"/>
      <c r="E761" s="18">
        <f>OBRA!K763</f>
        <v>0</v>
      </c>
      <c r="F761" s="1374"/>
      <c r="G761" s="1300"/>
      <c r="H761" s="239"/>
      <c r="I761" s="1300"/>
      <c r="J761" s="56"/>
      <c r="K761" s="57"/>
      <c r="L761" s="20">
        <f>OBRA!L763</f>
        <v>0</v>
      </c>
      <c r="M761" s="2">
        <f>OBRA!M763</f>
        <v>0</v>
      </c>
      <c r="N761" s="3">
        <f>OBRA!N763</f>
        <v>0</v>
      </c>
      <c r="O761" s="597"/>
      <c r="P761" s="6">
        <f>OBRA!Q763</f>
        <v>0</v>
      </c>
      <c r="Q761" s="4">
        <f>OBRA!P763</f>
        <v>0</v>
      </c>
      <c r="R761" s="5">
        <f>OBRA!R763</f>
        <v>0</v>
      </c>
      <c r="S761" s="12">
        <f>OBRA!S763</f>
        <v>0</v>
      </c>
      <c r="T761" s="792"/>
      <c r="U761" s="223"/>
      <c r="V761" s="558"/>
      <c r="W761" s="559"/>
      <c r="X761" s="590">
        <f>OBRA!AP763</f>
        <v>0</v>
      </c>
      <c r="Y761" s="341"/>
      <c r="Z761" s="341"/>
      <c r="AA761" s="5"/>
      <c r="AB761" s="351">
        <f>OBRA!BT763</f>
        <v>0</v>
      </c>
      <c r="AC761" s="569"/>
      <c r="AD761" s="569"/>
    </row>
    <row r="762" spans="1:30" ht="21" hidden="1" customHeight="1">
      <c r="A762" s="23" t="s">
        <v>2239</v>
      </c>
      <c r="B762" s="933">
        <f>GRAL!B918</f>
        <v>0</v>
      </c>
      <c r="C762" s="17">
        <f>OBRA!I764</f>
        <v>0</v>
      </c>
      <c r="D762" s="1676"/>
      <c r="E762" s="18">
        <f>OBRA!K764</f>
        <v>0</v>
      </c>
      <c r="F762" s="1374"/>
      <c r="G762" s="1300"/>
      <c r="H762" s="239"/>
      <c r="I762" s="1300"/>
      <c r="J762" s="56"/>
      <c r="K762" s="57"/>
      <c r="L762" s="20">
        <f>OBRA!L764</f>
        <v>0</v>
      </c>
      <c r="M762" s="2">
        <f>OBRA!M764</f>
        <v>0</v>
      </c>
      <c r="N762" s="3">
        <f>OBRA!N764</f>
        <v>0</v>
      </c>
      <c r="O762" s="597"/>
      <c r="P762" s="6">
        <f>OBRA!Q764</f>
        <v>0</v>
      </c>
      <c r="Q762" s="4">
        <f>OBRA!P764</f>
        <v>0</v>
      </c>
      <c r="R762" s="5">
        <f>OBRA!R764</f>
        <v>0</v>
      </c>
      <c r="S762" s="12">
        <f>OBRA!S764</f>
        <v>0</v>
      </c>
      <c r="T762" s="792"/>
      <c r="U762" s="223"/>
      <c r="V762" s="558"/>
      <c r="W762" s="559"/>
      <c r="X762" s="590">
        <f>OBRA!AP764</f>
        <v>0</v>
      </c>
      <c r="Y762" s="341"/>
      <c r="Z762" s="341"/>
      <c r="AA762" s="5"/>
      <c r="AB762" s="351">
        <f>OBRA!BT764</f>
        <v>0</v>
      </c>
      <c r="AC762" s="569"/>
      <c r="AD762" s="569"/>
    </row>
    <row r="763" spans="1:30" ht="21" hidden="1" customHeight="1">
      <c r="A763" s="23" t="s">
        <v>2239</v>
      </c>
      <c r="B763" s="933">
        <f>GRAL!B919</f>
        <v>0</v>
      </c>
      <c r="C763" s="17">
        <f>OBRA!I765</f>
        <v>0</v>
      </c>
      <c r="D763" s="1676"/>
      <c r="E763" s="18">
        <f>OBRA!K765</f>
        <v>0</v>
      </c>
      <c r="F763" s="1374"/>
      <c r="G763" s="1300"/>
      <c r="H763" s="239"/>
      <c r="I763" s="1300"/>
      <c r="J763" s="56"/>
      <c r="K763" s="57"/>
      <c r="L763" s="20">
        <f>OBRA!L765</f>
        <v>0</v>
      </c>
      <c r="M763" s="2">
        <f>OBRA!M765</f>
        <v>0</v>
      </c>
      <c r="N763" s="3">
        <f>OBRA!N765</f>
        <v>0</v>
      </c>
      <c r="O763" s="597"/>
      <c r="P763" s="6">
        <f>OBRA!Q765</f>
        <v>0</v>
      </c>
      <c r="Q763" s="4">
        <f>OBRA!P765</f>
        <v>0</v>
      </c>
      <c r="R763" s="5">
        <f>OBRA!R765</f>
        <v>0</v>
      </c>
      <c r="S763" s="12">
        <f>OBRA!S765</f>
        <v>0</v>
      </c>
      <c r="T763" s="792"/>
      <c r="U763" s="223"/>
      <c r="V763" s="558"/>
      <c r="W763" s="559"/>
      <c r="X763" s="590">
        <f>OBRA!AP765</f>
        <v>0</v>
      </c>
      <c r="Y763" s="341"/>
      <c r="Z763" s="341"/>
      <c r="AA763" s="5"/>
      <c r="AB763" s="351">
        <f>OBRA!BT765</f>
        <v>0</v>
      </c>
      <c r="AC763" s="569"/>
      <c r="AD763" s="569"/>
    </row>
    <row r="764" spans="1:30" ht="21" hidden="1" customHeight="1">
      <c r="A764" s="23" t="s">
        <v>2239</v>
      </c>
      <c r="B764" s="933">
        <f>GRAL!B920</f>
        <v>0</v>
      </c>
      <c r="C764" s="17">
        <f>OBRA!I766</f>
        <v>0</v>
      </c>
      <c r="D764" s="1676"/>
      <c r="E764" s="18">
        <f>OBRA!K766</f>
        <v>0</v>
      </c>
      <c r="F764" s="1374"/>
      <c r="G764" s="1300"/>
      <c r="H764" s="239"/>
      <c r="I764" s="1300"/>
      <c r="J764" s="56"/>
      <c r="K764" s="57"/>
      <c r="L764" s="20">
        <f>OBRA!L766</f>
        <v>0</v>
      </c>
      <c r="M764" s="2">
        <f>OBRA!M766</f>
        <v>0</v>
      </c>
      <c r="N764" s="3">
        <f>OBRA!N766</f>
        <v>0</v>
      </c>
      <c r="O764" s="597"/>
      <c r="P764" s="6">
        <f>OBRA!Q766</f>
        <v>0</v>
      </c>
      <c r="Q764" s="4">
        <f>OBRA!P766</f>
        <v>0</v>
      </c>
      <c r="R764" s="5">
        <f>OBRA!R766</f>
        <v>0</v>
      </c>
      <c r="S764" s="12">
        <f>OBRA!S766</f>
        <v>0</v>
      </c>
      <c r="T764" s="792"/>
      <c r="U764" s="223"/>
      <c r="V764" s="558"/>
      <c r="W764" s="559"/>
      <c r="X764" s="590">
        <f>OBRA!AP766</f>
        <v>0</v>
      </c>
      <c r="Y764" s="341"/>
      <c r="Z764" s="341"/>
      <c r="AA764" s="5"/>
      <c r="AB764" s="351">
        <f>OBRA!BT766</f>
        <v>0</v>
      </c>
      <c r="AC764" s="569"/>
      <c r="AD764" s="569"/>
    </row>
    <row r="765" spans="1:30" ht="21" hidden="1" customHeight="1">
      <c r="A765" s="23" t="s">
        <v>2239</v>
      </c>
      <c r="B765" s="933">
        <f>GRAL!B921</f>
        <v>0</v>
      </c>
      <c r="C765" s="17">
        <f>OBRA!I767</f>
        <v>0</v>
      </c>
      <c r="D765" s="1676"/>
      <c r="E765" s="18">
        <f>OBRA!K767</f>
        <v>0</v>
      </c>
      <c r="F765" s="1374"/>
      <c r="G765" s="1300"/>
      <c r="H765" s="239"/>
      <c r="I765" s="1300"/>
      <c r="J765" s="56"/>
      <c r="K765" s="57"/>
      <c r="L765" s="20">
        <f>OBRA!L767</f>
        <v>0</v>
      </c>
      <c r="M765" s="2">
        <f>OBRA!M767</f>
        <v>0</v>
      </c>
      <c r="N765" s="3">
        <f>OBRA!N767</f>
        <v>0</v>
      </c>
      <c r="O765" s="597"/>
      <c r="P765" s="6">
        <f>OBRA!Q767</f>
        <v>0</v>
      </c>
      <c r="Q765" s="4">
        <f>OBRA!P767</f>
        <v>0</v>
      </c>
      <c r="R765" s="5">
        <f>OBRA!R767</f>
        <v>0</v>
      </c>
      <c r="S765" s="12">
        <f>OBRA!S767</f>
        <v>0</v>
      </c>
      <c r="T765" s="792"/>
      <c r="U765" s="223"/>
      <c r="V765" s="558"/>
      <c r="W765" s="559"/>
      <c r="X765" s="590">
        <f>OBRA!AP767</f>
        <v>0</v>
      </c>
      <c r="Y765" s="341"/>
      <c r="Z765" s="341"/>
      <c r="AA765" s="5"/>
      <c r="AB765" s="351">
        <f>OBRA!BT767</f>
        <v>0</v>
      </c>
      <c r="AC765" s="569"/>
      <c r="AD765" s="569"/>
    </row>
    <row r="766" spans="1:30" ht="21" hidden="1" customHeight="1">
      <c r="A766" s="23" t="s">
        <v>2239</v>
      </c>
      <c r="B766" s="933">
        <f>GRAL!B922</f>
        <v>0</v>
      </c>
      <c r="C766" s="17">
        <f>OBRA!I768</f>
        <v>0</v>
      </c>
      <c r="D766" s="1676"/>
      <c r="E766" s="18">
        <f>OBRA!K768</f>
        <v>0</v>
      </c>
      <c r="F766" s="1374"/>
      <c r="G766" s="1300"/>
      <c r="H766" s="239"/>
      <c r="I766" s="1300"/>
      <c r="J766" s="56"/>
      <c r="K766" s="57"/>
      <c r="L766" s="20">
        <f>OBRA!L768</f>
        <v>0</v>
      </c>
      <c r="M766" s="2">
        <f>OBRA!M768</f>
        <v>0</v>
      </c>
      <c r="N766" s="3">
        <f>OBRA!N768</f>
        <v>0</v>
      </c>
      <c r="O766" s="597"/>
      <c r="P766" s="6">
        <f>OBRA!Q768</f>
        <v>0</v>
      </c>
      <c r="Q766" s="4">
        <f>OBRA!P768</f>
        <v>0</v>
      </c>
      <c r="R766" s="5">
        <f>OBRA!R768</f>
        <v>0</v>
      </c>
      <c r="S766" s="12">
        <f>OBRA!S768</f>
        <v>0</v>
      </c>
      <c r="T766" s="792"/>
      <c r="U766" s="223"/>
      <c r="V766" s="558"/>
      <c r="W766" s="559"/>
      <c r="X766" s="590">
        <f>OBRA!AP768</f>
        <v>0</v>
      </c>
      <c r="Y766" s="341"/>
      <c r="Z766" s="341"/>
      <c r="AA766" s="5"/>
      <c r="AB766" s="351">
        <f>OBRA!BT768</f>
        <v>0</v>
      </c>
      <c r="AC766" s="569"/>
      <c r="AD766" s="569"/>
    </row>
    <row r="767" spans="1:30" ht="21" hidden="1" customHeight="1">
      <c r="A767" s="23" t="s">
        <v>2239</v>
      </c>
      <c r="B767" s="933">
        <f>GRAL!B923</f>
        <v>0</v>
      </c>
      <c r="C767" s="17">
        <f>OBRA!I769</f>
        <v>0</v>
      </c>
      <c r="D767" s="1676"/>
      <c r="E767" s="18">
        <f>OBRA!K769</f>
        <v>0</v>
      </c>
      <c r="F767" s="1374"/>
      <c r="G767" s="1300"/>
      <c r="H767" s="239"/>
      <c r="I767" s="1300"/>
      <c r="J767" s="56"/>
      <c r="K767" s="57"/>
      <c r="L767" s="20">
        <f>OBRA!L769</f>
        <v>0</v>
      </c>
      <c r="M767" s="2">
        <f>OBRA!M769</f>
        <v>0</v>
      </c>
      <c r="N767" s="3">
        <f>OBRA!N769</f>
        <v>0</v>
      </c>
      <c r="O767" s="597"/>
      <c r="P767" s="6">
        <f>OBRA!Q769</f>
        <v>0</v>
      </c>
      <c r="Q767" s="4">
        <f>OBRA!P769</f>
        <v>0</v>
      </c>
      <c r="R767" s="5">
        <f>OBRA!R769</f>
        <v>0</v>
      </c>
      <c r="S767" s="12">
        <f>OBRA!S769</f>
        <v>0</v>
      </c>
      <c r="T767" s="792"/>
      <c r="U767" s="223"/>
      <c r="V767" s="558"/>
      <c r="W767" s="559"/>
      <c r="X767" s="590">
        <f>OBRA!AP769</f>
        <v>0</v>
      </c>
      <c r="Y767" s="341"/>
      <c r="Z767" s="341"/>
      <c r="AA767" s="5"/>
      <c r="AB767" s="351">
        <f>OBRA!BT769</f>
        <v>0</v>
      </c>
      <c r="AC767" s="569"/>
      <c r="AD767" s="569"/>
    </row>
    <row r="768" spans="1:30" ht="21" hidden="1" customHeight="1">
      <c r="A768" s="23" t="s">
        <v>2239</v>
      </c>
      <c r="B768" s="933">
        <f>GRAL!B924</f>
        <v>0</v>
      </c>
      <c r="C768" s="17">
        <f>OBRA!I770</f>
        <v>0</v>
      </c>
      <c r="D768" s="1676"/>
      <c r="E768" s="18">
        <f>OBRA!K770</f>
        <v>0</v>
      </c>
      <c r="F768" s="1374"/>
      <c r="G768" s="1300"/>
      <c r="H768" s="239"/>
      <c r="I768" s="1300"/>
      <c r="J768" s="56"/>
      <c r="K768" s="57"/>
      <c r="L768" s="20">
        <f>OBRA!L770</f>
        <v>0</v>
      </c>
      <c r="M768" s="2">
        <f>OBRA!M770</f>
        <v>0</v>
      </c>
      <c r="N768" s="3">
        <f>OBRA!N770</f>
        <v>0</v>
      </c>
      <c r="O768" s="597"/>
      <c r="P768" s="6">
        <f>OBRA!Q770</f>
        <v>0</v>
      </c>
      <c r="Q768" s="4">
        <f>OBRA!P770</f>
        <v>0</v>
      </c>
      <c r="R768" s="5">
        <f>OBRA!R770</f>
        <v>0</v>
      </c>
      <c r="S768" s="12">
        <f>OBRA!S770</f>
        <v>0</v>
      </c>
      <c r="T768" s="792"/>
      <c r="U768" s="223"/>
      <c r="V768" s="558"/>
      <c r="W768" s="559"/>
      <c r="X768" s="590">
        <f>OBRA!AP770</f>
        <v>0</v>
      </c>
      <c r="Y768" s="341"/>
      <c r="Z768" s="341"/>
      <c r="AA768" s="5"/>
      <c r="AB768" s="351">
        <f>OBRA!BT770</f>
        <v>0</v>
      </c>
      <c r="AC768" s="569"/>
      <c r="AD768" s="569"/>
    </row>
    <row r="769" spans="1:30" ht="21" hidden="1" customHeight="1">
      <c r="A769" s="23" t="s">
        <v>2239</v>
      </c>
      <c r="B769" s="933">
        <f>GRAL!B925</f>
        <v>0</v>
      </c>
      <c r="C769" s="17">
        <f>OBRA!I771</f>
        <v>0</v>
      </c>
      <c r="D769" s="1676"/>
      <c r="E769" s="18">
        <f>OBRA!K771</f>
        <v>0</v>
      </c>
      <c r="F769" s="1374"/>
      <c r="G769" s="1300"/>
      <c r="H769" s="239"/>
      <c r="I769" s="1300"/>
      <c r="J769" s="56"/>
      <c r="K769" s="57"/>
      <c r="L769" s="20">
        <f>OBRA!L771</f>
        <v>0</v>
      </c>
      <c r="M769" s="2">
        <f>OBRA!M771</f>
        <v>0</v>
      </c>
      <c r="N769" s="3">
        <f>OBRA!N771</f>
        <v>0</v>
      </c>
      <c r="O769" s="597"/>
      <c r="P769" s="6">
        <f>OBRA!Q771</f>
        <v>0</v>
      </c>
      <c r="Q769" s="4">
        <f>OBRA!P771</f>
        <v>0</v>
      </c>
      <c r="R769" s="5">
        <f>OBRA!R771</f>
        <v>0</v>
      </c>
      <c r="S769" s="12">
        <f>OBRA!S771</f>
        <v>0</v>
      </c>
      <c r="T769" s="792"/>
      <c r="U769" s="223"/>
      <c r="V769" s="558"/>
      <c r="W769" s="559"/>
      <c r="X769" s="590">
        <f>OBRA!AP771</f>
        <v>0</v>
      </c>
      <c r="Y769" s="341"/>
      <c r="Z769" s="341"/>
      <c r="AA769" s="5"/>
      <c r="AB769" s="351">
        <f>OBRA!BT771</f>
        <v>0</v>
      </c>
      <c r="AC769" s="569"/>
      <c r="AD769" s="569"/>
    </row>
    <row r="770" spans="1:30" ht="21" hidden="1" customHeight="1">
      <c r="A770" s="23" t="s">
        <v>2239</v>
      </c>
      <c r="B770" s="933">
        <f>GRAL!B926</f>
        <v>0</v>
      </c>
      <c r="C770" s="17">
        <f>OBRA!I772</f>
        <v>0</v>
      </c>
      <c r="D770" s="1676"/>
      <c r="E770" s="18">
        <f>OBRA!K772</f>
        <v>0</v>
      </c>
      <c r="F770" s="1374"/>
      <c r="G770" s="1300"/>
      <c r="H770" s="239"/>
      <c r="I770" s="1300"/>
      <c r="J770" s="56"/>
      <c r="K770" s="57"/>
      <c r="L770" s="20">
        <f>OBRA!L772</f>
        <v>0</v>
      </c>
      <c r="M770" s="2">
        <f>OBRA!M772</f>
        <v>0</v>
      </c>
      <c r="N770" s="3">
        <f>OBRA!N772</f>
        <v>0</v>
      </c>
      <c r="O770" s="597"/>
      <c r="P770" s="6">
        <f>OBRA!Q772</f>
        <v>0</v>
      </c>
      <c r="Q770" s="4">
        <f>OBRA!P772</f>
        <v>0</v>
      </c>
      <c r="R770" s="5">
        <f>OBRA!R772</f>
        <v>0</v>
      </c>
      <c r="S770" s="12">
        <f>OBRA!S772</f>
        <v>0</v>
      </c>
      <c r="T770" s="792"/>
      <c r="U770" s="223"/>
      <c r="V770" s="558"/>
      <c r="W770" s="559"/>
      <c r="X770" s="590">
        <f>OBRA!AP772</f>
        <v>0</v>
      </c>
      <c r="Y770" s="341"/>
      <c r="Z770" s="341"/>
      <c r="AA770" s="5"/>
      <c r="AB770" s="351">
        <f>OBRA!BT772</f>
        <v>0</v>
      </c>
      <c r="AC770" s="569"/>
      <c r="AD770" s="569"/>
    </row>
    <row r="771" spans="1:30" ht="21" hidden="1" customHeight="1">
      <c r="A771" s="23" t="s">
        <v>2239</v>
      </c>
      <c r="B771" s="933">
        <f>GRAL!B927</f>
        <v>0</v>
      </c>
      <c r="C771" s="17">
        <f>OBRA!I773</f>
        <v>0</v>
      </c>
      <c r="D771" s="1676"/>
      <c r="E771" s="18">
        <f>OBRA!K773</f>
        <v>0</v>
      </c>
      <c r="F771" s="1374"/>
      <c r="G771" s="1300"/>
      <c r="H771" s="239"/>
      <c r="I771" s="1300"/>
      <c r="J771" s="56"/>
      <c r="K771" s="57"/>
      <c r="L771" s="20">
        <f>OBRA!L773</f>
        <v>0</v>
      </c>
      <c r="M771" s="2">
        <f>OBRA!M773</f>
        <v>0</v>
      </c>
      <c r="N771" s="3">
        <f>OBRA!N773</f>
        <v>0</v>
      </c>
      <c r="O771" s="597"/>
      <c r="P771" s="6">
        <f>OBRA!Q773</f>
        <v>0</v>
      </c>
      <c r="Q771" s="4">
        <f>OBRA!P773</f>
        <v>0</v>
      </c>
      <c r="R771" s="5">
        <f>OBRA!R773</f>
        <v>0</v>
      </c>
      <c r="S771" s="12">
        <f>OBRA!S773</f>
        <v>0</v>
      </c>
      <c r="T771" s="792"/>
      <c r="U771" s="223"/>
      <c r="V771" s="558"/>
      <c r="W771" s="559"/>
      <c r="X771" s="590">
        <f>OBRA!AP773</f>
        <v>0</v>
      </c>
      <c r="Y771" s="341"/>
      <c r="Z771" s="341"/>
      <c r="AA771" s="5"/>
      <c r="AB771" s="351">
        <f>OBRA!BT773</f>
        <v>0</v>
      </c>
      <c r="AC771" s="569"/>
      <c r="AD771" s="569"/>
    </row>
    <row r="772" spans="1:30" ht="21" hidden="1" customHeight="1">
      <c r="A772" s="23" t="s">
        <v>2239</v>
      </c>
      <c r="B772" s="933">
        <f>GRAL!B928</f>
        <v>0</v>
      </c>
      <c r="C772" s="17">
        <f>OBRA!I774</f>
        <v>0</v>
      </c>
      <c r="D772" s="1676"/>
      <c r="E772" s="18">
        <f>OBRA!K774</f>
        <v>0</v>
      </c>
      <c r="F772" s="1374"/>
      <c r="G772" s="1300"/>
      <c r="H772" s="239"/>
      <c r="I772" s="1300"/>
      <c r="J772" s="56"/>
      <c r="K772" s="57"/>
      <c r="L772" s="20">
        <f>OBRA!L774</f>
        <v>0</v>
      </c>
      <c r="M772" s="2">
        <f>OBRA!M774</f>
        <v>0</v>
      </c>
      <c r="N772" s="3">
        <f>OBRA!N774</f>
        <v>0</v>
      </c>
      <c r="O772" s="597"/>
      <c r="P772" s="6">
        <f>OBRA!Q774</f>
        <v>0</v>
      </c>
      <c r="Q772" s="4">
        <f>OBRA!P774</f>
        <v>0</v>
      </c>
      <c r="R772" s="5">
        <f>OBRA!R774</f>
        <v>0</v>
      </c>
      <c r="S772" s="12">
        <f>OBRA!S774</f>
        <v>0</v>
      </c>
      <c r="T772" s="792"/>
      <c r="U772" s="223"/>
      <c r="V772" s="558"/>
      <c r="W772" s="559"/>
      <c r="X772" s="590">
        <f>OBRA!AP774</f>
        <v>0</v>
      </c>
      <c r="Y772" s="341"/>
      <c r="Z772" s="341"/>
      <c r="AA772" s="5"/>
      <c r="AB772" s="351">
        <f>OBRA!BT774</f>
        <v>0</v>
      </c>
      <c r="AC772" s="569"/>
      <c r="AD772" s="569"/>
    </row>
    <row r="773" spans="1:30" ht="21" hidden="1" customHeight="1">
      <c r="A773" s="23" t="s">
        <v>2239</v>
      </c>
      <c r="B773" s="933">
        <f>GRAL!B929</f>
        <v>0</v>
      </c>
      <c r="C773" s="17">
        <f>OBRA!I775</f>
        <v>0</v>
      </c>
      <c r="D773" s="1676"/>
      <c r="E773" s="18">
        <f>OBRA!K775</f>
        <v>0</v>
      </c>
      <c r="F773" s="1374"/>
      <c r="G773" s="1300"/>
      <c r="H773" s="239"/>
      <c r="I773" s="1300"/>
      <c r="J773" s="56"/>
      <c r="K773" s="57"/>
      <c r="L773" s="20">
        <f>OBRA!L775</f>
        <v>0</v>
      </c>
      <c r="M773" s="2">
        <f>OBRA!M775</f>
        <v>0</v>
      </c>
      <c r="N773" s="3">
        <f>OBRA!N775</f>
        <v>0</v>
      </c>
      <c r="O773" s="597"/>
      <c r="P773" s="6">
        <f>OBRA!Q775</f>
        <v>0</v>
      </c>
      <c r="Q773" s="4">
        <f>OBRA!P775</f>
        <v>0</v>
      </c>
      <c r="R773" s="5">
        <f>OBRA!R775</f>
        <v>0</v>
      </c>
      <c r="S773" s="12">
        <f>OBRA!S775</f>
        <v>0</v>
      </c>
      <c r="T773" s="792"/>
      <c r="U773" s="223"/>
      <c r="V773" s="558"/>
      <c r="W773" s="559"/>
      <c r="X773" s="590">
        <f>OBRA!AP775</f>
        <v>0</v>
      </c>
      <c r="Y773" s="341"/>
      <c r="Z773" s="341"/>
      <c r="AA773" s="5"/>
      <c r="AB773" s="351">
        <f>OBRA!BT775</f>
        <v>0</v>
      </c>
      <c r="AC773" s="569"/>
      <c r="AD773" s="569"/>
    </row>
    <row r="774" spans="1:30" ht="21" hidden="1" customHeight="1">
      <c r="A774" s="23" t="s">
        <v>2239</v>
      </c>
      <c r="B774" s="933">
        <f>GRAL!B930</f>
        <v>0</v>
      </c>
      <c r="C774" s="17">
        <f>OBRA!I776</f>
        <v>0</v>
      </c>
      <c r="D774" s="1676"/>
      <c r="E774" s="18">
        <f>OBRA!K776</f>
        <v>0</v>
      </c>
      <c r="F774" s="1374"/>
      <c r="G774" s="1300"/>
      <c r="H774" s="239"/>
      <c r="I774" s="1300"/>
      <c r="J774" s="56"/>
      <c r="K774" s="57"/>
      <c r="L774" s="20">
        <f>OBRA!L776</f>
        <v>0</v>
      </c>
      <c r="M774" s="2">
        <f>OBRA!M776</f>
        <v>0</v>
      </c>
      <c r="N774" s="3">
        <f>OBRA!N776</f>
        <v>0</v>
      </c>
      <c r="O774" s="597"/>
      <c r="P774" s="6">
        <f>OBRA!Q776</f>
        <v>0</v>
      </c>
      <c r="Q774" s="4">
        <f>OBRA!P776</f>
        <v>0</v>
      </c>
      <c r="R774" s="5">
        <f>OBRA!R776</f>
        <v>0</v>
      </c>
      <c r="S774" s="12">
        <f>OBRA!S776</f>
        <v>0</v>
      </c>
      <c r="T774" s="792"/>
      <c r="U774" s="223"/>
      <c r="V774" s="558"/>
      <c r="W774" s="559"/>
      <c r="X774" s="590">
        <f>OBRA!AP776</f>
        <v>0</v>
      </c>
      <c r="Y774" s="341"/>
      <c r="Z774" s="341"/>
      <c r="AA774" s="5"/>
      <c r="AB774" s="351">
        <f>OBRA!BT776</f>
        <v>0</v>
      </c>
      <c r="AC774" s="569"/>
      <c r="AD774" s="569"/>
    </row>
    <row r="775" spans="1:30" ht="21" hidden="1" customHeight="1">
      <c r="A775" s="23" t="s">
        <v>2239</v>
      </c>
      <c r="B775" s="933">
        <f>GRAL!B931</f>
        <v>0</v>
      </c>
      <c r="C775" s="17">
        <f>OBRA!I777</f>
        <v>0</v>
      </c>
      <c r="D775" s="1676"/>
      <c r="E775" s="18">
        <f>OBRA!K777</f>
        <v>0</v>
      </c>
      <c r="F775" s="1374"/>
      <c r="G775" s="1300"/>
      <c r="H775" s="239"/>
      <c r="I775" s="1300"/>
      <c r="J775" s="56"/>
      <c r="K775" s="57"/>
      <c r="L775" s="20">
        <f>OBRA!L777</f>
        <v>0</v>
      </c>
      <c r="M775" s="2">
        <f>OBRA!M777</f>
        <v>0</v>
      </c>
      <c r="N775" s="3">
        <f>OBRA!N777</f>
        <v>0</v>
      </c>
      <c r="O775" s="597"/>
      <c r="P775" s="6">
        <f>OBRA!Q777</f>
        <v>0</v>
      </c>
      <c r="Q775" s="4">
        <f>OBRA!P777</f>
        <v>0</v>
      </c>
      <c r="R775" s="5">
        <f>OBRA!R777</f>
        <v>0</v>
      </c>
      <c r="S775" s="12">
        <f>OBRA!S777</f>
        <v>0</v>
      </c>
      <c r="T775" s="792"/>
      <c r="U775" s="223"/>
      <c r="V775" s="558"/>
      <c r="W775" s="559"/>
      <c r="X775" s="590">
        <f>OBRA!AP777</f>
        <v>0</v>
      </c>
      <c r="Y775" s="341"/>
      <c r="Z775" s="341"/>
      <c r="AA775" s="5"/>
      <c r="AB775" s="351">
        <f>OBRA!BT777</f>
        <v>0</v>
      </c>
      <c r="AC775" s="569"/>
      <c r="AD775" s="569"/>
    </row>
    <row r="776" spans="1:30" ht="21" hidden="1" customHeight="1">
      <c r="A776" s="23" t="s">
        <v>2239</v>
      </c>
      <c r="B776" s="933">
        <f>GRAL!B932</f>
        <v>0</v>
      </c>
      <c r="C776" s="17">
        <f>OBRA!I778</f>
        <v>0</v>
      </c>
      <c r="D776" s="1676"/>
      <c r="E776" s="18">
        <f>OBRA!K778</f>
        <v>0</v>
      </c>
      <c r="F776" s="1374"/>
      <c r="G776" s="1300"/>
      <c r="H776" s="239"/>
      <c r="I776" s="1300"/>
      <c r="J776" s="56"/>
      <c r="K776" s="57"/>
      <c r="L776" s="20">
        <f>OBRA!L778</f>
        <v>0</v>
      </c>
      <c r="M776" s="2">
        <f>OBRA!M778</f>
        <v>0</v>
      </c>
      <c r="N776" s="3">
        <f>OBRA!N778</f>
        <v>0</v>
      </c>
      <c r="O776" s="597"/>
      <c r="P776" s="6">
        <f>OBRA!Q778</f>
        <v>0</v>
      </c>
      <c r="Q776" s="4">
        <f>OBRA!P778</f>
        <v>0</v>
      </c>
      <c r="R776" s="5">
        <f>OBRA!R778</f>
        <v>0</v>
      </c>
      <c r="S776" s="12">
        <f>OBRA!S778</f>
        <v>0</v>
      </c>
      <c r="T776" s="792"/>
      <c r="U776" s="223"/>
      <c r="V776" s="558"/>
      <c r="W776" s="559"/>
      <c r="X776" s="590">
        <f>OBRA!AP778</f>
        <v>0</v>
      </c>
      <c r="Y776" s="341"/>
      <c r="Z776" s="341"/>
      <c r="AA776" s="5"/>
      <c r="AB776" s="351">
        <f>OBRA!BT778</f>
        <v>0</v>
      </c>
      <c r="AC776" s="569"/>
      <c r="AD776" s="569"/>
    </row>
    <row r="777" spans="1:30" ht="21" hidden="1" customHeight="1">
      <c r="A777" s="23" t="s">
        <v>2239</v>
      </c>
      <c r="B777" s="933">
        <f>GRAL!B933</f>
        <v>0</v>
      </c>
      <c r="C777" s="17">
        <f>OBRA!I779</f>
        <v>0</v>
      </c>
      <c r="D777" s="1676"/>
      <c r="E777" s="18">
        <f>OBRA!K779</f>
        <v>0</v>
      </c>
      <c r="F777" s="1374"/>
      <c r="G777" s="1300"/>
      <c r="H777" s="239"/>
      <c r="I777" s="1300"/>
      <c r="J777" s="56"/>
      <c r="K777" s="57"/>
      <c r="L777" s="20">
        <f>OBRA!L779</f>
        <v>0</v>
      </c>
      <c r="M777" s="2">
        <f>OBRA!M779</f>
        <v>0</v>
      </c>
      <c r="N777" s="3">
        <f>OBRA!N779</f>
        <v>0</v>
      </c>
      <c r="O777" s="597"/>
      <c r="P777" s="6">
        <f>OBRA!Q779</f>
        <v>0</v>
      </c>
      <c r="Q777" s="4">
        <f>OBRA!P779</f>
        <v>0</v>
      </c>
      <c r="R777" s="5">
        <f>OBRA!R779</f>
        <v>0</v>
      </c>
      <c r="S777" s="12">
        <f>OBRA!S779</f>
        <v>0</v>
      </c>
      <c r="T777" s="792"/>
      <c r="U777" s="223"/>
      <c r="V777" s="558"/>
      <c r="W777" s="559"/>
      <c r="X777" s="590">
        <f>OBRA!AP779</f>
        <v>0</v>
      </c>
      <c r="Y777" s="341"/>
      <c r="Z777" s="341"/>
      <c r="AA777" s="5"/>
      <c r="AB777" s="351">
        <f>OBRA!BT779</f>
        <v>0</v>
      </c>
      <c r="AC777" s="569"/>
      <c r="AD777" s="569"/>
    </row>
    <row r="778" spans="1:30" ht="21" hidden="1" customHeight="1">
      <c r="A778" s="23" t="s">
        <v>2239</v>
      </c>
      <c r="B778" s="933">
        <f>GRAL!B934</f>
        <v>0</v>
      </c>
      <c r="C778" s="17">
        <f>OBRA!I780</f>
        <v>0</v>
      </c>
      <c r="D778" s="1676"/>
      <c r="E778" s="18">
        <f>OBRA!K780</f>
        <v>0</v>
      </c>
      <c r="F778" s="1374"/>
      <c r="G778" s="1300"/>
      <c r="H778" s="239"/>
      <c r="I778" s="1300"/>
      <c r="J778" s="56"/>
      <c r="K778" s="57"/>
      <c r="L778" s="20">
        <f>OBRA!L780</f>
        <v>0</v>
      </c>
      <c r="M778" s="2">
        <f>OBRA!M780</f>
        <v>0</v>
      </c>
      <c r="N778" s="3">
        <f>OBRA!N780</f>
        <v>0</v>
      </c>
      <c r="O778" s="597"/>
      <c r="P778" s="6">
        <f>OBRA!Q780</f>
        <v>0</v>
      </c>
      <c r="Q778" s="4">
        <f>OBRA!P780</f>
        <v>0</v>
      </c>
      <c r="R778" s="5">
        <f>OBRA!R780</f>
        <v>0</v>
      </c>
      <c r="S778" s="12">
        <f>OBRA!S780</f>
        <v>0</v>
      </c>
      <c r="T778" s="792"/>
      <c r="U778" s="223"/>
      <c r="V778" s="558"/>
      <c r="W778" s="559"/>
      <c r="X778" s="590">
        <f>OBRA!AP780</f>
        <v>0</v>
      </c>
      <c r="Y778" s="341"/>
      <c r="Z778" s="341"/>
      <c r="AA778" s="5"/>
      <c r="AB778" s="351">
        <f>OBRA!BT780</f>
        <v>0</v>
      </c>
      <c r="AC778" s="569"/>
      <c r="AD778" s="569"/>
    </row>
    <row r="779" spans="1:30" ht="21" hidden="1" customHeight="1">
      <c r="A779" s="23" t="s">
        <v>2239</v>
      </c>
      <c r="B779" s="933">
        <f>GRAL!B935</f>
        <v>0</v>
      </c>
      <c r="C779" s="17">
        <f>OBRA!I781</f>
        <v>0</v>
      </c>
      <c r="D779" s="1676"/>
      <c r="E779" s="18">
        <f>OBRA!K781</f>
        <v>0</v>
      </c>
      <c r="F779" s="1374"/>
      <c r="G779" s="1300"/>
      <c r="H779" s="239"/>
      <c r="I779" s="1300"/>
      <c r="J779" s="56"/>
      <c r="K779" s="57"/>
      <c r="L779" s="20">
        <f>OBRA!L781</f>
        <v>0</v>
      </c>
      <c r="M779" s="2">
        <f>OBRA!M781</f>
        <v>0</v>
      </c>
      <c r="N779" s="3">
        <f>OBRA!N781</f>
        <v>0</v>
      </c>
      <c r="O779" s="597"/>
      <c r="P779" s="6">
        <f>OBRA!Q781</f>
        <v>0</v>
      </c>
      <c r="Q779" s="4">
        <f>OBRA!P781</f>
        <v>0</v>
      </c>
      <c r="R779" s="5">
        <f>OBRA!R781</f>
        <v>0</v>
      </c>
      <c r="S779" s="12">
        <f>OBRA!S781</f>
        <v>0</v>
      </c>
      <c r="T779" s="792"/>
      <c r="U779" s="223"/>
      <c r="V779" s="558"/>
      <c r="W779" s="559"/>
      <c r="X779" s="590">
        <f>OBRA!AP781</f>
        <v>0</v>
      </c>
      <c r="Y779" s="341"/>
      <c r="Z779" s="341"/>
      <c r="AA779" s="5"/>
      <c r="AB779" s="351">
        <f>OBRA!BT781</f>
        <v>0</v>
      </c>
      <c r="AC779" s="569"/>
      <c r="AD779" s="569"/>
    </row>
    <row r="780" spans="1:30" ht="21" hidden="1" customHeight="1">
      <c r="A780" s="23" t="s">
        <v>2239</v>
      </c>
      <c r="B780" s="933">
        <f>GRAL!B936</f>
        <v>0</v>
      </c>
      <c r="C780" s="17">
        <f>OBRA!I782</f>
        <v>0</v>
      </c>
      <c r="D780" s="1676"/>
      <c r="E780" s="18">
        <f>OBRA!K782</f>
        <v>0</v>
      </c>
      <c r="F780" s="1374"/>
      <c r="G780" s="1300"/>
      <c r="H780" s="239"/>
      <c r="I780" s="1300"/>
      <c r="J780" s="56"/>
      <c r="K780" s="57"/>
      <c r="L780" s="20">
        <f>OBRA!L782</f>
        <v>0</v>
      </c>
      <c r="M780" s="2">
        <f>OBRA!M782</f>
        <v>0</v>
      </c>
      <c r="N780" s="3">
        <f>OBRA!N782</f>
        <v>0</v>
      </c>
      <c r="O780" s="597"/>
      <c r="P780" s="6">
        <f>OBRA!Q782</f>
        <v>0</v>
      </c>
      <c r="Q780" s="4">
        <f>OBRA!P782</f>
        <v>0</v>
      </c>
      <c r="R780" s="5">
        <f>OBRA!R782</f>
        <v>0</v>
      </c>
      <c r="S780" s="12">
        <f>OBRA!S782</f>
        <v>0</v>
      </c>
      <c r="T780" s="792"/>
      <c r="U780" s="223"/>
      <c r="V780" s="558"/>
      <c r="W780" s="559"/>
      <c r="X780" s="590">
        <f>OBRA!AP782</f>
        <v>0</v>
      </c>
      <c r="Y780" s="341"/>
      <c r="Z780" s="341"/>
      <c r="AA780" s="5"/>
      <c r="AB780" s="351">
        <f>OBRA!BT782</f>
        <v>0</v>
      </c>
      <c r="AC780" s="569"/>
      <c r="AD780" s="569"/>
    </row>
    <row r="781" spans="1:30" ht="21" hidden="1" customHeight="1">
      <c r="A781" s="23" t="s">
        <v>2239</v>
      </c>
      <c r="B781" s="933">
        <f>GRAL!B937</f>
        <v>0</v>
      </c>
      <c r="C781" s="17">
        <f>OBRA!I783</f>
        <v>0</v>
      </c>
      <c r="D781" s="1676"/>
      <c r="E781" s="18">
        <f>OBRA!K783</f>
        <v>0</v>
      </c>
      <c r="F781" s="1374"/>
      <c r="G781" s="1300"/>
      <c r="H781" s="239"/>
      <c r="I781" s="1300"/>
      <c r="J781" s="56"/>
      <c r="K781" s="57"/>
      <c r="L781" s="20">
        <f>OBRA!L783</f>
        <v>0</v>
      </c>
      <c r="M781" s="2">
        <f>OBRA!M783</f>
        <v>0</v>
      </c>
      <c r="N781" s="3">
        <f>OBRA!N783</f>
        <v>0</v>
      </c>
      <c r="O781" s="597"/>
      <c r="P781" s="6">
        <f>OBRA!Q783</f>
        <v>0</v>
      </c>
      <c r="Q781" s="4">
        <f>OBRA!P783</f>
        <v>0</v>
      </c>
      <c r="R781" s="5">
        <f>OBRA!R783</f>
        <v>0</v>
      </c>
      <c r="S781" s="12">
        <f>OBRA!S783</f>
        <v>0</v>
      </c>
      <c r="T781" s="792"/>
      <c r="U781" s="223"/>
      <c r="V781" s="558"/>
      <c r="W781" s="559"/>
      <c r="X781" s="590">
        <f>OBRA!AP783</f>
        <v>0</v>
      </c>
      <c r="Y781" s="341"/>
      <c r="Z781" s="341"/>
      <c r="AA781" s="5"/>
      <c r="AB781" s="351">
        <f>OBRA!BT783</f>
        <v>0</v>
      </c>
      <c r="AC781" s="569"/>
      <c r="AD781" s="569"/>
    </row>
    <row r="782" spans="1:30" ht="21" hidden="1" customHeight="1">
      <c r="A782" s="23" t="s">
        <v>2239</v>
      </c>
      <c r="B782" s="933">
        <f>GRAL!B938</f>
        <v>0</v>
      </c>
      <c r="C782" s="17">
        <f>OBRA!I784</f>
        <v>0</v>
      </c>
      <c r="D782" s="1676"/>
      <c r="E782" s="18">
        <f>OBRA!K784</f>
        <v>0</v>
      </c>
      <c r="F782" s="1374"/>
      <c r="G782" s="1300"/>
      <c r="H782" s="239"/>
      <c r="I782" s="1300"/>
      <c r="J782" s="56"/>
      <c r="K782" s="57"/>
      <c r="L782" s="20">
        <f>OBRA!L784</f>
        <v>0</v>
      </c>
      <c r="M782" s="2">
        <f>OBRA!M784</f>
        <v>0</v>
      </c>
      <c r="N782" s="3">
        <f>OBRA!N784</f>
        <v>0</v>
      </c>
      <c r="O782" s="597"/>
      <c r="P782" s="6">
        <f>OBRA!Q784</f>
        <v>0</v>
      </c>
      <c r="Q782" s="4">
        <f>OBRA!P784</f>
        <v>0</v>
      </c>
      <c r="R782" s="5">
        <f>OBRA!R784</f>
        <v>0</v>
      </c>
      <c r="S782" s="12">
        <f>OBRA!S784</f>
        <v>0</v>
      </c>
      <c r="T782" s="792"/>
      <c r="U782" s="223"/>
      <c r="V782" s="558"/>
      <c r="W782" s="559"/>
      <c r="X782" s="590" t="str">
        <f>OBRA!AP784</f>
        <v xml:space="preserve"> </v>
      </c>
      <c r="Y782" s="341"/>
      <c r="Z782" s="341"/>
      <c r="AA782" s="5"/>
      <c r="AB782" s="351">
        <f>OBRA!BT784</f>
        <v>0</v>
      </c>
      <c r="AC782" s="569"/>
      <c r="AD782" s="569"/>
    </row>
    <row r="783" spans="1:30" ht="21" hidden="1" customHeight="1">
      <c r="A783" s="23" t="s">
        <v>2239</v>
      </c>
      <c r="B783" s="933">
        <f>GRAL!B939</f>
        <v>0</v>
      </c>
      <c r="C783" s="17">
        <f>OBRA!I785</f>
        <v>0</v>
      </c>
      <c r="D783" s="1676"/>
      <c r="E783" s="18">
        <f>OBRA!K785</f>
        <v>0</v>
      </c>
      <c r="F783" s="1374"/>
      <c r="G783" s="1300"/>
      <c r="H783" s="239"/>
      <c r="I783" s="1300"/>
      <c r="J783" s="56"/>
      <c r="K783" s="57"/>
      <c r="L783" s="20">
        <f>OBRA!L785</f>
        <v>0</v>
      </c>
      <c r="M783" s="2">
        <f>OBRA!M785</f>
        <v>0</v>
      </c>
      <c r="N783" s="3">
        <f>OBRA!N785</f>
        <v>0</v>
      </c>
      <c r="O783" s="597"/>
      <c r="P783" s="6">
        <f>OBRA!Q785</f>
        <v>0</v>
      </c>
      <c r="Q783" s="4">
        <f>OBRA!P785</f>
        <v>0</v>
      </c>
      <c r="R783" s="5">
        <f>OBRA!R785</f>
        <v>0</v>
      </c>
      <c r="S783" s="12">
        <f>OBRA!S785</f>
        <v>0</v>
      </c>
      <c r="T783" s="792"/>
      <c r="U783" s="223"/>
      <c r="V783" s="558"/>
      <c r="W783" s="559"/>
      <c r="X783" s="590">
        <f>OBRA!AP785</f>
        <v>0</v>
      </c>
      <c r="Y783" s="341"/>
      <c r="Z783" s="341"/>
      <c r="AA783" s="5"/>
      <c r="AB783" s="351">
        <f>OBRA!BT785</f>
        <v>0</v>
      </c>
      <c r="AC783" s="569"/>
      <c r="AD783" s="569"/>
    </row>
    <row r="784" spans="1:30" s="31" customFormat="1">
      <c r="A784" s="24"/>
      <c r="B784" s="24"/>
      <c r="C784" s="25"/>
      <c r="D784" s="25"/>
      <c r="E784" s="24"/>
      <c r="F784" s="24"/>
      <c r="G784" s="990"/>
      <c r="H784" s="990"/>
      <c r="I784" s="24"/>
      <c r="J784" s="24"/>
      <c r="K784" s="24"/>
      <c r="L784" s="24"/>
      <c r="M784" s="26"/>
      <c r="N784" s="27"/>
      <c r="O784" s="27"/>
      <c r="P784" s="29"/>
      <c r="Q784" s="29"/>
      <c r="R784" s="30"/>
      <c r="S784" s="30"/>
      <c r="T784" s="30"/>
      <c r="U784" s="30"/>
      <c r="V784" s="1610"/>
      <c r="W784" s="1610"/>
      <c r="X784" s="30"/>
      <c r="Y784" s="277"/>
      <c r="Z784" s="277"/>
      <c r="AA784" s="277"/>
      <c r="AB784" s="277"/>
      <c r="AC784" s="277"/>
      <c r="AD784" s="277"/>
    </row>
    <row r="785" spans="1:23" ht="15.75" thickBot="1">
      <c r="H785" s="197"/>
      <c r="V785" s="1090"/>
      <c r="W785" s="1090"/>
    </row>
    <row r="786" spans="1:23" ht="18.75">
      <c r="A786" s="2015" t="s">
        <v>2306</v>
      </c>
      <c r="B786" s="2016"/>
      <c r="C786" s="2016"/>
      <c r="D786" s="2016"/>
      <c r="E786" s="2016"/>
      <c r="F786" s="2016"/>
      <c r="G786" s="2016"/>
      <c r="H786" s="2016"/>
      <c r="I786" s="2016"/>
      <c r="J786" s="2016"/>
      <c r="K786" s="2016"/>
      <c r="L786" s="2017"/>
    </row>
    <row r="787" spans="1:23" ht="6" customHeight="1">
      <c r="A787" s="409"/>
      <c r="B787" s="930"/>
      <c r="C787" s="31"/>
      <c r="D787" s="31"/>
      <c r="E787" s="31"/>
      <c r="F787" s="31"/>
      <c r="G787" s="31"/>
      <c r="H787" s="31"/>
      <c r="I787" s="31"/>
      <c r="J787" s="31"/>
      <c r="K787" s="31"/>
      <c r="L787" s="410"/>
    </row>
    <row r="788" spans="1:23" ht="18.75">
      <c r="A788" s="414">
        <v>2</v>
      </c>
      <c r="B788" s="931"/>
      <c r="C788" s="31"/>
      <c r="D788" s="31"/>
      <c r="E788" s="31" t="s">
        <v>2307</v>
      </c>
      <c r="F788" s="31"/>
      <c r="G788" s="31"/>
      <c r="H788" s="31"/>
      <c r="I788" s="31"/>
      <c r="J788" s="31"/>
      <c r="K788" s="31"/>
      <c r="L788" s="410"/>
    </row>
    <row r="789" spans="1:23" ht="18.75">
      <c r="A789" s="414">
        <v>6</v>
      </c>
      <c r="B789" s="931"/>
      <c r="C789" s="31"/>
      <c r="D789" s="31"/>
      <c r="E789" s="31" t="s">
        <v>2308</v>
      </c>
      <c r="F789" s="31"/>
      <c r="G789" s="31"/>
      <c r="H789" s="31"/>
      <c r="I789" s="31"/>
      <c r="J789" s="31"/>
      <c r="K789" s="31"/>
      <c r="L789" s="410"/>
    </row>
    <row r="790" spans="1:23" ht="16.5" thickBot="1">
      <c r="A790" s="411"/>
      <c r="B790" s="932"/>
      <c r="C790" s="412"/>
      <c r="D790" s="412"/>
      <c r="E790" s="412"/>
      <c r="F790" s="412"/>
      <c r="G790" s="412"/>
      <c r="H790" s="412"/>
      <c r="I790" s="412"/>
      <c r="J790" s="412"/>
      <c r="K790" s="412"/>
      <c r="L790" s="413"/>
    </row>
    <row r="792" spans="1:23" s="464" customFormat="1" ht="18.75">
      <c r="A792" s="2018" t="s">
        <v>2207</v>
      </c>
      <c r="B792" s="2018"/>
      <c r="C792" s="2018"/>
      <c r="D792" s="2018"/>
      <c r="E792" s="2018"/>
      <c r="F792" s="1179"/>
    </row>
    <row r="793" spans="1:23" s="1172" customFormat="1" ht="24" customHeight="1">
      <c r="A793" s="2191">
        <f>OBRA!N786</f>
        <v>45302</v>
      </c>
      <c r="B793" s="2192"/>
      <c r="C793" s="2192"/>
      <c r="D793" s="2192"/>
      <c r="E793" s="2193"/>
      <c r="F793" s="1181"/>
      <c r="N793" s="1182"/>
      <c r="Q793" s="1183"/>
    </row>
    <row r="794" spans="1:23">
      <c r="F794" s="197"/>
      <c r="Q794" s="555"/>
    </row>
    <row r="795" spans="1:23">
      <c r="F795" s="197"/>
    </row>
    <row r="797" spans="1:23">
      <c r="Q797" s="555"/>
    </row>
    <row r="798" spans="1:23">
      <c r="Q798" s="555"/>
    </row>
    <row r="799" spans="1:23" s="724" customFormat="1">
      <c r="E799" s="724" t="s">
        <v>2208</v>
      </c>
      <c r="Q799" s="1070"/>
    </row>
    <row r="800" spans="1:23" s="724" customFormat="1">
      <c r="E800" s="1068" t="s">
        <v>2309</v>
      </c>
    </row>
    <row r="801" spans="1:30">
      <c r="A801" s="197"/>
      <c r="B801" s="197"/>
    </row>
    <row r="806" spans="1:30">
      <c r="R806" s="114"/>
      <c r="S806" s="113"/>
      <c r="T806" s="113"/>
      <c r="U806" s="113"/>
      <c r="V806" s="113"/>
      <c r="W806" s="113"/>
      <c r="X806" s="113"/>
      <c r="Y806" s="113"/>
      <c r="Z806" s="113"/>
      <c r="AA806" s="113"/>
      <c r="AB806" s="113"/>
      <c r="AC806" s="113"/>
      <c r="AD806" s="113"/>
    </row>
  </sheetData>
  <autoFilter ref="A6:AD783">
    <filterColumn colId="2">
      <filters>
        <filter val="2020"/>
        <filter val="2021"/>
        <filter val="2022"/>
        <filter val="2023"/>
      </filters>
    </filterColumn>
    <filterColumn colId="11">
      <filters>
        <filter val="GMJ 001C OP/2023"/>
        <filter val="GMJ 002C OP/2023"/>
        <filter val="GMJ 004C OP/2023"/>
        <filter val="GMJ 005C OP/2023"/>
        <filter val="GMJ 006C OP/2023"/>
        <filter val="GMJ 007C OP/2023"/>
        <filter val="GMJ 008C OP/2023"/>
        <filter val="GMJ 009C OP/2023"/>
        <filter val="GMJ 010C OP/2023"/>
        <filter val="GMJ 011C OP/2023"/>
        <filter val="GMJ 012C OP/2023"/>
        <filter val="GMJ 013C OP/2023"/>
        <filter val="GMJ 014C OP/2023"/>
        <filter val="GMJ 015C OP/2023"/>
        <filter val="GMJ 016C OP/2023"/>
        <filter val="GMJ 019C OP/2023"/>
        <filter val="GMJ 020C OP/2023"/>
        <filter val="GMJ 021- OP/2023"/>
        <filter val="GMJ 022 OP/2023"/>
        <filter val="GMJ 023 OP/2023"/>
        <filter val="GMJ 025C OP/2023"/>
        <filter val="GMJ 027C OP/2023"/>
        <filter val="GMJ 028C OP/2023"/>
        <filter val="GMJ 029C OP/2023"/>
        <filter val="GMJ 030C OP/2023"/>
      </filters>
    </filterColumn>
    <filterColumn colId="12">
      <filters>
        <filter val="ADJUDICACIÓN DIRECTA"/>
      </filters>
    </filterColumn>
  </autoFilter>
  <mergeCells count="6">
    <mergeCell ref="A793:E793"/>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800"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 ref="Y636" r:id="rId249"/>
    <hyperlink ref="U637" r:id="rId250"/>
    <hyperlink ref="V637" r:id="rId251"/>
    <hyperlink ref="I639" r:id="rId252"/>
    <hyperlink ref="U639" r:id="rId253"/>
    <hyperlink ref="W639" r:id="rId254"/>
    <hyperlink ref="G652" r:id="rId255"/>
    <hyperlink ref="H652" r:id="rId256"/>
    <hyperlink ref="I652" r:id="rId257"/>
    <hyperlink ref="V652" r:id="rId258"/>
    <hyperlink ref="W652" r:id="rId259"/>
    <hyperlink ref="V649" r:id="rId260"/>
    <hyperlink ref="W649" r:id="rId261"/>
    <hyperlink ref="O723" r:id="rId262"/>
    <hyperlink ref="O725" r:id="rId263"/>
    <hyperlink ref="H723" r:id="rId264"/>
    <hyperlink ref="H722" r:id="rId265"/>
    <hyperlink ref="I722" r:id="rId266"/>
    <hyperlink ref="I723" r:id="rId267"/>
    <hyperlink ref="G725" r:id="rId268"/>
    <hyperlink ref="H725" r:id="rId269"/>
    <hyperlink ref="I725" r:id="rId270"/>
    <hyperlink ref="G726" r:id="rId271"/>
    <hyperlink ref="H726" r:id="rId272"/>
    <hyperlink ref="I726" r:id="rId273"/>
    <hyperlink ref="G727" r:id="rId274"/>
    <hyperlink ref="H727" r:id="rId275"/>
    <hyperlink ref="I727" r:id="rId276"/>
    <hyperlink ref="G729" r:id="rId277"/>
    <hyperlink ref="H729" r:id="rId278"/>
    <hyperlink ref="I729" r:id="rId279"/>
    <hyperlink ref="G731" r:id="rId280"/>
    <hyperlink ref="H731" r:id="rId281"/>
    <hyperlink ref="I731" r:id="rId282"/>
    <hyperlink ref="O722" r:id="rId283"/>
    <hyperlink ref="O732" r:id="rId284"/>
    <hyperlink ref="O733:O736" r:id="rId285" display="https://portaltransparencia.jocotepec.gob.mx/informacion/4969"/>
    <hyperlink ref="G735" r:id="rId286"/>
    <hyperlink ref="H735" r:id="rId287"/>
    <hyperlink ref="I735" r:id="rId288"/>
    <hyperlink ref="G734" r:id="rId289"/>
    <hyperlink ref="H734" r:id="rId290"/>
    <hyperlink ref="O740" r:id="rId291"/>
    <hyperlink ref="O737" r:id="rId292"/>
    <hyperlink ref="O743" r:id="rId293"/>
    <hyperlink ref="O744" r:id="rId294"/>
    <hyperlink ref="G722" r:id="rId295"/>
    <hyperlink ref="G723" r:id="rId296"/>
    <hyperlink ref="V723" r:id="rId297"/>
    <hyperlink ref="W723" r:id="rId298"/>
    <hyperlink ref="V725" r:id="rId299"/>
    <hyperlink ref="W725" r:id="rId300"/>
    <hyperlink ref="V726" r:id="rId301"/>
    <hyperlink ref="W726" r:id="rId302"/>
    <hyperlink ref="V727" r:id="rId303"/>
    <hyperlink ref="W727" r:id="rId304"/>
    <hyperlink ref="G728" r:id="rId305"/>
    <hyperlink ref="H728" r:id="rId306"/>
    <hyperlink ref="I728" r:id="rId307"/>
    <hyperlink ref="V728" r:id="rId308"/>
    <hyperlink ref="W728" r:id="rId309"/>
    <hyperlink ref="V729" r:id="rId310"/>
    <hyperlink ref="W729" r:id="rId311"/>
    <hyperlink ref="G730" r:id="rId312"/>
    <hyperlink ref="H730" r:id="rId313"/>
    <hyperlink ref="V731" r:id="rId314"/>
    <hyperlink ref="W731" r:id="rId315"/>
    <hyperlink ref="G732" r:id="rId316"/>
    <hyperlink ref="H732" r:id="rId317"/>
    <hyperlink ref="I732" r:id="rId318"/>
    <hyperlink ref="V732" r:id="rId319"/>
    <hyperlink ref="W732" r:id="rId320"/>
    <hyperlink ref="G733" r:id="rId321"/>
    <hyperlink ref="I733" r:id="rId322"/>
    <hyperlink ref="V733" r:id="rId323"/>
    <hyperlink ref="W733" r:id="rId324"/>
    <hyperlink ref="V734" r:id="rId325"/>
    <hyperlink ref="W734" r:id="rId326"/>
    <hyperlink ref="V735" r:id="rId327"/>
    <hyperlink ref="W735" r:id="rId328"/>
    <hyperlink ref="G736" r:id="rId329"/>
    <hyperlink ref="H736" r:id="rId330"/>
    <hyperlink ref="I736" r:id="rId331"/>
    <hyperlink ref="W736" r:id="rId332"/>
    <hyperlink ref="G737" r:id="rId333"/>
    <hyperlink ref="H737" r:id="rId334"/>
    <hyperlink ref="I737" r:id="rId335"/>
    <hyperlink ref="G740" r:id="rId336"/>
    <hyperlink ref="H740" r:id="rId337"/>
    <hyperlink ref="I740" r:id="rId338"/>
    <hyperlink ref="G741" r:id="rId339"/>
    <hyperlink ref="H741" r:id="rId340"/>
    <hyperlink ref="I741" r:id="rId341"/>
    <hyperlink ref="O741" r:id="rId342"/>
    <hyperlink ref="G742" r:id="rId343"/>
    <hyperlink ref="H742" r:id="rId344"/>
    <hyperlink ref="O742" r:id="rId345"/>
    <hyperlink ref="W742" r:id="rId346"/>
    <hyperlink ref="G743" r:id="rId347"/>
    <hyperlink ref="I743" r:id="rId348"/>
    <hyperlink ref="G744" r:id="rId349"/>
    <hyperlink ref="I744" r:id="rId350"/>
    <hyperlink ref="O746" r:id="rId351"/>
    <hyperlink ref="O748:O751" r:id="rId352" display="https://portaltransparencia.jocotepec.gob.mx/informacion/4969"/>
  </hyperlinks>
  <pageMargins left="0.47244094488188981" right="0.23622047244094491" top="0.43307086614173229" bottom="0.39370078740157483" header="0.31496062992125984" footer="0.31496062992125984"/>
  <pageSetup scale="22" orientation="portrait" r:id="rId353"/>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L806"/>
  <sheetViews>
    <sheetView view="pageBreakPreview" topLeftCell="A708" zoomScale="55" zoomScaleNormal="85" zoomScaleSheetLayoutView="55" workbookViewId="0">
      <selection activeCell="A709" sqref="A709:XFD71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hidden="1" customWidth="1"/>
    <col min="30" max="30" width="19.7109375" hidden="1" customWidth="1"/>
    <col min="31" max="38" width="5.7109375" style="690" hidden="1" customWidth="1"/>
    <col min="39" max="39" width="0" hidden="1" customWidth="1"/>
  </cols>
  <sheetData>
    <row r="1" spans="1:38" ht="35.1" customHeight="1">
      <c r="A1" s="2197" t="s">
        <v>3671</v>
      </c>
      <c r="B1" s="2197"/>
      <c r="C1" s="2197"/>
      <c r="D1" s="2197"/>
      <c r="E1" s="2197"/>
      <c r="F1" s="2197"/>
      <c r="G1" s="2197"/>
      <c r="H1" s="2197"/>
      <c r="I1" s="2197"/>
      <c r="J1" s="2197"/>
      <c r="K1" s="2197"/>
      <c r="L1" s="2197"/>
      <c r="M1" s="2197"/>
      <c r="N1" s="2197"/>
      <c r="O1" s="2197"/>
      <c r="P1" s="2197"/>
      <c r="Q1" s="2197"/>
      <c r="R1" s="2197"/>
      <c r="S1" s="2197"/>
      <c r="T1" s="1563"/>
      <c r="U1" s="1501"/>
      <c r="V1" s="1501"/>
      <c r="W1" s="1501"/>
      <c r="X1" s="1501"/>
      <c r="Y1" s="1501"/>
      <c r="Z1" s="1501"/>
      <c r="AA1" s="1501"/>
      <c r="AB1" s="1501"/>
      <c r="AC1" s="1501"/>
    </row>
    <row r="2" spans="1:38" ht="23.25" customHeight="1" thickBot="1">
      <c r="A2" s="2198" t="str">
        <f>GRAL!A2:AW2</f>
        <v>DEL 01 DE ENERO 2023 A FECHA ACTUAL</v>
      </c>
      <c r="B2" s="2198"/>
      <c r="C2" s="2198"/>
      <c r="D2" s="2198"/>
      <c r="E2" s="2198"/>
      <c r="F2" s="2198"/>
      <c r="G2" s="2198"/>
      <c r="H2" s="2198"/>
      <c r="I2" s="2198"/>
      <c r="J2" s="2198"/>
      <c r="K2" s="2198"/>
      <c r="L2" s="2198"/>
      <c r="M2" s="2198"/>
      <c r="N2" s="2198"/>
      <c r="O2" s="2198"/>
      <c r="P2" s="2198"/>
      <c r="Q2" s="2198"/>
      <c r="R2" s="2198"/>
      <c r="S2" s="2198"/>
      <c r="T2" s="1564"/>
      <c r="U2" s="1562"/>
      <c r="V2" s="1502"/>
      <c r="W2" s="1502"/>
      <c r="X2" s="1502"/>
      <c r="Y2" s="1502"/>
      <c r="Z2" s="1502"/>
      <c r="AA2" s="1502"/>
      <c r="AB2" s="1502"/>
      <c r="AC2" s="1502"/>
    </row>
    <row r="3" spans="1:38" ht="33" customHeight="1" thickTop="1" thickBot="1">
      <c r="A3" s="141"/>
      <c r="B3" s="141"/>
      <c r="C3" s="41"/>
      <c r="D3" s="1498"/>
      <c r="E3" s="1499"/>
      <c r="F3" s="1499"/>
      <c r="G3" s="1499"/>
      <c r="H3" s="1499"/>
      <c r="I3" s="2119" t="s">
        <v>4</v>
      </c>
      <c r="J3" s="2120"/>
      <c r="K3" s="2199" t="s">
        <v>2</v>
      </c>
      <c r="L3" s="2200"/>
      <c r="M3" s="2200"/>
      <c r="N3" s="2200"/>
      <c r="O3" s="2200"/>
      <c r="P3" s="2200"/>
      <c r="Q3" s="2200"/>
      <c r="R3" s="2200"/>
      <c r="S3" s="2201"/>
      <c r="T3" s="1589"/>
      <c r="U3" s="1593"/>
      <c r="V3" s="1587"/>
      <c r="W3" s="400"/>
      <c r="X3" s="1149"/>
      <c r="Y3" s="2194" t="s">
        <v>2214</v>
      </c>
      <c r="Z3" s="2194"/>
      <c r="AA3" s="2195"/>
      <c r="AB3" s="2196"/>
      <c r="AC3" s="1500"/>
    </row>
    <row r="4" spans="1:38" ht="26.1" customHeight="1">
      <c r="A4" s="145"/>
      <c r="B4" s="145"/>
      <c r="C4" s="314"/>
      <c r="D4" s="538"/>
      <c r="E4" s="537"/>
      <c r="F4" s="476" t="s">
        <v>2215</v>
      </c>
      <c r="G4" s="389" t="s">
        <v>2216</v>
      </c>
      <c r="H4" s="389" t="s">
        <v>2217</v>
      </c>
      <c r="I4" s="312" t="s">
        <v>2218</v>
      </c>
      <c r="J4" s="148"/>
      <c r="K4" s="146" t="s">
        <v>2219</v>
      </c>
      <c r="L4" s="147"/>
      <c r="M4" s="147"/>
      <c r="N4" s="147"/>
      <c r="O4" s="147" t="s">
        <v>2220</v>
      </c>
      <c r="P4" s="147" t="s">
        <v>2221</v>
      </c>
      <c r="Q4" s="147"/>
      <c r="R4" s="147"/>
      <c r="S4" s="395" t="s">
        <v>2222</v>
      </c>
      <c r="T4" s="394"/>
      <c r="U4" s="1594" t="s">
        <v>2223</v>
      </c>
      <c r="V4" s="345" t="s">
        <v>2224</v>
      </c>
      <c r="W4" s="401" t="s">
        <v>2225</v>
      </c>
      <c r="X4" s="1150"/>
      <c r="Y4" s="345"/>
      <c r="Z4" s="347"/>
      <c r="AA4" s="350"/>
      <c r="AB4" s="347"/>
      <c r="AC4" s="568"/>
      <c r="AE4" s="690">
        <v>1</v>
      </c>
      <c r="AF4" s="690">
        <v>2</v>
      </c>
      <c r="AG4" s="690">
        <v>3</v>
      </c>
      <c r="AH4" s="690">
        <v>4</v>
      </c>
      <c r="AI4" s="690">
        <v>5</v>
      </c>
      <c r="AJ4" s="690">
        <v>6</v>
      </c>
      <c r="AK4" s="690">
        <v>7</v>
      </c>
      <c r="AL4" s="690">
        <v>8</v>
      </c>
    </row>
    <row r="5" spans="1:38" ht="66" customHeight="1" thickBot="1">
      <c r="A5" s="142" t="s">
        <v>1421</v>
      </c>
      <c r="B5" s="313" t="s">
        <v>1410</v>
      </c>
      <c r="C5" s="313" t="s">
        <v>19</v>
      </c>
      <c r="D5" s="539" t="s">
        <v>2226</v>
      </c>
      <c r="E5" s="669" t="s">
        <v>467</v>
      </c>
      <c r="F5" s="153" t="s">
        <v>2227</v>
      </c>
      <c r="G5" s="393" t="s">
        <v>2228</v>
      </c>
      <c r="H5" s="475" t="s">
        <v>2229</v>
      </c>
      <c r="I5" s="43" t="s">
        <v>28</v>
      </c>
      <c r="J5" s="46" t="s">
        <v>29</v>
      </c>
      <c r="K5" s="43" t="s">
        <v>21</v>
      </c>
      <c r="L5" s="44" t="s">
        <v>22</v>
      </c>
      <c r="M5" s="45" t="s">
        <v>23</v>
      </c>
      <c r="N5" s="469" t="s">
        <v>2230</v>
      </c>
      <c r="O5" s="45" t="s">
        <v>25</v>
      </c>
      <c r="P5" s="45" t="s">
        <v>24</v>
      </c>
      <c r="Q5" s="162" t="s">
        <v>5667</v>
      </c>
      <c r="R5" s="45" t="s">
        <v>26</v>
      </c>
      <c r="S5" s="46" t="s">
        <v>27</v>
      </c>
      <c r="T5" s="809" t="s">
        <v>3857</v>
      </c>
      <c r="U5" s="1595" t="s">
        <v>2231</v>
      </c>
      <c r="V5" s="118" t="s">
        <v>63</v>
      </c>
      <c r="W5" s="402" t="s">
        <v>2232</v>
      </c>
      <c r="X5" s="1151" t="s">
        <v>2233</v>
      </c>
      <c r="Y5" s="118" t="s">
        <v>2234</v>
      </c>
      <c r="Z5" s="118" t="s">
        <v>25</v>
      </c>
      <c r="AA5" s="45" t="s">
        <v>24</v>
      </c>
      <c r="AB5" s="348" t="s">
        <v>57</v>
      </c>
      <c r="AC5" s="571" t="s">
        <v>1429</v>
      </c>
      <c r="AE5" s="572" t="s">
        <v>62</v>
      </c>
      <c r="AF5" s="572" t="s">
        <v>1422</v>
      </c>
      <c r="AG5" s="572" t="s">
        <v>2235</v>
      </c>
      <c r="AH5" s="572" t="s">
        <v>1423</v>
      </c>
      <c r="AI5" s="572" t="s">
        <v>2236</v>
      </c>
      <c r="AJ5" s="572" t="s">
        <v>63</v>
      </c>
      <c r="AK5" s="572" t="s">
        <v>2237</v>
      </c>
      <c r="AL5" s="572" t="s">
        <v>2238</v>
      </c>
    </row>
    <row r="6" spans="1:38" s="833" customFormat="1" ht="23.25" hidden="1" customHeight="1" thickTop="1">
      <c r="A6" s="813"/>
      <c r="B6" s="813"/>
      <c r="C6" s="814"/>
      <c r="D6" s="815"/>
      <c r="E6" s="816"/>
      <c r="F6" s="817"/>
      <c r="G6" s="818"/>
      <c r="H6" s="818"/>
      <c r="I6" s="819"/>
      <c r="J6" s="815"/>
      <c r="K6" s="820"/>
      <c r="L6" s="821"/>
      <c r="M6" s="822"/>
      <c r="N6" s="823"/>
      <c r="O6" s="822"/>
      <c r="P6" s="822"/>
      <c r="Q6" s="822"/>
      <c r="R6" s="822"/>
      <c r="S6" s="824"/>
      <c r="T6" s="827"/>
      <c r="U6" s="825"/>
      <c r="V6" s="813"/>
      <c r="W6" s="826"/>
      <c r="X6" s="1152"/>
      <c r="Y6" s="828"/>
      <c r="Z6" s="828"/>
      <c r="AA6" s="829"/>
      <c r="AB6" s="830"/>
      <c r="AC6" s="831"/>
      <c r="AE6" s="834"/>
      <c r="AF6" s="834"/>
      <c r="AG6" s="834"/>
      <c r="AH6" s="834"/>
      <c r="AI6" s="834"/>
      <c r="AJ6" s="834"/>
      <c r="AK6" s="834"/>
      <c r="AL6" s="834"/>
    </row>
    <row r="7" spans="1:38" ht="60.75" hidden="1" customHeight="1" thickTop="1">
      <c r="A7" s="23" t="s">
        <v>2239</v>
      </c>
      <c r="B7" s="933" t="str">
        <f>GRAL!B8</f>
        <v>2012-2015</v>
      </c>
      <c r="C7" s="17">
        <f>OBRA!I6</f>
        <v>2013</v>
      </c>
      <c r="D7" s="18" t="str">
        <f>OBRA!K6</f>
        <v>FONDEREG</v>
      </c>
      <c r="E7" s="301"/>
      <c r="F7" s="516"/>
      <c r="G7" s="658"/>
      <c r="H7" s="390"/>
      <c r="I7" s="228" t="str">
        <f>OBRA!U6</f>
        <v>C. URIEL PALOS CUEVAS</v>
      </c>
      <c r="J7" s="256" t="str">
        <f>OBRA!V6</f>
        <v>C. DANIEL RODRIGUEZ VALENZUELA</v>
      </c>
      <c r="K7" s="20"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2">
        <f>OBRA!S6</f>
        <v>41608</v>
      </c>
      <c r="T7" s="244"/>
      <c r="U7" s="244" t="s">
        <v>1431</v>
      </c>
      <c r="V7" s="406"/>
      <c r="W7" s="403"/>
      <c r="X7" s="305">
        <f>OBRA!AP6</f>
        <v>0</v>
      </c>
      <c r="Y7" s="346"/>
      <c r="Z7" s="346"/>
      <c r="AA7" s="212"/>
      <c r="AB7" s="351">
        <f>OBRA!BT6</f>
        <v>0</v>
      </c>
      <c r="AC7" s="569"/>
      <c r="AE7"/>
      <c r="AF7"/>
      <c r="AG7"/>
      <c r="AH7"/>
      <c r="AI7"/>
      <c r="AJ7"/>
      <c r="AK7"/>
      <c r="AL7"/>
    </row>
    <row r="8" spans="1:38" s="326" customFormat="1" ht="75.75" hidden="1" customHeight="1">
      <c r="A8" s="336" t="s">
        <v>2239</v>
      </c>
      <c r="B8" s="981" t="str">
        <f>GRAL!B9</f>
        <v>2012-2015</v>
      </c>
      <c r="C8" s="315">
        <f>OBRA!I7</f>
        <v>2013</v>
      </c>
      <c r="D8" s="337" t="str">
        <f>OBRA!K7</f>
        <v>RAMO 33</v>
      </c>
      <c r="E8" s="536" t="s">
        <v>1431</v>
      </c>
      <c r="F8" s="391"/>
      <c r="G8" s="470"/>
      <c r="H8" s="391"/>
      <c r="I8" s="338" t="str">
        <f>OBRA!U7</f>
        <v>CONSTRUCTORA TGV, S.A. DE C.V.</v>
      </c>
      <c r="J8" s="334" t="str">
        <f>OBRA!V7</f>
        <v>C. DANIEL RODRIGUEZ VALENZUELA</v>
      </c>
      <c r="K8" s="317" t="str">
        <f>OBRA!L7</f>
        <v>GMJ 022C OP/2013</v>
      </c>
      <c r="L8" s="318" t="str">
        <f>OBRA!M7</f>
        <v>ADJUDICACIÓN DIRECTA</v>
      </c>
      <c r="M8" s="319" t="str">
        <f>OBRA!N7</f>
        <v>REHABILITACIÓN DE UNIDAD DEPORTIVA, UBICADA EN ESQUINA DE AVENIDA DEL PARQUE Y CALLE ARTE EN LA DELEGACIÓN DE HUEJOTITAN</v>
      </c>
      <c r="N8" s="319"/>
      <c r="O8" s="321">
        <f>OBRA!Q7</f>
        <v>41610</v>
      </c>
      <c r="P8" s="320">
        <f>OBRA!P7</f>
        <v>666000</v>
      </c>
      <c r="Q8" s="320"/>
      <c r="R8" s="322">
        <f>OBRA!R7</f>
        <v>41612</v>
      </c>
      <c r="S8" s="323">
        <f>OBRA!S7</f>
        <v>41638</v>
      </c>
      <c r="T8" s="982"/>
      <c r="U8" s="982" t="s">
        <v>1431</v>
      </c>
      <c r="V8" s="407"/>
      <c r="W8" s="404"/>
      <c r="X8" s="927">
        <f>OBRA!AP7</f>
        <v>0</v>
      </c>
      <c r="Y8" s="342"/>
      <c r="Z8" s="342"/>
      <c r="AA8" s="322"/>
      <c r="AB8" s="928">
        <f>OBRA!BT7</f>
        <v>0</v>
      </c>
      <c r="AC8" s="929"/>
    </row>
    <row r="9" spans="1:38" s="326" customFormat="1" ht="60.75" hidden="1" customHeight="1">
      <c r="A9" s="336" t="s">
        <v>2239</v>
      </c>
      <c r="B9" s="981" t="str">
        <f>GRAL!B10</f>
        <v>2012-2015</v>
      </c>
      <c r="C9" s="315">
        <f>OBRA!I8</f>
        <v>2013</v>
      </c>
      <c r="D9" s="337" t="str">
        <f>OBRA!K8</f>
        <v>RAMO 33</v>
      </c>
      <c r="E9" s="536" t="s">
        <v>1431</v>
      </c>
      <c r="F9" s="391"/>
      <c r="G9" s="470"/>
      <c r="H9" s="391"/>
      <c r="I9" s="338" t="str">
        <f>OBRA!U8</f>
        <v>CONSTRUCTORA TGV, S.A. DE C.V.</v>
      </c>
      <c r="J9" s="334" t="str">
        <f>OBRA!V8</f>
        <v>C. DANIEL RODRIGUEZ VALENZUELA</v>
      </c>
      <c r="K9" s="317" t="str">
        <f>OBRA!L8</f>
        <v>GMJ 023C OP/2013</v>
      </c>
      <c r="L9" s="318" t="str">
        <f>OBRA!M8</f>
        <v>ADJUDICACIÓN DIRECTA</v>
      </c>
      <c r="M9" s="319" t="str">
        <f>OBRA!N8</f>
        <v>CONSTRUCCIÓN DE MODULOS DE BAÑOS JUNTO A LA UNIDAD DEPORTIVA, EN LA AGENCIA MUNICIPAL DE EL MOLINO</v>
      </c>
      <c r="N9" s="319"/>
      <c r="O9" s="321">
        <f>OBRA!Q8</f>
        <v>41610</v>
      </c>
      <c r="P9" s="320">
        <f>OBRA!P8</f>
        <v>160000</v>
      </c>
      <c r="Q9" s="320"/>
      <c r="R9" s="322">
        <f>OBRA!R8</f>
        <v>41617</v>
      </c>
      <c r="S9" s="323">
        <f>OBRA!S8</f>
        <v>41638</v>
      </c>
      <c r="T9" s="982"/>
      <c r="U9" s="982" t="s">
        <v>1431</v>
      </c>
      <c r="V9" s="407"/>
      <c r="W9" s="404"/>
      <c r="X9" s="927">
        <f>OBRA!AP8</f>
        <v>0</v>
      </c>
      <c r="Y9" s="342"/>
      <c r="Z9" s="342"/>
      <c r="AA9" s="322"/>
      <c r="AB9" s="928">
        <f>OBRA!BT8</f>
        <v>0</v>
      </c>
      <c r="AC9" s="929"/>
    </row>
    <row r="10" spans="1:38" ht="60.75" hidden="1" customHeight="1">
      <c r="A10" s="23" t="s">
        <v>2239</v>
      </c>
      <c r="B10" s="933" t="str">
        <f>GRAL!B11</f>
        <v>2012-2015</v>
      </c>
      <c r="C10" s="17">
        <f>OBRA!I9</f>
        <v>2013</v>
      </c>
      <c r="D10" s="18" t="str">
        <f>OBRA!K9</f>
        <v>RAMO 33</v>
      </c>
      <c r="E10" s="536" t="s">
        <v>1431</v>
      </c>
      <c r="F10" s="390"/>
      <c r="G10" s="1"/>
      <c r="H10" s="390"/>
      <c r="I10" s="228" t="str">
        <f>OBRA!U9</f>
        <v>-</v>
      </c>
      <c r="J10" s="256">
        <f>OBRA!V9</f>
        <v>0</v>
      </c>
      <c r="K10" s="20" t="str">
        <f>OBRA!L9</f>
        <v>DOP/AD/011/2013</v>
      </c>
      <c r="L10" s="2" t="str">
        <f>OBRA!M9</f>
        <v>ADMINISTRACIÓN DIRECTA</v>
      </c>
      <c r="M10" s="3" t="str">
        <f>OBRA!N9</f>
        <v>BACHEO DE EMPEDRADO NORMAL EN CALLES: ALLENE, PORFIRIO DIAZ Y MATAMOROS, EN SAN CRISTOBAL ZAPOTITLAN</v>
      </c>
      <c r="N10" s="3"/>
      <c r="O10" s="93" t="s">
        <v>68</v>
      </c>
      <c r="P10" s="4">
        <f>OBRA!P9</f>
        <v>0</v>
      </c>
      <c r="Q10" s="4"/>
      <c r="R10" s="94" t="s">
        <v>68</v>
      </c>
      <c r="S10" s="95" t="s">
        <v>68</v>
      </c>
      <c r="T10" s="107"/>
      <c r="U10" s="248" t="s">
        <v>1431</v>
      </c>
      <c r="V10" s="408"/>
      <c r="W10" s="97"/>
      <c r="X10" s="305">
        <f>OBRA!AP9</f>
        <v>0</v>
      </c>
      <c r="Y10" s="343"/>
      <c r="Z10" s="343"/>
      <c r="AA10" s="94"/>
      <c r="AB10" s="351">
        <f>OBRA!BT9</f>
        <v>0</v>
      </c>
      <c r="AC10" s="569"/>
      <c r="AE10"/>
      <c r="AF10"/>
      <c r="AG10"/>
      <c r="AH10"/>
      <c r="AI10"/>
      <c r="AJ10"/>
      <c r="AK10"/>
      <c r="AL10"/>
    </row>
    <row r="11" spans="1:38" ht="60.75" hidden="1" customHeight="1">
      <c r="A11" s="23" t="s">
        <v>2239</v>
      </c>
      <c r="B11" s="933" t="str">
        <f>GRAL!B12</f>
        <v>2012-2015</v>
      </c>
      <c r="C11" s="17">
        <f>OBRA!I10</f>
        <v>2013</v>
      </c>
      <c r="D11" s="18" t="str">
        <f>OBRA!K10</f>
        <v>RAMO 33</v>
      </c>
      <c r="E11" s="536" t="s">
        <v>1431</v>
      </c>
      <c r="F11" s="390"/>
      <c r="G11" s="1"/>
      <c r="H11" s="390"/>
      <c r="I11" s="228" t="str">
        <f>OBRA!U10</f>
        <v>-</v>
      </c>
      <c r="J11" s="256">
        <f>OBRA!V10</f>
        <v>0</v>
      </c>
      <c r="K11" s="20"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2">
        <f>OBRA!S10</f>
        <v>41486</v>
      </c>
      <c r="T11" s="54"/>
      <c r="U11" s="248" t="s">
        <v>1431</v>
      </c>
      <c r="V11" s="111"/>
      <c r="W11" s="55"/>
      <c r="X11" s="305">
        <f>OBRA!AP10</f>
        <v>0</v>
      </c>
      <c r="Y11" s="341"/>
      <c r="Z11" s="341"/>
      <c r="AA11" s="5"/>
      <c r="AB11" s="351">
        <f>OBRA!BT10</f>
        <v>0</v>
      </c>
      <c r="AC11" s="569"/>
      <c r="AE11"/>
      <c r="AF11"/>
      <c r="AG11"/>
      <c r="AH11"/>
      <c r="AI11"/>
      <c r="AJ11"/>
      <c r="AK11"/>
      <c r="AL11"/>
    </row>
    <row r="12" spans="1:38" ht="60.75" hidden="1" customHeight="1">
      <c r="A12" s="23" t="s">
        <v>2239</v>
      </c>
      <c r="B12" s="933" t="str">
        <f>GRAL!B13</f>
        <v>2012-2015</v>
      </c>
      <c r="C12" s="17">
        <f>OBRA!I11</f>
        <v>2013</v>
      </c>
      <c r="D12" s="18" t="str">
        <f>OBRA!K11</f>
        <v>RAMO 33</v>
      </c>
      <c r="E12" s="536" t="s">
        <v>1431</v>
      </c>
      <c r="F12" s="390"/>
      <c r="G12" s="1"/>
      <c r="H12" s="390"/>
      <c r="I12" s="228" t="str">
        <f>OBRA!U11</f>
        <v>-</v>
      </c>
      <c r="J12" s="256">
        <f>OBRA!V11</f>
        <v>0</v>
      </c>
      <c r="K12" s="20"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2">
        <f>OBRA!S11</f>
        <v>41510</v>
      </c>
      <c r="T12" s="54"/>
      <c r="U12" s="248" t="s">
        <v>1431</v>
      </c>
      <c r="V12" s="111"/>
      <c r="W12" s="55"/>
      <c r="X12" s="305">
        <f>OBRA!AP11</f>
        <v>0</v>
      </c>
      <c r="Y12" s="341"/>
      <c r="Z12" s="341"/>
      <c r="AA12" s="5"/>
      <c r="AB12" s="351">
        <f>OBRA!BT11</f>
        <v>0</v>
      </c>
      <c r="AC12" s="569"/>
      <c r="AE12"/>
      <c r="AF12"/>
      <c r="AG12"/>
      <c r="AH12"/>
      <c r="AI12"/>
      <c r="AJ12"/>
      <c r="AK12"/>
      <c r="AL12"/>
    </row>
    <row r="13" spans="1:38" ht="60.75" hidden="1" customHeight="1">
      <c r="A13" s="23" t="s">
        <v>2239</v>
      </c>
      <c r="B13" s="933" t="str">
        <f>GRAL!B14</f>
        <v>2012-2015</v>
      </c>
      <c r="C13" s="17">
        <f>OBRA!I12</f>
        <v>2013</v>
      </c>
      <c r="D13" s="18" t="str">
        <f>OBRA!K12</f>
        <v>RAMO 33</v>
      </c>
      <c r="E13" s="535" t="s">
        <v>1431</v>
      </c>
      <c r="F13" s="390"/>
      <c r="G13" s="1"/>
      <c r="H13" s="390"/>
      <c r="I13" s="228" t="str">
        <f>OBRA!U12</f>
        <v>-</v>
      </c>
      <c r="J13" s="256">
        <f>OBRA!V12</f>
        <v>0</v>
      </c>
      <c r="K13" s="20"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2">
        <f>OBRA!S12</f>
        <v>41501</v>
      </c>
      <c r="T13" s="54"/>
      <c r="U13" s="248" t="s">
        <v>1431</v>
      </c>
      <c r="V13" s="111"/>
      <c r="W13" s="55"/>
      <c r="X13" s="305">
        <f>OBRA!AP12</f>
        <v>0</v>
      </c>
      <c r="Y13" s="341"/>
      <c r="Z13" s="341"/>
      <c r="AA13" s="5"/>
      <c r="AB13" s="351">
        <f>OBRA!BT12</f>
        <v>0</v>
      </c>
      <c r="AC13" s="569"/>
      <c r="AE13"/>
      <c r="AF13"/>
      <c r="AG13"/>
      <c r="AH13"/>
      <c r="AI13"/>
      <c r="AJ13"/>
      <c r="AK13"/>
      <c r="AL13"/>
    </row>
    <row r="14" spans="1:38" ht="45.75" hidden="1" customHeight="1">
      <c r="A14" s="23" t="s">
        <v>2239</v>
      </c>
      <c r="B14" s="933" t="str">
        <f>GRAL!B15</f>
        <v>2012-2015</v>
      </c>
      <c r="C14" s="17">
        <f>OBRA!I13</f>
        <v>2013</v>
      </c>
      <c r="D14" s="18" t="str">
        <f>OBRA!K13</f>
        <v>RAMO 33</v>
      </c>
      <c r="E14" s="536" t="s">
        <v>1431</v>
      </c>
      <c r="F14" s="390"/>
      <c r="G14" s="1"/>
      <c r="H14" s="390"/>
      <c r="I14" s="228" t="str">
        <f>OBRA!U13</f>
        <v>-</v>
      </c>
      <c r="J14" s="256">
        <f>OBRA!V13</f>
        <v>0</v>
      </c>
      <c r="K14" s="20"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2">
        <f>OBRA!S13</f>
        <v>41538</v>
      </c>
      <c r="T14" s="54"/>
      <c r="U14" s="248" t="s">
        <v>1431</v>
      </c>
      <c r="V14" s="111"/>
      <c r="W14" s="55"/>
      <c r="X14" s="305">
        <f>OBRA!AP13</f>
        <v>0</v>
      </c>
      <c r="Y14" s="341"/>
      <c r="Z14" s="341"/>
      <c r="AA14" s="5"/>
      <c r="AB14" s="351">
        <f>OBRA!BT13</f>
        <v>0</v>
      </c>
      <c r="AC14" s="569"/>
      <c r="AE14"/>
      <c r="AF14"/>
      <c r="AG14"/>
      <c r="AH14"/>
      <c r="AI14"/>
      <c r="AJ14"/>
      <c r="AK14"/>
      <c r="AL14"/>
    </row>
    <row r="15" spans="1:38" ht="60.75" hidden="1" customHeight="1">
      <c r="A15" s="23" t="s">
        <v>2239</v>
      </c>
      <c r="B15" s="933" t="str">
        <f>GRAL!B16</f>
        <v>2012-2015</v>
      </c>
      <c r="C15" s="17">
        <f>OBRA!I14</f>
        <v>2013</v>
      </c>
      <c r="D15" s="18" t="str">
        <f>OBRA!K14</f>
        <v>RAMO 33</v>
      </c>
      <c r="E15" s="536" t="s">
        <v>1431</v>
      </c>
      <c r="F15" s="390"/>
      <c r="G15" s="1"/>
      <c r="H15" s="390"/>
      <c r="I15" s="228" t="str">
        <f>OBRA!U14</f>
        <v>-</v>
      </c>
      <c r="J15" s="256">
        <f>OBRA!V14</f>
        <v>0</v>
      </c>
      <c r="K15" s="20"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2">
        <f>OBRA!S14</f>
        <v>41493</v>
      </c>
      <c r="T15" s="54"/>
      <c r="U15" s="248" t="s">
        <v>1431</v>
      </c>
      <c r="V15" s="111"/>
      <c r="W15" s="55"/>
      <c r="X15" s="305">
        <f>OBRA!AP14</f>
        <v>0</v>
      </c>
      <c r="Y15" s="341"/>
      <c r="Z15" s="341"/>
      <c r="AA15" s="5"/>
      <c r="AB15" s="351">
        <f>OBRA!BT14</f>
        <v>0</v>
      </c>
      <c r="AC15" s="569"/>
      <c r="AE15"/>
      <c r="AF15"/>
      <c r="AG15"/>
      <c r="AH15"/>
      <c r="AI15"/>
      <c r="AJ15"/>
      <c r="AK15"/>
      <c r="AL15"/>
    </row>
    <row r="16" spans="1:38" ht="45.75" hidden="1" customHeight="1">
      <c r="A16" s="23" t="s">
        <v>2239</v>
      </c>
      <c r="B16" s="933" t="str">
        <f>GRAL!B17</f>
        <v>2012-2015</v>
      </c>
      <c r="C16" s="17">
        <f>OBRA!I15</f>
        <v>2013</v>
      </c>
      <c r="D16" s="18" t="str">
        <f>OBRA!K15</f>
        <v>RAMO 33</v>
      </c>
      <c r="E16" s="536" t="s">
        <v>1431</v>
      </c>
      <c r="F16" s="390"/>
      <c r="G16" s="1"/>
      <c r="H16" s="390"/>
      <c r="I16" s="228" t="str">
        <f>OBRA!U15</f>
        <v>-</v>
      </c>
      <c r="J16" s="256">
        <f>OBRA!V15</f>
        <v>0</v>
      </c>
      <c r="K16" s="20"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2">
        <f>OBRA!S15</f>
        <v>41538</v>
      </c>
      <c r="T16" s="54"/>
      <c r="U16" s="248" t="s">
        <v>1431</v>
      </c>
      <c r="V16" s="111"/>
      <c r="W16" s="55"/>
      <c r="X16" s="305">
        <f>OBRA!AP15</f>
        <v>0</v>
      </c>
      <c r="Y16" s="341"/>
      <c r="Z16" s="341"/>
      <c r="AA16" s="5"/>
      <c r="AB16" s="351">
        <f>OBRA!BT15</f>
        <v>0</v>
      </c>
      <c r="AC16" s="569"/>
      <c r="AE16"/>
      <c r="AF16"/>
      <c r="AG16"/>
      <c r="AH16"/>
      <c r="AI16"/>
      <c r="AJ16"/>
      <c r="AK16"/>
      <c r="AL16"/>
    </row>
    <row r="17" spans="1:38" ht="30.75" hidden="1" customHeight="1">
      <c r="A17" s="23" t="s">
        <v>2239</v>
      </c>
      <c r="B17" s="933" t="str">
        <f>GRAL!B18</f>
        <v>2012-2015</v>
      </c>
      <c r="C17" s="17">
        <f>OBRA!I16</f>
        <v>2013</v>
      </c>
      <c r="D17" s="18" t="str">
        <f>OBRA!K16</f>
        <v>RAMO 33</v>
      </c>
      <c r="E17" s="536" t="s">
        <v>1431</v>
      </c>
      <c r="F17" s="390"/>
      <c r="G17" s="1"/>
      <c r="H17" s="390"/>
      <c r="I17" s="228" t="str">
        <f>OBRA!U16</f>
        <v>-</v>
      </c>
      <c r="J17" s="256">
        <f>OBRA!V16</f>
        <v>0</v>
      </c>
      <c r="K17" s="20" t="str">
        <f>OBRA!L16</f>
        <v>DOP/AD/014/2013</v>
      </c>
      <c r="L17" s="2" t="str">
        <f>OBRA!M16</f>
        <v>ADMINISTRACIÓN DIRECTA</v>
      </c>
      <c r="M17" s="3" t="str">
        <f>OBRA!N16</f>
        <v>EMPEDRADO NORMAL C. 16 DE SEPTIEMBRE LA LOMA</v>
      </c>
      <c r="N17" s="3"/>
      <c r="O17" s="6">
        <f>OBRA!Q16</f>
        <v>41488</v>
      </c>
      <c r="P17" s="4">
        <f>OBRA!P16</f>
        <v>172000</v>
      </c>
      <c r="Q17" s="4"/>
      <c r="R17" s="5">
        <f>OBRA!R16</f>
        <v>41493</v>
      </c>
      <c r="S17" s="12">
        <f>OBRA!S16</f>
        <v>41506</v>
      </c>
      <c r="T17" s="54"/>
      <c r="U17" s="248" t="s">
        <v>1431</v>
      </c>
      <c r="V17" s="111"/>
      <c r="W17" s="55"/>
      <c r="X17" s="305">
        <f>OBRA!AP16</f>
        <v>0</v>
      </c>
      <c r="Y17" s="341"/>
      <c r="Z17" s="341"/>
      <c r="AA17" s="5"/>
      <c r="AB17" s="351">
        <f>OBRA!BT16</f>
        <v>0</v>
      </c>
      <c r="AC17" s="569"/>
      <c r="AE17"/>
      <c r="AF17"/>
      <c r="AG17"/>
      <c r="AH17"/>
      <c r="AI17"/>
      <c r="AJ17"/>
      <c r="AK17"/>
      <c r="AL17"/>
    </row>
    <row r="18" spans="1:38" ht="75.75" hidden="1" customHeight="1">
      <c r="A18" s="23" t="s">
        <v>2239</v>
      </c>
      <c r="B18" s="933" t="str">
        <f>GRAL!B19</f>
        <v>2012-2015</v>
      </c>
      <c r="C18" s="17">
        <f>OBRA!I17</f>
        <v>2013</v>
      </c>
      <c r="D18" s="18" t="str">
        <f>OBRA!K17</f>
        <v>RAMO 33</v>
      </c>
      <c r="E18" s="536" t="s">
        <v>1431</v>
      </c>
      <c r="F18" s="390"/>
      <c r="G18" s="1"/>
      <c r="H18" s="390"/>
      <c r="I18" s="228" t="str">
        <f>OBRA!U17</f>
        <v>EQUIPO MANTENIMIENTO Y PLANEACION ELECTRICA S.A. DE C.V.</v>
      </c>
      <c r="J18" s="256" t="str">
        <f>OBRA!V17</f>
        <v>C. DANIEL RODRIGUEZ VALENZUELA</v>
      </c>
      <c r="K18" s="20"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2">
        <f>OBRA!S17</f>
        <v>41623</v>
      </c>
      <c r="T18" s="54"/>
      <c r="U18" s="248" t="s">
        <v>1431</v>
      </c>
      <c r="V18" s="111"/>
      <c r="W18" s="55"/>
      <c r="X18" s="305">
        <f>OBRA!AP17</f>
        <v>0</v>
      </c>
      <c r="Y18" s="341"/>
      <c r="Z18" s="341"/>
      <c r="AA18" s="5"/>
      <c r="AB18" s="351">
        <f>OBRA!BT17</f>
        <v>0</v>
      </c>
      <c r="AC18" s="569"/>
      <c r="AE18"/>
      <c r="AF18"/>
      <c r="AG18"/>
      <c r="AH18"/>
      <c r="AI18"/>
      <c r="AJ18"/>
      <c r="AK18"/>
      <c r="AL18"/>
    </row>
    <row r="19" spans="1:38" s="326" customFormat="1" ht="45.75" hidden="1" customHeight="1">
      <c r="A19" s="336" t="s">
        <v>2239</v>
      </c>
      <c r="B19" s="981" t="str">
        <f>GRAL!B20</f>
        <v>2012-2015</v>
      </c>
      <c r="C19" s="315">
        <f>OBRA!I18</f>
        <v>2013</v>
      </c>
      <c r="D19" s="337" t="str">
        <f>OBRA!K18</f>
        <v>RAMO 33</v>
      </c>
      <c r="E19" s="536" t="s">
        <v>1431</v>
      </c>
      <c r="F19" s="391"/>
      <c r="G19" s="470"/>
      <c r="H19" s="391"/>
      <c r="I19" s="338" t="str">
        <f>OBRA!U18</f>
        <v>C. JOSE LUIS VILLALPANDO GARCIA</v>
      </c>
      <c r="J19" s="334" t="str">
        <f>OBRA!V18</f>
        <v>ING. RIGOBERTO OLMEDO RAMOS</v>
      </c>
      <c r="K19" s="317" t="str">
        <f>OBRA!L18</f>
        <v>GMJ 018C OP/2013</v>
      </c>
      <c r="L19" s="318" t="str">
        <f>OBRA!M18</f>
        <v>ADJUDICACIÓN DIRECTA</v>
      </c>
      <c r="M19" s="319" t="str">
        <f>OBRA!N18</f>
        <v>ELECTRIFICACIÓN EN BARRIO DEL RICON EN LA AGENCIA MUNICIPAL DE LAS TROJES</v>
      </c>
      <c r="N19" s="319"/>
      <c r="O19" s="321">
        <f>OBRA!Q18</f>
        <v>41501</v>
      </c>
      <c r="P19" s="320">
        <f>OBRA!P18</f>
        <v>223854.45</v>
      </c>
      <c r="Q19" s="320"/>
      <c r="R19" s="322">
        <f>OBRA!R18</f>
        <v>41505</v>
      </c>
      <c r="S19" s="323">
        <f>OBRA!S18</f>
        <v>41547</v>
      </c>
      <c r="T19" s="982"/>
      <c r="U19" s="982" t="s">
        <v>1431</v>
      </c>
      <c r="V19" s="407"/>
      <c r="W19" s="404"/>
      <c r="X19" s="927">
        <f>OBRA!AP18</f>
        <v>0</v>
      </c>
      <c r="Y19" s="342"/>
      <c r="Z19" s="342"/>
      <c r="AA19" s="322"/>
      <c r="AB19" s="928">
        <f>OBRA!BT18</f>
        <v>0</v>
      </c>
      <c r="AC19" s="929"/>
    </row>
    <row r="20" spans="1:38" s="326" customFormat="1" ht="45.75" hidden="1" customHeight="1">
      <c r="A20" s="336" t="s">
        <v>2239</v>
      </c>
      <c r="B20" s="981" t="str">
        <f>GRAL!B21</f>
        <v>2012-2015</v>
      </c>
      <c r="C20" s="315">
        <f>OBRA!I19</f>
        <v>2013</v>
      </c>
      <c r="D20" s="337" t="str">
        <f>OBRA!K19</f>
        <v>RAMO 33</v>
      </c>
      <c r="E20" s="536" t="s">
        <v>1431</v>
      </c>
      <c r="F20" s="391"/>
      <c r="G20" s="470"/>
      <c r="H20" s="391"/>
      <c r="I20" s="338" t="str">
        <f>OBRA!U19</f>
        <v>C. JOSE LUIS VILLALPANDO GARCIA</v>
      </c>
      <c r="J20" s="334" t="str">
        <f>OBRA!V19</f>
        <v>ING. RIGOBERTO OLMEDO RAMOS</v>
      </c>
      <c r="K20" s="317" t="str">
        <f>OBRA!L19</f>
        <v>GMJ 013C OP/2013</v>
      </c>
      <c r="L20" s="318" t="str">
        <f>OBRA!M19</f>
        <v>ADJUDICACIÓN DIRECTA</v>
      </c>
      <c r="M20" s="319" t="str">
        <f>OBRA!N19</f>
        <v>ELECTRIFICACIÓN EN C. CUAHUTEMOC, EN LA AGENCIA MUNICIPAL DE LAS TROJES</v>
      </c>
      <c r="N20" s="319"/>
      <c r="O20" s="321">
        <f>OBRA!Q19</f>
        <v>41501</v>
      </c>
      <c r="P20" s="320">
        <f>OBRA!P19</f>
        <v>318371.84999999998</v>
      </c>
      <c r="Q20" s="320"/>
      <c r="R20" s="322">
        <f>OBRA!R19</f>
        <v>41519</v>
      </c>
      <c r="S20" s="323">
        <f>OBRA!S19</f>
        <v>41573</v>
      </c>
      <c r="T20" s="982"/>
      <c r="U20" s="982" t="s">
        <v>1431</v>
      </c>
      <c r="V20" s="407"/>
      <c r="W20" s="404"/>
      <c r="X20" s="927">
        <f>OBRA!AP19</f>
        <v>0</v>
      </c>
      <c r="Y20" s="342"/>
      <c r="Z20" s="342"/>
      <c r="AA20" s="322"/>
      <c r="AB20" s="928">
        <f>OBRA!BT19</f>
        <v>0</v>
      </c>
      <c r="AC20" s="929"/>
    </row>
    <row r="21" spans="1:38" ht="30.75" hidden="1" customHeight="1">
      <c r="A21" s="23" t="s">
        <v>2239</v>
      </c>
      <c r="B21" s="933" t="str">
        <f>GRAL!B22</f>
        <v>2012-2015</v>
      </c>
      <c r="C21" s="17">
        <f>OBRA!I20</f>
        <v>2013</v>
      </c>
      <c r="D21" s="18" t="str">
        <f>OBRA!K20</f>
        <v>RAMO 33</v>
      </c>
      <c r="E21" s="536" t="s">
        <v>1431</v>
      </c>
      <c r="F21" s="390"/>
      <c r="G21" s="1"/>
      <c r="H21" s="390"/>
      <c r="I21" s="228" t="str">
        <f>OBRA!U20</f>
        <v>-</v>
      </c>
      <c r="J21" s="256">
        <f>OBRA!V20</f>
        <v>0</v>
      </c>
      <c r="K21" s="20"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2">
        <f>OBRA!S20</f>
        <v>41638</v>
      </c>
      <c r="T21" s="54"/>
      <c r="U21" s="248" t="s">
        <v>1431</v>
      </c>
      <c r="V21" s="111"/>
      <c r="W21" s="55"/>
      <c r="X21" s="305">
        <f>OBRA!AP20</f>
        <v>0</v>
      </c>
      <c r="Y21" s="341"/>
      <c r="Z21" s="341"/>
      <c r="AA21" s="5"/>
      <c r="AB21" s="351">
        <f>OBRA!BT20</f>
        <v>0</v>
      </c>
      <c r="AC21" s="569"/>
      <c r="AE21"/>
      <c r="AF21"/>
      <c r="AG21"/>
      <c r="AH21"/>
      <c r="AI21"/>
      <c r="AJ21"/>
      <c r="AK21"/>
      <c r="AL21"/>
    </row>
    <row r="22" spans="1:38" ht="45.75" hidden="1" customHeight="1">
      <c r="A22" s="23" t="s">
        <v>2239</v>
      </c>
      <c r="B22" s="933" t="str">
        <f>GRAL!B23</f>
        <v>2012-2015</v>
      </c>
      <c r="C22" s="17">
        <f>OBRA!I21</f>
        <v>2013</v>
      </c>
      <c r="D22" s="18" t="str">
        <f>OBRA!K21</f>
        <v>RAMO 33</v>
      </c>
      <c r="E22" s="536" t="s">
        <v>1431</v>
      </c>
      <c r="F22" s="390"/>
      <c r="G22" s="1"/>
      <c r="H22" s="390"/>
      <c r="I22" s="228" t="str">
        <f>OBRA!U21</f>
        <v>-</v>
      </c>
      <c r="J22" s="256">
        <f>OBRA!V21</f>
        <v>0</v>
      </c>
      <c r="K22" s="20" t="str">
        <f>OBRA!L21</f>
        <v>OP/AD/027/2013</v>
      </c>
      <c r="L22" s="2" t="str">
        <f>OBRA!M21</f>
        <v>ADMINISTRACIÓN DIRECTA</v>
      </c>
      <c r="M22" s="3" t="str">
        <f>OBRA!N21</f>
        <v>CASETA DE CONTROL Y CLORACION DEL POZO FRACC. MAGISTERIAL CABECERA MUNICIPAL</v>
      </c>
      <c r="N22" s="3"/>
      <c r="O22" s="93" t="s">
        <v>68</v>
      </c>
      <c r="P22" s="4" t="str">
        <f>OBRA!P21</f>
        <v>FALTA</v>
      </c>
      <c r="Q22" s="4"/>
      <c r="R22" s="94" t="s">
        <v>68</v>
      </c>
      <c r="S22" s="95" t="s">
        <v>68</v>
      </c>
      <c r="T22" s="107"/>
      <c r="U22" s="248" t="s">
        <v>1431</v>
      </c>
      <c r="V22" s="408"/>
      <c r="W22" s="97"/>
      <c r="X22" s="305">
        <f>OBRA!AP21</f>
        <v>0</v>
      </c>
      <c r="Y22" s="343"/>
      <c r="Z22" s="343"/>
      <c r="AA22" s="94"/>
      <c r="AB22" s="351">
        <f>OBRA!BT21</f>
        <v>0</v>
      </c>
      <c r="AC22" s="569"/>
      <c r="AE22"/>
      <c r="AF22"/>
      <c r="AG22"/>
      <c r="AH22"/>
      <c r="AI22"/>
      <c r="AJ22"/>
      <c r="AK22"/>
      <c r="AL22"/>
    </row>
    <row r="23" spans="1:38" s="326" customFormat="1" ht="60.75" hidden="1" customHeight="1">
      <c r="A23" s="336" t="s">
        <v>2239</v>
      </c>
      <c r="B23" s="981" t="str">
        <f>GRAL!B24</f>
        <v>2012-2015</v>
      </c>
      <c r="C23" s="315">
        <f>OBRA!I22</f>
        <v>2013</v>
      </c>
      <c r="D23" s="337" t="str">
        <f>OBRA!K22</f>
        <v>RAMO 33</v>
      </c>
      <c r="E23" s="536" t="s">
        <v>1431</v>
      </c>
      <c r="F23" s="391"/>
      <c r="G23" s="470"/>
      <c r="H23" s="391"/>
      <c r="I23" s="338" t="str">
        <f>OBRA!U22</f>
        <v>C. JUAN MANUEL PALOS VACA</v>
      </c>
      <c r="J23" s="334" t="str">
        <f>OBRA!V22</f>
        <v>ING. ISER RANGEL REVILLA</v>
      </c>
      <c r="K23" s="317" t="str">
        <f>OBRA!L22</f>
        <v>GMJ 020C OP/2013</v>
      </c>
      <c r="L23" s="318" t="str">
        <f>OBRA!M22</f>
        <v>ADJUDICACIÓN DIRECTA</v>
      </c>
      <c r="M23" s="319" t="str">
        <f>OBRA!N22</f>
        <v xml:space="preserve">RENOVACION DE RED DE DRENAJE EN LA CALLE RAMON CORONA ENTRE MORELOS Y LOPEZ COTILLA EN LA DELEGACION DE POTRERILLOS </v>
      </c>
      <c r="N23" s="319"/>
      <c r="O23" s="321">
        <f>OBRA!Q22</f>
        <v>41547</v>
      </c>
      <c r="P23" s="320">
        <f>OBRA!P22</f>
        <v>99364.64</v>
      </c>
      <c r="Q23" s="320"/>
      <c r="R23" s="322">
        <f>OBRA!R22</f>
        <v>41548</v>
      </c>
      <c r="S23" s="323">
        <f>OBRA!S22</f>
        <v>41580</v>
      </c>
      <c r="T23" s="982"/>
      <c r="U23" s="982" t="s">
        <v>1431</v>
      </c>
      <c r="V23" s="407"/>
      <c r="W23" s="404"/>
      <c r="X23" s="927">
        <f>OBRA!AP22</f>
        <v>0</v>
      </c>
      <c r="Y23" s="342"/>
      <c r="Z23" s="342"/>
      <c r="AA23" s="322"/>
      <c r="AB23" s="928">
        <f>OBRA!BT22</f>
        <v>0</v>
      </c>
      <c r="AC23" s="929"/>
    </row>
    <row r="24" spans="1:38" s="326" customFormat="1" ht="75.75" hidden="1" customHeight="1">
      <c r="A24" s="336" t="s">
        <v>2239</v>
      </c>
      <c r="B24" s="981" t="str">
        <f>GRAL!B25</f>
        <v>2012-2015</v>
      </c>
      <c r="C24" s="315">
        <f>OBRA!I23</f>
        <v>2013</v>
      </c>
      <c r="D24" s="337" t="str">
        <f>OBRA!K23</f>
        <v>RAMO 33</v>
      </c>
      <c r="E24" s="536" t="s">
        <v>1431</v>
      </c>
      <c r="F24" s="391"/>
      <c r="G24" s="470"/>
      <c r="H24" s="391"/>
      <c r="I24" s="338" t="str">
        <f>OBRA!U23</f>
        <v>C. JUAN MANUEL PALOS VACA</v>
      </c>
      <c r="J24" s="334" t="str">
        <f>OBRA!V23</f>
        <v>ING. ISER RANGEL REVILLA</v>
      </c>
      <c r="K24" s="317" t="str">
        <f>OBRA!L23</f>
        <v>GMJ 019C OP/2013</v>
      </c>
      <c r="L24" s="318" t="str">
        <f>OBRA!M23</f>
        <v>ADJUDICACIÓN DIRECTA</v>
      </c>
      <c r="M24" s="319" t="str">
        <f>OBRA!N23</f>
        <v xml:space="preserve">PAVIMENTO DE EMPEDRADO AHOGADO EN CEMENTO EN LA CALLE RAMON CORONA ENTRE MORELOS Y LOPEZ COTILLAEN LA DELEGACION DE POTRERILLOS </v>
      </c>
      <c r="N24" s="319"/>
      <c r="O24" s="321">
        <f>OBRA!Q23</f>
        <v>41547</v>
      </c>
      <c r="P24" s="320">
        <f>OBRA!P23</f>
        <v>363453.99</v>
      </c>
      <c r="Q24" s="320"/>
      <c r="R24" s="322">
        <f>OBRA!R23</f>
        <v>41548</v>
      </c>
      <c r="S24" s="323">
        <f>OBRA!S23</f>
        <v>41580</v>
      </c>
      <c r="T24" s="982"/>
      <c r="U24" s="982" t="s">
        <v>1431</v>
      </c>
      <c r="V24" s="407"/>
      <c r="W24" s="404"/>
      <c r="X24" s="927">
        <f>OBRA!AP23</f>
        <v>0</v>
      </c>
      <c r="Y24" s="342"/>
      <c r="Z24" s="342"/>
      <c r="AA24" s="322"/>
      <c r="AB24" s="928">
        <f>OBRA!BT23</f>
        <v>0</v>
      </c>
      <c r="AC24" s="929"/>
    </row>
    <row r="25" spans="1:38" ht="45.75" hidden="1" customHeight="1">
      <c r="A25" s="23" t="s">
        <v>2239</v>
      </c>
      <c r="B25" s="933" t="str">
        <f>GRAL!B26</f>
        <v>2012-2015</v>
      </c>
      <c r="C25" s="17">
        <f>OBRA!I24</f>
        <v>2013</v>
      </c>
      <c r="D25" s="18" t="str">
        <f>OBRA!K24</f>
        <v>RAMO 33</v>
      </c>
      <c r="E25" s="535" t="s">
        <v>1431</v>
      </c>
      <c r="F25" s="390"/>
      <c r="G25" s="1"/>
      <c r="H25" s="390"/>
      <c r="I25" s="228" t="str">
        <f>OBRA!U24</f>
        <v>-</v>
      </c>
      <c r="J25" s="256">
        <f>OBRA!V24</f>
        <v>0</v>
      </c>
      <c r="K25" s="20"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2">
        <f>OBRA!S24</f>
        <v>41623</v>
      </c>
      <c r="T25" s="54"/>
      <c r="U25" s="248" t="s">
        <v>1431</v>
      </c>
      <c r="V25" s="111"/>
      <c r="W25" s="55"/>
      <c r="X25" s="305">
        <f>OBRA!AP24</f>
        <v>0</v>
      </c>
      <c r="Y25" s="341"/>
      <c r="Z25" s="341"/>
      <c r="AA25" s="5"/>
      <c r="AB25" s="351">
        <f>OBRA!BT24</f>
        <v>0</v>
      </c>
      <c r="AC25" s="569"/>
      <c r="AE25"/>
      <c r="AF25"/>
      <c r="AG25"/>
      <c r="AH25"/>
      <c r="AI25"/>
      <c r="AJ25"/>
      <c r="AK25"/>
      <c r="AL25"/>
    </row>
    <row r="26" spans="1:38" ht="45.75" hidden="1" customHeight="1">
      <c r="A26" s="23" t="s">
        <v>2239</v>
      </c>
      <c r="B26" s="933" t="str">
        <f>GRAL!B27</f>
        <v>2012-2015</v>
      </c>
      <c r="C26" s="17">
        <f>OBRA!I25</f>
        <v>2013</v>
      </c>
      <c r="D26" s="18" t="str">
        <f>OBRA!K25</f>
        <v>RAMO 33</v>
      </c>
      <c r="E26" s="536" t="s">
        <v>1431</v>
      </c>
      <c r="F26" s="390"/>
      <c r="G26" s="1"/>
      <c r="H26" s="390"/>
      <c r="I26" s="228" t="str">
        <f>OBRA!U25</f>
        <v>-</v>
      </c>
      <c r="J26" s="256">
        <f>OBRA!V25</f>
        <v>0</v>
      </c>
      <c r="K26" s="20"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2">
        <f>OBRA!S25</f>
        <v>41610</v>
      </c>
      <c r="T26" s="54"/>
      <c r="U26" s="248" t="s">
        <v>1431</v>
      </c>
      <c r="V26" s="111"/>
      <c r="W26" s="55"/>
      <c r="X26" s="305">
        <f>OBRA!AP25</f>
        <v>0</v>
      </c>
      <c r="Y26" s="341"/>
      <c r="Z26" s="341"/>
      <c r="AA26" s="5"/>
      <c r="AB26" s="351">
        <f>OBRA!BT25</f>
        <v>0</v>
      </c>
      <c r="AC26" s="569"/>
      <c r="AE26"/>
      <c r="AF26"/>
      <c r="AG26"/>
      <c r="AH26"/>
      <c r="AI26"/>
      <c r="AJ26"/>
      <c r="AK26"/>
      <c r="AL26"/>
    </row>
    <row r="27" spans="1:38" ht="45.75" hidden="1" customHeight="1">
      <c r="A27" s="23" t="s">
        <v>2239</v>
      </c>
      <c r="B27" s="933" t="str">
        <f>GRAL!B28</f>
        <v>2012-2015</v>
      </c>
      <c r="C27" s="17">
        <f>OBRA!I26</f>
        <v>2013</v>
      </c>
      <c r="D27" s="18" t="str">
        <f>OBRA!K26</f>
        <v>RAMO 33</v>
      </c>
      <c r="E27" s="536" t="s">
        <v>1431</v>
      </c>
      <c r="F27" s="390"/>
      <c r="G27" s="1"/>
      <c r="H27" s="390"/>
      <c r="I27" s="228" t="str">
        <f>OBRA!U26</f>
        <v>-</v>
      </c>
      <c r="J27" s="256">
        <f>OBRA!V26</f>
        <v>0</v>
      </c>
      <c r="K27" s="20"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2">
        <f>OBRA!S26</f>
        <v>41610</v>
      </c>
      <c r="T27" s="54"/>
      <c r="U27" s="248" t="s">
        <v>1431</v>
      </c>
      <c r="V27" s="111"/>
      <c r="W27" s="55"/>
      <c r="X27" s="305">
        <f>OBRA!AP26</f>
        <v>0</v>
      </c>
      <c r="Y27" s="341"/>
      <c r="Z27" s="341"/>
      <c r="AA27" s="5"/>
      <c r="AB27" s="351">
        <f>OBRA!BT26</f>
        <v>0</v>
      </c>
      <c r="AC27" s="569"/>
      <c r="AE27"/>
      <c r="AF27"/>
      <c r="AG27"/>
      <c r="AH27"/>
      <c r="AI27"/>
      <c r="AJ27"/>
      <c r="AK27"/>
      <c r="AL27"/>
    </row>
    <row r="28" spans="1:38" ht="75.75" hidden="1" customHeight="1">
      <c r="A28" s="23" t="s">
        <v>2239</v>
      </c>
      <c r="B28" s="933" t="str">
        <f>GRAL!B29</f>
        <v>2012-2015</v>
      </c>
      <c r="C28" s="17">
        <f>OBRA!I27</f>
        <v>2013</v>
      </c>
      <c r="D28" s="18" t="str">
        <f>OBRA!K27</f>
        <v>RAMO 33</v>
      </c>
      <c r="E28" s="536" t="s">
        <v>1431</v>
      </c>
      <c r="F28" s="390"/>
      <c r="G28" s="1"/>
      <c r="H28" s="390"/>
      <c r="I28" s="228" t="str">
        <f>OBRA!U27</f>
        <v>-</v>
      </c>
      <c r="J28" s="256">
        <f>OBRA!V27</f>
        <v>0</v>
      </c>
      <c r="K28" s="20"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2">
        <f>OBRA!S27</f>
        <v>41608</v>
      </c>
      <c r="T28" s="54"/>
      <c r="U28" s="248" t="s">
        <v>1431</v>
      </c>
      <c r="V28" s="111"/>
      <c r="W28" s="55"/>
      <c r="X28" s="305">
        <f>OBRA!AP27</f>
        <v>0</v>
      </c>
      <c r="Y28" s="341"/>
      <c r="Z28" s="341"/>
      <c r="AA28" s="5"/>
      <c r="AB28" s="351">
        <f>OBRA!BT27</f>
        <v>0</v>
      </c>
      <c r="AC28" s="569"/>
      <c r="AE28"/>
      <c r="AF28"/>
      <c r="AG28"/>
      <c r="AH28"/>
      <c r="AI28"/>
      <c r="AJ28"/>
      <c r="AK28"/>
      <c r="AL28"/>
    </row>
    <row r="29" spans="1:38" ht="45.75" hidden="1" customHeight="1">
      <c r="A29" s="23" t="s">
        <v>2239</v>
      </c>
      <c r="B29" s="933" t="str">
        <f>GRAL!B30</f>
        <v>2012-2015</v>
      </c>
      <c r="C29" s="17">
        <f>OBRA!I28</f>
        <v>2013</v>
      </c>
      <c r="D29" s="18" t="str">
        <f>OBRA!K28</f>
        <v>RAMO 33</v>
      </c>
      <c r="E29" s="536" t="s">
        <v>1431</v>
      </c>
      <c r="F29" s="390"/>
      <c r="G29" s="1"/>
      <c r="H29" s="390"/>
      <c r="I29" s="228" t="str">
        <f>OBRA!U28</f>
        <v>-</v>
      </c>
      <c r="J29" s="256">
        <f>OBRA!V28</f>
        <v>0</v>
      </c>
      <c r="K29" s="20"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2">
        <f>OBRA!S28</f>
        <v>41545</v>
      </c>
      <c r="T29" s="54"/>
      <c r="U29" s="248" t="s">
        <v>1431</v>
      </c>
      <c r="V29" s="111"/>
      <c r="W29" s="55"/>
      <c r="X29" s="305">
        <f>OBRA!AP28</f>
        <v>0</v>
      </c>
      <c r="Y29" s="341"/>
      <c r="Z29" s="341"/>
      <c r="AA29" s="5"/>
      <c r="AB29" s="351">
        <f>OBRA!BT28</f>
        <v>0</v>
      </c>
      <c r="AC29" s="569"/>
      <c r="AE29"/>
      <c r="AF29"/>
      <c r="AG29"/>
      <c r="AH29"/>
      <c r="AI29"/>
      <c r="AJ29"/>
      <c r="AK29"/>
      <c r="AL29"/>
    </row>
    <row r="30" spans="1:38" ht="60.75" hidden="1" customHeight="1">
      <c r="A30" s="23" t="s">
        <v>2239</v>
      </c>
      <c r="B30" s="933" t="str">
        <f>GRAL!B31</f>
        <v>2012-2015</v>
      </c>
      <c r="C30" s="17">
        <f>OBRA!I29</f>
        <v>2013</v>
      </c>
      <c r="D30" s="18" t="str">
        <f>OBRA!K29</f>
        <v>RAMO 33</v>
      </c>
      <c r="E30" s="536" t="s">
        <v>1431</v>
      </c>
      <c r="F30" s="390"/>
      <c r="G30" s="1"/>
      <c r="H30" s="390"/>
      <c r="I30" s="228" t="str">
        <f>OBRA!U29</f>
        <v>-</v>
      </c>
      <c r="J30" s="256">
        <f>OBRA!V29</f>
        <v>0</v>
      </c>
      <c r="K30" s="20"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2">
        <f>OBRA!S29</f>
        <v>41638</v>
      </c>
      <c r="T30" s="54"/>
      <c r="U30" s="248" t="s">
        <v>1431</v>
      </c>
      <c r="V30" s="111"/>
      <c r="W30" s="55"/>
      <c r="X30" s="305">
        <f>OBRA!AP29</f>
        <v>0</v>
      </c>
      <c r="Y30" s="341"/>
      <c r="Z30" s="341"/>
      <c r="AA30" s="5"/>
      <c r="AB30" s="351">
        <f>OBRA!BT29</f>
        <v>0</v>
      </c>
      <c r="AC30" s="569"/>
      <c r="AE30"/>
      <c r="AF30"/>
      <c r="AG30"/>
      <c r="AH30"/>
      <c r="AI30"/>
      <c r="AJ30"/>
      <c r="AK30"/>
      <c r="AL30"/>
    </row>
    <row r="31" spans="1:38" ht="75.75" hidden="1" customHeight="1">
      <c r="A31" s="23" t="s">
        <v>2239</v>
      </c>
      <c r="B31" s="933" t="str">
        <f>GRAL!B32</f>
        <v>2012-2015</v>
      </c>
      <c r="C31" s="17">
        <f>OBRA!I30</f>
        <v>2013</v>
      </c>
      <c r="D31" s="18" t="str">
        <f>OBRA!K30</f>
        <v>RAMO 33</v>
      </c>
      <c r="E31" s="536" t="s">
        <v>1431</v>
      </c>
      <c r="F31" s="390"/>
      <c r="G31" s="1"/>
      <c r="H31" s="390"/>
      <c r="I31" s="228" t="str">
        <f>OBRA!U30</f>
        <v>-</v>
      </c>
      <c r="J31" s="256">
        <f>OBRA!V30</f>
        <v>0</v>
      </c>
      <c r="K31" s="20"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2">
        <f>OBRA!S30</f>
        <v>41638</v>
      </c>
      <c r="T31" s="54"/>
      <c r="U31" s="248" t="s">
        <v>1431</v>
      </c>
      <c r="V31" s="111"/>
      <c r="W31" s="55"/>
      <c r="X31" s="305">
        <f>OBRA!AP30</f>
        <v>0</v>
      </c>
      <c r="Y31" s="341"/>
      <c r="Z31" s="341"/>
      <c r="AA31" s="5"/>
      <c r="AB31" s="351">
        <f>OBRA!BT30</f>
        <v>0</v>
      </c>
      <c r="AC31" s="569"/>
      <c r="AE31"/>
      <c r="AF31"/>
      <c r="AG31"/>
      <c r="AH31"/>
      <c r="AI31"/>
      <c r="AJ31"/>
      <c r="AK31"/>
      <c r="AL31"/>
    </row>
    <row r="32" spans="1:38" ht="60.75" hidden="1" customHeight="1">
      <c r="A32" s="23" t="s">
        <v>2239</v>
      </c>
      <c r="B32" s="933" t="str">
        <f>GRAL!B33</f>
        <v>2012-2015</v>
      </c>
      <c r="C32" s="17">
        <f>OBRA!I31</f>
        <v>2013</v>
      </c>
      <c r="D32" s="18" t="str">
        <f>OBRA!K31</f>
        <v>RAMO 33</v>
      </c>
      <c r="E32" s="536" t="s">
        <v>1431</v>
      </c>
      <c r="F32" s="390"/>
      <c r="G32" s="1"/>
      <c r="H32" s="390"/>
      <c r="I32" s="228" t="str">
        <f>OBRA!U31</f>
        <v>-</v>
      </c>
      <c r="J32" s="256">
        <f>OBRA!V31</f>
        <v>0</v>
      </c>
      <c r="K32" s="20"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2">
        <f>OBRA!S31</f>
        <v>41638</v>
      </c>
      <c r="T32" s="54"/>
      <c r="U32" s="248" t="s">
        <v>1431</v>
      </c>
      <c r="V32" s="111"/>
      <c r="W32" s="55"/>
      <c r="X32" s="305">
        <f>OBRA!AP31</f>
        <v>0</v>
      </c>
      <c r="Y32" s="341"/>
      <c r="Z32" s="341"/>
      <c r="AA32" s="5"/>
      <c r="AB32" s="351">
        <f>OBRA!BT31</f>
        <v>0</v>
      </c>
      <c r="AC32" s="569"/>
      <c r="AE32"/>
      <c r="AF32"/>
      <c r="AG32"/>
      <c r="AH32"/>
      <c r="AI32"/>
      <c r="AJ32"/>
      <c r="AK32"/>
      <c r="AL32"/>
    </row>
    <row r="33" spans="1:38" ht="45.75" hidden="1" customHeight="1">
      <c r="A33" s="23" t="s">
        <v>2239</v>
      </c>
      <c r="B33" s="933" t="str">
        <f>GRAL!B34</f>
        <v>2012-2015</v>
      </c>
      <c r="C33" s="17">
        <f>OBRA!I32</f>
        <v>2013</v>
      </c>
      <c r="D33" s="18" t="str">
        <f>OBRA!K32</f>
        <v>RAMO 33</v>
      </c>
      <c r="E33" s="535" t="s">
        <v>1431</v>
      </c>
      <c r="F33" s="390"/>
      <c r="G33" s="1"/>
      <c r="H33" s="390"/>
      <c r="I33" s="228" t="str">
        <f>OBRA!U32</f>
        <v>-</v>
      </c>
      <c r="J33" s="256">
        <f>OBRA!V32</f>
        <v>0</v>
      </c>
      <c r="K33" s="20"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2">
        <f>OBRA!S32</f>
        <v>41608</v>
      </c>
      <c r="T33" s="54"/>
      <c r="U33" s="248" t="s">
        <v>1431</v>
      </c>
      <c r="V33" s="111"/>
      <c r="W33" s="55"/>
      <c r="X33" s="305">
        <f>OBRA!AP32</f>
        <v>0</v>
      </c>
      <c r="Y33" s="341"/>
      <c r="Z33" s="341"/>
      <c r="AA33" s="5"/>
      <c r="AB33" s="351">
        <f>OBRA!BT32</f>
        <v>0</v>
      </c>
      <c r="AC33" s="569"/>
      <c r="AE33"/>
      <c r="AF33"/>
      <c r="AG33"/>
      <c r="AH33"/>
      <c r="AI33"/>
      <c r="AJ33"/>
      <c r="AK33"/>
      <c r="AL33"/>
    </row>
    <row r="34" spans="1:38" s="326" customFormat="1" ht="60.75" hidden="1" customHeight="1">
      <c r="A34" s="336" t="s">
        <v>2239</v>
      </c>
      <c r="B34" s="981" t="str">
        <f>GRAL!B35</f>
        <v>2012-2015</v>
      </c>
      <c r="C34" s="315">
        <f>OBRA!I33</f>
        <v>2013</v>
      </c>
      <c r="D34" s="337" t="str">
        <f>OBRA!K33</f>
        <v>Resc Esp Pub</v>
      </c>
      <c r="E34" s="536"/>
      <c r="F34" s="391"/>
      <c r="G34" s="470"/>
      <c r="H34" s="391"/>
      <c r="I34" s="338" t="str">
        <f>OBRA!U33</f>
        <v>KARLAY S.A. DE S.V.</v>
      </c>
      <c r="J34" s="334" t="str">
        <f>OBRA!V33</f>
        <v>C. DANIEL RODRIGUEZ VALENZUELA</v>
      </c>
      <c r="K34" s="317" t="str">
        <f>OBRA!L33</f>
        <v>GMJ 021C OP/2013</v>
      </c>
      <c r="L34" s="318" t="str">
        <f>OBRA!M33</f>
        <v>ADJUDICACIÓN DIRECTA</v>
      </c>
      <c r="M34" s="319" t="str">
        <f>OBRA!N33</f>
        <v>RESCATE DE LA UNIDAD DEPORTIVA ZARAGOZA, EN LA CABECERA MUNICIPAL, DEL MUNICIPIO DE JOCOTEPEC, JALISCO</v>
      </c>
      <c r="N34" s="319"/>
      <c r="O34" s="321">
        <f>OBRA!Q33</f>
        <v>41547</v>
      </c>
      <c r="P34" s="320">
        <f>OBRA!P33</f>
        <v>1299999</v>
      </c>
      <c r="Q34" s="320"/>
      <c r="R34" s="322">
        <f>OBRA!R33</f>
        <v>41547</v>
      </c>
      <c r="S34" s="323">
        <f>OBRA!S33</f>
        <v>41608</v>
      </c>
      <c r="T34" s="982"/>
      <c r="U34" s="982" t="s">
        <v>1431</v>
      </c>
      <c r="V34" s="407"/>
      <c r="W34" s="404"/>
      <c r="X34" s="927">
        <f>OBRA!AP33</f>
        <v>0</v>
      </c>
      <c r="Y34" s="342"/>
      <c r="Z34" s="342"/>
      <c r="AA34" s="322"/>
      <c r="AB34" s="928">
        <f>OBRA!BT33</f>
        <v>0</v>
      </c>
      <c r="AC34" s="929"/>
    </row>
    <row r="35" spans="1:38" ht="75.75" hidden="1" customHeight="1">
      <c r="A35" s="23" t="s">
        <v>2239</v>
      </c>
      <c r="B35" s="933" t="str">
        <f>GRAL!B36</f>
        <v>2012-2015</v>
      </c>
      <c r="C35" s="17">
        <f>OBRA!I34</f>
        <v>2013</v>
      </c>
      <c r="D35" s="18" t="str">
        <f>OBRA!K34</f>
        <v>3X1 PARA MIGRANTES</v>
      </c>
      <c r="E35" s="525"/>
      <c r="F35" s="390"/>
      <c r="G35" s="1"/>
      <c r="H35" s="390"/>
      <c r="I35" s="228" t="str">
        <f>OBRA!U34</f>
        <v>-</v>
      </c>
      <c r="J35" s="256">
        <f>OBRA!V34</f>
        <v>0</v>
      </c>
      <c r="K35" s="20"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2">
        <f>OBRA!S34</f>
        <v>41638</v>
      </c>
      <c r="T35" s="54"/>
      <c r="U35" s="248" t="s">
        <v>1431</v>
      </c>
      <c r="V35" s="111"/>
      <c r="W35" s="55"/>
      <c r="X35" s="305">
        <f>OBRA!AP34</f>
        <v>0</v>
      </c>
      <c r="Y35" s="341"/>
      <c r="Z35" s="341"/>
      <c r="AA35" s="5"/>
      <c r="AB35" s="351">
        <f>OBRA!BT34</f>
        <v>0</v>
      </c>
      <c r="AC35" s="569"/>
      <c r="AE35"/>
      <c r="AF35"/>
      <c r="AG35"/>
      <c r="AH35"/>
      <c r="AI35"/>
      <c r="AJ35"/>
      <c r="AK35"/>
      <c r="AL35"/>
    </row>
    <row r="36" spans="1:38" ht="75.75" hidden="1" customHeight="1">
      <c r="A36" s="23" t="s">
        <v>2239</v>
      </c>
      <c r="B36" s="933" t="str">
        <f>GRAL!B37</f>
        <v>2012-2015</v>
      </c>
      <c r="C36" s="17">
        <f>OBRA!I35</f>
        <v>2013</v>
      </c>
      <c r="D36" s="18" t="str">
        <f>OBRA!K35</f>
        <v>CUENTA CORRIENTE</v>
      </c>
      <c r="E36" s="525" t="s">
        <v>1431</v>
      </c>
      <c r="F36" s="390"/>
      <c r="G36" s="1"/>
      <c r="H36" s="390"/>
      <c r="I36" s="228" t="str">
        <f>OBRA!U35</f>
        <v>-</v>
      </c>
      <c r="J36" s="256">
        <f>OBRA!V35</f>
        <v>0</v>
      </c>
      <c r="K36" s="20"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2">
        <f>OBRA!S35</f>
        <v>41460</v>
      </c>
      <c r="T36" s="54"/>
      <c r="U36" s="248" t="s">
        <v>1431</v>
      </c>
      <c r="V36" s="111"/>
      <c r="W36" s="55"/>
      <c r="X36" s="305">
        <f>OBRA!AP35</f>
        <v>0</v>
      </c>
      <c r="Y36" s="341"/>
      <c r="Z36" s="341"/>
      <c r="AA36" s="5"/>
      <c r="AB36" s="351">
        <f>OBRA!BT35</f>
        <v>0</v>
      </c>
      <c r="AC36" s="569"/>
      <c r="AE36"/>
      <c r="AF36"/>
      <c r="AG36"/>
      <c r="AH36"/>
      <c r="AI36"/>
      <c r="AJ36"/>
      <c r="AK36"/>
      <c r="AL36"/>
    </row>
    <row r="37" spans="1:38" ht="75.75" hidden="1" customHeight="1">
      <c r="A37" s="23" t="s">
        <v>2239</v>
      </c>
      <c r="B37" s="933" t="str">
        <f>GRAL!B38</f>
        <v>2012-2015</v>
      </c>
      <c r="C37" s="17">
        <f>OBRA!I36</f>
        <v>2013</v>
      </c>
      <c r="D37" s="18" t="str">
        <f>OBRA!K36</f>
        <v>CUENTA CORRIENTE</v>
      </c>
      <c r="E37" s="525" t="s">
        <v>1431</v>
      </c>
      <c r="F37" s="390"/>
      <c r="G37" s="1"/>
      <c r="H37" s="390"/>
      <c r="I37" s="228" t="str">
        <f>OBRA!U36</f>
        <v>-</v>
      </c>
      <c r="J37" s="256">
        <f>OBRA!V36</f>
        <v>0</v>
      </c>
      <c r="K37" s="20"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2">
        <f>OBRA!S36</f>
        <v>41453</v>
      </c>
      <c r="T37" s="54"/>
      <c r="U37" s="248" t="s">
        <v>1431</v>
      </c>
      <c r="V37" s="111"/>
      <c r="W37" s="55"/>
      <c r="X37" s="305">
        <f>OBRA!AP36</f>
        <v>0</v>
      </c>
      <c r="Y37" s="341"/>
      <c r="Z37" s="341"/>
      <c r="AA37" s="5"/>
      <c r="AB37" s="351">
        <f>OBRA!BT36</f>
        <v>0</v>
      </c>
      <c r="AC37" s="569"/>
      <c r="AE37"/>
      <c r="AF37"/>
      <c r="AG37"/>
      <c r="AH37"/>
      <c r="AI37"/>
      <c r="AJ37"/>
      <c r="AK37"/>
      <c r="AL37"/>
    </row>
    <row r="38" spans="1:38" ht="45.75" hidden="1" customHeight="1">
      <c r="A38" s="23" t="s">
        <v>2239</v>
      </c>
      <c r="B38" s="933" t="str">
        <f>GRAL!B39</f>
        <v>2012-2015</v>
      </c>
      <c r="C38" s="17">
        <f>OBRA!I37</f>
        <v>2013</v>
      </c>
      <c r="D38" s="18" t="str">
        <f>OBRA!K37</f>
        <v>CUENTA CORRIENTE</v>
      </c>
      <c r="E38" s="525" t="s">
        <v>1431</v>
      </c>
      <c r="F38" s="390"/>
      <c r="G38" s="1"/>
      <c r="H38" s="390"/>
      <c r="I38" s="228" t="str">
        <f>OBRA!U37</f>
        <v>-</v>
      </c>
      <c r="J38" s="256">
        <f>OBRA!V37</f>
        <v>0</v>
      </c>
      <c r="K38" s="20"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2">
        <f>OBRA!S37</f>
        <v>41460</v>
      </c>
      <c r="T38" s="54"/>
      <c r="U38" s="248" t="s">
        <v>1431</v>
      </c>
      <c r="V38" s="111"/>
      <c r="W38" s="55"/>
      <c r="X38" s="305">
        <f>OBRA!AP37</f>
        <v>0</v>
      </c>
      <c r="Y38" s="341"/>
      <c r="Z38" s="341"/>
      <c r="AA38" s="5"/>
      <c r="AB38" s="351">
        <f>OBRA!BT37</f>
        <v>0</v>
      </c>
      <c r="AC38" s="569"/>
      <c r="AE38"/>
      <c r="AF38"/>
      <c r="AG38"/>
      <c r="AH38"/>
      <c r="AI38"/>
      <c r="AJ38"/>
      <c r="AK38"/>
      <c r="AL38"/>
    </row>
    <row r="39" spans="1:38" ht="45.75" hidden="1" customHeight="1">
      <c r="A39" s="23" t="s">
        <v>2239</v>
      </c>
      <c r="B39" s="933" t="str">
        <f>GRAL!B40</f>
        <v>2012-2015</v>
      </c>
      <c r="C39" s="17">
        <f>OBRA!I38</f>
        <v>2013</v>
      </c>
      <c r="D39" s="18" t="str">
        <f>OBRA!K38</f>
        <v>CUENTA CORRIENTE</v>
      </c>
      <c r="E39" s="525" t="s">
        <v>1431</v>
      </c>
      <c r="F39" s="390"/>
      <c r="G39" s="1"/>
      <c r="H39" s="390"/>
      <c r="I39" s="228" t="str">
        <f>OBRA!U38</f>
        <v>-</v>
      </c>
      <c r="J39" s="256">
        <f>OBRA!V38</f>
        <v>0</v>
      </c>
      <c r="K39" s="20"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2">
        <f>OBRA!S38</f>
        <v>41517</v>
      </c>
      <c r="T39" s="54"/>
      <c r="U39" s="248" t="s">
        <v>1431</v>
      </c>
      <c r="V39" s="111"/>
      <c r="W39" s="55"/>
      <c r="X39" s="305">
        <f>OBRA!AP38</f>
        <v>0</v>
      </c>
      <c r="Y39" s="341"/>
      <c r="Z39" s="341"/>
      <c r="AA39" s="5"/>
      <c r="AB39" s="351">
        <f>OBRA!BT38</f>
        <v>0</v>
      </c>
      <c r="AC39" s="569"/>
      <c r="AE39"/>
      <c r="AF39"/>
      <c r="AG39"/>
      <c r="AH39"/>
      <c r="AI39"/>
      <c r="AJ39"/>
      <c r="AK39"/>
      <c r="AL39"/>
    </row>
    <row r="40" spans="1:38" ht="45.75" hidden="1" customHeight="1">
      <c r="A40" s="23" t="s">
        <v>2239</v>
      </c>
      <c r="B40" s="933" t="str">
        <f>GRAL!B41</f>
        <v>2012-2015</v>
      </c>
      <c r="C40" s="17">
        <f>OBRA!I39</f>
        <v>2013</v>
      </c>
      <c r="D40" s="18" t="str">
        <f>OBRA!K39</f>
        <v>CUENTA CORRIENTE</v>
      </c>
      <c r="E40" s="525" t="s">
        <v>1431</v>
      </c>
      <c r="F40" s="390"/>
      <c r="G40" s="1"/>
      <c r="H40" s="390"/>
      <c r="I40" s="228" t="str">
        <f>OBRA!U39</f>
        <v>-</v>
      </c>
      <c r="J40" s="256">
        <f>OBRA!V39</f>
        <v>0</v>
      </c>
      <c r="K40" s="20" t="str">
        <f>OBRA!L39</f>
        <v>DOP/AD/012/2013</v>
      </c>
      <c r="L40" s="2" t="str">
        <f>OBRA!M39</f>
        <v>ADMINISTRACIÓN DIRECTA</v>
      </c>
      <c r="M40" s="3" t="str">
        <f>OBRA!N39</f>
        <v>REMODELACION DE FACHADA EN ZONA CENTRO 1ª ETAPA, EN LA  CABECERA MUNICIPAL</v>
      </c>
      <c r="N40" s="3"/>
      <c r="O40" s="93" t="s">
        <v>68</v>
      </c>
      <c r="P40" s="4">
        <f>OBRA!P39</f>
        <v>0</v>
      </c>
      <c r="Q40" s="4"/>
      <c r="R40" s="94" t="s">
        <v>68</v>
      </c>
      <c r="S40" s="95" t="s">
        <v>68</v>
      </c>
      <c r="T40" s="107"/>
      <c r="U40" s="248" t="s">
        <v>1431</v>
      </c>
      <c r="V40" s="408"/>
      <c r="W40" s="97"/>
      <c r="X40" s="305">
        <f>OBRA!AP39</f>
        <v>0</v>
      </c>
      <c r="Y40" s="343"/>
      <c r="Z40" s="343"/>
      <c r="AA40" s="94"/>
      <c r="AB40" s="351">
        <f>OBRA!BT39</f>
        <v>0</v>
      </c>
      <c r="AC40" s="569"/>
      <c r="AE40"/>
      <c r="AF40"/>
      <c r="AG40"/>
      <c r="AH40"/>
      <c r="AI40"/>
      <c r="AJ40"/>
      <c r="AK40"/>
      <c r="AL40"/>
    </row>
    <row r="41" spans="1:38" ht="30.75" hidden="1" customHeight="1">
      <c r="A41" s="23" t="s">
        <v>2239</v>
      </c>
      <c r="B41" s="933" t="str">
        <f>GRAL!B42</f>
        <v>2012-2015</v>
      </c>
      <c r="C41" s="17">
        <f>OBRA!I40</f>
        <v>2013</v>
      </c>
      <c r="D41" s="18" t="str">
        <f>OBRA!K40</f>
        <v>CUENTA CORRIENTE</v>
      </c>
      <c r="E41" s="525" t="s">
        <v>1431</v>
      </c>
      <c r="F41" s="390"/>
      <c r="G41" s="1"/>
      <c r="H41" s="390"/>
      <c r="I41" s="228" t="str">
        <f>OBRA!U40</f>
        <v>-</v>
      </c>
      <c r="J41" s="256">
        <f>OBRA!V40</f>
        <v>0</v>
      </c>
      <c r="K41" s="20"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2">
        <f>OBRA!S40</f>
        <v>41501</v>
      </c>
      <c r="T41" s="54"/>
      <c r="U41" s="248" t="s">
        <v>1431</v>
      </c>
      <c r="V41" s="111"/>
      <c r="W41" s="55"/>
      <c r="X41" s="305">
        <f>OBRA!AP40</f>
        <v>0</v>
      </c>
      <c r="Y41" s="341"/>
      <c r="Z41" s="341"/>
      <c r="AA41" s="5"/>
      <c r="AB41" s="351">
        <f>OBRA!BT40</f>
        <v>0</v>
      </c>
      <c r="AC41" s="569"/>
      <c r="AE41"/>
      <c r="AF41"/>
      <c r="AG41"/>
      <c r="AH41"/>
      <c r="AI41"/>
      <c r="AJ41"/>
      <c r="AK41"/>
      <c r="AL41"/>
    </row>
    <row r="42" spans="1:38" ht="30.75" hidden="1" customHeight="1">
      <c r="A42" s="23" t="s">
        <v>2239</v>
      </c>
      <c r="B42" s="933" t="str">
        <f>GRAL!B43</f>
        <v>2012-2015</v>
      </c>
      <c r="C42" s="17">
        <f>OBRA!I41</f>
        <v>2013</v>
      </c>
      <c r="D42" s="18" t="str">
        <f>OBRA!K41</f>
        <v>CUENTA CORRIENTE</v>
      </c>
      <c r="E42" s="525" t="s">
        <v>1431</v>
      </c>
      <c r="F42" s="390"/>
      <c r="G42" s="1"/>
      <c r="H42" s="390"/>
      <c r="I42" s="228" t="str">
        <f>OBRA!U41</f>
        <v>-</v>
      </c>
      <c r="J42" s="256">
        <f>OBRA!V41</f>
        <v>0</v>
      </c>
      <c r="K42" s="20"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2">
        <f>OBRA!S41</f>
        <v>41638</v>
      </c>
      <c r="T42" s="54"/>
      <c r="U42" s="248" t="s">
        <v>1431</v>
      </c>
      <c r="V42" s="111"/>
      <c r="W42" s="55"/>
      <c r="X42" s="305">
        <f>OBRA!AP41</f>
        <v>0</v>
      </c>
      <c r="Y42" s="341"/>
      <c r="Z42" s="341"/>
      <c r="AA42" s="5"/>
      <c r="AB42" s="351">
        <f>OBRA!BT41</f>
        <v>0</v>
      </c>
      <c r="AC42" s="569"/>
      <c r="AE42"/>
      <c r="AF42"/>
      <c r="AG42"/>
      <c r="AH42"/>
      <c r="AI42"/>
      <c r="AJ42"/>
      <c r="AK42"/>
      <c r="AL42"/>
    </row>
    <row r="43" spans="1:38" ht="45.75" hidden="1" customHeight="1">
      <c r="A43" s="23" t="s">
        <v>2239</v>
      </c>
      <c r="B43" s="933" t="str">
        <f>GRAL!B44</f>
        <v>2012-2015</v>
      </c>
      <c r="C43" s="17">
        <f>OBRA!I42</f>
        <v>2013</v>
      </c>
      <c r="D43" s="18" t="str">
        <f>OBRA!K42</f>
        <v>CUENTA CORRIENTE</v>
      </c>
      <c r="E43" s="525" t="s">
        <v>1431</v>
      </c>
      <c r="F43" s="390"/>
      <c r="G43" s="1"/>
      <c r="H43" s="390"/>
      <c r="I43" s="228" t="str">
        <f>OBRA!U42</f>
        <v>BRAILOGA CONSTRUCTORES S.A. DE C.V.</v>
      </c>
      <c r="J43" s="256" t="str">
        <f>OBRA!V42</f>
        <v>ING. RIGOBERTO OLMEDO RAMOS</v>
      </c>
      <c r="K43" s="20"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2">
        <f>OBRA!S42</f>
        <v>41394</v>
      </c>
      <c r="T43" s="54"/>
      <c r="U43" s="248" t="s">
        <v>1431</v>
      </c>
      <c r="V43" s="111"/>
      <c r="W43" s="55"/>
      <c r="X43" s="305">
        <f>OBRA!AP42</f>
        <v>0</v>
      </c>
      <c r="Y43" s="341"/>
      <c r="Z43" s="341"/>
      <c r="AA43" s="5"/>
      <c r="AB43" s="351">
        <f>OBRA!BT42</f>
        <v>0</v>
      </c>
      <c r="AC43" s="569"/>
      <c r="AE43"/>
      <c r="AF43"/>
      <c r="AG43"/>
      <c r="AH43"/>
      <c r="AI43"/>
      <c r="AJ43"/>
      <c r="AK43"/>
      <c r="AL43"/>
    </row>
    <row r="44" spans="1:38" s="326" customFormat="1" ht="75.75" hidden="1" customHeight="1">
      <c r="A44" s="336" t="s">
        <v>2239</v>
      </c>
      <c r="B44" s="981" t="str">
        <f>GRAL!B45</f>
        <v>2012-2015</v>
      </c>
      <c r="C44" s="315">
        <f>OBRA!I43</f>
        <v>2013</v>
      </c>
      <c r="D44" s="337" t="str">
        <f>OBRA!K43</f>
        <v>CUENTA CORRIENTE</v>
      </c>
      <c r="E44" s="535" t="s">
        <v>1431</v>
      </c>
      <c r="F44" s="391"/>
      <c r="G44" s="470"/>
      <c r="H44" s="391"/>
      <c r="I44" s="338" t="str">
        <f>OBRA!U43</f>
        <v>BRAILOGA CONSTRUCTORES S.A. DE C.V.</v>
      </c>
      <c r="J44" s="334" t="str">
        <f>OBRA!V43</f>
        <v>ING. LUIS JOEL HUERTA LOMA</v>
      </c>
      <c r="K44" s="317" t="str">
        <f>OBRA!L43</f>
        <v>GMJ 003C OP/2013</v>
      </c>
      <c r="L44" s="318" t="str">
        <f>OBRA!M43</f>
        <v>ADJUDICACIÓN DIRECTA</v>
      </c>
      <c r="M44" s="319" t="str">
        <f>OBRA!N43</f>
        <v>ELABORACION DE TOPES EN CARRETERA A CHAPALA Y BACHEO EN ASFALTO C. MORELOS ENTRE INDEPENDENCIA Y ALLENDE EN LA POBLACION DE LA CABECERA</v>
      </c>
      <c r="N44" s="319"/>
      <c r="O44" s="321">
        <f>OBRA!Q43</f>
        <v>41278</v>
      </c>
      <c r="P44" s="320">
        <f>OBRA!P43</f>
        <v>253692.08</v>
      </c>
      <c r="Q44" s="320"/>
      <c r="R44" s="322">
        <f>OBRA!R43</f>
        <v>41281</v>
      </c>
      <c r="S44" s="323">
        <f>OBRA!S43</f>
        <v>41286</v>
      </c>
      <c r="T44" s="982"/>
      <c r="U44" s="982" t="s">
        <v>1431</v>
      </c>
      <c r="V44" s="407"/>
      <c r="W44" s="404"/>
      <c r="X44" s="927">
        <f>OBRA!AP43</f>
        <v>0</v>
      </c>
      <c r="Y44" s="342"/>
      <c r="Z44" s="342"/>
      <c r="AA44" s="322"/>
      <c r="AB44" s="928">
        <f>OBRA!BT43</f>
        <v>0</v>
      </c>
      <c r="AC44" s="929"/>
    </row>
    <row r="45" spans="1:38" s="326" customFormat="1" ht="45.75" hidden="1" customHeight="1">
      <c r="A45" s="336" t="s">
        <v>2239</v>
      </c>
      <c r="B45" s="981" t="str">
        <f>GRAL!B46</f>
        <v>2012-2015</v>
      </c>
      <c r="C45" s="315">
        <f>OBRA!I44</f>
        <v>2013</v>
      </c>
      <c r="D45" s="337" t="str">
        <f>OBRA!K44</f>
        <v>CUENTA CORRIENTE</v>
      </c>
      <c r="E45" s="536" t="s">
        <v>1431</v>
      </c>
      <c r="F45" s="391"/>
      <c r="G45" s="470"/>
      <c r="H45" s="391"/>
      <c r="I45" s="338" t="str">
        <f>OBRA!U44</f>
        <v>BRAILOGA CONSTRUCTORES S.A. DE C.V.</v>
      </c>
      <c r="J45" s="334" t="str">
        <f>OBRA!V44</f>
        <v>ING. LUIS JOEL HUERTA LOMA</v>
      </c>
      <c r="K45" s="317" t="str">
        <f>OBRA!L44</f>
        <v>GMJ 004C OP/2013</v>
      </c>
      <c r="L45" s="318" t="str">
        <f>OBRA!M44</f>
        <v>ADJUDICACIÓN DIRECTA</v>
      </c>
      <c r="M45" s="319" t="str">
        <f>OBRA!N44</f>
        <v>BACHEO EN ASFALTO EN C. MORELOS ENTRE ALLENDE Y PEDRO MORENO EN LA POBLACION DE LA CABECERA</v>
      </c>
      <c r="N45" s="319"/>
      <c r="O45" s="321">
        <f>OBRA!Q44</f>
        <v>41278</v>
      </c>
      <c r="P45" s="320">
        <f>OBRA!P44</f>
        <v>213963.7</v>
      </c>
      <c r="Q45" s="320"/>
      <c r="R45" s="322">
        <f>OBRA!R44</f>
        <v>41281</v>
      </c>
      <c r="S45" s="323">
        <f>OBRA!S44</f>
        <v>41286</v>
      </c>
      <c r="T45" s="982"/>
      <c r="U45" s="982" t="s">
        <v>1431</v>
      </c>
      <c r="V45" s="407"/>
      <c r="W45" s="404"/>
      <c r="X45" s="927">
        <f>OBRA!AP44</f>
        <v>0</v>
      </c>
      <c r="Y45" s="342"/>
      <c r="Z45" s="342"/>
      <c r="AA45" s="322"/>
      <c r="AB45" s="928">
        <f>OBRA!BT44</f>
        <v>0</v>
      </c>
      <c r="AC45" s="929"/>
    </row>
    <row r="46" spans="1:38" s="326" customFormat="1" ht="210.75" hidden="1" customHeight="1">
      <c r="A46" s="336" t="s">
        <v>2239</v>
      </c>
      <c r="B46" s="981" t="str">
        <f>GRAL!B47</f>
        <v>2012-2015</v>
      </c>
      <c r="C46" s="315">
        <f>OBRA!I45</f>
        <v>2013</v>
      </c>
      <c r="D46" s="337" t="str">
        <f>OBRA!K45</f>
        <v>CUENTA CORRIENTE</v>
      </c>
      <c r="E46" s="536" t="s">
        <v>1431</v>
      </c>
      <c r="F46" s="391"/>
      <c r="G46" s="470"/>
      <c r="H46" s="391"/>
      <c r="I46" s="338" t="str">
        <f>OBRA!U45</f>
        <v>C. JOSÉ MIGUEL GARCIA VALLE</v>
      </c>
      <c r="J46" s="334" t="str">
        <f>OBRA!V45</f>
        <v>ING. ISER RANGEL REVILLA</v>
      </c>
      <c r="K46" s="317" t="str">
        <f>OBRA!L45</f>
        <v>GMJ 005C OP/2013</v>
      </c>
      <c r="L46" s="318" t="str">
        <f>OBRA!M45</f>
        <v>ADJUDICACIÓN DIRECTA</v>
      </c>
      <c r="M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OBRA!Q45</f>
        <v>41324</v>
      </c>
      <c r="P46" s="320">
        <f>OBRA!P45</f>
        <v>318104.90999999997</v>
      </c>
      <c r="Q46" s="320"/>
      <c r="R46" s="322">
        <f>OBRA!R45</f>
        <v>41324</v>
      </c>
      <c r="S46" s="323">
        <f>OBRA!S45</f>
        <v>41344</v>
      </c>
      <c r="T46" s="982"/>
      <c r="U46" s="982" t="s">
        <v>1431</v>
      </c>
      <c r="V46" s="407"/>
      <c r="W46" s="404"/>
      <c r="X46" s="927">
        <f>OBRA!AP45</f>
        <v>0</v>
      </c>
      <c r="Y46" s="342"/>
      <c r="Z46" s="342"/>
      <c r="AA46" s="322"/>
      <c r="AB46" s="928">
        <f>OBRA!BT45</f>
        <v>0</v>
      </c>
      <c r="AC46" s="929"/>
    </row>
    <row r="47" spans="1:38" ht="75.75" hidden="1" customHeight="1">
      <c r="A47" s="23" t="s">
        <v>2239</v>
      </c>
      <c r="B47" s="933" t="str">
        <f>GRAL!B48</f>
        <v>2012-2015</v>
      </c>
      <c r="C47" s="17">
        <f>OBRA!I46</f>
        <v>2013</v>
      </c>
      <c r="D47" s="18" t="str">
        <f>OBRA!K46</f>
        <v>CUENTA CORRIENTE</v>
      </c>
      <c r="E47" s="525" t="s">
        <v>1431</v>
      </c>
      <c r="F47" s="390"/>
      <c r="G47" s="1"/>
      <c r="H47" s="390"/>
      <c r="I47" s="228" t="str">
        <f>OBRA!U46</f>
        <v>BRAILOGA CONSTRUCTORES S.A. DE C.V.</v>
      </c>
      <c r="J47" s="256" t="str">
        <f>OBRA!V46</f>
        <v>ING. LUIS JOEL HUERTA LOMA</v>
      </c>
      <c r="K47" s="20"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2">
        <f>OBRA!S46</f>
        <v>41337</v>
      </c>
      <c r="T47" s="54"/>
      <c r="U47" s="248" t="s">
        <v>1431</v>
      </c>
      <c r="V47" s="111"/>
      <c r="W47" s="55"/>
      <c r="X47" s="305">
        <f>OBRA!AP46</f>
        <v>0</v>
      </c>
      <c r="Y47" s="341"/>
      <c r="Z47" s="341"/>
      <c r="AA47" s="5"/>
      <c r="AB47" s="351">
        <f>OBRA!BT46</f>
        <v>0</v>
      </c>
      <c r="AC47" s="569"/>
      <c r="AE47"/>
      <c r="AF47"/>
      <c r="AG47"/>
      <c r="AH47"/>
      <c r="AI47"/>
      <c r="AJ47"/>
      <c r="AK47"/>
      <c r="AL47"/>
    </row>
    <row r="48" spans="1:38" s="326" customFormat="1" ht="75.75" hidden="1" customHeight="1">
      <c r="A48" s="336" t="s">
        <v>2239</v>
      </c>
      <c r="B48" s="981" t="str">
        <f>GRAL!B49</f>
        <v>2012-2015</v>
      </c>
      <c r="C48" s="315">
        <f>OBRA!I47</f>
        <v>2013</v>
      </c>
      <c r="D48" s="337" t="str">
        <f>OBRA!K47</f>
        <v>CUENTA CORRIENTE</v>
      </c>
      <c r="E48" s="535" t="s">
        <v>1431</v>
      </c>
      <c r="F48" s="391"/>
      <c r="G48" s="470"/>
      <c r="H48" s="391"/>
      <c r="I48" s="338" t="str">
        <f>OBRA!U47</f>
        <v>C. JOSÉ MIGUEL GARCIA VALLE</v>
      </c>
      <c r="J48" s="334" t="str">
        <f>OBRA!V47</f>
        <v>ING. ISER RANGEL REVILLA</v>
      </c>
      <c r="K48" s="317" t="str">
        <f>OBRA!L47</f>
        <v>GMJ 007C OP/2013</v>
      </c>
      <c r="L48" s="318" t="str">
        <f>OBRA!M47</f>
        <v>ADJUDICACIÓN DIRECTA</v>
      </c>
      <c r="M48" s="319" t="str">
        <f>OBRA!N47</f>
        <v>BACHEO CON ASFALTO EN C. XOCHILT ENTRE CARRETERA CHAPALA-JOCOTEPEC Y CALLE CUAHUTEMOC, EN LA POBLACION CHANTEPEC EN EL MUNICIPIO DE JOCOTEPEC, JALISCO</v>
      </c>
      <c r="N48" s="319"/>
      <c r="O48" s="321">
        <f>OBRA!Q47</f>
        <v>41353</v>
      </c>
      <c r="P48" s="320">
        <f>OBRA!P47</f>
        <v>224365</v>
      </c>
      <c r="Q48" s="320"/>
      <c r="R48" s="322">
        <f>OBRA!R47</f>
        <v>41358</v>
      </c>
      <c r="S48" s="323">
        <f>OBRA!S47</f>
        <v>41378</v>
      </c>
      <c r="T48" s="982"/>
      <c r="U48" s="982" t="s">
        <v>1431</v>
      </c>
      <c r="V48" s="407"/>
      <c r="W48" s="404"/>
      <c r="X48" s="927">
        <f>OBRA!AP47</f>
        <v>0</v>
      </c>
      <c r="Y48" s="342"/>
      <c r="Z48" s="342"/>
      <c r="AA48" s="322"/>
      <c r="AB48" s="928">
        <f>OBRA!BT47</f>
        <v>0</v>
      </c>
      <c r="AC48" s="929"/>
    </row>
    <row r="49" spans="1:38" ht="60.75" hidden="1" customHeight="1">
      <c r="A49" s="23" t="s">
        <v>2239</v>
      </c>
      <c r="B49" s="933" t="str">
        <f>GRAL!B50</f>
        <v>2012-2015</v>
      </c>
      <c r="C49" s="17">
        <f>OBRA!I48</f>
        <v>2013</v>
      </c>
      <c r="D49" s="18" t="str">
        <f>OBRA!K48</f>
        <v>FOPEDEM</v>
      </c>
      <c r="E49" s="525"/>
      <c r="F49" s="390"/>
      <c r="G49" s="1"/>
      <c r="H49" s="390"/>
      <c r="I49" s="228" t="str">
        <f>OBRA!U48</f>
        <v>C. MIGUEL RAFAEL RODRIGUEZ ALLENDE</v>
      </c>
      <c r="J49" s="256" t="str">
        <f>OBRA!V48</f>
        <v>ARQ. JAIME CONDE GOMEZ</v>
      </c>
      <c r="K49" s="20"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2">
        <f>OBRA!S48</f>
        <v>41468</v>
      </c>
      <c r="T49" s="54"/>
      <c r="U49" s="248" t="s">
        <v>1431</v>
      </c>
      <c r="V49" s="111"/>
      <c r="W49" s="55"/>
      <c r="X49" s="305">
        <f>OBRA!AP48</f>
        <v>0</v>
      </c>
      <c r="Y49" s="341"/>
      <c r="Z49" s="341"/>
      <c r="AA49" s="5"/>
      <c r="AB49" s="351">
        <f>OBRA!BT48</f>
        <v>0</v>
      </c>
      <c r="AC49" s="569"/>
      <c r="AE49"/>
      <c r="AF49"/>
      <c r="AG49"/>
      <c r="AH49"/>
      <c r="AI49"/>
      <c r="AJ49"/>
      <c r="AK49"/>
      <c r="AL49"/>
    </row>
    <row r="50" spans="1:38" s="326" customFormat="1" ht="240.75" hidden="1" customHeight="1">
      <c r="A50" s="336" t="s">
        <v>2239</v>
      </c>
      <c r="B50" s="981" t="str">
        <f>GRAL!B51</f>
        <v>2012-2015</v>
      </c>
      <c r="C50" s="315">
        <f>OBRA!I49</f>
        <v>2013</v>
      </c>
      <c r="D50" s="337" t="str">
        <f>OBRA!K49</f>
        <v>CUENTA CORRIENTE</v>
      </c>
      <c r="E50" s="536" t="s">
        <v>1431</v>
      </c>
      <c r="F50" s="391"/>
      <c r="G50" s="470"/>
      <c r="H50" s="391"/>
      <c r="I50" s="338" t="str">
        <f>OBRA!U49</f>
        <v>C. JOSÉ MIGUEL GARCIA VALLE</v>
      </c>
      <c r="J50" s="334" t="str">
        <f>OBRA!V49</f>
        <v>ING. LUIS JOEL HUERTA LOMA</v>
      </c>
      <c r="K50" s="317" t="str">
        <f>OBRA!L49</f>
        <v>GMJ 009C OP/2013</v>
      </c>
      <c r="L50" s="318" t="str">
        <f>OBRA!M49</f>
        <v>ADJUDICACIÓN DIRECTA</v>
      </c>
      <c r="M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OBRA!Q49</f>
        <v>41402</v>
      </c>
      <c r="P50" s="320">
        <f>OBRA!P49</f>
        <v>572707.94999999995</v>
      </c>
      <c r="Q50" s="320"/>
      <c r="R50" s="322">
        <f>OBRA!R49</f>
        <v>41404</v>
      </c>
      <c r="S50" s="323">
        <f>OBRA!S49</f>
        <v>41424</v>
      </c>
      <c r="T50" s="982"/>
      <c r="U50" s="982" t="s">
        <v>1431</v>
      </c>
      <c r="V50" s="407"/>
      <c r="W50" s="404"/>
      <c r="X50" s="927">
        <f>OBRA!AP49</f>
        <v>0</v>
      </c>
      <c r="Y50" s="342"/>
      <c r="Z50" s="342"/>
      <c r="AA50" s="322"/>
      <c r="AB50" s="928">
        <f>OBRA!BT49</f>
        <v>0</v>
      </c>
      <c r="AC50" s="929"/>
    </row>
    <row r="51" spans="1:38" ht="60.75" hidden="1" customHeight="1">
      <c r="A51" s="23" t="s">
        <v>2239</v>
      </c>
      <c r="B51" s="933" t="str">
        <f>GRAL!B52</f>
        <v>2012-2015</v>
      </c>
      <c r="C51" s="17">
        <f>OBRA!I50</f>
        <v>2013</v>
      </c>
      <c r="D51" s="18" t="str">
        <f>OBRA!K50</f>
        <v>CUENTA CORRIENTE</v>
      </c>
      <c r="E51" s="536" t="s">
        <v>1431</v>
      </c>
      <c r="F51" s="390"/>
      <c r="G51" s="1"/>
      <c r="H51" s="390"/>
      <c r="I51" s="228" t="str">
        <f>OBRA!U50</f>
        <v>RAMPER DRILLINGS S.A. DE C.V.</v>
      </c>
      <c r="J51" s="256" t="str">
        <f>OBRA!V50</f>
        <v>C. DANIEL RODRIGUEZ VALENZUELA</v>
      </c>
      <c r="K51" s="20"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2">
        <f>OBRA!S50</f>
        <v>41466</v>
      </c>
      <c r="T51" s="54"/>
      <c r="U51" s="248" t="s">
        <v>1431</v>
      </c>
      <c r="V51" s="111"/>
      <c r="W51" s="55"/>
      <c r="X51" s="305">
        <f>OBRA!AP50</f>
        <v>0</v>
      </c>
      <c r="Y51" s="341"/>
      <c r="Z51" s="341"/>
      <c r="AA51" s="5"/>
      <c r="AB51" s="351">
        <f>OBRA!BT50</f>
        <v>0</v>
      </c>
      <c r="AC51" s="569"/>
      <c r="AE51"/>
      <c r="AF51"/>
      <c r="AG51"/>
      <c r="AH51"/>
      <c r="AI51"/>
      <c r="AJ51"/>
      <c r="AK51"/>
      <c r="AL51"/>
    </row>
    <row r="52" spans="1:38" s="326" customFormat="1" ht="45.75" hidden="1" customHeight="1">
      <c r="A52" s="336" t="s">
        <v>2239</v>
      </c>
      <c r="B52" s="981" t="str">
        <f>GRAL!B53</f>
        <v>2012-2015</v>
      </c>
      <c r="C52" s="315">
        <f>OBRA!I51</f>
        <v>2013</v>
      </c>
      <c r="D52" s="337" t="str">
        <f>OBRA!K51</f>
        <v>CUENTA CORRIENTE</v>
      </c>
      <c r="E52" s="535" t="s">
        <v>1431</v>
      </c>
      <c r="F52" s="391"/>
      <c r="G52" s="470"/>
      <c r="H52" s="391"/>
      <c r="I52" s="338" t="str">
        <f>OBRA!U51</f>
        <v>C. URIEL PALOS CUEVAS</v>
      </c>
      <c r="J52" s="334" t="str">
        <f>OBRA!V51</f>
        <v>C. DANIEL RODRIGUEZ VALENZUELA</v>
      </c>
      <c r="K52" s="317" t="str">
        <f>OBRA!L51</f>
        <v>GMJ 011C OP/2013</v>
      </c>
      <c r="L52" s="318" t="str">
        <f>OBRA!M51</f>
        <v>ADJUDICACIÓN DIRECTA</v>
      </c>
      <c r="M52" s="319" t="str">
        <f>OBRA!N51</f>
        <v>EMPEDRADO AHOGADO EN CEMENTO PRIVADA FRANCISCO I. MADERO, EN LA DELEGACION SAN JUAN COSALA</v>
      </c>
      <c r="N52" s="319"/>
      <c r="O52" s="321">
        <f>OBRA!Q51</f>
        <v>41404</v>
      </c>
      <c r="P52" s="320">
        <f>OBRA!P51</f>
        <v>97904</v>
      </c>
      <c r="Q52" s="320"/>
      <c r="R52" s="322">
        <f>OBRA!R51</f>
        <v>41407</v>
      </c>
      <c r="S52" s="323">
        <f>OBRA!S51</f>
        <v>41412</v>
      </c>
      <c r="T52" s="982"/>
      <c r="U52" s="982" t="s">
        <v>1431</v>
      </c>
      <c r="V52" s="407"/>
      <c r="W52" s="404"/>
      <c r="X52" s="927">
        <f>OBRA!AP51</f>
        <v>0</v>
      </c>
      <c r="Y52" s="342"/>
      <c r="Z52" s="342"/>
      <c r="AA52" s="322"/>
      <c r="AB52" s="928">
        <f>OBRA!BT51</f>
        <v>0</v>
      </c>
      <c r="AC52" s="929"/>
    </row>
    <row r="53" spans="1:38" s="326" customFormat="1" ht="60.75" hidden="1" customHeight="1">
      <c r="A53" s="336" t="s">
        <v>2239</v>
      </c>
      <c r="B53" s="981" t="str">
        <f>GRAL!B54</f>
        <v>2012-2015</v>
      </c>
      <c r="C53" s="315">
        <f>OBRA!I52</f>
        <v>2013</v>
      </c>
      <c r="D53" s="337" t="str">
        <f>OBRA!K52</f>
        <v>CUENTA CORRIENTE</v>
      </c>
      <c r="E53" s="536" t="s">
        <v>1431</v>
      </c>
      <c r="F53" s="391"/>
      <c r="G53" s="470"/>
      <c r="H53" s="391"/>
      <c r="I53" s="338" t="str">
        <f>OBRA!U52</f>
        <v>C. MIGUEL RAFAEL RODRIGUEZ ALLENDE</v>
      </c>
      <c r="J53" s="334" t="str">
        <f>OBRA!V52</f>
        <v>ARQ. JAIME CONDE GOMEZ</v>
      </c>
      <c r="K53" s="317" t="str">
        <f>OBRA!L52</f>
        <v>GMJ 012C OP/2013</v>
      </c>
      <c r="L53" s="318" t="str">
        <f>OBRA!M52</f>
        <v>ADJUDICACIÓN DIRECTA</v>
      </c>
      <c r="M53" s="319" t="str">
        <f>OBRA!N52</f>
        <v>COLOCACIÓN DE CARPETA ASFALTICA EN C. JUAREZ ENTRE C. ZARAAGOZA Y C. NIÑOS HEROES, EN LA CABECERA MUNICIPAL</v>
      </c>
      <c r="N53" s="319"/>
      <c r="O53" s="321">
        <f>OBRA!Q52</f>
        <v>41435</v>
      </c>
      <c r="P53" s="320">
        <f>OBRA!P52</f>
        <v>427449.56</v>
      </c>
      <c r="Q53" s="320"/>
      <c r="R53" s="322">
        <f>OBRA!R52</f>
        <v>41435</v>
      </c>
      <c r="S53" s="323">
        <f>OBRA!S52</f>
        <v>41453</v>
      </c>
      <c r="T53" s="982"/>
      <c r="U53" s="982" t="s">
        <v>1431</v>
      </c>
      <c r="V53" s="407"/>
      <c r="W53" s="404"/>
      <c r="X53" s="927">
        <f>OBRA!AP52</f>
        <v>0</v>
      </c>
      <c r="Y53" s="342"/>
      <c r="Z53" s="342"/>
      <c r="AA53" s="322"/>
      <c r="AB53" s="928">
        <f>OBRA!BT52</f>
        <v>0</v>
      </c>
      <c r="AC53" s="929"/>
    </row>
    <row r="54" spans="1:38" s="326" customFormat="1" ht="270.75" hidden="1" customHeight="1">
      <c r="A54" s="336" t="s">
        <v>2239</v>
      </c>
      <c r="B54" s="981" t="str">
        <f>GRAL!B55</f>
        <v>2012-2015</v>
      </c>
      <c r="C54" s="315">
        <f>OBRA!I53</f>
        <v>2013</v>
      </c>
      <c r="D54" s="337" t="str">
        <f>OBRA!K53</f>
        <v>CUENTA CORRIENTE</v>
      </c>
      <c r="E54" s="536" t="s">
        <v>1431</v>
      </c>
      <c r="F54" s="391"/>
      <c r="G54" s="470"/>
      <c r="H54" s="391"/>
      <c r="I54" s="338" t="str">
        <f>OBRA!U53</f>
        <v>BRAILOGA CONSTRUCTORES S.A. DE C.V.</v>
      </c>
      <c r="J54" s="334" t="str">
        <f>OBRA!V53</f>
        <v>ING. ISER RANGEL REVILLA</v>
      </c>
      <c r="K54" s="317" t="str">
        <f>OBRA!L53</f>
        <v>GMJ 016C OP/2013</v>
      </c>
      <c r="L54" s="318" t="str">
        <f>OBRA!M53</f>
        <v>ADJUDICACIÓN DIRECTA</v>
      </c>
      <c r="M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OBRA!Q53</f>
        <v>41516</v>
      </c>
      <c r="P54" s="320">
        <f>OBRA!P53</f>
        <v>418619.7</v>
      </c>
      <c r="Q54" s="320"/>
      <c r="R54" s="322">
        <f>OBRA!R53</f>
        <v>41519</v>
      </c>
      <c r="S54" s="323">
        <f>OBRA!S53</f>
        <v>41530</v>
      </c>
      <c r="T54" s="982"/>
      <c r="U54" s="982" t="s">
        <v>1431</v>
      </c>
      <c r="V54" s="407"/>
      <c r="W54" s="404"/>
      <c r="X54" s="927">
        <f>OBRA!AP53</f>
        <v>0</v>
      </c>
      <c r="Y54" s="342"/>
      <c r="Z54" s="342"/>
      <c r="AA54" s="322"/>
      <c r="AB54" s="928">
        <f>OBRA!BT53</f>
        <v>0</v>
      </c>
      <c r="AC54" s="929"/>
    </row>
    <row r="55" spans="1:38" ht="60.75" hidden="1" customHeight="1">
      <c r="A55" s="23" t="s">
        <v>2239</v>
      </c>
      <c r="B55" s="933" t="str">
        <f>GRAL!B56</f>
        <v>2012-2015</v>
      </c>
      <c r="C55" s="17">
        <f>OBRA!I54</f>
        <v>2013</v>
      </c>
      <c r="D55" s="18" t="str">
        <f>OBRA!K54</f>
        <v>CUENTA CORRIENTE</v>
      </c>
      <c r="E55" s="536" t="s">
        <v>1431</v>
      </c>
      <c r="F55" s="390"/>
      <c r="G55" s="1"/>
      <c r="H55" s="390"/>
      <c r="I55" s="228" t="str">
        <f>OBRA!U54</f>
        <v>-</v>
      </c>
      <c r="J55" s="256">
        <f>OBRA!V54</f>
        <v>0</v>
      </c>
      <c r="K55" s="20"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2">
        <f>OBRA!S54</f>
        <v>41479</v>
      </c>
      <c r="T55" s="54"/>
      <c r="U55" s="248" t="s">
        <v>1431</v>
      </c>
      <c r="V55" s="111"/>
      <c r="W55" s="55"/>
      <c r="X55" s="305">
        <f>OBRA!AP54</f>
        <v>0</v>
      </c>
      <c r="Y55" s="341"/>
      <c r="Z55" s="341"/>
      <c r="AA55" s="5"/>
      <c r="AB55" s="351">
        <f>OBRA!BT54</f>
        <v>0</v>
      </c>
      <c r="AC55" s="569"/>
      <c r="AE55"/>
      <c r="AF55"/>
      <c r="AG55"/>
      <c r="AH55"/>
      <c r="AI55"/>
      <c r="AJ55"/>
      <c r="AK55"/>
      <c r="AL55"/>
    </row>
    <row r="56" spans="1:38" ht="75.75" hidden="1" customHeight="1">
      <c r="A56" s="23" t="s">
        <v>2239</v>
      </c>
      <c r="B56" s="933" t="str">
        <f>GRAL!B57</f>
        <v>2012-2015</v>
      </c>
      <c r="C56" s="17">
        <f>OBRA!I55</f>
        <v>2013</v>
      </c>
      <c r="D56" s="18" t="str">
        <f>OBRA!K55</f>
        <v>3X1 PARA MIGRANTES</v>
      </c>
      <c r="E56" s="14"/>
      <c r="F56" s="390"/>
      <c r="G56" s="1"/>
      <c r="H56" s="390"/>
      <c r="I56" s="228" t="str">
        <f>OBRA!U55</f>
        <v>-</v>
      </c>
      <c r="J56" s="256">
        <f>OBRA!V55</f>
        <v>0</v>
      </c>
      <c r="K56" s="20"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2">
        <f>OBRA!S55</f>
        <v>41635</v>
      </c>
      <c r="T56" s="54"/>
      <c r="U56" s="248" t="s">
        <v>1431</v>
      </c>
      <c r="V56" s="111"/>
      <c r="W56" s="55"/>
      <c r="X56" s="305">
        <f>OBRA!AP55</f>
        <v>0</v>
      </c>
      <c r="Y56" s="341"/>
      <c r="Z56" s="341"/>
      <c r="AA56" s="5"/>
      <c r="AB56" s="351">
        <f>OBRA!BT55</f>
        <v>0</v>
      </c>
      <c r="AC56" s="569"/>
      <c r="AE56"/>
      <c r="AF56"/>
      <c r="AG56"/>
      <c r="AH56"/>
      <c r="AI56"/>
      <c r="AJ56"/>
      <c r="AK56"/>
      <c r="AL56"/>
    </row>
    <row r="57" spans="1:38" ht="105.75" hidden="1" customHeight="1">
      <c r="A57" s="23" t="s">
        <v>2239</v>
      </c>
      <c r="B57" s="933" t="str">
        <f>GRAL!B58</f>
        <v>2012-2015</v>
      </c>
      <c r="C57" s="17">
        <f>OBRA!I56</f>
        <v>2013</v>
      </c>
      <c r="D57" s="18" t="str">
        <f>OBRA!K56</f>
        <v>3X1 PARA MIGRANTES</v>
      </c>
      <c r="E57" s="525"/>
      <c r="F57" s="390"/>
      <c r="G57" s="1"/>
      <c r="H57" s="390"/>
      <c r="I57" s="228" t="str">
        <f>OBRA!U56</f>
        <v>-</v>
      </c>
      <c r="J57" s="256">
        <f>OBRA!V56</f>
        <v>0</v>
      </c>
      <c r="K57" s="20"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2">
        <f>OBRA!S56</f>
        <v>41638</v>
      </c>
      <c r="T57" s="54"/>
      <c r="U57" s="248" t="s">
        <v>1431</v>
      </c>
      <c r="V57" s="111"/>
      <c r="W57" s="55"/>
      <c r="X57" s="305">
        <f>OBRA!AP56</f>
        <v>0</v>
      </c>
      <c r="Y57" s="341"/>
      <c r="Z57" s="341"/>
      <c r="AA57" s="5"/>
      <c r="AB57" s="351">
        <f>OBRA!BT56</f>
        <v>0</v>
      </c>
      <c r="AC57" s="569"/>
      <c r="AE57"/>
      <c r="AF57"/>
      <c r="AG57"/>
      <c r="AH57"/>
      <c r="AI57"/>
      <c r="AJ57"/>
      <c r="AK57"/>
      <c r="AL57"/>
    </row>
    <row r="58" spans="1:38" s="326" customFormat="1" ht="75.75" hidden="1" customHeight="1">
      <c r="A58" s="336" t="s">
        <v>2239</v>
      </c>
      <c r="B58" s="981" t="str">
        <f>GRAL!B59</f>
        <v>2012-2015</v>
      </c>
      <c r="C58" s="315">
        <f>OBRA!I57</f>
        <v>2013</v>
      </c>
      <c r="D58" s="337" t="str">
        <f>OBRA!K57</f>
        <v>FISE</v>
      </c>
      <c r="E58" s="536"/>
      <c r="F58" s="391"/>
      <c r="G58" s="470"/>
      <c r="H58" s="391"/>
      <c r="I58" s="338" t="str">
        <f>OBRA!U57</f>
        <v>EQUIPO MANTENIMIENTO Y PLANEACION ELECTRICA S.A. DE C.V.</v>
      </c>
      <c r="J58" s="334">
        <f>OBRA!V57</f>
        <v>0</v>
      </c>
      <c r="K58" s="317" t="str">
        <f>OBRA!L57</f>
        <v>GMJ 024 OP/2013</v>
      </c>
      <c r="L58" s="318" t="str">
        <f>OBRA!M57</f>
        <v>ADJUDICACIÓN DIRECTA</v>
      </c>
      <c r="M58" s="319" t="str">
        <f>OBRA!N57</f>
        <v>PERFORACIÓN DE POZO PROFUNDO, EN EL PREDIO NO. 10 AL FINAL DE LA CALLE ALLENDE EN LA LOCALIDAD DE LAS TROJES</v>
      </c>
      <c r="N58" s="319"/>
      <c r="O58" s="321">
        <f>OBRA!Q57</f>
        <v>41516</v>
      </c>
      <c r="P58" s="320">
        <f>OBRA!P57</f>
        <v>667000</v>
      </c>
      <c r="Q58" s="320"/>
      <c r="R58" s="322">
        <f>OBRA!R57</f>
        <v>41638</v>
      </c>
      <c r="S58" s="323">
        <f>OBRA!S57</f>
        <v>41691</v>
      </c>
      <c r="T58" s="982"/>
      <c r="U58" s="982" t="s">
        <v>1431</v>
      </c>
      <c r="V58" s="407"/>
      <c r="W58" s="404"/>
      <c r="X58" s="927">
        <f>OBRA!AP57</f>
        <v>0</v>
      </c>
      <c r="Y58" s="342"/>
      <c r="Z58" s="342"/>
      <c r="AA58" s="322"/>
      <c r="AB58" s="928">
        <f>OBRA!BT57</f>
        <v>0</v>
      </c>
      <c r="AC58" s="929"/>
    </row>
    <row r="59" spans="1:38" s="110" customFormat="1" ht="90.75" hidden="1" customHeight="1">
      <c r="A59" s="87" t="s">
        <v>251</v>
      </c>
      <c r="B59" s="933" t="str">
        <f>GRAL!B60</f>
        <v>2012-2015</v>
      </c>
      <c r="C59" s="88">
        <f>OBRA!I58</f>
        <v>2013</v>
      </c>
      <c r="D59" s="103" t="str">
        <f>OBRA!K58</f>
        <v>FODIM</v>
      </c>
      <c r="E59" s="526"/>
      <c r="F59" s="392"/>
      <c r="G59" s="102"/>
      <c r="H59" s="392"/>
      <c r="I59" s="303">
        <f>OBRA!U58</f>
        <v>0</v>
      </c>
      <c r="J59" s="304">
        <f>OBRA!V58</f>
        <v>0</v>
      </c>
      <c r="K59" s="90">
        <f>OBRA!L58</f>
        <v>0</v>
      </c>
      <c r="L59" s="91" t="str">
        <f>OBRA!M58</f>
        <v>CANCELADA</v>
      </c>
      <c r="M59" s="132" t="str">
        <f>OBRA!N58</f>
        <v>FABRICACIÓN DE LOZA DE CONCRETO HIDRAULICO CON RENOVACIÓN DE REDES DE AGUA POTABLE Y RED DE DRENAJE EN CALLE MORELOS ENTRE C. NICOLAS BRAVO Y NIÑOS HEROES 1ERA ETAPA</v>
      </c>
      <c r="N59" s="132"/>
      <c r="O59" s="93" t="s">
        <v>68</v>
      </c>
      <c r="P59" s="4">
        <f>OBRA!P58</f>
        <v>0</v>
      </c>
      <c r="Q59" s="4"/>
      <c r="R59" s="94" t="s">
        <v>68</v>
      </c>
      <c r="S59" s="95" t="s">
        <v>68</v>
      </c>
      <c r="T59" s="107"/>
      <c r="U59" s="248" t="s">
        <v>1431</v>
      </c>
      <c r="V59" s="408"/>
      <c r="W59" s="97"/>
      <c r="X59" s="305">
        <f>OBRA!AP58</f>
        <v>0</v>
      </c>
      <c r="Y59" s="343"/>
      <c r="Z59" s="343"/>
      <c r="AA59" s="94"/>
      <c r="AB59" s="351">
        <f>OBRA!BT58</f>
        <v>0</v>
      </c>
      <c r="AC59" s="569"/>
    </row>
    <row r="60" spans="1:38" ht="105.75" hidden="1" customHeight="1">
      <c r="A60" s="23" t="s">
        <v>2239</v>
      </c>
      <c r="B60" s="933" t="str">
        <f>GRAL!B61</f>
        <v>2012-2015</v>
      </c>
      <c r="C60" s="17">
        <f>OBRA!I59</f>
        <v>2014</v>
      </c>
      <c r="D60" s="18" t="str">
        <f>OBRA!K59</f>
        <v>R33 - FODIM</v>
      </c>
      <c r="E60" s="525"/>
      <c r="F60" s="390"/>
      <c r="G60" s="1"/>
      <c r="H60" s="390"/>
      <c r="I60" s="228" t="str">
        <f>OBRA!U59</f>
        <v>JOSE LUIS RANGEL GALVEZ</v>
      </c>
      <c r="J60" s="256" t="str">
        <f>OBRA!V59</f>
        <v>C. DANIEL RODRIGUEZ VALENZUELA</v>
      </c>
      <c r="K60" s="20"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2">
        <f>OBRA!S59</f>
        <v>41783</v>
      </c>
      <c r="T60" s="54"/>
      <c r="U60" s="248" t="s">
        <v>1431</v>
      </c>
      <c r="V60" s="111"/>
      <c r="W60" s="55"/>
      <c r="X60" s="305">
        <f>OBRA!AP59</f>
        <v>0</v>
      </c>
      <c r="Y60" s="341"/>
      <c r="Z60" s="341"/>
      <c r="AA60" s="5"/>
      <c r="AB60" s="351">
        <f>OBRA!BT59</f>
        <v>0</v>
      </c>
      <c r="AC60" s="569"/>
      <c r="AE60"/>
      <c r="AF60"/>
      <c r="AG60"/>
      <c r="AH60"/>
      <c r="AI60"/>
      <c r="AJ60"/>
      <c r="AK60"/>
      <c r="AL60"/>
    </row>
    <row r="61" spans="1:38" ht="60.75" hidden="1" customHeight="1">
      <c r="A61" s="23" t="s">
        <v>2239</v>
      </c>
      <c r="B61" s="933" t="str">
        <f>GRAL!B62</f>
        <v>2012-2015</v>
      </c>
      <c r="C61" s="17">
        <f>OBRA!I60</f>
        <v>2014</v>
      </c>
      <c r="D61" s="18" t="str">
        <f>OBRA!K60</f>
        <v>RAMO 33</v>
      </c>
      <c r="E61" s="525" t="s">
        <v>1431</v>
      </c>
      <c r="F61" s="390"/>
      <c r="G61" s="1"/>
      <c r="H61" s="390"/>
      <c r="I61" s="228" t="str">
        <f>OBRA!U60</f>
        <v>HIDRAULICOS TRUJILLO S.A. DE C.V.</v>
      </c>
      <c r="J61" s="256" t="str">
        <f>OBRA!V60</f>
        <v>C. DANIEL RODRIGUEZ VALENZUELA</v>
      </c>
      <c r="K61" s="20"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2">
        <f>OBRA!S60</f>
        <v>41734</v>
      </c>
      <c r="T61" s="54"/>
      <c r="U61" s="248" t="s">
        <v>1431</v>
      </c>
      <c r="V61" s="111"/>
      <c r="W61" s="55"/>
      <c r="X61" s="305">
        <f>OBRA!AP60</f>
        <v>0</v>
      </c>
      <c r="Y61" s="341"/>
      <c r="Z61" s="341"/>
      <c r="AA61" s="5"/>
      <c r="AB61" s="351">
        <f>OBRA!BT60</f>
        <v>0</v>
      </c>
      <c r="AC61" s="569"/>
      <c r="AE61"/>
      <c r="AF61"/>
      <c r="AG61"/>
      <c r="AH61"/>
      <c r="AI61"/>
      <c r="AJ61"/>
      <c r="AK61"/>
      <c r="AL61"/>
    </row>
    <row r="62" spans="1:38" ht="30.75" hidden="1" customHeight="1">
      <c r="A62" s="23" t="s">
        <v>2239</v>
      </c>
      <c r="B62" s="933" t="str">
        <f>GRAL!B63</f>
        <v>2012-2015</v>
      </c>
      <c r="C62" s="17">
        <f>OBRA!I61</f>
        <v>2014</v>
      </c>
      <c r="D62" s="18" t="str">
        <f>OBRA!K61</f>
        <v>POA</v>
      </c>
      <c r="E62" s="525"/>
      <c r="F62" s="390"/>
      <c r="G62" s="1"/>
      <c r="H62" s="390"/>
      <c r="I62" s="228" t="str">
        <f>OBRA!U61</f>
        <v>-</v>
      </c>
      <c r="J62" s="256" t="str">
        <f>OBRA!V61</f>
        <v>ARQ. JAIME CONDE GOMEZ</v>
      </c>
      <c r="K62" s="20"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2">
        <f>OBRA!S61</f>
        <v>41789</v>
      </c>
      <c r="T62" s="54"/>
      <c r="U62" s="248" t="s">
        <v>1431</v>
      </c>
      <c r="V62" s="111"/>
      <c r="W62" s="55"/>
      <c r="X62" s="305">
        <f>OBRA!AP61</f>
        <v>0</v>
      </c>
      <c r="Y62" s="341"/>
      <c r="Z62" s="341"/>
      <c r="AA62" s="5"/>
      <c r="AB62" s="351">
        <f>OBRA!BT61</f>
        <v>0</v>
      </c>
      <c r="AC62" s="569"/>
      <c r="AE62"/>
      <c r="AF62"/>
      <c r="AG62"/>
      <c r="AH62"/>
      <c r="AI62"/>
      <c r="AJ62"/>
      <c r="AK62"/>
      <c r="AL62"/>
    </row>
    <row r="63" spans="1:38" ht="30.75" hidden="1" customHeight="1">
      <c r="A63" s="23" t="s">
        <v>2239</v>
      </c>
      <c r="B63" s="933" t="str">
        <f>GRAL!B64</f>
        <v>2012-2015</v>
      </c>
      <c r="C63" s="17">
        <f>OBRA!I62</f>
        <v>2014</v>
      </c>
      <c r="D63" s="18" t="str">
        <f>OBRA!K62</f>
        <v>POA</v>
      </c>
      <c r="E63" s="525"/>
      <c r="F63" s="390"/>
      <c r="G63" s="1"/>
      <c r="H63" s="390"/>
      <c r="I63" s="228" t="str">
        <f>OBRA!U62</f>
        <v>-</v>
      </c>
      <c r="J63" s="256" t="str">
        <f>OBRA!V62</f>
        <v>ARQ. JAIME CONDE GOMEZ</v>
      </c>
      <c r="K63" s="20"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2">
        <f>OBRA!S62</f>
        <v>41822</v>
      </c>
      <c r="T63" s="54"/>
      <c r="U63" s="248" t="s">
        <v>1431</v>
      </c>
      <c r="V63" s="111"/>
      <c r="W63" s="55"/>
      <c r="X63" s="305">
        <f>OBRA!AP62</f>
        <v>0</v>
      </c>
      <c r="Y63" s="341"/>
      <c r="Z63" s="341"/>
      <c r="AA63" s="5"/>
      <c r="AB63" s="351">
        <f>OBRA!BT62</f>
        <v>0</v>
      </c>
      <c r="AC63" s="569"/>
      <c r="AE63"/>
      <c r="AF63"/>
      <c r="AG63"/>
      <c r="AH63"/>
      <c r="AI63"/>
      <c r="AJ63"/>
      <c r="AK63"/>
      <c r="AL63"/>
    </row>
    <row r="64" spans="1:38" ht="45.75" hidden="1" customHeight="1">
      <c r="A64" s="23" t="s">
        <v>2239</v>
      </c>
      <c r="B64" s="933" t="str">
        <f>GRAL!B65</f>
        <v>2012-2015</v>
      </c>
      <c r="C64" s="17">
        <f>OBRA!I63</f>
        <v>2014</v>
      </c>
      <c r="D64" s="18" t="str">
        <f>OBRA!K63</f>
        <v>CUENTA CORRIENTE</v>
      </c>
      <c r="E64" s="525" t="s">
        <v>1431</v>
      </c>
      <c r="F64" s="390"/>
      <c r="G64" s="1"/>
      <c r="H64" s="390"/>
      <c r="I64" s="228" t="str">
        <f>OBRA!U63</f>
        <v>-</v>
      </c>
      <c r="J64" s="256" t="str">
        <f>OBRA!V63</f>
        <v>ARQ. JAIME CONDE GOMEZ</v>
      </c>
      <c r="K64" s="20"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2">
        <f>OBRA!S63</f>
        <v>41789</v>
      </c>
      <c r="T64" s="54"/>
      <c r="U64" s="248" t="s">
        <v>1431</v>
      </c>
      <c r="V64" s="111"/>
      <c r="W64" s="55"/>
      <c r="X64" s="305">
        <f>OBRA!AP63</f>
        <v>0</v>
      </c>
      <c r="Y64" s="341"/>
      <c r="Z64" s="341"/>
      <c r="AA64" s="5"/>
      <c r="AB64" s="351">
        <f>OBRA!BT63</f>
        <v>0</v>
      </c>
      <c r="AC64" s="569"/>
      <c r="AE64"/>
      <c r="AF64"/>
      <c r="AG64"/>
      <c r="AH64"/>
      <c r="AI64"/>
      <c r="AJ64"/>
      <c r="AK64"/>
      <c r="AL64"/>
    </row>
    <row r="65" spans="1:38" s="110" customFormat="1" ht="90.75" hidden="1" customHeight="1">
      <c r="A65" s="87" t="s">
        <v>2239</v>
      </c>
      <c r="B65" s="946" t="str">
        <f>GRAL!B66</f>
        <v>2012-2015</v>
      </c>
      <c r="C65" s="88">
        <f>OBRA!I64</f>
        <v>2014</v>
      </c>
      <c r="D65" s="103" t="str">
        <f>OBRA!K64</f>
        <v>RAMO 33</v>
      </c>
      <c r="E65" s="108" t="s">
        <v>1431</v>
      </c>
      <c r="F65" s="392"/>
      <c r="G65" s="102"/>
      <c r="H65" s="392"/>
      <c r="I65" s="303" t="str">
        <f>OBRA!U64</f>
        <v>-</v>
      </c>
      <c r="J65" s="304" t="str">
        <f>OBRA!V64</f>
        <v>ING. RIGOBERTO OLMEDO RAMOS</v>
      </c>
      <c r="K65" s="955" t="str">
        <f>OBRA!L64</f>
        <v>DOP/AD/009/2014</v>
      </c>
      <c r="L65" s="203" t="str">
        <f>OBRA!M64</f>
        <v>CANCELADA</v>
      </c>
      <c r="M65" s="112" t="str">
        <f>OBRA!N64</f>
        <v>REHABILITACIÓN DE RED DE AGUA POTABLE EN C. NIÑOS HEROES DE C. HIDALGO HASTA LA ESCUELA TELESECUNDARIA NIÑOS HEROES, EN LA AGENCIA MUNICIPAL DE "EL MOLINO"</v>
      </c>
      <c r="N65" s="132"/>
      <c r="O65" s="93">
        <f>OBRA!Q64</f>
        <v>41859</v>
      </c>
      <c r="P65" s="92">
        <f>OBRA!P64</f>
        <v>48856.42</v>
      </c>
      <c r="Q65" s="92"/>
      <c r="R65" s="94">
        <f>OBRA!R64</f>
        <v>41862</v>
      </c>
      <c r="S65" s="95">
        <f>OBRA!S64</f>
        <v>41874</v>
      </c>
      <c r="T65" s="107"/>
      <c r="U65" s="107" t="s">
        <v>1431</v>
      </c>
      <c r="V65" s="408"/>
      <c r="W65" s="97"/>
      <c r="X65" s="947">
        <f>OBRA!AP64</f>
        <v>0</v>
      </c>
      <c r="Y65" s="343"/>
      <c r="Z65" s="343"/>
      <c r="AA65" s="94"/>
      <c r="AB65" s="511">
        <f>OBRA!BT64</f>
        <v>0</v>
      </c>
      <c r="AC65" s="570"/>
    </row>
    <row r="66" spans="1:38" s="110" customFormat="1" ht="75.75" hidden="1" customHeight="1">
      <c r="A66" s="87" t="s">
        <v>2239</v>
      </c>
      <c r="B66" s="946" t="str">
        <f>GRAL!B67</f>
        <v>2012-2015</v>
      </c>
      <c r="C66" s="88">
        <f>OBRA!I65</f>
        <v>2014</v>
      </c>
      <c r="D66" s="103" t="str">
        <f>OBRA!K65</f>
        <v>RAMO 33</v>
      </c>
      <c r="E66" s="526" t="s">
        <v>1431</v>
      </c>
      <c r="F66" s="392"/>
      <c r="G66" s="102"/>
      <c r="H66" s="392"/>
      <c r="I66" s="303" t="str">
        <f>OBRA!U65</f>
        <v>-</v>
      </c>
      <c r="J66" s="304" t="str">
        <f>OBRA!V65</f>
        <v>ING. RIGOBERTO OLMEDO RAMOS</v>
      </c>
      <c r="K66" s="955" t="str">
        <f>OBRA!L65</f>
        <v>DOP/AD/006/2014</v>
      </c>
      <c r="L66" s="203" t="str">
        <f>OBRA!M65</f>
        <v>CANCELADA</v>
      </c>
      <c r="M66" s="112" t="str">
        <f>OBRA!N65</f>
        <v>REHABILITACIÓN DE RED DE AGUA POTABLE EN C. HIDALGO DE C. NIÑOS HEROES HASTA ESCUELA J. VICENTE NEGRETE, EN LA AGENCIA MUNICIPAL DE "EL MOLINO"</v>
      </c>
      <c r="N66" s="132"/>
      <c r="O66" s="93">
        <f>OBRA!Q65</f>
        <v>41831</v>
      </c>
      <c r="P66" s="92">
        <f>OBRA!P65</f>
        <v>75328.27</v>
      </c>
      <c r="Q66" s="92"/>
      <c r="R66" s="94">
        <f>OBRA!R65</f>
        <v>41834</v>
      </c>
      <c r="S66" s="95">
        <f>OBRA!S65</f>
        <v>41846</v>
      </c>
      <c r="T66" s="107"/>
      <c r="U66" s="107" t="s">
        <v>1431</v>
      </c>
      <c r="V66" s="408"/>
      <c r="W66" s="97"/>
      <c r="X66" s="947">
        <f>OBRA!AP65</f>
        <v>0</v>
      </c>
      <c r="Y66" s="343"/>
      <c r="Z66" s="343"/>
      <c r="AA66" s="94"/>
      <c r="AB66" s="511">
        <f>OBRA!BT65</f>
        <v>0</v>
      </c>
      <c r="AC66" s="570"/>
    </row>
    <row r="67" spans="1:38" s="110" customFormat="1" ht="75.75" hidden="1" customHeight="1">
      <c r="A67" s="87" t="s">
        <v>2239</v>
      </c>
      <c r="B67" s="946" t="str">
        <f>GRAL!B68</f>
        <v>2012-2015</v>
      </c>
      <c r="C67" s="88">
        <f>OBRA!I66</f>
        <v>2014</v>
      </c>
      <c r="D67" s="103" t="str">
        <f>OBRA!K66</f>
        <v>RAMO 33</v>
      </c>
      <c r="E67" s="526" t="s">
        <v>1431</v>
      </c>
      <c r="F67" s="392"/>
      <c r="G67" s="102"/>
      <c r="H67" s="392"/>
      <c r="I67" s="303" t="str">
        <f>OBRA!U66</f>
        <v>-</v>
      </c>
      <c r="J67" s="304" t="str">
        <f>OBRA!V66</f>
        <v>ING. RIGOBERTO OLMEDO RAMOS</v>
      </c>
      <c r="K67" s="955" t="str">
        <f>OBRA!L66</f>
        <v>DOP/AD/005/2014</v>
      </c>
      <c r="L67" s="203" t="str">
        <f>OBRA!M66</f>
        <v>CANCELADA</v>
      </c>
      <c r="M67" s="112" t="str">
        <f>OBRA!N66</f>
        <v>REHABILITACIÓN DE RED DE DRENAJE EN C. HIDALGO DE C. NIÑOS HEROES HASTA ESCUELA J. VICENTE NEGRETE, EN LA AGENCIA MUNICIPAL DE "EL MOLINO"</v>
      </c>
      <c r="N67" s="132"/>
      <c r="O67" s="93">
        <f>OBRA!Q66</f>
        <v>41817</v>
      </c>
      <c r="P67" s="92">
        <f>OBRA!P66</f>
        <v>109593.60000000001</v>
      </c>
      <c r="Q67" s="92"/>
      <c r="R67" s="94">
        <f>OBRA!R66</f>
        <v>41821</v>
      </c>
      <c r="S67" s="95">
        <f>OBRA!S66</f>
        <v>41834</v>
      </c>
      <c r="T67" s="107"/>
      <c r="U67" s="107" t="s">
        <v>1431</v>
      </c>
      <c r="V67" s="408"/>
      <c r="W67" s="97"/>
      <c r="X67" s="947">
        <f>OBRA!AP66</f>
        <v>0</v>
      </c>
      <c r="Y67" s="343"/>
      <c r="Z67" s="343"/>
      <c r="AA67" s="94"/>
      <c r="AB67" s="511">
        <f>OBRA!BT66</f>
        <v>0</v>
      </c>
      <c r="AC67" s="570"/>
    </row>
    <row r="68" spans="1:38" s="110" customFormat="1" ht="75.75" hidden="1" customHeight="1">
      <c r="A68" s="87" t="s">
        <v>2239</v>
      </c>
      <c r="B68" s="946" t="str">
        <f>GRAL!B69</f>
        <v>2012-2015</v>
      </c>
      <c r="C68" s="88">
        <f>OBRA!I67</f>
        <v>2014</v>
      </c>
      <c r="D68" s="103" t="str">
        <f>OBRA!K67</f>
        <v>RAMO 33</v>
      </c>
      <c r="E68" s="526" t="s">
        <v>1431</v>
      </c>
      <c r="F68" s="392"/>
      <c r="G68" s="102"/>
      <c r="H68" s="392"/>
      <c r="I68" s="303" t="str">
        <f>OBRA!U67</f>
        <v>-</v>
      </c>
      <c r="J68" s="304" t="str">
        <f>OBRA!V67</f>
        <v>ING. RIGOBERTO OLMEDO RAMOS</v>
      </c>
      <c r="K68" s="955" t="str">
        <f>OBRA!L67</f>
        <v>DOP/AD/008/2014</v>
      </c>
      <c r="L68" s="203" t="str">
        <f>OBRA!M67</f>
        <v>CANCELADA</v>
      </c>
      <c r="M68" s="112" t="str">
        <f>OBRA!N67</f>
        <v>REHABILITACIÓN DE RED DE DRENAJE EN C. NIÑOS HEROES DE C. HIDALGO HASTA LA ESCUELA TELESECUNDARIA NIÑOS HEROES, EN LA AGENCIA MUNICIPAL DE "EL MOLINO"</v>
      </c>
      <c r="N68" s="132"/>
      <c r="O68" s="93">
        <f>OBRA!Q67</f>
        <v>41845</v>
      </c>
      <c r="P68" s="92">
        <f>OBRA!P67</f>
        <v>56400.28</v>
      </c>
      <c r="Q68" s="92"/>
      <c r="R68" s="94">
        <f>OBRA!R67</f>
        <v>41848</v>
      </c>
      <c r="S68" s="95">
        <f>OBRA!S67</f>
        <v>41860</v>
      </c>
      <c r="T68" s="107"/>
      <c r="U68" s="107" t="s">
        <v>1431</v>
      </c>
      <c r="V68" s="408"/>
      <c r="W68" s="97"/>
      <c r="X68" s="947">
        <f>OBRA!AP67</f>
        <v>0</v>
      </c>
      <c r="Y68" s="343"/>
      <c r="Z68" s="343"/>
      <c r="AA68" s="94"/>
      <c r="AB68" s="511">
        <f>OBRA!BT67</f>
        <v>0</v>
      </c>
      <c r="AC68" s="570"/>
    </row>
    <row r="69" spans="1:38" s="110" customFormat="1" ht="75.75" hidden="1" customHeight="1">
      <c r="A69" s="87" t="s">
        <v>2239</v>
      </c>
      <c r="B69" s="946" t="str">
        <f>GRAL!B70</f>
        <v>2012-2015</v>
      </c>
      <c r="C69" s="88">
        <f>OBRA!I68</f>
        <v>2014</v>
      </c>
      <c r="D69" s="103" t="str">
        <f>OBRA!K68</f>
        <v>RAMO 33</v>
      </c>
      <c r="E69" s="526" t="s">
        <v>1431</v>
      </c>
      <c r="F69" s="392"/>
      <c r="G69" s="102"/>
      <c r="H69" s="392"/>
      <c r="I69" s="303" t="str">
        <f>OBRA!U68</f>
        <v>-</v>
      </c>
      <c r="J69" s="304" t="str">
        <f>OBRA!V68</f>
        <v>ING. RIGOBERTO OLMEDO RAMOS</v>
      </c>
      <c r="K69" s="955" t="str">
        <f>OBRA!L68</f>
        <v>DOP/AD/007/2014</v>
      </c>
      <c r="L69" s="203" t="str">
        <f>OBRA!M68</f>
        <v>CANCELADA</v>
      </c>
      <c r="M69" s="112" t="str">
        <f>OBRA!N68</f>
        <v>EMPEDRADO AHOGADO EN CEMENTO C. HIDALGO DE C. NIÑOS HEROES HASTA ESCUELA J. VICENTE NEGRETE, EN LA AGENCIA MUNICIPAL DE "EL MOLINO"</v>
      </c>
      <c r="N69" s="132"/>
      <c r="O69" s="93">
        <f>OBRA!Q68</f>
        <v>41831</v>
      </c>
      <c r="P69" s="92">
        <f>OBRA!P68</f>
        <v>592587.04</v>
      </c>
      <c r="Q69" s="92"/>
      <c r="R69" s="94">
        <f>OBRA!R68</f>
        <v>41848</v>
      </c>
      <c r="S69" s="95">
        <f>OBRA!S68</f>
        <v>41874</v>
      </c>
      <c r="T69" s="107"/>
      <c r="U69" s="107" t="s">
        <v>1431</v>
      </c>
      <c r="V69" s="408"/>
      <c r="W69" s="97"/>
      <c r="X69" s="947">
        <f>OBRA!AP68</f>
        <v>0</v>
      </c>
      <c r="Y69" s="343"/>
      <c r="Z69" s="343"/>
      <c r="AA69" s="94"/>
      <c r="AB69" s="511">
        <f>OBRA!BT68</f>
        <v>0</v>
      </c>
      <c r="AC69" s="570"/>
    </row>
    <row r="70" spans="1:38" s="110" customFormat="1" ht="75.75" hidden="1" customHeight="1">
      <c r="A70" s="87" t="s">
        <v>2239</v>
      </c>
      <c r="B70" s="946" t="str">
        <f>GRAL!B71</f>
        <v>2012-2015</v>
      </c>
      <c r="C70" s="88">
        <f>OBRA!I69</f>
        <v>2014</v>
      </c>
      <c r="D70" s="103" t="str">
        <f>OBRA!K69</f>
        <v>RAMO 33</v>
      </c>
      <c r="E70" s="526" t="s">
        <v>1431</v>
      </c>
      <c r="F70" s="392"/>
      <c r="G70" s="102"/>
      <c r="H70" s="392"/>
      <c r="I70" s="303" t="str">
        <f>OBRA!U69</f>
        <v>-</v>
      </c>
      <c r="J70" s="304" t="str">
        <f>OBRA!V69</f>
        <v>ING. RIGOBERTO OLMEDO RAMOS</v>
      </c>
      <c r="K70" s="955" t="str">
        <f>OBRA!L69</f>
        <v>DOP/AD/010/2014</v>
      </c>
      <c r="L70" s="203" t="str">
        <f>OBRA!M69</f>
        <v>CANCELADA</v>
      </c>
      <c r="M70" s="112" t="str">
        <f>OBRA!N69</f>
        <v>EMPEDRADO AHOGADO EN CEMENTO C. NIÑOS HEROES DE C. HIDALGO HASTA LA ESCUELA TELESECUNDARIA NIÑOS HEROES, EN LA AGENCIA MUNICIPAL DE "EL MOLINO"</v>
      </c>
      <c r="N70" s="132"/>
      <c r="O70" s="93">
        <f>OBRA!Q69</f>
        <v>41873</v>
      </c>
      <c r="P70" s="92">
        <f>OBRA!P69</f>
        <v>346618.19</v>
      </c>
      <c r="Q70" s="92"/>
      <c r="R70" s="94">
        <f>OBRA!R69</f>
        <v>41876</v>
      </c>
      <c r="S70" s="95">
        <f>OBRA!S69</f>
        <v>41902</v>
      </c>
      <c r="T70" s="107"/>
      <c r="U70" s="107" t="s">
        <v>1431</v>
      </c>
      <c r="V70" s="408"/>
      <c r="W70" s="97"/>
      <c r="X70" s="947">
        <f>OBRA!AP69</f>
        <v>0</v>
      </c>
      <c r="Y70" s="343"/>
      <c r="Z70" s="343"/>
      <c r="AA70" s="94"/>
      <c r="AB70" s="511">
        <f>OBRA!BT69</f>
        <v>0</v>
      </c>
      <c r="AC70" s="570"/>
    </row>
    <row r="71" spans="1:38" s="110" customFormat="1" ht="75.75" hidden="1" customHeight="1">
      <c r="A71" s="87" t="s">
        <v>2239</v>
      </c>
      <c r="B71" s="946" t="str">
        <f>GRAL!B72</f>
        <v>2012-2015</v>
      </c>
      <c r="C71" s="88">
        <f>OBRA!I70</f>
        <v>2014</v>
      </c>
      <c r="D71" s="103" t="str">
        <f>OBRA!K70</f>
        <v>RAMO 33</v>
      </c>
      <c r="E71" s="526" t="s">
        <v>1431</v>
      </c>
      <c r="F71" s="392"/>
      <c r="G71" s="102"/>
      <c r="H71" s="392"/>
      <c r="I71" s="303" t="str">
        <f>OBRA!U70</f>
        <v>-</v>
      </c>
      <c r="J71" s="304" t="str">
        <f>OBRA!V70</f>
        <v>ING. RIGOBERTO OLMEDO RAMOS</v>
      </c>
      <c r="K71" s="955" t="str">
        <f>OBRA!L70</f>
        <v>DOP/AD/012/2014</v>
      </c>
      <c r="L71" s="203" t="str">
        <f>OBRA!M70</f>
        <v>CANCELADA</v>
      </c>
      <c r="M71" s="112" t="str">
        <f>OBRA!N70</f>
        <v>REHABILITACIÓN DE RED DE AGUA POTABLE EN C. VICENTE SUAREZ ENTRE C. INDEPENDENCIA Y NIÑOS HEROES, EN LA AGENCIA MUNICIPAL DE "EL MOLINO"</v>
      </c>
      <c r="N71" s="132"/>
      <c r="O71" s="93">
        <f>OBRA!Q70</f>
        <v>41887</v>
      </c>
      <c r="P71" s="92">
        <f>OBRA!P70</f>
        <v>100696.44</v>
      </c>
      <c r="Q71" s="92"/>
      <c r="R71" s="94">
        <f>OBRA!R70</f>
        <v>41890</v>
      </c>
      <c r="S71" s="95">
        <f>OBRA!S70</f>
        <v>41902</v>
      </c>
      <c r="T71" s="107"/>
      <c r="U71" s="107" t="s">
        <v>1431</v>
      </c>
      <c r="V71" s="408"/>
      <c r="W71" s="97"/>
      <c r="X71" s="947">
        <f>OBRA!AP70</f>
        <v>0</v>
      </c>
      <c r="Y71" s="343"/>
      <c r="Z71" s="343"/>
      <c r="AA71" s="94"/>
      <c r="AB71" s="511">
        <f>OBRA!BT70</f>
        <v>0</v>
      </c>
      <c r="AC71" s="570"/>
    </row>
    <row r="72" spans="1:38" s="110" customFormat="1" ht="75.75" hidden="1" customHeight="1">
      <c r="A72" s="87" t="s">
        <v>2239</v>
      </c>
      <c r="B72" s="946" t="str">
        <f>GRAL!B73</f>
        <v>2012-2015</v>
      </c>
      <c r="C72" s="88">
        <f>OBRA!I71</f>
        <v>2014</v>
      </c>
      <c r="D72" s="103" t="str">
        <f>OBRA!K71</f>
        <v>RAMO 33</v>
      </c>
      <c r="E72" s="108" t="s">
        <v>1431</v>
      </c>
      <c r="F72" s="392"/>
      <c r="G72" s="102"/>
      <c r="H72" s="392"/>
      <c r="I72" s="303" t="str">
        <f>OBRA!U71</f>
        <v>-</v>
      </c>
      <c r="J72" s="304" t="str">
        <f>OBRA!V71</f>
        <v>ING. RIGOBERTO OLMEDO RAMOS</v>
      </c>
      <c r="K72" s="955" t="str">
        <f>OBRA!L71</f>
        <v>DOP/AD/011/2014</v>
      </c>
      <c r="L72" s="203" t="str">
        <f>OBRA!M71</f>
        <v>CANCELADA</v>
      </c>
      <c r="M72" s="112" t="str">
        <f>OBRA!N71</f>
        <v>REHABILITACIÓN DE RED DE DRENAJE EN C. VICENTE SUAREZ ENTRE C. INDEPENDENCIA Y NIÑOS HEROES, EN LA AGENCIA MUNICIPAL DE "EL MOLINO"</v>
      </c>
      <c r="N72" s="132"/>
      <c r="O72" s="93">
        <f>OBRA!Q71</f>
        <v>41873</v>
      </c>
      <c r="P72" s="92">
        <f>OBRA!P71</f>
        <v>129939.7</v>
      </c>
      <c r="Q72" s="92"/>
      <c r="R72" s="94">
        <f>OBRA!R71</f>
        <v>41876</v>
      </c>
      <c r="S72" s="95">
        <f>OBRA!S71</f>
        <v>41888</v>
      </c>
      <c r="T72" s="107"/>
      <c r="U72" s="107" t="s">
        <v>1431</v>
      </c>
      <c r="V72" s="408"/>
      <c r="W72" s="97"/>
      <c r="X72" s="947">
        <f>OBRA!AP71</f>
        <v>0</v>
      </c>
      <c r="Y72" s="343"/>
      <c r="Z72" s="343"/>
      <c r="AA72" s="94"/>
      <c r="AB72" s="511">
        <f>OBRA!BT71</f>
        <v>0</v>
      </c>
      <c r="AC72" s="570"/>
    </row>
    <row r="73" spans="1:38" s="110" customFormat="1" ht="75.75" hidden="1" customHeight="1">
      <c r="A73" s="87" t="s">
        <v>2239</v>
      </c>
      <c r="B73" s="946" t="str">
        <f>GRAL!B74</f>
        <v>2012-2015</v>
      </c>
      <c r="C73" s="88">
        <f>OBRA!I72</f>
        <v>2014</v>
      </c>
      <c r="D73" s="103" t="str">
        <f>OBRA!K72</f>
        <v>RAMO 33</v>
      </c>
      <c r="E73" s="526" t="s">
        <v>1431</v>
      </c>
      <c r="F73" s="392"/>
      <c r="G73" s="102"/>
      <c r="H73" s="392"/>
      <c r="I73" s="303" t="str">
        <f>OBRA!U72</f>
        <v>-</v>
      </c>
      <c r="J73" s="304" t="str">
        <f>OBRA!V72</f>
        <v>ING. RIGOBERTO OLMEDO RAMOS</v>
      </c>
      <c r="K73" s="955" t="str">
        <f>OBRA!L72</f>
        <v>DOP/AD/013/2014</v>
      </c>
      <c r="L73" s="203" t="str">
        <f>OBRA!M72</f>
        <v>CANCELADA</v>
      </c>
      <c r="M73" s="112" t="str">
        <f>OBRA!N72</f>
        <v>EMPEDRADO AHOGADO EN CEMENTO C. VICENTE SUAREZ ENTRE C. INDEPENDENCIA Y NIÑOS HEROES, EN LA AGENCIA MUNICIPAL DE "EL MOLINO"</v>
      </c>
      <c r="N73" s="132"/>
      <c r="O73" s="93">
        <f>OBRA!Q72</f>
        <v>41901</v>
      </c>
      <c r="P73" s="92">
        <f>OBRA!P72</f>
        <v>659302.69999999995</v>
      </c>
      <c r="Q73" s="92"/>
      <c r="R73" s="94">
        <f>OBRA!R72</f>
        <v>41904</v>
      </c>
      <c r="S73" s="95">
        <f>OBRA!S72</f>
        <v>41930</v>
      </c>
      <c r="T73" s="107"/>
      <c r="U73" s="107" t="s">
        <v>1431</v>
      </c>
      <c r="V73" s="408"/>
      <c r="W73" s="97"/>
      <c r="X73" s="947">
        <f>OBRA!AP72</f>
        <v>0</v>
      </c>
      <c r="Y73" s="343"/>
      <c r="Z73" s="343"/>
      <c r="AA73" s="94"/>
      <c r="AB73" s="511">
        <f>OBRA!BT72</f>
        <v>0</v>
      </c>
      <c r="AC73" s="570"/>
    </row>
    <row r="74" spans="1:38" ht="105.75" hidden="1" customHeight="1">
      <c r="A74" s="23" t="s">
        <v>2239</v>
      </c>
      <c r="B74" s="933" t="str">
        <f>GRAL!B75</f>
        <v>2012-2015</v>
      </c>
      <c r="C74" s="17">
        <f>OBRA!I73</f>
        <v>2014</v>
      </c>
      <c r="D74" s="18" t="str">
        <f>OBRA!K73</f>
        <v>FONDEREG</v>
      </c>
      <c r="E74" s="525"/>
      <c r="F74" s="390"/>
      <c r="G74" s="1"/>
      <c r="H74" s="390"/>
      <c r="I74" s="228" t="str">
        <f>OBRA!U73</f>
        <v>C. URIEL PALOS CUEVAS</v>
      </c>
      <c r="J74" s="256" t="str">
        <f>OBRA!V73</f>
        <v>C. DANIEL RODRIGUEZ VALENZUELA</v>
      </c>
      <c r="K74" s="20"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2">
        <f>OBRA!S73</f>
        <v>41884</v>
      </c>
      <c r="T74" s="54"/>
      <c r="U74" s="248" t="s">
        <v>1431</v>
      </c>
      <c r="V74" s="111"/>
      <c r="W74" s="55"/>
      <c r="X74" s="305">
        <f>OBRA!AP73</f>
        <v>0</v>
      </c>
      <c r="Y74" s="341"/>
      <c r="Z74" s="341"/>
      <c r="AA74" s="5"/>
      <c r="AB74" s="351">
        <f>OBRA!BT73</f>
        <v>0</v>
      </c>
      <c r="AC74" s="569"/>
      <c r="AE74"/>
      <c r="AF74"/>
      <c r="AG74"/>
      <c r="AH74"/>
      <c r="AI74"/>
      <c r="AJ74"/>
      <c r="AK74"/>
      <c r="AL74"/>
    </row>
    <row r="75" spans="1:38" ht="75.75" hidden="1" customHeight="1">
      <c r="A75" s="23" t="s">
        <v>2239</v>
      </c>
      <c r="B75" s="933" t="str">
        <f>GRAL!B76</f>
        <v>2012-2015</v>
      </c>
      <c r="C75" s="17">
        <f>OBRA!I74</f>
        <v>2014</v>
      </c>
      <c r="D75" s="18" t="str">
        <f>OBRA!K74</f>
        <v>CUENTA CORRIENTE</v>
      </c>
      <c r="E75" s="525" t="s">
        <v>1431</v>
      </c>
      <c r="F75" s="390"/>
      <c r="G75" s="1"/>
      <c r="H75" s="390"/>
      <c r="I75" s="228" t="str">
        <f>OBRA!U74</f>
        <v>-</v>
      </c>
      <c r="J75" s="256" t="str">
        <f>OBRA!V74</f>
        <v>C. DANIEL RODRIGUEZ VALENZUELA</v>
      </c>
      <c r="K75" s="20"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2">
        <f>OBRA!S74</f>
        <v>41907</v>
      </c>
      <c r="T75" s="54"/>
      <c r="U75" s="248" t="s">
        <v>1431</v>
      </c>
      <c r="V75" s="111"/>
      <c r="W75" s="55"/>
      <c r="X75" s="305">
        <f>OBRA!AP74</f>
        <v>0</v>
      </c>
      <c r="Y75" s="341"/>
      <c r="Z75" s="341"/>
      <c r="AA75" s="5"/>
      <c r="AB75" s="351">
        <f>OBRA!BT74</f>
        <v>0</v>
      </c>
      <c r="AC75" s="569"/>
      <c r="AE75"/>
      <c r="AF75"/>
      <c r="AG75"/>
      <c r="AH75"/>
      <c r="AI75"/>
      <c r="AJ75"/>
      <c r="AK75"/>
      <c r="AL75"/>
    </row>
    <row r="76" spans="1:38" ht="75.75" hidden="1" customHeight="1">
      <c r="A76" s="23" t="s">
        <v>2239</v>
      </c>
      <c r="B76" s="933" t="str">
        <f>GRAL!B77</f>
        <v>2012-2015</v>
      </c>
      <c r="C76" s="17">
        <f>OBRA!I75</f>
        <v>2014</v>
      </c>
      <c r="D76" s="18" t="str">
        <f>OBRA!K75</f>
        <v>RAMO 33</v>
      </c>
      <c r="E76" s="525" t="s">
        <v>1431</v>
      </c>
      <c r="F76" s="390"/>
      <c r="G76" s="1"/>
      <c r="H76" s="390"/>
      <c r="I76" s="228" t="str">
        <f>OBRA!U75</f>
        <v>-</v>
      </c>
      <c r="J76" s="256" t="str">
        <f>OBRA!V75</f>
        <v>ING. RIGOBERTO OLMEDO RAMOS</v>
      </c>
      <c r="K76" s="20"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2">
        <f>OBRA!S75</f>
        <v>41912</v>
      </c>
      <c r="T76" s="54"/>
      <c r="U76" s="248" t="s">
        <v>1431</v>
      </c>
      <c r="V76" s="111"/>
      <c r="W76" s="55"/>
      <c r="X76" s="305">
        <f>OBRA!AP75</f>
        <v>0</v>
      </c>
      <c r="Y76" s="341"/>
      <c r="Z76" s="341"/>
      <c r="AA76" s="5"/>
      <c r="AB76" s="351">
        <f>OBRA!BT75</f>
        <v>0</v>
      </c>
      <c r="AC76" s="569"/>
      <c r="AE76"/>
      <c r="AF76"/>
      <c r="AG76"/>
      <c r="AH76"/>
      <c r="AI76"/>
      <c r="AJ76"/>
      <c r="AK76"/>
      <c r="AL76"/>
    </row>
    <row r="77" spans="1:38" ht="165.75" hidden="1" customHeight="1">
      <c r="A77" s="23" t="s">
        <v>2239</v>
      </c>
      <c r="B77" s="933" t="str">
        <f>GRAL!B78</f>
        <v>2012-2015</v>
      </c>
      <c r="C77" s="17">
        <f>OBRA!I76</f>
        <v>2014</v>
      </c>
      <c r="D77" s="18" t="str">
        <f>OBRA!K76</f>
        <v>CUENTA CORRIENTE</v>
      </c>
      <c r="E77" s="525" t="s">
        <v>1431</v>
      </c>
      <c r="F77" s="390"/>
      <c r="G77" s="1"/>
      <c r="H77" s="390"/>
      <c r="I77" s="228" t="str">
        <f>OBRA!U76</f>
        <v>-</v>
      </c>
      <c r="J77" s="256" t="str">
        <f>OBRA!V76</f>
        <v>ARQ. JUAN MANUEL PIRUL CORTÉS</v>
      </c>
      <c r="K77" s="20"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2">
        <f>OBRA!S76</f>
        <v>41897</v>
      </c>
      <c r="T77" s="54"/>
      <c r="U77" s="248" t="s">
        <v>1431</v>
      </c>
      <c r="V77" s="111"/>
      <c r="W77" s="55"/>
      <c r="X77" s="305">
        <f>OBRA!AP76</f>
        <v>0</v>
      </c>
      <c r="Y77" s="341"/>
      <c r="Z77" s="341"/>
      <c r="AA77" s="5"/>
      <c r="AB77" s="351">
        <f>OBRA!BT76</f>
        <v>0</v>
      </c>
      <c r="AC77" s="569"/>
      <c r="AE77"/>
      <c r="AF77"/>
      <c r="AG77"/>
      <c r="AH77"/>
      <c r="AI77"/>
      <c r="AJ77"/>
      <c r="AK77"/>
      <c r="AL77"/>
    </row>
    <row r="78" spans="1:38" ht="30.75" hidden="1" customHeight="1">
      <c r="A78" s="23" t="s">
        <v>2239</v>
      </c>
      <c r="B78" s="933" t="str">
        <f>GRAL!B79</f>
        <v>2012-2015</v>
      </c>
      <c r="C78" s="17">
        <f>OBRA!I77</f>
        <v>2014</v>
      </c>
      <c r="D78" s="18" t="str">
        <f>OBRA!K77</f>
        <v>PET</v>
      </c>
      <c r="E78" s="525"/>
      <c r="F78" s="390"/>
      <c r="G78" s="1"/>
      <c r="H78" s="390"/>
      <c r="I78" s="228" t="str">
        <f>OBRA!U77</f>
        <v>-</v>
      </c>
      <c r="J78" s="256" t="str">
        <f>OBRA!V77</f>
        <v>DANIEL RODRIGUEZ</v>
      </c>
      <c r="K78" s="20"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2">
        <f>OBRA!S77</f>
        <v>41988</v>
      </c>
      <c r="T78" s="54"/>
      <c r="U78" s="248" t="s">
        <v>1431</v>
      </c>
      <c r="V78" s="111"/>
      <c r="W78" s="55"/>
      <c r="X78" s="305">
        <f>OBRA!AP77</f>
        <v>0</v>
      </c>
      <c r="Y78" s="341"/>
      <c r="Z78" s="341"/>
      <c r="AA78" s="5"/>
      <c r="AB78" s="351">
        <f>OBRA!BT77</f>
        <v>0</v>
      </c>
      <c r="AC78" s="569"/>
      <c r="AE78"/>
      <c r="AF78"/>
      <c r="AG78"/>
      <c r="AH78"/>
      <c r="AI78"/>
      <c r="AJ78"/>
      <c r="AK78"/>
      <c r="AL78"/>
    </row>
    <row r="79" spans="1:38" ht="30.75" hidden="1" customHeight="1">
      <c r="A79" s="23" t="s">
        <v>2239</v>
      </c>
      <c r="B79" s="933" t="str">
        <f>GRAL!B80</f>
        <v>2012-2015</v>
      </c>
      <c r="C79" s="17">
        <f>OBRA!I78</f>
        <v>2014</v>
      </c>
      <c r="D79" s="18" t="str">
        <f>OBRA!K78</f>
        <v>PET</v>
      </c>
      <c r="E79" s="525"/>
      <c r="F79" s="390"/>
      <c r="G79" s="1"/>
      <c r="H79" s="390"/>
      <c r="I79" s="228" t="str">
        <f>OBRA!U78</f>
        <v>-</v>
      </c>
      <c r="J79" s="256" t="str">
        <f>OBRA!V78</f>
        <v>DANIEL RODRIGUEZ</v>
      </c>
      <c r="K79" s="20"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2">
        <f>OBRA!S78</f>
        <v>41988</v>
      </c>
      <c r="T79" s="54"/>
      <c r="U79" s="248" t="s">
        <v>1431</v>
      </c>
      <c r="V79" s="111"/>
      <c r="W79" s="55"/>
      <c r="X79" s="305">
        <f>OBRA!AP78</f>
        <v>0</v>
      </c>
      <c r="Y79" s="341"/>
      <c r="Z79" s="341"/>
      <c r="AA79" s="5"/>
      <c r="AB79" s="351">
        <f>OBRA!BT78</f>
        <v>0</v>
      </c>
      <c r="AC79" s="569"/>
      <c r="AE79"/>
      <c r="AF79"/>
      <c r="AG79"/>
      <c r="AH79"/>
      <c r="AI79"/>
      <c r="AJ79"/>
      <c r="AK79"/>
      <c r="AL79"/>
    </row>
    <row r="80" spans="1:38" ht="60.75" hidden="1" customHeight="1">
      <c r="A80" s="23" t="s">
        <v>2239</v>
      </c>
      <c r="B80" s="933" t="str">
        <f>GRAL!B81</f>
        <v>2012-2015</v>
      </c>
      <c r="C80" s="17">
        <f>OBRA!I79</f>
        <v>2014</v>
      </c>
      <c r="D80" s="18">
        <f>OBRA!K79</f>
        <v>0</v>
      </c>
      <c r="E80" s="525"/>
      <c r="F80" s="390"/>
      <c r="G80" s="1"/>
      <c r="H80" s="390"/>
      <c r="I80" s="228" t="str">
        <f>OBRA!U79</f>
        <v>-</v>
      </c>
      <c r="J80" s="256" t="str">
        <f>OBRA!V79</f>
        <v>ARQ. JAIME CONDE GOMEZ</v>
      </c>
      <c r="K80" s="20"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2">
        <f>OBRA!S79</f>
        <v>41954</v>
      </c>
      <c r="T80" s="54"/>
      <c r="U80" s="248" t="s">
        <v>1431</v>
      </c>
      <c r="V80" s="111"/>
      <c r="W80" s="55"/>
      <c r="X80" s="305">
        <f>OBRA!AP79</f>
        <v>0</v>
      </c>
      <c r="Y80" s="341"/>
      <c r="Z80" s="341"/>
      <c r="AA80" s="5"/>
      <c r="AB80" s="351">
        <f>OBRA!BT79</f>
        <v>0</v>
      </c>
      <c r="AC80" s="569"/>
      <c r="AE80"/>
      <c r="AF80"/>
      <c r="AG80"/>
      <c r="AH80"/>
      <c r="AI80"/>
      <c r="AJ80"/>
      <c r="AK80"/>
      <c r="AL80"/>
    </row>
    <row r="81" spans="1:38" ht="45.75" hidden="1" customHeight="1">
      <c r="A81" s="23" t="s">
        <v>2239</v>
      </c>
      <c r="B81" s="933" t="str">
        <f>GRAL!B82</f>
        <v>2012-2015</v>
      </c>
      <c r="C81" s="17">
        <f>OBRA!I80</f>
        <v>2014</v>
      </c>
      <c r="D81" s="18" t="str">
        <f>OBRA!K80</f>
        <v>3X1 PARA MIGRANTES</v>
      </c>
      <c r="E81" s="525"/>
      <c r="F81" s="24"/>
      <c r="G81" s="1"/>
      <c r="H81" s="390"/>
      <c r="I81" s="228" t="str">
        <f>OBRA!U80</f>
        <v>ESTUDIO CASA Y CIUDAD SA DE CV</v>
      </c>
      <c r="J81" s="256" t="str">
        <f>OBRA!V80</f>
        <v>C. DANIEL RODRIGUEZ VALENZUELA</v>
      </c>
      <c r="K81" s="20"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2">
        <f>OBRA!S80</f>
        <v>41975</v>
      </c>
      <c r="T81" s="54"/>
      <c r="U81" s="248" t="s">
        <v>1431</v>
      </c>
      <c r="V81" s="111"/>
      <c r="W81" s="55"/>
      <c r="X81" s="305">
        <f>OBRA!AP80</f>
        <v>0</v>
      </c>
      <c r="Y81" s="341"/>
      <c r="Z81" s="341"/>
      <c r="AA81" s="5"/>
      <c r="AB81" s="351">
        <f>OBRA!BT80</f>
        <v>0</v>
      </c>
      <c r="AC81" s="569"/>
      <c r="AE81"/>
      <c r="AF81"/>
      <c r="AG81"/>
      <c r="AH81"/>
      <c r="AI81"/>
      <c r="AJ81"/>
      <c r="AK81"/>
      <c r="AL81"/>
    </row>
    <row r="82" spans="1:38" s="326" customFormat="1" ht="132.75" hidden="1" customHeight="1">
      <c r="A82" s="336" t="s">
        <v>2239</v>
      </c>
      <c r="B82" s="981" t="str">
        <f>GRAL!B83</f>
        <v>2012-2015</v>
      </c>
      <c r="C82" s="315">
        <f>OBRA!I81</f>
        <v>2014</v>
      </c>
      <c r="D82" s="533" t="str">
        <f>OBRA!K81</f>
        <v>RAMO 33</v>
      </c>
      <c r="E82" s="535" t="s">
        <v>1431</v>
      </c>
      <c r="F82" s="540" t="s">
        <v>2240</v>
      </c>
      <c r="G82" s="496" t="s">
        <v>2241</v>
      </c>
      <c r="H82" s="497" t="s">
        <v>2242</v>
      </c>
      <c r="I82" s="338" t="str">
        <f>OBRA!U81</f>
        <v>PROYECTO DISEÑO Y CONSTRUCCION</v>
      </c>
      <c r="J82" s="334" t="str">
        <f>OBRA!V81</f>
        <v>C. DANIEL RODRIGUEZ VALENZUELA</v>
      </c>
      <c r="K82" s="481" t="str">
        <f>OBRA!L81</f>
        <v>GMJ 005C OP/2014</v>
      </c>
      <c r="L82" s="318" t="str">
        <f>OBRA!M81</f>
        <v>ADJUDICACIÓN DIRECTA</v>
      </c>
      <c r="M82" s="319" t="str">
        <f>OBRA!N81</f>
        <v>ALUMBRADO PUBLICO EN AV. DEL TRABAJO, EN LA DELEGACIÓN DE ZAPOTITAN DE HIDALGO, DEL MUNICIPIO DE JOCOTEPEC, JALISCO</v>
      </c>
      <c r="N82" s="509" t="s">
        <v>2243</v>
      </c>
      <c r="O82" s="321">
        <f>OBRA!Q81</f>
        <v>41901</v>
      </c>
      <c r="P82" s="320">
        <f>OBRA!P81</f>
        <v>887908.66</v>
      </c>
      <c r="Q82" s="320"/>
      <c r="R82" s="322">
        <f>OBRA!R81</f>
        <v>41911</v>
      </c>
      <c r="S82" s="323">
        <f>OBRA!S81</f>
        <v>41954</v>
      </c>
      <c r="T82" s="404"/>
      <c r="U82" s="926" t="s">
        <v>1431</v>
      </c>
      <c r="V82" s="498" t="s">
        <v>2244</v>
      </c>
      <c r="W82" s="499" t="s">
        <v>2245</v>
      </c>
      <c r="X82" s="488">
        <f>88790.87*2</f>
        <v>177581.74</v>
      </c>
      <c r="Y82" s="342"/>
      <c r="Z82" s="342"/>
      <c r="AA82" s="322"/>
      <c r="AB82" s="928">
        <f>OBRA!BT81</f>
        <v>0</v>
      </c>
      <c r="AC82" s="929" t="s">
        <v>551</v>
      </c>
    </row>
    <row r="83" spans="1:38" ht="90.75" hidden="1" customHeight="1">
      <c r="A83" s="23" t="s">
        <v>2239</v>
      </c>
      <c r="B83" s="933" t="str">
        <f>GRAL!B84</f>
        <v>2012-2015</v>
      </c>
      <c r="C83" s="17">
        <f>OBRA!I82</f>
        <v>2014</v>
      </c>
      <c r="D83" s="18" t="str">
        <f>OBRA!K82</f>
        <v>RAMO 33</v>
      </c>
      <c r="E83" s="477" t="s">
        <v>1431</v>
      </c>
      <c r="F83" s="541"/>
      <c r="G83" s="482"/>
      <c r="H83" s="483"/>
      <c r="I83" s="228" t="str">
        <f>OBRA!U82</f>
        <v>-</v>
      </c>
      <c r="J83" s="256" t="str">
        <f>OBRA!V82</f>
        <v>ING. RIGOBERTO OLMEDO RAMOS</v>
      </c>
      <c r="K83" s="48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80"/>
      <c r="O83" s="6">
        <f>OBRA!Q82</f>
        <v>41823</v>
      </c>
      <c r="P83" s="4">
        <f>OBRA!P82</f>
        <v>295674.09999999998</v>
      </c>
      <c r="Q83" s="4"/>
      <c r="R83" s="5">
        <f>OBRA!R82</f>
        <v>41823</v>
      </c>
      <c r="S83" s="12">
        <f>OBRA!S82</f>
        <v>41850</v>
      </c>
      <c r="T83" s="54"/>
      <c r="U83" s="248" t="s">
        <v>1431</v>
      </c>
      <c r="V83" s="480"/>
      <c r="W83" s="484"/>
      <c r="X83" s="305">
        <f>OBRA!AP82</f>
        <v>0</v>
      </c>
      <c r="Y83" s="341"/>
      <c r="Z83" s="341"/>
      <c r="AA83" s="5"/>
      <c r="AB83" s="351">
        <f>OBRA!BT82</f>
        <v>0</v>
      </c>
      <c r="AC83" s="569"/>
      <c r="AE83"/>
      <c r="AF83"/>
      <c r="AG83"/>
      <c r="AH83"/>
      <c r="AI83"/>
      <c r="AJ83"/>
      <c r="AK83"/>
      <c r="AL83"/>
    </row>
    <row r="84" spans="1:38" ht="90.75" hidden="1" customHeight="1">
      <c r="A84" s="23" t="s">
        <v>2239</v>
      </c>
      <c r="B84" s="933" t="str">
        <f>GRAL!B85</f>
        <v>2012-2015</v>
      </c>
      <c r="C84" s="17">
        <f>OBRA!I83</f>
        <v>2014</v>
      </c>
      <c r="D84" s="18" t="str">
        <f>OBRA!K83</f>
        <v>RAMO 33</v>
      </c>
      <c r="E84" s="477" t="s">
        <v>1431</v>
      </c>
      <c r="F84" s="541"/>
      <c r="G84" s="482"/>
      <c r="H84" s="483"/>
      <c r="I84" s="228" t="str">
        <f>OBRA!U83</f>
        <v>-</v>
      </c>
      <c r="J84" s="256" t="str">
        <f>OBRA!V83</f>
        <v>ING. RIGOBERTO OLMEDO RAMOS</v>
      </c>
      <c r="K84" s="48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80"/>
      <c r="O84" s="6">
        <f>OBRA!Q83</f>
        <v>41823</v>
      </c>
      <c r="P84" s="4">
        <f>OBRA!P83</f>
        <v>220909.46</v>
      </c>
      <c r="Q84" s="4"/>
      <c r="R84" s="5">
        <f>OBRA!R83</f>
        <v>41841</v>
      </c>
      <c r="S84" s="12">
        <f>OBRA!S83</f>
        <v>41881</v>
      </c>
      <c r="T84" s="54"/>
      <c r="U84" s="248" t="s">
        <v>1431</v>
      </c>
      <c r="V84" s="480"/>
      <c r="W84" s="484"/>
      <c r="X84" s="305">
        <f>OBRA!AP83</f>
        <v>0</v>
      </c>
      <c r="Y84" s="341"/>
      <c r="Z84" s="341"/>
      <c r="AA84" s="5"/>
      <c r="AB84" s="351">
        <f>OBRA!BT83</f>
        <v>0</v>
      </c>
      <c r="AC84" s="569"/>
      <c r="AE84"/>
      <c r="AF84"/>
      <c r="AG84"/>
      <c r="AH84"/>
      <c r="AI84"/>
      <c r="AJ84"/>
      <c r="AK84"/>
      <c r="AL84"/>
    </row>
    <row r="85" spans="1:38" ht="105.75" hidden="1" customHeight="1">
      <c r="A85" s="23" t="s">
        <v>2239</v>
      </c>
      <c r="B85" s="933" t="str">
        <f>GRAL!B86</f>
        <v>2012-2015</v>
      </c>
      <c r="C85" s="17">
        <f>OBRA!I84</f>
        <v>2014</v>
      </c>
      <c r="D85" s="18" t="str">
        <f>OBRA!K84</f>
        <v>RAMO 33</v>
      </c>
      <c r="E85" s="477" t="s">
        <v>1431</v>
      </c>
      <c r="F85" s="541"/>
      <c r="G85" s="482"/>
      <c r="H85" s="483"/>
      <c r="I85" s="228" t="str">
        <f>OBRA!U84</f>
        <v>-</v>
      </c>
      <c r="J85" s="256" t="str">
        <f>OBRA!V84</f>
        <v>ING. RIGOBERTO OLMEDO RAMOS</v>
      </c>
      <c r="K85" s="48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80"/>
      <c r="O85" s="6">
        <f>OBRA!Q84</f>
        <v>41823</v>
      </c>
      <c r="P85" s="4">
        <f>OBRA!P84</f>
        <v>200492.77</v>
      </c>
      <c r="Q85" s="4"/>
      <c r="R85" s="5">
        <f>OBRA!R84</f>
        <v>41827</v>
      </c>
      <c r="S85" s="12">
        <f>OBRA!S84</f>
        <v>41881</v>
      </c>
      <c r="T85" s="54"/>
      <c r="U85" s="248" t="s">
        <v>1431</v>
      </c>
      <c r="V85" s="480"/>
      <c r="W85" s="484"/>
      <c r="X85" s="305">
        <f>OBRA!AP84</f>
        <v>0</v>
      </c>
      <c r="Y85" s="341"/>
      <c r="Z85" s="341"/>
      <c r="AA85" s="5"/>
      <c r="AB85" s="351">
        <f>OBRA!BT84</f>
        <v>0</v>
      </c>
      <c r="AC85" s="569"/>
      <c r="AE85"/>
      <c r="AF85"/>
      <c r="AG85"/>
      <c r="AH85"/>
      <c r="AI85"/>
      <c r="AJ85"/>
      <c r="AK85"/>
      <c r="AL85"/>
    </row>
    <row r="86" spans="1:38" ht="105.75" hidden="1" customHeight="1">
      <c r="A86" s="23" t="s">
        <v>2239</v>
      </c>
      <c r="B86" s="933" t="str">
        <f>GRAL!B87</f>
        <v>2012-2015</v>
      </c>
      <c r="C86" s="17">
        <f>OBRA!I85</f>
        <v>2014</v>
      </c>
      <c r="D86" s="18" t="str">
        <f>OBRA!K85</f>
        <v>RAMO 33</v>
      </c>
      <c r="E86" s="477" t="s">
        <v>1431</v>
      </c>
      <c r="F86" s="541"/>
      <c r="G86" s="482"/>
      <c r="H86" s="483"/>
      <c r="I86" s="228" t="str">
        <f>OBRA!U85</f>
        <v>-</v>
      </c>
      <c r="J86" s="256" t="str">
        <f>OBRA!V85</f>
        <v>ING. RIGOBERTO OLMEDO RAMOS</v>
      </c>
      <c r="K86" s="48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80"/>
      <c r="O86" s="6">
        <f>OBRA!Q85</f>
        <v>41823</v>
      </c>
      <c r="P86" s="4">
        <f>OBRA!P85</f>
        <v>191497.02</v>
      </c>
      <c r="Q86" s="4"/>
      <c r="R86" s="5">
        <f>OBRA!R85</f>
        <v>41865</v>
      </c>
      <c r="S86" s="12">
        <f>OBRA!S85</f>
        <v>41881</v>
      </c>
      <c r="T86" s="54"/>
      <c r="U86" s="248" t="s">
        <v>1431</v>
      </c>
      <c r="V86" s="480"/>
      <c r="W86" s="484"/>
      <c r="X86" s="305">
        <f>OBRA!AP85</f>
        <v>0</v>
      </c>
      <c r="Y86" s="341"/>
      <c r="Z86" s="341"/>
      <c r="AA86" s="5"/>
      <c r="AB86" s="351">
        <f>OBRA!BT85</f>
        <v>0</v>
      </c>
      <c r="AC86" s="569"/>
      <c r="AE86"/>
      <c r="AF86"/>
      <c r="AG86"/>
      <c r="AH86"/>
      <c r="AI86"/>
      <c r="AJ86"/>
      <c r="AK86"/>
      <c r="AL86"/>
    </row>
    <row r="87" spans="1:38" ht="90.75" hidden="1" customHeight="1">
      <c r="A87" s="23" t="s">
        <v>2239</v>
      </c>
      <c r="B87" s="933" t="str">
        <f>GRAL!B88</f>
        <v>2012-2015</v>
      </c>
      <c r="C87" s="17">
        <f>OBRA!I86</f>
        <v>2014</v>
      </c>
      <c r="D87" s="18" t="str">
        <f>OBRA!K86</f>
        <v>RAMO 33</v>
      </c>
      <c r="E87" s="477" t="s">
        <v>1431</v>
      </c>
      <c r="F87" s="541"/>
      <c r="G87" s="482"/>
      <c r="H87" s="483"/>
      <c r="I87" s="228" t="str">
        <f>OBRA!U86</f>
        <v>-</v>
      </c>
      <c r="J87" s="256" t="str">
        <f>OBRA!V86</f>
        <v>ING. RIGOBERTO OLMEDO RAMOS</v>
      </c>
      <c r="K87" s="48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80"/>
      <c r="O87" s="6">
        <f>OBRA!Q86</f>
        <v>41823</v>
      </c>
      <c r="P87" s="4">
        <f>OBRA!P86</f>
        <v>278434.27</v>
      </c>
      <c r="Q87" s="4"/>
      <c r="R87" s="5">
        <f>OBRA!R86</f>
        <v>41848</v>
      </c>
      <c r="S87" s="12">
        <f>OBRA!S86</f>
        <v>41912</v>
      </c>
      <c r="T87" s="54"/>
      <c r="U87" s="248" t="s">
        <v>1431</v>
      </c>
      <c r="V87" s="480"/>
      <c r="W87" s="484"/>
      <c r="X87" s="305">
        <f>OBRA!AP86</f>
        <v>0</v>
      </c>
      <c r="Y87" s="341"/>
      <c r="Z87" s="341"/>
      <c r="AA87" s="5"/>
      <c r="AB87" s="351">
        <f>OBRA!BT86</f>
        <v>0</v>
      </c>
      <c r="AC87" s="569"/>
      <c r="AE87"/>
      <c r="AF87"/>
      <c r="AG87"/>
      <c r="AH87"/>
      <c r="AI87"/>
      <c r="AJ87"/>
      <c r="AK87"/>
      <c r="AL87"/>
    </row>
    <row r="88" spans="1:38" ht="90.75" hidden="1" customHeight="1">
      <c r="A88" s="23" t="s">
        <v>2239</v>
      </c>
      <c r="B88" s="933" t="str">
        <f>GRAL!B89</f>
        <v>2012-2015</v>
      </c>
      <c r="C88" s="17">
        <f>OBRA!I87</f>
        <v>2014</v>
      </c>
      <c r="D88" s="18" t="str">
        <f>OBRA!K87</f>
        <v>RAMO 33</v>
      </c>
      <c r="E88" s="477" t="s">
        <v>1431</v>
      </c>
      <c r="F88" s="541"/>
      <c r="G88" s="482"/>
      <c r="H88" s="483"/>
      <c r="I88" s="228" t="str">
        <f>OBRA!U87</f>
        <v>-</v>
      </c>
      <c r="J88" s="256" t="str">
        <f>OBRA!V87</f>
        <v>ING. RIGOBERTO OLMEDO RAMOS</v>
      </c>
      <c r="K88" s="48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80"/>
      <c r="O88" s="6">
        <f>OBRA!Q87</f>
        <v>41823</v>
      </c>
      <c r="P88" s="4">
        <f>OBRA!P87</f>
        <v>231798.06</v>
      </c>
      <c r="Q88" s="4"/>
      <c r="R88" s="5">
        <f>OBRA!R87</f>
        <v>41862</v>
      </c>
      <c r="S88" s="12">
        <f>OBRA!S87</f>
        <v>41912</v>
      </c>
      <c r="T88" s="54"/>
      <c r="U88" s="248" t="s">
        <v>1431</v>
      </c>
      <c r="V88" s="480"/>
      <c r="W88" s="484"/>
      <c r="X88" s="305">
        <f>OBRA!AP87</f>
        <v>0</v>
      </c>
      <c r="Y88" s="341"/>
      <c r="Z88" s="341"/>
      <c r="AA88" s="5"/>
      <c r="AB88" s="351">
        <f>OBRA!BT87</f>
        <v>0</v>
      </c>
      <c r="AC88" s="569"/>
      <c r="AE88"/>
      <c r="AF88"/>
      <c r="AG88"/>
      <c r="AH88"/>
      <c r="AI88"/>
      <c r="AJ88"/>
      <c r="AK88"/>
      <c r="AL88"/>
    </row>
    <row r="89" spans="1:38" s="326" customFormat="1" ht="204.75" hidden="1" customHeight="1">
      <c r="A89" s="336" t="s">
        <v>2239</v>
      </c>
      <c r="B89" s="981" t="str">
        <f>GRAL!B90</f>
        <v>2012-2015</v>
      </c>
      <c r="C89" s="315">
        <f>OBRA!I88</f>
        <v>2014</v>
      </c>
      <c r="D89" s="533" t="str">
        <f>OBRA!K88</f>
        <v>CUENTA CORRIENTE</v>
      </c>
      <c r="E89" s="535" t="s">
        <v>1431</v>
      </c>
      <c r="F89" s="540" t="s">
        <v>2246</v>
      </c>
      <c r="G89" s="496" t="s">
        <v>2247</v>
      </c>
      <c r="H89" s="497" t="s">
        <v>2248</v>
      </c>
      <c r="I89" s="338" t="str">
        <f>OBRA!U88</f>
        <v>JOSE LUIS RANGEL GALVEZ</v>
      </c>
      <c r="J89" s="334" t="str">
        <f>OBRA!V88</f>
        <v>C. DANIEL RODRIGUEZ VALENZUELA</v>
      </c>
      <c r="K89" s="481" t="str">
        <f>OBRA!L88</f>
        <v>GMJ 006C OP/2014</v>
      </c>
      <c r="L89" s="318" t="str">
        <f>OBRA!M88</f>
        <v>ADJUDICACIÓN DIRECTA</v>
      </c>
      <c r="M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OBRA!Q88</f>
        <v>41901</v>
      </c>
      <c r="P89" s="320">
        <f>OBRA!P88</f>
        <v>425152.03</v>
      </c>
      <c r="Q89" s="320"/>
      <c r="R89" s="322">
        <f>OBRA!R88</f>
        <v>41904</v>
      </c>
      <c r="S89" s="323">
        <f>OBRA!S88</f>
        <v>41941</v>
      </c>
      <c r="T89" s="404"/>
      <c r="U89" s="926" t="s">
        <v>1431</v>
      </c>
      <c r="V89" s="918" t="s">
        <v>2250</v>
      </c>
      <c r="W89" s="918" t="s">
        <v>2250</v>
      </c>
      <c r="X89" s="918" t="s">
        <v>2251</v>
      </c>
      <c r="Y89" s="342"/>
      <c r="Z89" s="342"/>
      <c r="AA89" s="322"/>
      <c r="AB89" s="928">
        <f>OBRA!BT88</f>
        <v>0</v>
      </c>
      <c r="AC89" s="929" t="s">
        <v>551</v>
      </c>
    </row>
    <row r="90" spans="1:38" ht="60.75" hidden="1" customHeight="1">
      <c r="A90" s="23" t="s">
        <v>2239</v>
      </c>
      <c r="B90" s="933" t="str">
        <f>GRAL!B91</f>
        <v>2012-2015</v>
      </c>
      <c r="C90" s="17">
        <f>OBRA!I89</f>
        <v>2014</v>
      </c>
      <c r="D90" s="18" t="str">
        <f>OBRA!K89</f>
        <v>CUENTA CORRIENTE</v>
      </c>
      <c r="E90" s="477" t="s">
        <v>1431</v>
      </c>
      <c r="F90" s="541"/>
      <c r="G90" s="482"/>
      <c r="H90" s="483"/>
      <c r="I90" s="228" t="str">
        <f>OBRA!U89</f>
        <v>-</v>
      </c>
      <c r="J90" s="256" t="str">
        <f>OBRA!V89</f>
        <v>C. DANIEL RODRIGUEZ VALENZUELA</v>
      </c>
      <c r="K90" s="481" t="str">
        <f>OBRA!L89</f>
        <v>DOP/AD/039/2014</v>
      </c>
      <c r="L90" s="2" t="str">
        <f>OBRA!M89</f>
        <v>ADMINISTRACIÓN DIRECTA</v>
      </c>
      <c r="M90" s="3" t="str">
        <f>OBRA!N89</f>
        <v>CONSTRUCCION DE PLAZOLETA EN CALLE HIDALGO, EN LA DELEGACION DE SAN PERO TESISTAN, DEL MUNICIPIO DE JOCOTEPEC, JALISCO</v>
      </c>
      <c r="N90" s="480"/>
      <c r="O90" s="6">
        <f>OBRA!Q89</f>
        <v>41974</v>
      </c>
      <c r="P90" s="4">
        <f>OBRA!P89</f>
        <v>40000</v>
      </c>
      <c r="Q90" s="4"/>
      <c r="R90" s="5">
        <f>OBRA!R89</f>
        <v>41976</v>
      </c>
      <c r="S90" s="12">
        <f>OBRA!S89</f>
        <v>41997</v>
      </c>
      <c r="T90" s="54"/>
      <c r="U90" s="248" t="s">
        <v>1431</v>
      </c>
      <c r="V90" s="480"/>
      <c r="W90" s="484"/>
      <c r="X90" s="305">
        <f>OBRA!AP89</f>
        <v>0</v>
      </c>
      <c r="Y90" s="341"/>
      <c r="Z90" s="341"/>
      <c r="AA90" s="5"/>
      <c r="AB90" s="351">
        <f>OBRA!BT89</f>
        <v>0</v>
      </c>
      <c r="AC90" s="569"/>
      <c r="AE90"/>
      <c r="AF90"/>
      <c r="AG90"/>
      <c r="AH90"/>
      <c r="AI90"/>
      <c r="AJ90"/>
      <c r="AK90"/>
      <c r="AL90"/>
    </row>
    <row r="91" spans="1:38" ht="30.75" hidden="1" customHeight="1">
      <c r="A91" s="23" t="s">
        <v>2239</v>
      </c>
      <c r="B91" s="933" t="str">
        <f>GRAL!B92</f>
        <v>2012-2015</v>
      </c>
      <c r="C91" s="17">
        <f>OBRA!I90</f>
        <v>2014</v>
      </c>
      <c r="D91" s="18" t="str">
        <f>OBRA!K90</f>
        <v>CUENTA CORRIENTE</v>
      </c>
      <c r="E91" s="477" t="s">
        <v>1431</v>
      </c>
      <c r="F91" s="541"/>
      <c r="G91" s="482"/>
      <c r="H91" s="483"/>
      <c r="I91" s="228" t="str">
        <f>OBRA!U90</f>
        <v>-</v>
      </c>
      <c r="J91" s="256">
        <f>OBRA!V90</f>
        <v>0</v>
      </c>
      <c r="K91" s="481" t="str">
        <f>OBRA!L90</f>
        <v>DOP/AD/040/2014</v>
      </c>
      <c r="L91" s="2" t="str">
        <f>OBRA!M90</f>
        <v>ADMINISTRACIÓN DIRECTA</v>
      </c>
      <c r="M91" s="3" t="str">
        <f>OBRA!N90</f>
        <v>APOYO PARA LA CONSTRUCCION DE ESCATOPISTAS EN EL MALECON</v>
      </c>
      <c r="N91" s="480"/>
      <c r="O91" s="6">
        <f>OBRA!Q90</f>
        <v>41974</v>
      </c>
      <c r="P91" s="4">
        <f>OBRA!P90</f>
        <v>15000</v>
      </c>
      <c r="Q91" s="4"/>
      <c r="R91" s="5">
        <f>OBRA!R90</f>
        <v>41981</v>
      </c>
      <c r="S91" s="12">
        <f>OBRA!S90</f>
        <v>41995</v>
      </c>
      <c r="T91" s="54"/>
      <c r="U91" s="248" t="s">
        <v>1431</v>
      </c>
      <c r="V91" s="480"/>
      <c r="W91" s="484"/>
      <c r="X91" s="305">
        <f>OBRA!AP90</f>
        <v>0</v>
      </c>
      <c r="Y91" s="341"/>
      <c r="Z91" s="341"/>
      <c r="AA91" s="5"/>
      <c r="AB91" s="351">
        <f>OBRA!BT90</f>
        <v>0</v>
      </c>
      <c r="AC91" s="569"/>
      <c r="AE91"/>
      <c r="AF91"/>
      <c r="AG91"/>
      <c r="AH91"/>
      <c r="AI91"/>
      <c r="AJ91"/>
      <c r="AK91"/>
      <c r="AL91"/>
    </row>
    <row r="92" spans="1:38" ht="75.75" hidden="1" customHeight="1">
      <c r="A92" s="23" t="s">
        <v>2239</v>
      </c>
      <c r="B92" s="933" t="str">
        <f>GRAL!B93</f>
        <v>2012-2015</v>
      </c>
      <c r="C92" s="17">
        <f>OBRA!I91</f>
        <v>2014</v>
      </c>
      <c r="D92" s="18" t="str">
        <f>OBRA!K91</f>
        <v>CUENTA CORRIENTE</v>
      </c>
      <c r="E92" s="477" t="s">
        <v>1431</v>
      </c>
      <c r="F92" s="541"/>
      <c r="G92" s="482"/>
      <c r="H92" s="483"/>
      <c r="I92" s="228" t="str">
        <f>OBRA!U91</f>
        <v>-</v>
      </c>
      <c r="J92" s="256">
        <f>OBRA!V91</f>
        <v>0</v>
      </c>
      <c r="K92" s="481" t="str">
        <f>OBRA!L91</f>
        <v>DOP/AD/041/2014</v>
      </c>
      <c r="L92" s="2" t="str">
        <f>OBRA!M91</f>
        <v>ADMINISTRACIÓN DIRECTA</v>
      </c>
      <c r="M92" s="3" t="str">
        <f>OBRA!N91</f>
        <v>DEMOLICION Y REUBICACION DE NICHO DE IMAGEN RELIGIOSA EN PRIVADA ALLENDE ESQUINA MORELOS, EN AGENCIA DE CHANTEPEC</v>
      </c>
      <c r="N92" s="480"/>
      <c r="O92" s="6">
        <f>OBRA!Q91</f>
        <v>41974</v>
      </c>
      <c r="P92" s="4">
        <f>OBRA!P91</f>
        <v>15000</v>
      </c>
      <c r="Q92" s="4"/>
      <c r="R92" s="5">
        <f>OBRA!R91</f>
        <v>41981</v>
      </c>
      <c r="S92" s="12">
        <f>OBRA!S91</f>
        <v>41988</v>
      </c>
      <c r="T92" s="54"/>
      <c r="U92" s="248" t="s">
        <v>1431</v>
      </c>
      <c r="V92" s="480"/>
      <c r="W92" s="484"/>
      <c r="X92" s="305">
        <f>OBRA!AP91</f>
        <v>0</v>
      </c>
      <c r="Y92" s="341"/>
      <c r="Z92" s="341"/>
      <c r="AA92" s="5"/>
      <c r="AB92" s="351">
        <f>OBRA!BT91</f>
        <v>0</v>
      </c>
      <c r="AC92" s="569"/>
      <c r="AE92"/>
      <c r="AF92"/>
      <c r="AG92"/>
      <c r="AH92"/>
      <c r="AI92"/>
      <c r="AJ92"/>
      <c r="AK92"/>
      <c r="AL92"/>
    </row>
    <row r="93" spans="1:38" ht="60.75" hidden="1" customHeight="1">
      <c r="A93" s="23" t="s">
        <v>2239</v>
      </c>
      <c r="B93" s="933" t="str">
        <f>GRAL!B94</f>
        <v>2012-2015</v>
      </c>
      <c r="C93" s="17">
        <f>OBRA!I92</f>
        <v>2014</v>
      </c>
      <c r="D93" s="18" t="str">
        <f>OBRA!K92</f>
        <v>FISE</v>
      </c>
      <c r="E93" s="14"/>
      <c r="F93" s="541"/>
      <c r="G93" s="482"/>
      <c r="H93" s="483"/>
      <c r="I93" s="228" t="str">
        <f>OBRA!U92</f>
        <v>SIOP</v>
      </c>
      <c r="J93" s="256" t="str">
        <f>OBRA!V92</f>
        <v>SIOP</v>
      </c>
      <c r="K93" s="481" t="str">
        <f>OBRA!L92</f>
        <v>CONT X ESTADO</v>
      </c>
      <c r="L93" s="2" t="str">
        <f>OBRA!M92</f>
        <v>CONT X ESTADO</v>
      </c>
      <c r="M93" s="3" t="str">
        <f>OBRA!N92</f>
        <v>CONSTRUCCION DE RED DE AGUA POTABLE, DRENAJE SANITARIO Y/O ELECTRIFICACIÓN EN AV. TULE, ZAPOTITAN DE HIDALGO</v>
      </c>
      <c r="N93" s="480"/>
      <c r="O93" s="6" t="str">
        <f>OBRA!Q92</f>
        <v>-</v>
      </c>
      <c r="P93" s="4" t="str">
        <f>OBRA!P92</f>
        <v>-</v>
      </c>
      <c r="Q93" s="4"/>
      <c r="R93" s="5" t="str">
        <f>OBRA!R92</f>
        <v>-</v>
      </c>
      <c r="S93" s="12" t="str">
        <f>OBRA!S92</f>
        <v>-</v>
      </c>
      <c r="T93" s="54"/>
      <c r="U93" s="248" t="s">
        <v>1431</v>
      </c>
      <c r="V93" s="480"/>
      <c r="W93" s="484"/>
      <c r="X93" s="305">
        <f>OBRA!AP92</f>
        <v>0</v>
      </c>
      <c r="Y93" s="341"/>
      <c r="Z93" s="341"/>
      <c r="AA93" s="5"/>
      <c r="AB93" s="351">
        <f>OBRA!BT92</f>
        <v>0</v>
      </c>
      <c r="AC93" s="569"/>
      <c r="AE93"/>
      <c r="AF93"/>
      <c r="AG93"/>
      <c r="AH93"/>
      <c r="AI93"/>
      <c r="AJ93"/>
      <c r="AK93"/>
      <c r="AL93"/>
    </row>
    <row r="94" spans="1:38" ht="60.75" hidden="1" customHeight="1">
      <c r="A94" s="23" t="s">
        <v>2239</v>
      </c>
      <c r="B94" s="933" t="str">
        <f>GRAL!B95</f>
        <v>2012-2015</v>
      </c>
      <c r="C94" s="17">
        <f>OBRA!I93</f>
        <v>2014</v>
      </c>
      <c r="D94" s="18" t="str">
        <f>OBRA!K93</f>
        <v>FISE</v>
      </c>
      <c r="E94" s="525"/>
      <c r="F94" s="541"/>
      <c r="G94" s="482"/>
      <c r="H94" s="483"/>
      <c r="I94" s="228" t="str">
        <f>OBRA!U93</f>
        <v>SIOP</v>
      </c>
      <c r="J94" s="256" t="str">
        <f>OBRA!V93</f>
        <v>SIOP</v>
      </c>
      <c r="K94" s="481" t="str">
        <f>OBRA!L93</f>
        <v>CONT X ESTADO</v>
      </c>
      <c r="L94" s="2" t="str">
        <f>OBRA!M93</f>
        <v>CONT X ESTADO</v>
      </c>
      <c r="M94" s="3" t="str">
        <f>OBRA!N93</f>
        <v>CONSTRUCCION DE RED DE AGUA POTABLE, DRENAJE SANITARIO Y/O ELECTRIFICACIÓN EN AV. TULE 2, ZAPOTITAN DE HIDALGO</v>
      </c>
      <c r="N94" s="480"/>
      <c r="O94" s="6" t="str">
        <f>OBRA!Q93</f>
        <v>-</v>
      </c>
      <c r="P94" s="4" t="str">
        <f>OBRA!P93</f>
        <v>-</v>
      </c>
      <c r="Q94" s="4"/>
      <c r="R94" s="5" t="str">
        <f>OBRA!R93</f>
        <v>-</v>
      </c>
      <c r="S94" s="12" t="str">
        <f>OBRA!S93</f>
        <v>-</v>
      </c>
      <c r="T94" s="54"/>
      <c r="U94" s="248" t="s">
        <v>1431</v>
      </c>
      <c r="V94" s="480"/>
      <c r="W94" s="484"/>
      <c r="X94" s="305">
        <f>OBRA!AP93</f>
        <v>0</v>
      </c>
      <c r="Y94" s="341"/>
      <c r="Z94" s="341"/>
      <c r="AA94" s="5"/>
      <c r="AB94" s="351">
        <f>OBRA!BT93</f>
        <v>0</v>
      </c>
      <c r="AC94" s="569"/>
      <c r="AE94"/>
      <c r="AF94"/>
      <c r="AG94"/>
      <c r="AH94"/>
      <c r="AI94"/>
      <c r="AJ94"/>
      <c r="AK94"/>
      <c r="AL94"/>
    </row>
    <row r="95" spans="1:38" ht="75.75" hidden="1" customHeight="1">
      <c r="A95" s="23" t="s">
        <v>2239</v>
      </c>
      <c r="B95" s="933" t="str">
        <f>GRAL!B96</f>
        <v>2012-2015</v>
      </c>
      <c r="C95" s="17">
        <f>OBRA!I94</f>
        <v>2014</v>
      </c>
      <c r="D95" s="18" t="str">
        <f>OBRA!K94</f>
        <v>FISE</v>
      </c>
      <c r="E95" s="525"/>
      <c r="F95" s="541"/>
      <c r="G95" s="482"/>
      <c r="H95" s="483"/>
      <c r="I95" s="228" t="str">
        <f>OBRA!U94</f>
        <v>SIOP</v>
      </c>
      <c r="J95" s="256" t="str">
        <f>OBRA!V94</f>
        <v>SIOP</v>
      </c>
      <c r="K95" s="481" t="str">
        <f>OBRA!L94</f>
        <v>CONT X ESTADO</v>
      </c>
      <c r="L95" s="2" t="str">
        <f>OBRA!M94</f>
        <v>CONT X ESTADO</v>
      </c>
      <c r="M95" s="3" t="str">
        <f>OBRA!N94</f>
        <v>CONSTRUCCION DE RED DE AGUA POTABLE, DRENAJE SANITARIO Y/O ELECTRIFICACIÓN EN C. FRATERNIDAD, ZAPOTITAN DE HIDALGO</v>
      </c>
      <c r="N95" s="480"/>
      <c r="O95" s="6" t="str">
        <f>OBRA!Q94</f>
        <v>-</v>
      </c>
      <c r="P95" s="4" t="str">
        <f>OBRA!P94</f>
        <v>-</v>
      </c>
      <c r="Q95" s="4"/>
      <c r="R95" s="5" t="str">
        <f>OBRA!R94</f>
        <v>-</v>
      </c>
      <c r="S95" s="12" t="str">
        <f>OBRA!S94</f>
        <v>-</v>
      </c>
      <c r="T95" s="54"/>
      <c r="U95" s="248" t="s">
        <v>1431</v>
      </c>
      <c r="V95" s="480"/>
      <c r="W95" s="484"/>
      <c r="X95" s="305">
        <f>OBRA!AP94</f>
        <v>0</v>
      </c>
      <c r="Y95" s="341"/>
      <c r="Z95" s="341"/>
      <c r="AA95" s="5"/>
      <c r="AB95" s="351">
        <f>OBRA!BT94</f>
        <v>0</v>
      </c>
      <c r="AC95" s="569"/>
      <c r="AE95"/>
      <c r="AF95"/>
      <c r="AG95"/>
      <c r="AH95"/>
      <c r="AI95"/>
      <c r="AJ95"/>
      <c r="AK95"/>
      <c r="AL95"/>
    </row>
    <row r="96" spans="1:38" s="326" customFormat="1" ht="77.25" hidden="1" customHeight="1">
      <c r="A96" s="336" t="s">
        <v>2239</v>
      </c>
      <c r="B96" s="981" t="str">
        <f>GRAL!B97</f>
        <v>2012-2015</v>
      </c>
      <c r="C96" s="315">
        <f>OBRA!I95</f>
        <v>2015</v>
      </c>
      <c r="D96" s="337" t="str">
        <f>OBRA!K95</f>
        <v>RAMO 33</v>
      </c>
      <c r="E96" s="534" t="s">
        <v>1431</v>
      </c>
      <c r="F96" s="540" t="s">
        <v>2252</v>
      </c>
      <c r="G96" s="918" t="s">
        <v>2250</v>
      </c>
      <c r="H96" s="497" t="s">
        <v>2253</v>
      </c>
      <c r="I96" s="338" t="str">
        <f>OBRA!U95</f>
        <v>C. EFRAIN GONZALEZ CRUZ</v>
      </c>
      <c r="J96" s="334" t="str">
        <f>OBRA!V95</f>
        <v>ING. RIGOBERTO OLMEDO RAMOS</v>
      </c>
      <c r="K96" s="481" t="str">
        <f>OBRA!L95</f>
        <v>GMJ 001C OP/2015</v>
      </c>
      <c r="L96" s="318" t="str">
        <f>OBRA!M95</f>
        <v>ADJUDICACIÓN DIRECTA</v>
      </c>
      <c r="M96" s="319" t="str">
        <f>OBRA!N95</f>
        <v>ELECTRIFICACIÓN DE MEDIA Y BAJA TENSION EN EL BARRIO "LA BECERRERA", EN LA AGENCIA DE EL MOLINO</v>
      </c>
      <c r="N96" s="480" t="s">
        <v>1444</v>
      </c>
      <c r="O96" s="321">
        <f>OBRA!Q95</f>
        <v>42010</v>
      </c>
      <c r="P96" s="320">
        <f>OBRA!P95</f>
        <v>265913.18</v>
      </c>
      <c r="Q96" s="320"/>
      <c r="R96" s="322">
        <f>OBRA!R95</f>
        <v>42016</v>
      </c>
      <c r="S96" s="323">
        <f>OBRA!S95</f>
        <v>42030</v>
      </c>
      <c r="T96" s="404"/>
      <c r="U96" s="926" t="s">
        <v>1431</v>
      </c>
      <c r="V96" s="498" t="s">
        <v>1448</v>
      </c>
      <c r="W96" s="499" t="s">
        <v>2254</v>
      </c>
      <c r="X96" s="927">
        <f>OBRA!AP95</f>
        <v>26591.360000000001</v>
      </c>
      <c r="Y96" s="342"/>
      <c r="Z96" s="342"/>
      <c r="AA96" s="322"/>
      <c r="AB96" s="928">
        <f>OBRA!BT95</f>
        <v>0</v>
      </c>
      <c r="AC96" s="929" t="s">
        <v>551</v>
      </c>
    </row>
    <row r="97" spans="1:38" s="326" customFormat="1" ht="101.25" hidden="1" customHeight="1">
      <c r="A97" s="336" t="s">
        <v>2239</v>
      </c>
      <c r="B97" s="981" t="str">
        <f>GRAL!B98</f>
        <v>2012-2015</v>
      </c>
      <c r="C97" s="315">
        <f>OBRA!I96</f>
        <v>2015</v>
      </c>
      <c r="D97" s="337" t="str">
        <f>OBRA!K96</f>
        <v>CUENTA CORRIENTE</v>
      </c>
      <c r="E97" s="534" t="s">
        <v>1431</v>
      </c>
      <c r="F97" s="540" t="s">
        <v>2255</v>
      </c>
      <c r="G97" s="918" t="s">
        <v>2250</v>
      </c>
      <c r="H97" s="497" t="s">
        <v>2256</v>
      </c>
      <c r="I97" s="338" t="str">
        <f>OBRA!U96</f>
        <v>HIDRAULICOS TRUJILLO S.A. DE C.V.</v>
      </c>
      <c r="J97" s="334" t="str">
        <f>OBRA!V96</f>
        <v>ING. RIGOBERTO OLMEDO RAMOS</v>
      </c>
      <c r="K97" s="481" t="str">
        <f>OBRA!L96</f>
        <v>GMJ 002C OP/2015</v>
      </c>
      <c r="L97" s="318" t="str">
        <f>OBRA!M96</f>
        <v>ADJUDICACIÓN DIRECTA</v>
      </c>
      <c r="M97" s="319" t="str">
        <f>OBRA!N96</f>
        <v>CONEXIÓN DE DRENAJE A PLANTA DE TRATAMIENTO PARALELO A CARRETERA CHAPALA-JOCOTEPEC, EN LA LOCALIDD DE: SAN JUAN COSALA</v>
      </c>
      <c r="N97" s="509" t="s">
        <v>1451</v>
      </c>
      <c r="O97" s="321">
        <f>OBRA!Q96</f>
        <v>42006</v>
      </c>
      <c r="P97" s="320">
        <f>OBRA!P96</f>
        <v>95412.78</v>
      </c>
      <c r="Q97" s="320"/>
      <c r="R97" s="322">
        <f>OBRA!R96</f>
        <v>42006</v>
      </c>
      <c r="S97" s="323">
        <f>OBRA!S96</f>
        <v>42015</v>
      </c>
      <c r="T97" s="404"/>
      <c r="U97" s="926" t="s">
        <v>1431</v>
      </c>
      <c r="V97" s="498" t="s">
        <v>1456</v>
      </c>
      <c r="W97" s="499" t="s">
        <v>2257</v>
      </c>
      <c r="X97" s="927">
        <f>OBRA!AP96</f>
        <v>19082.560000000001</v>
      </c>
      <c r="Y97" s="342"/>
      <c r="Z97" s="342"/>
      <c r="AA97" s="322"/>
      <c r="AB97" s="928">
        <f>OBRA!BT96</f>
        <v>0</v>
      </c>
      <c r="AC97" s="929" t="s">
        <v>551</v>
      </c>
    </row>
    <row r="98" spans="1:38" ht="90.75" hidden="1" customHeight="1">
      <c r="A98" s="23" t="s">
        <v>2239</v>
      </c>
      <c r="B98" s="933" t="str">
        <f>GRAL!B99</f>
        <v>2012-2015</v>
      </c>
      <c r="C98" s="17">
        <f>OBRA!I97</f>
        <v>2015</v>
      </c>
      <c r="D98" s="18" t="str">
        <f>OBRA!K97</f>
        <v>RAMO 33</v>
      </c>
      <c r="E98" s="534" t="s">
        <v>1431</v>
      </c>
      <c r="F98" s="541"/>
      <c r="G98" s="482"/>
      <c r="H98" s="483"/>
      <c r="I98" s="228" t="str">
        <f>OBRA!U97</f>
        <v>G I LANDING S.A. DE C.V.</v>
      </c>
      <c r="J98" s="256" t="str">
        <f>OBRA!V97</f>
        <v>C. DANIEL RODRIGUEZ VALENZUELA</v>
      </c>
      <c r="K98" s="481" t="str">
        <f>OBRA!L97</f>
        <v>GMJ 003C OP/2015</v>
      </c>
      <c r="L98" s="2" t="str">
        <f>OBRA!M97</f>
        <v>INVITACIÓN</v>
      </c>
      <c r="M98" s="3" t="str">
        <f>OBRA!N97</f>
        <v>PERFORACIÓN, ADEME, AFORO, ELECTRIFICACIÓN Y EQUIPAMIENTO DE POZO PROFUNDO Y CONSTRUCCION DE CASETA DE CONTROL EN LA AGENCIA DE SAN LUCIANO</v>
      </c>
      <c r="N98" s="480"/>
      <c r="O98" s="6">
        <f>OBRA!Q97</f>
        <v>42046</v>
      </c>
      <c r="P98" s="4">
        <f>OBRA!P97</f>
        <v>2359096.67</v>
      </c>
      <c r="Q98" s="4"/>
      <c r="R98" s="5">
        <f>OBRA!R97</f>
        <v>42051</v>
      </c>
      <c r="S98" s="12">
        <f>OBRA!S97</f>
        <v>42080</v>
      </c>
      <c r="T98" s="54"/>
      <c r="U98" s="248" t="s">
        <v>1431</v>
      </c>
      <c r="V98" s="480"/>
      <c r="W98" s="484"/>
      <c r="X98" s="305">
        <f>OBRA!AP97</f>
        <v>0</v>
      </c>
      <c r="Y98" s="341"/>
      <c r="Z98" s="341"/>
      <c r="AA98" s="5"/>
      <c r="AB98" s="351">
        <f>OBRA!BT97</f>
        <v>0</v>
      </c>
      <c r="AC98" s="569"/>
      <c r="AE98"/>
      <c r="AF98"/>
      <c r="AG98"/>
      <c r="AH98"/>
      <c r="AI98"/>
      <c r="AJ98"/>
      <c r="AK98"/>
      <c r="AL98"/>
    </row>
    <row r="99" spans="1:38" s="326" customFormat="1" ht="61.5" hidden="1" customHeight="1">
      <c r="A99" s="336" t="s">
        <v>2239</v>
      </c>
      <c r="B99" s="981" t="str">
        <f>GRAL!B100</f>
        <v>2012-2015</v>
      </c>
      <c r="C99" s="315">
        <f>OBRA!I98</f>
        <v>2015</v>
      </c>
      <c r="D99" s="337" t="str">
        <f>OBRA!K98</f>
        <v>RAMO 33</v>
      </c>
      <c r="E99" s="534" t="s">
        <v>1431</v>
      </c>
      <c r="F99" s="540" t="s">
        <v>2258</v>
      </c>
      <c r="G99" s="496" t="s">
        <v>1467</v>
      </c>
      <c r="H99" s="497" t="s">
        <v>2259</v>
      </c>
      <c r="I99" s="338" t="str">
        <f>OBRA!U98</f>
        <v>GECLAN, S.A. DE C.V.</v>
      </c>
      <c r="J99" s="334" t="str">
        <f>OBRA!V98</f>
        <v>C. DANIEL RODRIGUEZ VALENZUELA</v>
      </c>
      <c r="K99" s="481" t="str">
        <f>OBRA!L98</f>
        <v>GMJ 004C OP/2015</v>
      </c>
      <c r="L99" s="318" t="str">
        <f>OBRA!M98</f>
        <v>ADJUDICACIÓN DIRECTA</v>
      </c>
      <c r="M99" s="319" t="str">
        <f>OBRA!N98</f>
        <v>ELECTRIFICACIÓN DE POZO PROFUNDO  EN LA AGENCIA DE SAN LUCIANO</v>
      </c>
      <c r="N99" s="509" t="s">
        <v>1465</v>
      </c>
      <c r="O99" s="321">
        <f>OBRA!Q98</f>
        <v>42209</v>
      </c>
      <c r="P99" s="320">
        <f>OBRA!P98</f>
        <v>260536.84</v>
      </c>
      <c r="Q99" s="320"/>
      <c r="R99" s="322">
        <f>OBRA!R98</f>
        <v>42212</v>
      </c>
      <c r="S99" s="323">
        <f>OBRA!S98</f>
        <v>42225</v>
      </c>
      <c r="T99" s="404"/>
      <c r="U99" s="926" t="s">
        <v>1431</v>
      </c>
      <c r="V99" s="498" t="s">
        <v>1468</v>
      </c>
      <c r="W99" s="499" t="s">
        <v>2260</v>
      </c>
      <c r="X99" s="927">
        <f>OBRA!AP98</f>
        <v>26053.68</v>
      </c>
      <c r="Y99" s="342"/>
      <c r="Z99" s="342"/>
      <c r="AA99" s="322"/>
      <c r="AB99" s="928">
        <f>OBRA!BT98</f>
        <v>0</v>
      </c>
      <c r="AC99" s="929" t="s">
        <v>551</v>
      </c>
    </row>
    <row r="100" spans="1:38" s="326" customFormat="1" ht="99" hidden="1" customHeight="1">
      <c r="A100" s="336" t="s">
        <v>2239</v>
      </c>
      <c r="B100" s="981" t="str">
        <f>GRAL!B101</f>
        <v>2012-2015</v>
      </c>
      <c r="C100" s="315">
        <f>OBRA!I99</f>
        <v>2015</v>
      </c>
      <c r="D100" s="337" t="str">
        <f>OBRA!K99</f>
        <v>RAMO 33</v>
      </c>
      <c r="E100" s="534" t="s">
        <v>1431</v>
      </c>
      <c r="F100" s="540" t="s">
        <v>2261</v>
      </c>
      <c r="G100" s="496" t="s">
        <v>1472</v>
      </c>
      <c r="H100" s="497" t="s">
        <v>2262</v>
      </c>
      <c r="I100" s="338" t="str">
        <f>OBRA!U99</f>
        <v>C. EFRAIN GONZALEZ CRUZ</v>
      </c>
      <c r="J100" s="334" t="str">
        <f>OBRA!V99</f>
        <v>ING. RIGOBERTO OLMEDO RAMOS</v>
      </c>
      <c r="K100" s="481" t="str">
        <f>OBRA!L99</f>
        <v>GMJ 005C OP/2015</v>
      </c>
      <c r="L100" s="318" t="str">
        <f>OBRA!M99</f>
        <v>ADJUDICACIÓN DIRECTA</v>
      </c>
      <c r="M100" s="319" t="str">
        <f>OBRA!N99</f>
        <v>ELECTRIFICACIÓN DE MEDIA Y BAJA TENSION EN CALLES RAMÓN CORONA Y 12 DE OCTUBRE (BARRIO MEZQUITITO 1ER. ETAPA) EN LA DELEGACIÓN DE POTRERILLOS</v>
      </c>
      <c r="N100" s="509" t="s">
        <v>1470</v>
      </c>
      <c r="O100" s="321">
        <f>OBRA!Q99</f>
        <v>42047</v>
      </c>
      <c r="P100" s="320">
        <f>OBRA!P99</f>
        <v>307899.96000000002</v>
      </c>
      <c r="Q100" s="320"/>
      <c r="R100" s="322">
        <f>OBRA!R99</f>
        <v>42051</v>
      </c>
      <c r="S100" s="323">
        <f>OBRA!S99</f>
        <v>42065</v>
      </c>
      <c r="T100" s="404"/>
      <c r="U100" s="926" t="s">
        <v>1431</v>
      </c>
      <c r="V100" s="498" t="s">
        <v>1473</v>
      </c>
      <c r="W100" s="499" t="s">
        <v>2263</v>
      </c>
      <c r="X100" s="927">
        <f>OBRA!AP99</f>
        <v>36948</v>
      </c>
      <c r="Y100" s="342"/>
      <c r="Z100" s="342"/>
      <c r="AA100" s="322"/>
      <c r="AB100" s="928">
        <f>OBRA!BT99</f>
        <v>0</v>
      </c>
      <c r="AC100" s="929" t="s">
        <v>551</v>
      </c>
    </row>
    <row r="101" spans="1:38" s="326" customFormat="1" ht="74.25" hidden="1" customHeight="1">
      <c r="A101" s="336" t="s">
        <v>2239</v>
      </c>
      <c r="B101" s="981" t="str">
        <f>GRAL!B102</f>
        <v>2012-2015</v>
      </c>
      <c r="C101" s="315">
        <f>OBRA!I100</f>
        <v>2015</v>
      </c>
      <c r="D101" s="337" t="str">
        <f>OBRA!K100</f>
        <v>RAMO 33</v>
      </c>
      <c r="E101" s="534" t="s">
        <v>1431</v>
      </c>
      <c r="F101" s="540" t="s">
        <v>2264</v>
      </c>
      <c r="G101" s="496" t="s">
        <v>1475</v>
      </c>
      <c r="H101" s="497" t="s">
        <v>2265</v>
      </c>
      <c r="I101" s="338" t="str">
        <f>OBRA!U100</f>
        <v>C. EFRAIN GONZALEZ CRUZ</v>
      </c>
      <c r="J101" s="334" t="str">
        <f>OBRA!V100</f>
        <v>ING. RIGOBERTO OLMEDO RAMOS</v>
      </c>
      <c r="K101" s="481" t="str">
        <f>OBRA!L100</f>
        <v>GMJ 006C OP/2015</v>
      </c>
      <c r="L101" s="318" t="str">
        <f>OBRA!M100</f>
        <v>ADJUDICACIÓN DIRECTA</v>
      </c>
      <c r="M101" s="319" t="str">
        <f>OBRA!N100</f>
        <v>ELECTRIFICACIÓN DE MEDIA Y BAJA TENSION EN EL BARRIO "LA BECERRERA" 2DA ETAPA, EN LA AGENCIA DE EL MOLINO</v>
      </c>
      <c r="N101" s="509" t="s">
        <v>1474</v>
      </c>
      <c r="O101" s="321">
        <f>OBRA!Q100</f>
        <v>42109</v>
      </c>
      <c r="P101" s="320">
        <f>OBRA!P100</f>
        <v>422690.66</v>
      </c>
      <c r="Q101" s="320"/>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t="s">
        <v>551</v>
      </c>
    </row>
    <row r="102" spans="1:38" s="326" customFormat="1" ht="63.75" hidden="1" customHeight="1">
      <c r="A102" s="336" t="s">
        <v>2239</v>
      </c>
      <c r="B102" s="981" t="str">
        <f>GRAL!B103</f>
        <v>2012-2015</v>
      </c>
      <c r="C102" s="315">
        <f>OBRA!I101</f>
        <v>2015</v>
      </c>
      <c r="D102" s="337" t="str">
        <f>OBRA!K101</f>
        <v>RAMO 33</v>
      </c>
      <c r="E102" s="534" t="s">
        <v>1431</v>
      </c>
      <c r="F102" s="540" t="s">
        <v>2267</v>
      </c>
      <c r="G102" s="496" t="s">
        <v>1480</v>
      </c>
      <c r="H102" s="497" t="s">
        <v>2268</v>
      </c>
      <c r="I102" s="338" t="str">
        <f>OBRA!U101</f>
        <v>C. EFRAIN GONZALEZ CRUZ</v>
      </c>
      <c r="J102" s="334" t="str">
        <f>OBRA!V101</f>
        <v>ING. RIGOBERTO OLMEDO RAMOS</v>
      </c>
      <c r="K102" s="481" t="str">
        <f>OBRA!L101</f>
        <v>GMJ 011C OP/2015</v>
      </c>
      <c r="L102" s="318" t="str">
        <f>OBRA!M101</f>
        <v>ADJUDICACIÓN DIRECTA</v>
      </c>
      <c r="M102" s="319" t="str">
        <f>OBRA!N101</f>
        <v>ALUMBRADO PUBLICO AL INGRESO DEL POBLADO DE HUEJOTITAN</v>
      </c>
      <c r="N102" s="509" t="s">
        <v>1479</v>
      </c>
      <c r="O102" s="321">
        <f>OBRA!Q101</f>
        <v>42209</v>
      </c>
      <c r="P102" s="320">
        <f>OBRA!P101</f>
        <v>1182630</v>
      </c>
      <c r="Q102" s="320"/>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t="s">
        <v>551</v>
      </c>
    </row>
    <row r="103" spans="1:38" s="110" customFormat="1" ht="45.75" hidden="1" customHeight="1">
      <c r="A103" s="87" t="s">
        <v>2239</v>
      </c>
      <c r="B103" s="946" t="str">
        <f>GRAL!B104</f>
        <v>2012-2015</v>
      </c>
      <c r="C103" s="88">
        <f>OBRA!I102</f>
        <v>2015</v>
      </c>
      <c r="D103" s="103" t="str">
        <f>OBRA!K102</f>
        <v>CUENTA CORRIENTE</v>
      </c>
      <c r="E103" s="392" t="s">
        <v>1431</v>
      </c>
      <c r="F103" s="948"/>
      <c r="G103" s="949"/>
      <c r="H103" s="950"/>
      <c r="I103" s="303" t="str">
        <f>OBRA!U102</f>
        <v>-</v>
      </c>
      <c r="J103" s="304">
        <f>OBRA!V102</f>
        <v>0</v>
      </c>
      <c r="K103" s="340" t="str">
        <f>OBRA!L102</f>
        <v>GMJ 011C OP/2015</v>
      </c>
      <c r="L103" s="203" t="str">
        <f>OBRA!M102</f>
        <v>CANCELADA</v>
      </c>
      <c r="M103" s="112" t="str">
        <f>OBRA!N102</f>
        <v>AMPLIACIÓN DE ELECTRIFICACION EN BARRIO EL TORIL DE ZAPOTITAN DE HIDALGO</v>
      </c>
      <c r="N103" s="938"/>
      <c r="O103" s="93" t="s">
        <v>68</v>
      </c>
      <c r="P103" s="92">
        <f>OBRA!P102</f>
        <v>0</v>
      </c>
      <c r="Q103" s="92"/>
      <c r="R103" s="94" t="s">
        <v>68</v>
      </c>
      <c r="S103" s="95" t="s">
        <v>68</v>
      </c>
      <c r="T103" s="107"/>
      <c r="U103" s="107" t="s">
        <v>1431</v>
      </c>
      <c r="V103" s="938"/>
      <c r="W103" s="942"/>
      <c r="X103" s="947">
        <f>OBRA!AP102</f>
        <v>0</v>
      </c>
      <c r="Y103" s="343"/>
      <c r="Z103" s="343"/>
      <c r="AA103" s="94"/>
      <c r="AB103" s="511" t="str">
        <f>OBRA!BT102</f>
        <v>SE HIZO POR MANTENIMIENTO</v>
      </c>
      <c r="AC103" s="570"/>
    </row>
    <row r="104" spans="1:38" ht="75.75" hidden="1" customHeight="1">
      <c r="A104" s="23" t="s">
        <v>2239</v>
      </c>
      <c r="B104" s="933" t="str">
        <f>GRAL!B105</f>
        <v>2012-2015</v>
      </c>
      <c r="C104" s="17">
        <f>OBRA!I103</f>
        <v>2015</v>
      </c>
      <c r="D104" s="18" t="str">
        <f>OBRA!K103</f>
        <v>CUENTA CORRIENTE</v>
      </c>
      <c r="E104" s="14" t="s">
        <v>1431</v>
      </c>
      <c r="F104" s="541"/>
      <c r="G104" s="482"/>
      <c r="H104" s="483"/>
      <c r="I104" s="228" t="str">
        <f>OBRA!U103</f>
        <v>-</v>
      </c>
      <c r="J104" s="256" t="str">
        <f>OBRA!V103</f>
        <v>ING. RIGOBERTO OLMEDO RAMOS</v>
      </c>
      <c r="K104" s="481" t="str">
        <f>OBRA!L103</f>
        <v>DOP/AD/001/2015</v>
      </c>
      <c r="L104" s="2" t="str">
        <f>OBRA!M103</f>
        <v>ADMINISTRACIÓN DIRECTA</v>
      </c>
      <c r="M104" s="3" t="str">
        <f>OBRA!N103</f>
        <v>BACHEO CON MEZCLA ASFALTICA CALIENTE EN LAS CALLES ALLENDE, JUAREZ, HIDALGO Y PERO MORENO, EN LA DELEGCION DE ZAPOTITAN DE HIDALGO</v>
      </c>
      <c r="N104" s="480"/>
      <c r="O104" s="6">
        <f>OBRA!Q103</f>
        <v>42128</v>
      </c>
      <c r="P104" s="4">
        <f>OBRA!P103</f>
        <v>92000</v>
      </c>
      <c r="Q104" s="4"/>
      <c r="R104" s="5">
        <f>OBRA!R103</f>
        <v>42128</v>
      </c>
      <c r="S104" s="12">
        <f>OBRA!S103</f>
        <v>42133</v>
      </c>
      <c r="T104" s="54"/>
      <c r="U104" s="248" t="s">
        <v>1431</v>
      </c>
      <c r="V104" s="480"/>
      <c r="W104" s="484"/>
      <c r="X104" s="305">
        <f>OBRA!AP103</f>
        <v>0</v>
      </c>
      <c r="Y104" s="341"/>
      <c r="Z104" s="341"/>
      <c r="AA104" s="5"/>
      <c r="AB104" s="351">
        <f>OBRA!BT103</f>
        <v>0</v>
      </c>
      <c r="AC104" s="569"/>
      <c r="AE104"/>
      <c r="AF104"/>
      <c r="AG104"/>
      <c r="AH104"/>
      <c r="AI104"/>
      <c r="AJ104"/>
      <c r="AK104"/>
      <c r="AL104"/>
    </row>
    <row r="105" spans="1:38" ht="75.75" hidden="1" customHeight="1">
      <c r="A105" s="23" t="s">
        <v>2239</v>
      </c>
      <c r="B105" s="933" t="str">
        <f>GRAL!B106</f>
        <v>2012-2015</v>
      </c>
      <c r="C105" s="17">
        <f>OBRA!I104</f>
        <v>2015</v>
      </c>
      <c r="D105" s="18" t="str">
        <f>OBRA!K104</f>
        <v>CUENTA CORRIENTE</v>
      </c>
      <c r="E105" s="525" t="s">
        <v>1431</v>
      </c>
      <c r="F105" s="541"/>
      <c r="G105" s="482"/>
      <c r="H105" s="483"/>
      <c r="I105" s="228" t="str">
        <f>OBRA!U104</f>
        <v>-</v>
      </c>
      <c r="J105" s="256" t="str">
        <f>OBRA!V104</f>
        <v>JUAN CARLOS NAVARRO ROSALES</v>
      </c>
      <c r="K105" s="481" t="str">
        <f>OBRA!L104</f>
        <v>DOP/AD/002/2015</v>
      </c>
      <c r="L105" s="2" t="str">
        <f>OBRA!M104</f>
        <v>ADMINISTRACIÓN DIRECTA</v>
      </c>
      <c r="M105" s="3" t="str">
        <f>OBRA!N104</f>
        <v>CONSTRUCCION DE RED DE DRENAJE EN C. ZARAGOZA DE PRIVADA ZARAGOZA A AVENIDA DEL TRABAJO, EN LA DELEGACION DE SAN CRISTOBAL ZAPOTITLAN</v>
      </c>
      <c r="N105" s="480"/>
      <c r="O105" s="6">
        <f>OBRA!Q104</f>
        <v>42186</v>
      </c>
      <c r="P105" s="4">
        <f>OBRA!P104</f>
        <v>180484.7</v>
      </c>
      <c r="Q105" s="4"/>
      <c r="R105" s="5">
        <f>OBRA!R104</f>
        <v>42186</v>
      </c>
      <c r="S105" s="12">
        <f>OBRA!S104</f>
        <v>42195</v>
      </c>
      <c r="T105" s="54"/>
      <c r="U105" s="248" t="s">
        <v>1431</v>
      </c>
      <c r="V105" s="480"/>
      <c r="W105" s="484"/>
      <c r="X105" s="305">
        <f>OBRA!AP104</f>
        <v>0</v>
      </c>
      <c r="Y105" s="341"/>
      <c r="Z105" s="341"/>
      <c r="AA105" s="5"/>
      <c r="AB105" s="351">
        <f>OBRA!BT104</f>
        <v>0</v>
      </c>
      <c r="AC105" s="569"/>
      <c r="AE105"/>
      <c r="AF105"/>
      <c r="AG105"/>
      <c r="AH105"/>
      <c r="AI105"/>
      <c r="AJ105"/>
      <c r="AK105"/>
      <c r="AL105"/>
    </row>
    <row r="106" spans="1:38" ht="90.75" hidden="1" customHeight="1">
      <c r="A106" s="23" t="s">
        <v>2239</v>
      </c>
      <c r="B106" s="933" t="str">
        <f>GRAL!B107</f>
        <v>2012-2015</v>
      </c>
      <c r="C106" s="17">
        <f>OBRA!I105</f>
        <v>2015</v>
      </c>
      <c r="D106" s="18" t="str">
        <f>OBRA!K105</f>
        <v>CUENTA CORRIENTE</v>
      </c>
      <c r="E106" s="525" t="s">
        <v>1431</v>
      </c>
      <c r="F106" s="541"/>
      <c r="G106" s="482"/>
      <c r="H106" s="483"/>
      <c r="I106" s="228" t="str">
        <f>OBRA!U105</f>
        <v>-</v>
      </c>
      <c r="J106" s="256" t="str">
        <f>OBRA!V105</f>
        <v>JUAN CARLOS NAVARRO ROSALES</v>
      </c>
      <c r="K106" s="48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80"/>
      <c r="O106" s="6">
        <f>OBRA!Q105</f>
        <v>42186</v>
      </c>
      <c r="P106" s="4">
        <f>OBRA!P105</f>
        <v>117631.84</v>
      </c>
      <c r="Q106" s="4"/>
      <c r="R106" s="5">
        <f>OBRA!R105</f>
        <v>42186</v>
      </c>
      <c r="S106" s="12">
        <f>OBRA!S105</f>
        <v>42195</v>
      </c>
      <c r="T106" s="54"/>
      <c r="U106" s="248" t="s">
        <v>1431</v>
      </c>
      <c r="V106" s="480"/>
      <c r="W106" s="484"/>
      <c r="X106" s="305">
        <f>OBRA!AP105</f>
        <v>0</v>
      </c>
      <c r="Y106" s="341"/>
      <c r="Z106" s="341"/>
      <c r="AA106" s="5"/>
      <c r="AB106" s="351">
        <f>OBRA!BT105</f>
        <v>0</v>
      </c>
      <c r="AC106" s="569"/>
      <c r="AE106"/>
      <c r="AF106"/>
      <c r="AG106"/>
      <c r="AH106"/>
      <c r="AI106"/>
      <c r="AJ106"/>
      <c r="AK106"/>
      <c r="AL106"/>
    </row>
    <row r="107" spans="1:38" ht="75.75" hidden="1" customHeight="1">
      <c r="A107" s="23" t="s">
        <v>2239</v>
      </c>
      <c r="B107" s="933" t="str">
        <f>GRAL!B108</f>
        <v>2012-2015</v>
      </c>
      <c r="C107" s="17">
        <f>OBRA!I106</f>
        <v>2015</v>
      </c>
      <c r="D107" s="18" t="str">
        <f>OBRA!K106</f>
        <v>RAMO 33</v>
      </c>
      <c r="E107" s="525" t="s">
        <v>1431</v>
      </c>
      <c r="F107" s="541"/>
      <c r="G107" s="482"/>
      <c r="H107" s="483"/>
      <c r="I107" s="228" t="str">
        <f>OBRA!U106</f>
        <v>-</v>
      </c>
      <c r="J107" s="256" t="str">
        <f>OBRA!V106</f>
        <v>JUAN CARLOS NAVARRO ROSALES</v>
      </c>
      <c r="K107" s="481" t="str">
        <f>OBRA!L106</f>
        <v>DOP/AD/004/2015</v>
      </c>
      <c r="L107" s="2" t="str">
        <f>OBRA!M106</f>
        <v>ADMINISTRACIÓN DIRECTA</v>
      </c>
      <c r="M107" s="3" t="str">
        <f>OBRA!N106</f>
        <v>CONSTRUCCION DE RED DE DRENAJE EN C. VENUSTIANO CARRANZA Y JAVIER MINA DE C. ITURBIDE  A FRANCISCO VILLA, EN LA CABECERA MUNICIPAL</v>
      </c>
      <c r="N107" s="480"/>
      <c r="O107" s="6">
        <f>OBRA!Q106</f>
        <v>42193</v>
      </c>
      <c r="P107" s="4">
        <f>OBRA!P106</f>
        <v>315420.59999999998</v>
      </c>
      <c r="Q107" s="4"/>
      <c r="R107" s="5">
        <f>OBRA!R106</f>
        <v>42193</v>
      </c>
      <c r="S107" s="12">
        <f>OBRA!S106</f>
        <v>42200</v>
      </c>
      <c r="T107" s="54"/>
      <c r="U107" s="248" t="s">
        <v>1431</v>
      </c>
      <c r="V107" s="480"/>
      <c r="W107" s="484"/>
      <c r="X107" s="305">
        <f>OBRA!AP106</f>
        <v>0</v>
      </c>
      <c r="Y107" s="341"/>
      <c r="Z107" s="341"/>
      <c r="AA107" s="5"/>
      <c r="AB107" s="351">
        <f>OBRA!BT106</f>
        <v>0</v>
      </c>
      <c r="AC107" s="569"/>
      <c r="AE107"/>
      <c r="AF107"/>
      <c r="AG107"/>
      <c r="AH107"/>
      <c r="AI107"/>
      <c r="AJ107"/>
      <c r="AK107"/>
      <c r="AL107"/>
    </row>
    <row r="108" spans="1:38" ht="60.75" hidden="1" customHeight="1">
      <c r="A108" s="23" t="s">
        <v>2239</v>
      </c>
      <c r="B108" s="933" t="str">
        <f>GRAL!B109</f>
        <v>2012-2015</v>
      </c>
      <c r="C108" s="17">
        <f>OBRA!I107</f>
        <v>2015</v>
      </c>
      <c r="D108" s="18" t="str">
        <f>OBRA!K107</f>
        <v>RAMO 33</v>
      </c>
      <c r="E108" s="525" t="s">
        <v>1431</v>
      </c>
      <c r="F108" s="541"/>
      <c r="G108" s="482"/>
      <c r="H108" s="483"/>
      <c r="I108" s="228" t="str">
        <f>OBRA!U107</f>
        <v>-</v>
      </c>
      <c r="J108" s="256" t="str">
        <f>OBRA!V107</f>
        <v>JUAN CARLOS NAVARRO ROSALES</v>
      </c>
      <c r="K108" s="481" t="str">
        <f>OBRA!L107</f>
        <v>DOP/AD/005/2015</v>
      </c>
      <c r="L108" s="2" t="str">
        <f>OBRA!M107</f>
        <v>ADMINISTRACIÓN DIRECTA</v>
      </c>
      <c r="M108" s="3" t="str">
        <f>OBRA!N107</f>
        <v>CONSTRUCCION DE RED DE DRENAJE EN C. 21 DE MARZO E ITURBIDE DE C. VERANO A 20 DE NOVIEMBRE, EN LA CABECERA MUNICIPAL</v>
      </c>
      <c r="N108" s="480"/>
      <c r="O108" s="6">
        <f>OBRA!Q107</f>
        <v>42201</v>
      </c>
      <c r="P108" s="4">
        <f>OBRA!P107</f>
        <v>144879.81</v>
      </c>
      <c r="Q108" s="4"/>
      <c r="R108" s="5">
        <f>OBRA!R107</f>
        <v>42201</v>
      </c>
      <c r="S108" s="12">
        <f>OBRA!S107</f>
        <v>42216</v>
      </c>
      <c r="T108" s="54"/>
      <c r="U108" s="248" t="s">
        <v>1431</v>
      </c>
      <c r="V108" s="480"/>
      <c r="W108" s="484"/>
      <c r="X108" s="305">
        <f>OBRA!AP107</f>
        <v>0</v>
      </c>
      <c r="Y108" s="341"/>
      <c r="Z108" s="341"/>
      <c r="AA108" s="5"/>
      <c r="AB108" s="351">
        <f>OBRA!BT107</f>
        <v>0</v>
      </c>
      <c r="AC108" s="569"/>
      <c r="AE108"/>
      <c r="AF108"/>
      <c r="AG108"/>
      <c r="AH108"/>
      <c r="AI108"/>
      <c r="AJ108"/>
      <c r="AK108"/>
      <c r="AL108"/>
    </row>
    <row r="109" spans="1:38" ht="45.75" hidden="1" customHeight="1">
      <c r="A109" s="23" t="s">
        <v>2239</v>
      </c>
      <c r="B109" s="933" t="str">
        <f>GRAL!B110</f>
        <v>2012-2015</v>
      </c>
      <c r="C109" s="17">
        <f>OBRA!I108</f>
        <v>2015</v>
      </c>
      <c r="D109" s="18" t="str">
        <f>OBRA!K108</f>
        <v>RAMO 33</v>
      </c>
      <c r="E109" s="527" t="s">
        <v>1431</v>
      </c>
      <c r="F109" s="541"/>
      <c r="G109" s="482"/>
      <c r="H109" s="483"/>
      <c r="I109" s="228" t="str">
        <f>OBRA!U108</f>
        <v>-</v>
      </c>
      <c r="J109" s="256" t="str">
        <f>OBRA!V108</f>
        <v>JUAN CARLOS NAVARRO ROSALES</v>
      </c>
      <c r="K109" s="481" t="str">
        <f>OBRA!L108</f>
        <v>DOP/AD/006/2015</v>
      </c>
      <c r="L109" s="2" t="str">
        <f>OBRA!M108</f>
        <v>ADMINISTRACIÓN DIRECTA</v>
      </c>
      <c r="M109" s="3" t="str">
        <f>OBRA!N108</f>
        <v>CONSTRUCCION DE RED DE DRENAJE EN LA PRIVADA VERANO, EN LA CABECERA MUNICIPAL</v>
      </c>
      <c r="N109" s="480"/>
      <c r="O109" s="6">
        <f>OBRA!Q108</f>
        <v>42201</v>
      </c>
      <c r="P109" s="4">
        <f>OBRA!P108</f>
        <v>74934.460000000006</v>
      </c>
      <c r="Q109" s="4"/>
      <c r="R109" s="5">
        <f>OBRA!R108</f>
        <v>42201</v>
      </c>
      <c r="S109" s="12">
        <f>OBRA!S108</f>
        <v>42216</v>
      </c>
      <c r="T109" s="54"/>
      <c r="U109" s="248" t="s">
        <v>1431</v>
      </c>
      <c r="V109" s="480"/>
      <c r="W109" s="484"/>
      <c r="X109" s="305">
        <f>OBRA!AP108</f>
        <v>0</v>
      </c>
      <c r="Y109" s="341"/>
      <c r="Z109" s="341"/>
      <c r="AA109" s="5"/>
      <c r="AB109" s="351">
        <f>OBRA!BT108</f>
        <v>0</v>
      </c>
      <c r="AC109" s="569"/>
      <c r="AE109"/>
      <c r="AF109"/>
      <c r="AG109"/>
      <c r="AH109"/>
      <c r="AI109"/>
      <c r="AJ109"/>
      <c r="AK109"/>
      <c r="AL109"/>
    </row>
    <row r="110" spans="1:38" ht="60.75" hidden="1" customHeight="1">
      <c r="A110" s="23" t="s">
        <v>2239</v>
      </c>
      <c r="B110" s="933" t="str">
        <f>GRAL!B111</f>
        <v>2012-2015</v>
      </c>
      <c r="C110" s="17">
        <f>OBRA!I109</f>
        <v>2015</v>
      </c>
      <c r="D110" s="18" t="str">
        <f>OBRA!K109</f>
        <v>RAMO 33</v>
      </c>
      <c r="E110" s="528" t="s">
        <v>1431</v>
      </c>
      <c r="F110" s="541"/>
      <c r="G110" s="482"/>
      <c r="H110" s="483"/>
      <c r="I110" s="228" t="str">
        <f>OBRA!U109</f>
        <v>-</v>
      </c>
      <c r="J110" s="256" t="str">
        <f>OBRA!V109</f>
        <v>JUAN CARLOS NAVARRO ROSALES</v>
      </c>
      <c r="K110" s="481" t="str">
        <f>OBRA!L109</f>
        <v>DOP/AD/007/2015</v>
      </c>
      <c r="L110" s="2" t="str">
        <f>OBRA!M109</f>
        <v>ADMINISTRACIÓN DIRECTA</v>
      </c>
      <c r="M110" s="3" t="str">
        <f>OBRA!N109</f>
        <v>CONSTRUCCION DE RED DE AGUA POTABL EEN LA CALLE PRIVADA VERANO, EN LA CABECERA MUNICIPAL</v>
      </c>
      <c r="N110" s="480"/>
      <c r="O110" s="6">
        <f>OBRA!Q109</f>
        <v>42219</v>
      </c>
      <c r="P110" s="4">
        <f>OBRA!P109</f>
        <v>116511.12</v>
      </c>
      <c r="Q110" s="4"/>
      <c r="R110" s="5">
        <f>OBRA!R109</f>
        <v>42219</v>
      </c>
      <c r="S110" s="12">
        <f>OBRA!S109</f>
        <v>42226</v>
      </c>
      <c r="T110" s="54"/>
      <c r="U110" s="248" t="s">
        <v>1431</v>
      </c>
      <c r="V110" s="480"/>
      <c r="W110" s="484"/>
      <c r="X110" s="305">
        <f>OBRA!AP109</f>
        <v>0</v>
      </c>
      <c r="Y110" s="341"/>
      <c r="Z110" s="341"/>
      <c r="AA110" s="5"/>
      <c r="AB110" s="351">
        <f>OBRA!BT109</f>
        <v>0</v>
      </c>
      <c r="AC110" s="569"/>
      <c r="AE110"/>
      <c r="AF110"/>
      <c r="AG110"/>
      <c r="AH110"/>
      <c r="AI110"/>
      <c r="AJ110"/>
      <c r="AK110"/>
      <c r="AL110"/>
    </row>
    <row r="111" spans="1:38" ht="60.75" hidden="1" customHeight="1">
      <c r="A111" s="23" t="s">
        <v>2239</v>
      </c>
      <c r="B111" s="933" t="str">
        <f>GRAL!B112</f>
        <v>2012-2015</v>
      </c>
      <c r="C111" s="17">
        <f>OBRA!I110</f>
        <v>2015</v>
      </c>
      <c r="D111" s="18" t="str">
        <f>OBRA!K110</f>
        <v>RAMO 33</v>
      </c>
      <c r="E111" s="528" t="s">
        <v>1431</v>
      </c>
      <c r="F111" s="541"/>
      <c r="G111" s="482"/>
      <c r="H111" s="483"/>
      <c r="I111" s="228" t="str">
        <f>OBRA!U110</f>
        <v>-</v>
      </c>
      <c r="J111" s="256" t="str">
        <f>OBRA!V110</f>
        <v>JUAN CARLOS NAVARRO ROSALES</v>
      </c>
      <c r="K111" s="481" t="str">
        <f>OBRA!L110</f>
        <v>DOP/AD/008/2015</v>
      </c>
      <c r="L111" s="2" t="str">
        <f>OBRA!M110</f>
        <v>ADMINISTRACIÓN DIRECTA</v>
      </c>
      <c r="M111" s="3" t="str">
        <f>OBRA!N110</f>
        <v>CONSTRUCCION DE RED DE DRENAJE EN LA C. VERANO DE C. LOPEZ RAYON A NIÑOS HEROES, EN LA CABECERA MUNICIPAL</v>
      </c>
      <c r="N111" s="480"/>
      <c r="O111" s="6">
        <f>OBRA!Q110</f>
        <v>42201</v>
      </c>
      <c r="P111" s="4">
        <f>OBRA!P110</f>
        <v>256635.81</v>
      </c>
      <c r="Q111" s="4"/>
      <c r="R111" s="5">
        <f>OBRA!R110</f>
        <v>42201</v>
      </c>
      <c r="S111" s="12">
        <f>OBRA!S110</f>
        <v>42216</v>
      </c>
      <c r="T111" s="54"/>
      <c r="U111" s="248" t="s">
        <v>1431</v>
      </c>
      <c r="V111" s="480"/>
      <c r="W111" s="484"/>
      <c r="X111" s="305">
        <f>OBRA!AP110</f>
        <v>0</v>
      </c>
      <c r="Y111" s="341"/>
      <c r="Z111" s="341"/>
      <c r="AA111" s="5"/>
      <c r="AB111" s="351">
        <f>OBRA!BT110</f>
        <v>0</v>
      </c>
      <c r="AC111" s="569"/>
      <c r="AE111"/>
      <c r="AF111"/>
      <c r="AG111"/>
      <c r="AH111"/>
      <c r="AI111"/>
      <c r="AJ111"/>
      <c r="AK111"/>
      <c r="AL111"/>
    </row>
    <row r="112" spans="1:38" ht="45.75" hidden="1" customHeight="1">
      <c r="A112" s="23" t="s">
        <v>2239</v>
      </c>
      <c r="B112" s="933" t="str">
        <f>GRAL!B113</f>
        <v>2012-2015</v>
      </c>
      <c r="C112" s="17">
        <f>OBRA!I111</f>
        <v>2015</v>
      </c>
      <c r="D112" s="18" t="str">
        <f>OBRA!K111</f>
        <v>RAMO 33</v>
      </c>
      <c r="E112" s="528" t="s">
        <v>1431</v>
      </c>
      <c r="F112" s="541"/>
      <c r="G112" s="482"/>
      <c r="H112" s="483"/>
      <c r="I112" s="228" t="str">
        <f>OBRA!U111</f>
        <v>-</v>
      </c>
      <c r="J112" s="256" t="str">
        <f>OBRA!V111</f>
        <v>JUAN CARLOS NAVARRO ROSALES</v>
      </c>
      <c r="K112" s="481" t="str">
        <f>OBRA!L111</f>
        <v>DOP/AD/009/2015</v>
      </c>
      <c r="L112" s="2" t="str">
        <f>OBRA!M111</f>
        <v>ADMINISTRACIÓN DIRECTA</v>
      </c>
      <c r="M112" s="3" t="str">
        <f>OBRA!N111</f>
        <v>CONSTRUCCION DE RED DE AGUA POTABLE EN C. VERANO DE C. LOPEZ RAYON A NIÑOS HEROES</v>
      </c>
      <c r="N112" s="480"/>
      <c r="O112" s="6">
        <f>OBRA!Q111</f>
        <v>42188</v>
      </c>
      <c r="P112" s="4">
        <f>OBRA!P111</f>
        <v>186751.07</v>
      </c>
      <c r="Q112" s="4"/>
      <c r="R112" s="5">
        <f>OBRA!R111</f>
        <v>42191</v>
      </c>
      <c r="S112" s="12">
        <f>OBRA!S111</f>
        <v>42210</v>
      </c>
      <c r="T112" s="54"/>
      <c r="U112" s="248" t="s">
        <v>1431</v>
      </c>
      <c r="V112" s="480"/>
      <c r="W112" s="484"/>
      <c r="X112" s="305">
        <f>OBRA!AP111</f>
        <v>0</v>
      </c>
      <c r="Y112" s="341"/>
      <c r="Z112" s="341"/>
      <c r="AA112" s="5"/>
      <c r="AB112" s="351">
        <f>OBRA!BT111</f>
        <v>0</v>
      </c>
      <c r="AC112" s="569"/>
      <c r="AE112"/>
      <c r="AF112"/>
      <c r="AG112"/>
      <c r="AH112"/>
      <c r="AI112"/>
      <c r="AJ112"/>
      <c r="AK112"/>
      <c r="AL112"/>
    </row>
    <row r="113" spans="1:38" ht="60.75" hidden="1" customHeight="1">
      <c r="A113" s="23" t="s">
        <v>2239</v>
      </c>
      <c r="B113" s="933" t="str">
        <f>GRAL!B114</f>
        <v>2012-2015</v>
      </c>
      <c r="C113" s="17">
        <f>OBRA!I112</f>
        <v>2015</v>
      </c>
      <c r="D113" s="18" t="str">
        <f>OBRA!K112</f>
        <v>RAMO 33</v>
      </c>
      <c r="E113" s="528" t="s">
        <v>1431</v>
      </c>
      <c r="F113" s="541"/>
      <c r="G113" s="482"/>
      <c r="H113" s="483"/>
      <c r="I113" s="228" t="str">
        <f>OBRA!U112</f>
        <v>-</v>
      </c>
      <c r="J113" s="256" t="str">
        <f>OBRA!V112</f>
        <v>JUAN CARLOS NAVARRO ROSALES</v>
      </c>
      <c r="K113" s="481" t="str">
        <f>OBRA!L112</f>
        <v>DOP/AD/010/2015</v>
      </c>
      <c r="L113" s="2" t="str">
        <f>OBRA!M112</f>
        <v>ADMINISTRACIÓN DIRECTA</v>
      </c>
      <c r="M113" s="3" t="str">
        <f>OBRA!N112</f>
        <v>CONSTRUCCION DE RED DE DRENAJE EN LA C. LOPEZ RAYON ENTRE PRIVADA INDEPENDENCIA A OTOÑO, EN LA CABECERA MUNICIPAL</v>
      </c>
      <c r="N113" s="480"/>
      <c r="O113" s="6">
        <f>OBRA!Q112</f>
        <v>42210</v>
      </c>
      <c r="P113" s="4">
        <f>OBRA!P112</f>
        <v>359833.1</v>
      </c>
      <c r="Q113" s="4"/>
      <c r="R113" s="5">
        <f>OBRA!R112</f>
        <v>42210</v>
      </c>
      <c r="S113" s="12">
        <f>OBRA!S112</f>
        <v>42226</v>
      </c>
      <c r="T113" s="54"/>
      <c r="U113" s="248" t="s">
        <v>1431</v>
      </c>
      <c r="V113" s="480"/>
      <c r="W113" s="484"/>
      <c r="X113" s="305">
        <f>OBRA!AP112</f>
        <v>0</v>
      </c>
      <c r="Y113" s="341"/>
      <c r="Z113" s="341"/>
      <c r="AA113" s="5"/>
      <c r="AB113" s="351">
        <f>OBRA!BT112</f>
        <v>0</v>
      </c>
      <c r="AC113" s="569"/>
      <c r="AE113"/>
      <c r="AF113"/>
      <c r="AG113"/>
      <c r="AH113"/>
      <c r="AI113"/>
      <c r="AJ113"/>
      <c r="AK113"/>
      <c r="AL113"/>
    </row>
    <row r="114" spans="1:38" ht="60.75" hidden="1" customHeight="1">
      <c r="A114" s="23" t="s">
        <v>2239</v>
      </c>
      <c r="B114" s="933" t="str">
        <f>GRAL!B115</f>
        <v>2012-2015</v>
      </c>
      <c r="C114" s="17">
        <f>OBRA!I113</f>
        <v>2015</v>
      </c>
      <c r="D114" s="18" t="str">
        <f>OBRA!K113</f>
        <v>RAMO 33</v>
      </c>
      <c r="E114" s="528" t="s">
        <v>1431</v>
      </c>
      <c r="F114" s="541"/>
      <c r="G114" s="482"/>
      <c r="H114" s="483"/>
      <c r="I114" s="228" t="str">
        <f>OBRA!U113</f>
        <v>-</v>
      </c>
      <c r="J114" s="256" t="str">
        <f>OBRA!V113</f>
        <v>JUAN CARLOS NAVARRO ROSALES</v>
      </c>
      <c r="K114" s="481" t="str">
        <f>OBRA!L113</f>
        <v>DOP/AD/011/2015</v>
      </c>
      <c r="L114" s="2" t="str">
        <f>OBRA!M113</f>
        <v>ADMINISTRACIÓN DIRECTA</v>
      </c>
      <c r="M114" s="3" t="str">
        <f>OBRA!N113</f>
        <v>CONSTRUCCION DE RED DE AGUA POTABLE EN C. LOPEZ RAYON ENTRE PRIVADA INDEPENDENCIA Y OTOÑO, EN LA CABECERA MUNICIPAL</v>
      </c>
      <c r="N114" s="480"/>
      <c r="O114" s="6">
        <f>OBRA!Q113</f>
        <v>42226</v>
      </c>
      <c r="P114" s="4">
        <f>OBRA!P113</f>
        <v>225508.89</v>
      </c>
      <c r="Q114" s="4"/>
      <c r="R114" s="5">
        <f>OBRA!R113</f>
        <v>42226</v>
      </c>
      <c r="S114" s="12">
        <f>OBRA!S113</f>
        <v>42238</v>
      </c>
      <c r="T114" s="54"/>
      <c r="U114" s="248" t="s">
        <v>1431</v>
      </c>
      <c r="V114" s="480"/>
      <c r="W114" s="484"/>
      <c r="X114" s="305">
        <f>OBRA!AP113</f>
        <v>0</v>
      </c>
      <c r="Y114" s="341"/>
      <c r="Z114" s="341"/>
      <c r="AA114" s="5"/>
      <c r="AB114" s="351">
        <f>OBRA!BT113</f>
        <v>0</v>
      </c>
      <c r="AC114" s="569"/>
      <c r="AE114"/>
      <c r="AF114"/>
      <c r="AG114"/>
      <c r="AH114"/>
      <c r="AI114"/>
      <c r="AJ114"/>
      <c r="AK114"/>
      <c r="AL114"/>
    </row>
    <row r="115" spans="1:38" ht="75.75" hidden="1" customHeight="1">
      <c r="A115" s="23" t="s">
        <v>2239</v>
      </c>
      <c r="B115" s="933" t="str">
        <f>GRAL!B116</f>
        <v>2012-2015</v>
      </c>
      <c r="C115" s="17">
        <f>OBRA!I114</f>
        <v>2015</v>
      </c>
      <c r="D115" s="18" t="str">
        <f>OBRA!K114</f>
        <v>RAMO 33</v>
      </c>
      <c r="E115" s="528" t="s">
        <v>1431</v>
      </c>
      <c r="F115" s="541"/>
      <c r="G115" s="482"/>
      <c r="H115" s="483"/>
      <c r="I115" s="228" t="str">
        <f>OBRA!U114</f>
        <v>-</v>
      </c>
      <c r="J115" s="256" t="str">
        <f>OBRA!V114</f>
        <v>JUAN CARLOS NAVARRO ROSALES</v>
      </c>
      <c r="K115" s="481" t="str">
        <f>OBRA!L114</f>
        <v>DOP/AD/012/2015</v>
      </c>
      <c r="L115" s="2" t="str">
        <f>OBRA!M114</f>
        <v>ADMINISTRACIÓN DIRECTA</v>
      </c>
      <c r="M115" s="3" t="str">
        <f>OBRA!N114</f>
        <v>CONSTRUCCIÓN DE RED DE AGUA POTABLE EN C. CARDENAL DE CARRETERA CHAPALA-JOCOTEPEC HASTA FINAL, EN LA DELEGACIÓN DE SAN JUAN COSALA</v>
      </c>
      <c r="N115" s="480"/>
      <c r="O115" s="6">
        <f>OBRA!Q114</f>
        <v>42188</v>
      </c>
      <c r="P115" s="4">
        <f>OBRA!P114</f>
        <v>373029.23</v>
      </c>
      <c r="Q115" s="4"/>
      <c r="R115" s="5">
        <f>OBRA!R114</f>
        <v>42191</v>
      </c>
      <c r="S115" s="12">
        <f>OBRA!S114</f>
        <v>42210</v>
      </c>
      <c r="T115" s="54"/>
      <c r="U115" s="248" t="s">
        <v>1431</v>
      </c>
      <c r="V115" s="480"/>
      <c r="W115" s="484"/>
      <c r="X115" s="305">
        <f>OBRA!AP114</f>
        <v>0</v>
      </c>
      <c r="Y115" s="341"/>
      <c r="Z115" s="341"/>
      <c r="AA115" s="5"/>
      <c r="AB115" s="351">
        <f>OBRA!BT114</f>
        <v>0</v>
      </c>
      <c r="AC115" s="569"/>
      <c r="AE115"/>
      <c r="AF115"/>
      <c r="AG115"/>
      <c r="AH115"/>
      <c r="AI115"/>
      <c r="AJ115"/>
      <c r="AK115"/>
      <c r="AL115"/>
    </row>
    <row r="116" spans="1:38" ht="60.75" hidden="1" customHeight="1">
      <c r="A116" s="23" t="s">
        <v>2239</v>
      </c>
      <c r="B116" s="933" t="str">
        <f>GRAL!B117</f>
        <v>2012-2015</v>
      </c>
      <c r="C116" s="17">
        <f>OBRA!I115</f>
        <v>2015</v>
      </c>
      <c r="D116" s="18" t="str">
        <f>OBRA!K115</f>
        <v>RAMO 33</v>
      </c>
      <c r="E116" s="528" t="s">
        <v>1431</v>
      </c>
      <c r="F116" s="541"/>
      <c r="G116" s="482"/>
      <c r="H116" s="483"/>
      <c r="I116" s="228" t="str">
        <f>OBRA!U115</f>
        <v>-</v>
      </c>
      <c r="J116" s="256" t="str">
        <f>OBRA!V115</f>
        <v>JUAN CARLOS NAVARRO ROSALES</v>
      </c>
      <c r="K116" s="481" t="str">
        <f>OBRA!L115</f>
        <v>DOP/AD/013/2015</v>
      </c>
      <c r="L116" s="2" t="str">
        <f>OBRA!M115</f>
        <v>ADMINISTRACIÓN DIRECTA</v>
      </c>
      <c r="M116" s="3" t="str">
        <f>OBRA!N115</f>
        <v>CONSTRUCCION DE RED DE DRENAJE EN LA C. 20 DE NOVIEMBRE DE ANIMA SOLA A INVIERNO, EN LA CABECERA MUNICIPAL</v>
      </c>
      <c r="N116" s="480"/>
      <c r="O116" s="6">
        <f>OBRA!Q115</f>
        <v>42219</v>
      </c>
      <c r="P116" s="4">
        <f>OBRA!P115</f>
        <v>847454.56</v>
      </c>
      <c r="Q116" s="4"/>
      <c r="R116" s="5">
        <f>OBRA!R115</f>
        <v>42219</v>
      </c>
      <c r="S116" s="12">
        <f>OBRA!S115</f>
        <v>42231</v>
      </c>
      <c r="T116" s="54"/>
      <c r="U116" s="248" t="s">
        <v>1431</v>
      </c>
      <c r="V116" s="480"/>
      <c r="W116" s="484"/>
      <c r="X116" s="305">
        <f>OBRA!AP115</f>
        <v>0</v>
      </c>
      <c r="Y116" s="341"/>
      <c r="Z116" s="341"/>
      <c r="AA116" s="5"/>
      <c r="AB116" s="351">
        <f>OBRA!BT115</f>
        <v>0</v>
      </c>
      <c r="AC116" s="569"/>
      <c r="AE116"/>
      <c r="AF116"/>
      <c r="AG116"/>
      <c r="AH116"/>
      <c r="AI116"/>
      <c r="AJ116"/>
      <c r="AK116"/>
      <c r="AL116"/>
    </row>
    <row r="117" spans="1:38" ht="60.75" hidden="1" customHeight="1">
      <c r="A117" s="23" t="s">
        <v>2239</v>
      </c>
      <c r="B117" s="933" t="str">
        <f>GRAL!B118</f>
        <v>2012-2015</v>
      </c>
      <c r="C117" s="17">
        <f>OBRA!I116</f>
        <v>2015</v>
      </c>
      <c r="D117" s="18" t="str">
        <f>OBRA!K116</f>
        <v>RAMO 33</v>
      </c>
      <c r="E117" s="528" t="s">
        <v>1431</v>
      </c>
      <c r="F117" s="541"/>
      <c r="G117" s="482"/>
      <c r="H117" s="483"/>
      <c r="I117" s="228" t="str">
        <f>OBRA!U116</f>
        <v>-</v>
      </c>
      <c r="J117" s="256" t="str">
        <f>OBRA!V116</f>
        <v>JUAN CARLOS NAVARRO ROSALES</v>
      </c>
      <c r="K117" s="481" t="str">
        <f>OBRA!L116</f>
        <v>DOP/AD/014/2015</v>
      </c>
      <c r="L117" s="2" t="str">
        <f>OBRA!M116</f>
        <v>ADMINISTRACIÓN DIRECTA</v>
      </c>
      <c r="M117" s="3" t="str">
        <f>OBRA!N116</f>
        <v>CONSTRUCION DE RED DE AGUA POTABLE EN LA C. 20 DE NOVIEMBRE DE ANIMA SOLA A INVIERNO, EN LA CABECERA MUNICIPAL</v>
      </c>
      <c r="N117" s="480"/>
      <c r="O117" s="6">
        <f>OBRA!Q116</f>
        <v>42186</v>
      </c>
      <c r="P117" s="4">
        <f>OBRA!P116</f>
        <v>510072.99</v>
      </c>
      <c r="Q117" s="4"/>
      <c r="R117" s="5">
        <f>OBRA!R116</f>
        <v>42233</v>
      </c>
      <c r="S117" s="12">
        <f>OBRA!S116</f>
        <v>42247</v>
      </c>
      <c r="T117" s="54"/>
      <c r="U117" s="248" t="s">
        <v>1431</v>
      </c>
      <c r="V117" s="480"/>
      <c r="W117" s="484"/>
      <c r="X117" s="305">
        <f>OBRA!AP116</f>
        <v>0</v>
      </c>
      <c r="Y117" s="341"/>
      <c r="Z117" s="341"/>
      <c r="AA117" s="5"/>
      <c r="AB117" s="351">
        <f>OBRA!BT116</f>
        <v>0</v>
      </c>
      <c r="AC117" s="569"/>
      <c r="AE117"/>
      <c r="AF117"/>
      <c r="AG117"/>
      <c r="AH117"/>
      <c r="AI117"/>
      <c r="AJ117"/>
      <c r="AK117"/>
      <c r="AL117"/>
    </row>
    <row r="118" spans="1:38" ht="75.75" hidden="1" customHeight="1">
      <c r="A118" s="23" t="s">
        <v>2239</v>
      </c>
      <c r="B118" s="933" t="str">
        <f>GRAL!B119</f>
        <v>2012-2015</v>
      </c>
      <c r="C118" s="17">
        <f>OBRA!I117</f>
        <v>2015</v>
      </c>
      <c r="D118" s="18" t="str">
        <f>OBRA!K117</f>
        <v>RAMO 33</v>
      </c>
      <c r="E118" s="528" t="s">
        <v>1431</v>
      </c>
      <c r="F118" s="541"/>
      <c r="G118" s="482"/>
      <c r="H118" s="483"/>
      <c r="I118" s="228" t="str">
        <f>OBRA!U117</f>
        <v>-</v>
      </c>
      <c r="J118" s="256" t="str">
        <f>OBRA!V117</f>
        <v>JUAN CARLOS NAVARRO ROSALES</v>
      </c>
      <c r="K118" s="481" t="str">
        <f>OBRA!L117</f>
        <v>DOP/AD/015/2015</v>
      </c>
      <c r="L118" s="2" t="str">
        <f>OBRA!M117</f>
        <v>ADMINISTRACIÓN DIRECTA</v>
      </c>
      <c r="M118" s="3" t="str">
        <f>OBRA!N117</f>
        <v>CONSTRUCCION DE RED DE DRENAJE EN C. JAVIER MINA DE C. 20 DE NOVIEMBRE A VENUSTIANO CARRANZA, EN LA CABECERA MUNICIPAL</v>
      </c>
      <c r="N118" s="480"/>
      <c r="O118" s="6">
        <f>OBRA!Q117</f>
        <v>42219</v>
      </c>
      <c r="P118" s="4">
        <f>OBRA!P117</f>
        <v>125552.88</v>
      </c>
      <c r="Q118" s="4"/>
      <c r="R118" s="5">
        <f>OBRA!R117</f>
        <v>42219</v>
      </c>
      <c r="S118" s="12">
        <f>OBRA!S117</f>
        <v>42231</v>
      </c>
      <c r="T118" s="54"/>
      <c r="U118" s="248" t="s">
        <v>1431</v>
      </c>
      <c r="V118" s="480"/>
      <c r="W118" s="484"/>
      <c r="X118" s="305">
        <f>OBRA!AP117</f>
        <v>0</v>
      </c>
      <c r="Y118" s="341"/>
      <c r="Z118" s="341"/>
      <c r="AA118" s="5"/>
      <c r="AB118" s="351">
        <f>OBRA!BT117</f>
        <v>0</v>
      </c>
      <c r="AC118" s="569"/>
      <c r="AE118"/>
      <c r="AF118"/>
      <c r="AG118"/>
      <c r="AH118"/>
      <c r="AI118"/>
      <c r="AJ118"/>
      <c r="AK118"/>
      <c r="AL118"/>
    </row>
    <row r="119" spans="1:38" ht="60.75" hidden="1" customHeight="1">
      <c r="A119" s="23" t="s">
        <v>2239</v>
      </c>
      <c r="B119" s="933" t="str">
        <f>GRAL!B120</f>
        <v>2012-2015</v>
      </c>
      <c r="C119" s="17">
        <f>OBRA!I118</f>
        <v>2015</v>
      </c>
      <c r="D119" s="18" t="str">
        <f>OBRA!K118</f>
        <v>RAMO 33</v>
      </c>
      <c r="E119" s="528" t="s">
        <v>1431</v>
      </c>
      <c r="F119" s="541"/>
      <c r="G119" s="482"/>
      <c r="H119" s="483"/>
      <c r="I119" s="228" t="str">
        <f>OBRA!U118</f>
        <v>-</v>
      </c>
      <c r="J119" s="256" t="str">
        <f>OBRA!V118</f>
        <v>JUAN CARLOS NAVARRO ROSALES</v>
      </c>
      <c r="K119" s="481" t="str">
        <f>OBRA!L118</f>
        <v>DOP/AD/016/2015</v>
      </c>
      <c r="L119" s="2" t="str">
        <f>OBRA!M118</f>
        <v>ADMINISTRACIÓN DIRECTA</v>
      </c>
      <c r="M119" s="3" t="str">
        <f>OBRA!N118</f>
        <v>CONSTRUCCION DE RED DE AGUA POTABLE EN LA C. JAVIER MINA DE C. 20 E NOVIEMBRE A FRANCISCO VILLA, EN LA CABECERA MUNICIPAL</v>
      </c>
      <c r="N119" s="480"/>
      <c r="O119" s="6">
        <f>OBRA!Q118</f>
        <v>42225</v>
      </c>
      <c r="P119" s="4">
        <f>OBRA!P118</f>
        <v>152209.54999999999</v>
      </c>
      <c r="Q119" s="4"/>
      <c r="R119" s="5">
        <f>OBRA!R118</f>
        <v>42225</v>
      </c>
      <c r="S119" s="12">
        <f>OBRA!S118</f>
        <v>42247</v>
      </c>
      <c r="T119" s="54"/>
      <c r="U119" s="248" t="s">
        <v>1431</v>
      </c>
      <c r="V119" s="480"/>
      <c r="W119" s="484"/>
      <c r="X119" s="305">
        <f>OBRA!AP118</f>
        <v>0</v>
      </c>
      <c r="Y119" s="341"/>
      <c r="Z119" s="341"/>
      <c r="AA119" s="5"/>
      <c r="AB119" s="351">
        <f>OBRA!BT118</f>
        <v>0</v>
      </c>
      <c r="AC119" s="569"/>
      <c r="AE119"/>
      <c r="AF119"/>
      <c r="AG119"/>
      <c r="AH119"/>
      <c r="AI119"/>
      <c r="AJ119"/>
      <c r="AK119"/>
      <c r="AL119"/>
    </row>
    <row r="120" spans="1:38" s="326" customFormat="1" ht="81" hidden="1" customHeight="1">
      <c r="A120" s="336" t="s">
        <v>2239</v>
      </c>
      <c r="B120" s="981" t="str">
        <f>GRAL!B121</f>
        <v>2012-2015</v>
      </c>
      <c r="C120" s="315">
        <f>OBRA!I119</f>
        <v>2015</v>
      </c>
      <c r="D120" s="533" t="str">
        <f>OBRA!K119</f>
        <v>RAMO 33</v>
      </c>
      <c r="E120" s="535" t="s">
        <v>1431</v>
      </c>
      <c r="F120" s="540" t="s">
        <v>2270</v>
      </c>
      <c r="G120" s="496" t="s">
        <v>1530</v>
      </c>
      <c r="H120" s="497" t="s">
        <v>2271</v>
      </c>
      <c r="I120" s="338" t="str">
        <f>OBRA!U119</f>
        <v>HIDROLOGIAA PERFORACION Y GESTION DEL AGUA SA DE CV</v>
      </c>
      <c r="J120" s="334" t="str">
        <f>OBRA!V119</f>
        <v>ING. RIGOBERTO OLMEDO RAMOS</v>
      </c>
      <c r="K120" s="481" t="str">
        <f>OBRA!L119</f>
        <v>GMJ 007C OP/2015</v>
      </c>
      <c r="L120" s="318" t="str">
        <f>OBRA!M119</f>
        <v>ADJUDICACIÓN DIRECTA</v>
      </c>
      <c r="M120" s="319" t="str">
        <f>OBRA!N119</f>
        <v>PERFORACIÓN DE POZO PROFUNDO EN FRACCIONAMIENTO PASEO EL CARDENAL, EN LA DELEGACION DE SAN JUAN COSALA</v>
      </c>
      <c r="N120" s="509" t="s">
        <v>1527</v>
      </c>
      <c r="O120" s="321">
        <f>OBRA!Q119</f>
        <v>42208</v>
      </c>
      <c r="P120" s="320">
        <f>OBRA!P119</f>
        <v>1093156.1599999999</v>
      </c>
      <c r="Q120" s="320"/>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t="s">
        <v>551</v>
      </c>
    </row>
    <row r="121" spans="1:38" ht="60.75" hidden="1" customHeight="1">
      <c r="A121" s="23" t="s">
        <v>2239</v>
      </c>
      <c r="B121" s="933" t="str">
        <f>GRAL!B122</f>
        <v>2012-2015</v>
      </c>
      <c r="C121" s="17">
        <f>OBRA!I120</f>
        <v>2015</v>
      </c>
      <c r="D121" s="18" t="str">
        <f>OBRA!K120</f>
        <v>RAMO 33</v>
      </c>
      <c r="E121" s="528" t="s">
        <v>1431</v>
      </c>
      <c r="F121" s="390"/>
      <c r="G121" s="1"/>
      <c r="H121" s="390"/>
      <c r="I121" s="228" t="str">
        <f>OBRA!U120</f>
        <v>-</v>
      </c>
      <c r="J121" s="256" t="str">
        <f>OBRA!V120</f>
        <v>JUAN CARLOS NAVARRO ROSALES</v>
      </c>
      <c r="K121" s="20"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2">
        <f>OBRA!S120</f>
        <v>42231</v>
      </c>
      <c r="T121" s="54"/>
      <c r="U121" s="248" t="s">
        <v>1431</v>
      </c>
      <c r="V121" s="111"/>
      <c r="W121" s="55"/>
      <c r="X121" s="305">
        <f>OBRA!AP120</f>
        <v>0</v>
      </c>
      <c r="Y121" s="341"/>
      <c r="Z121" s="341"/>
      <c r="AA121" s="5"/>
      <c r="AB121" s="351">
        <f>OBRA!BT120</f>
        <v>0</v>
      </c>
      <c r="AC121" s="569"/>
      <c r="AE121"/>
      <c r="AF121"/>
      <c r="AG121"/>
      <c r="AH121"/>
      <c r="AI121"/>
      <c r="AJ121"/>
      <c r="AK121"/>
      <c r="AL121"/>
    </row>
    <row r="122" spans="1:38" ht="60.75" hidden="1" customHeight="1">
      <c r="A122" s="23" t="s">
        <v>2239</v>
      </c>
      <c r="B122" s="933" t="str">
        <f>GRAL!B123</f>
        <v>2012-2015</v>
      </c>
      <c r="C122" s="17">
        <f>OBRA!I121</f>
        <v>2015</v>
      </c>
      <c r="D122" s="18" t="str">
        <f>OBRA!K121</f>
        <v>RAMO 33</v>
      </c>
      <c r="E122" s="528" t="s">
        <v>1431</v>
      </c>
      <c r="F122" s="390"/>
      <c r="G122" s="1"/>
      <c r="H122" s="390"/>
      <c r="I122" s="228" t="str">
        <f>OBRA!U121</f>
        <v>-</v>
      </c>
      <c r="J122" s="256" t="str">
        <f>OBRA!V121</f>
        <v>JUAN CARLOS NAVARRO ROSALES</v>
      </c>
      <c r="K122" s="20"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2">
        <f>OBRA!S121</f>
        <v>42195</v>
      </c>
      <c r="T122" s="54"/>
      <c r="U122" s="248" t="s">
        <v>1431</v>
      </c>
      <c r="V122" s="111"/>
      <c r="W122" s="55"/>
      <c r="X122" s="305">
        <f>OBRA!AP121</f>
        <v>0</v>
      </c>
      <c r="Y122" s="341"/>
      <c r="Z122" s="341"/>
      <c r="AA122" s="5"/>
      <c r="AB122" s="351">
        <f>OBRA!BT121</f>
        <v>0</v>
      </c>
      <c r="AC122" s="569"/>
      <c r="AE122"/>
      <c r="AF122"/>
      <c r="AG122"/>
      <c r="AH122"/>
      <c r="AI122"/>
      <c r="AJ122"/>
      <c r="AK122"/>
      <c r="AL122"/>
    </row>
    <row r="123" spans="1:38" ht="60.75" hidden="1" customHeight="1">
      <c r="A123" s="23" t="s">
        <v>2239</v>
      </c>
      <c r="B123" s="933" t="str">
        <f>GRAL!B124</f>
        <v>2012-2015</v>
      </c>
      <c r="C123" s="17">
        <f>OBRA!I122</f>
        <v>2015</v>
      </c>
      <c r="D123" s="18" t="str">
        <f>OBRA!K122</f>
        <v>RAMO 33</v>
      </c>
      <c r="E123" s="528" t="s">
        <v>1431</v>
      </c>
      <c r="F123" s="390"/>
      <c r="G123" s="1"/>
      <c r="H123" s="390"/>
      <c r="I123" s="228" t="str">
        <f>OBRA!U122</f>
        <v>-</v>
      </c>
      <c r="J123" s="256" t="str">
        <f>OBRA!V122</f>
        <v>JUAN CARLOS NAVARRO ROSALES</v>
      </c>
      <c r="K123" s="20"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2">
        <f>OBRA!S122</f>
        <v>42231</v>
      </c>
      <c r="T123" s="54"/>
      <c r="U123" s="248" t="s">
        <v>1431</v>
      </c>
      <c r="V123" s="111"/>
      <c r="W123" s="55"/>
      <c r="X123" s="305">
        <f>OBRA!AP122</f>
        <v>0</v>
      </c>
      <c r="Y123" s="341"/>
      <c r="Z123" s="341"/>
      <c r="AA123" s="5"/>
      <c r="AB123" s="351">
        <f>OBRA!BT122</f>
        <v>0</v>
      </c>
      <c r="AC123" s="569"/>
      <c r="AE123"/>
      <c r="AF123"/>
      <c r="AG123"/>
      <c r="AH123"/>
      <c r="AI123"/>
      <c r="AJ123"/>
      <c r="AK123"/>
      <c r="AL123"/>
    </row>
    <row r="124" spans="1:38" ht="75.75" hidden="1" customHeight="1">
      <c r="A124" s="23" t="s">
        <v>2239</v>
      </c>
      <c r="B124" s="933" t="str">
        <f>GRAL!B125</f>
        <v>2012-2015</v>
      </c>
      <c r="C124" s="17">
        <f>OBRA!I123</f>
        <v>2015</v>
      </c>
      <c r="D124" s="18" t="str">
        <f>OBRA!K123</f>
        <v>RAMO 33</v>
      </c>
      <c r="E124" s="528" t="s">
        <v>1431</v>
      </c>
      <c r="F124" s="390"/>
      <c r="G124" s="1"/>
      <c r="H124" s="390"/>
      <c r="I124" s="228" t="str">
        <f>OBRA!U123</f>
        <v>-</v>
      </c>
      <c r="J124" s="256" t="str">
        <f>OBRA!V123</f>
        <v>JUAN CARLOS NAVARRO ROSALES</v>
      </c>
      <c r="K124" s="20"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2">
        <f>OBRA!S123</f>
        <v>42247</v>
      </c>
      <c r="T124" s="54"/>
      <c r="U124" s="248" t="s">
        <v>1431</v>
      </c>
      <c r="V124" s="111"/>
      <c r="W124" s="55"/>
      <c r="X124" s="305">
        <f>OBRA!AP123</f>
        <v>0</v>
      </c>
      <c r="Y124" s="341"/>
      <c r="Z124" s="341"/>
      <c r="AA124" s="5"/>
      <c r="AB124" s="351">
        <f>OBRA!BT123</f>
        <v>0</v>
      </c>
      <c r="AC124" s="569"/>
      <c r="AE124"/>
      <c r="AF124"/>
      <c r="AG124"/>
      <c r="AH124"/>
      <c r="AI124"/>
      <c r="AJ124"/>
      <c r="AK124"/>
      <c r="AL124"/>
    </row>
    <row r="125" spans="1:38" ht="75.75" hidden="1" customHeight="1">
      <c r="A125" s="23" t="s">
        <v>2239</v>
      </c>
      <c r="B125" s="933" t="str">
        <f>GRAL!B126</f>
        <v>2012-2015</v>
      </c>
      <c r="C125" s="17">
        <f>OBRA!I124</f>
        <v>2015</v>
      </c>
      <c r="D125" s="18" t="str">
        <f>OBRA!K124</f>
        <v>RAMO 33</v>
      </c>
      <c r="E125" s="14" t="s">
        <v>1431</v>
      </c>
      <c r="F125" s="390"/>
      <c r="G125" s="1"/>
      <c r="H125" s="390"/>
      <c r="I125" s="228" t="str">
        <f>OBRA!U124</f>
        <v>-</v>
      </c>
      <c r="J125" s="256" t="str">
        <f>OBRA!V124</f>
        <v>JUAN CARLOS NAVARRO ROSALES</v>
      </c>
      <c r="K125" s="20"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2">
        <f>OBRA!S124</f>
        <v>42245</v>
      </c>
      <c r="T125" s="54"/>
      <c r="U125" s="248" t="s">
        <v>1431</v>
      </c>
      <c r="V125" s="111"/>
      <c r="W125" s="55"/>
      <c r="X125" s="305">
        <f>OBRA!AP124</f>
        <v>0</v>
      </c>
      <c r="Y125" s="341"/>
      <c r="Z125" s="341"/>
      <c r="AA125" s="5"/>
      <c r="AB125" s="351">
        <f>OBRA!BT124</f>
        <v>0</v>
      </c>
      <c r="AC125" s="569"/>
      <c r="AE125"/>
      <c r="AF125"/>
      <c r="AG125"/>
      <c r="AH125"/>
      <c r="AI125"/>
      <c r="AJ125"/>
      <c r="AK125"/>
      <c r="AL125"/>
    </row>
    <row r="126" spans="1:38" ht="60.75" hidden="1" customHeight="1">
      <c r="A126" s="23" t="s">
        <v>2239</v>
      </c>
      <c r="B126" s="933" t="str">
        <f>GRAL!B127</f>
        <v>2012-2015</v>
      </c>
      <c r="C126" s="17">
        <f>OBRA!I125</f>
        <v>2015</v>
      </c>
      <c r="D126" s="18" t="str">
        <f>OBRA!K125</f>
        <v>RAMO 33</v>
      </c>
      <c r="E126" s="525" t="s">
        <v>1431</v>
      </c>
      <c r="F126" s="390"/>
      <c r="G126" s="1"/>
      <c r="H126" s="390"/>
      <c r="I126" s="228" t="str">
        <f>OBRA!U125</f>
        <v>-</v>
      </c>
      <c r="J126" s="256" t="str">
        <f>OBRA!V125</f>
        <v>JUAN CARLOS NAVARRO ROSALES</v>
      </c>
      <c r="K126" s="20"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2">
        <f>OBRA!S125</f>
        <v>42247</v>
      </c>
      <c r="T126" s="54"/>
      <c r="U126" s="248" t="s">
        <v>1431</v>
      </c>
      <c r="V126" s="111"/>
      <c r="W126" s="55"/>
      <c r="X126" s="305">
        <f>OBRA!AP125</f>
        <v>0</v>
      </c>
      <c r="Y126" s="341"/>
      <c r="Z126" s="341"/>
      <c r="AA126" s="5"/>
      <c r="AB126" s="351">
        <f>OBRA!BT125</f>
        <v>0</v>
      </c>
      <c r="AC126" s="569"/>
      <c r="AE126"/>
      <c r="AF126"/>
      <c r="AG126"/>
      <c r="AH126"/>
      <c r="AI126"/>
      <c r="AJ126"/>
      <c r="AK126"/>
      <c r="AL126"/>
    </row>
    <row r="127" spans="1:38" s="110" customFormat="1" ht="30.75" hidden="1" customHeight="1">
      <c r="A127" s="87" t="s">
        <v>251</v>
      </c>
      <c r="B127" s="933" t="str">
        <f>GRAL!B128</f>
        <v>2012-2015</v>
      </c>
      <c r="C127" s="88">
        <f>OBRA!I126</f>
        <v>2015</v>
      </c>
      <c r="D127" s="103" t="str">
        <f>OBRA!K126</f>
        <v>CUENTA CORRIENTE</v>
      </c>
      <c r="E127" s="526"/>
      <c r="F127" s="392"/>
      <c r="G127" s="102"/>
      <c r="H127" s="392"/>
      <c r="I127" s="303" t="str">
        <f>OBRA!U126</f>
        <v>-</v>
      </c>
      <c r="J127" s="304" t="str">
        <f>OBRA!V126</f>
        <v>ING. RIGOBERTO OLMEDO RAMOS</v>
      </c>
      <c r="K127" s="90" t="str">
        <f>OBRA!L126</f>
        <v>DOP/AD/023/2015</v>
      </c>
      <c r="L127" s="91" t="str">
        <f>OBRA!M126</f>
        <v>ADMINISTRACIÓN DIRECTA</v>
      </c>
      <c r="M127" s="132" t="str">
        <f>OBRA!N126</f>
        <v>REMODELACIÓN DE BANQUETAS EN CALLE MORELOS ENTRE CALLES HIDALGO Y JOSEFA ORTIZ DE DOMINGUEZ (LADO NORTE), EN LA CABECERA MUNICIPAL DE JOCOTEPEC, JALISCO</v>
      </c>
      <c r="N127" s="132"/>
      <c r="O127" s="93" t="s">
        <v>68</v>
      </c>
      <c r="P127" s="4">
        <f>OBRA!P126</f>
        <v>425150</v>
      </c>
      <c r="Q127" s="4"/>
      <c r="R127" s="94" t="s">
        <v>68</v>
      </c>
      <c r="S127" s="95" t="s">
        <v>68</v>
      </c>
      <c r="T127" s="107"/>
      <c r="U127" s="248" t="s">
        <v>1431</v>
      </c>
      <c r="V127" s="408"/>
      <c r="W127" s="97"/>
      <c r="X127" s="305">
        <f>OBRA!AP126</f>
        <v>0</v>
      </c>
      <c r="Y127" s="343"/>
      <c r="Z127" s="343"/>
      <c r="AA127" s="94"/>
      <c r="AB127" s="351">
        <f>OBRA!BT126</f>
        <v>0</v>
      </c>
      <c r="AC127" s="569"/>
    </row>
    <row r="128" spans="1:38" ht="45.75" hidden="1" customHeight="1">
      <c r="A128" s="23" t="s">
        <v>2239</v>
      </c>
      <c r="B128" s="933" t="str">
        <f>GRAL!B129</f>
        <v>2012-2015</v>
      </c>
      <c r="C128" s="17">
        <f>OBRA!I127</f>
        <v>2015</v>
      </c>
      <c r="D128" s="18" t="str">
        <f>OBRA!K127</f>
        <v>RAMO 33</v>
      </c>
      <c r="E128" s="525" t="s">
        <v>1431</v>
      </c>
      <c r="F128" s="390"/>
      <c r="G128" s="1"/>
      <c r="H128" s="390"/>
      <c r="I128" s="228" t="str">
        <f>OBRA!U127</f>
        <v>-</v>
      </c>
      <c r="J128" s="256" t="str">
        <f>OBRA!V127</f>
        <v>ING. RIGOBERTO OLMEDO RAMOS</v>
      </c>
      <c r="K128" s="20"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2">
        <f>OBRA!S127</f>
        <v>42210</v>
      </c>
      <c r="T128" s="54"/>
      <c r="U128" s="248" t="s">
        <v>1431</v>
      </c>
      <c r="V128" s="111"/>
      <c r="W128" s="55"/>
      <c r="X128" s="305">
        <f>OBRA!AP127</f>
        <v>0</v>
      </c>
      <c r="Y128" s="341"/>
      <c r="Z128" s="341"/>
      <c r="AA128" s="5"/>
      <c r="AB128" s="351">
        <f>OBRA!BT127</f>
        <v>0</v>
      </c>
      <c r="AC128" s="569"/>
      <c r="AE128"/>
      <c r="AF128"/>
      <c r="AG128"/>
      <c r="AH128"/>
      <c r="AI128"/>
      <c r="AJ128"/>
      <c r="AK128"/>
      <c r="AL128"/>
    </row>
    <row r="129" spans="1:38" ht="60.75" hidden="1" customHeight="1">
      <c r="A129" s="23" t="s">
        <v>2239</v>
      </c>
      <c r="B129" s="933" t="str">
        <f>GRAL!B130</f>
        <v>2012-2015</v>
      </c>
      <c r="C129" s="17">
        <f>OBRA!I128</f>
        <v>2015</v>
      </c>
      <c r="D129" s="18" t="str">
        <f>OBRA!K128</f>
        <v>RAMO 33</v>
      </c>
      <c r="E129" s="525" t="s">
        <v>1431</v>
      </c>
      <c r="F129" s="390"/>
      <c r="G129" s="1"/>
      <c r="H129" s="390"/>
      <c r="I129" s="228" t="str">
        <f>OBRA!U128</f>
        <v>-</v>
      </c>
      <c r="J129" s="256" t="str">
        <f>OBRA!V128</f>
        <v>JUAN CARLOS NAVARRO ROSALES</v>
      </c>
      <c r="K129" s="20"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2">
        <f>OBRA!S128</f>
        <v>42272</v>
      </c>
      <c r="T129" s="54"/>
      <c r="U129" s="248" t="s">
        <v>1431</v>
      </c>
      <c r="V129" s="111"/>
      <c r="W129" s="55"/>
      <c r="X129" s="305">
        <f>OBRA!AP128</f>
        <v>0</v>
      </c>
      <c r="Y129" s="341"/>
      <c r="Z129" s="341"/>
      <c r="AA129" s="5"/>
      <c r="AB129" s="351">
        <f>OBRA!BT128</f>
        <v>0</v>
      </c>
      <c r="AC129" s="569"/>
      <c r="AE129"/>
      <c r="AF129"/>
      <c r="AG129"/>
      <c r="AH129"/>
      <c r="AI129"/>
      <c r="AJ129"/>
      <c r="AK129"/>
      <c r="AL129"/>
    </row>
    <row r="130" spans="1:38" ht="90.75" hidden="1" customHeight="1">
      <c r="A130" s="23" t="s">
        <v>2239</v>
      </c>
      <c r="B130" s="933" t="str">
        <f>GRAL!B131</f>
        <v>2012-2015</v>
      </c>
      <c r="C130" s="17">
        <f>OBRA!I129</f>
        <v>2015</v>
      </c>
      <c r="D130" s="18" t="str">
        <f>OBRA!K129</f>
        <v>RAMO 33</v>
      </c>
      <c r="E130" s="525" t="s">
        <v>1431</v>
      </c>
      <c r="F130" s="390"/>
      <c r="G130" s="1"/>
      <c r="H130" s="390"/>
      <c r="I130" s="56" t="str">
        <f>OBRA!U129</f>
        <v>-</v>
      </c>
      <c r="J130" s="57" t="str">
        <f>OBRA!V129</f>
        <v>ING. J. GUADALUPE IBARRA RAMIREZ</v>
      </c>
      <c r="K130" s="20"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E130"/>
      <c r="AF130"/>
      <c r="AG130"/>
      <c r="AH130"/>
      <c r="AI130"/>
      <c r="AJ130"/>
      <c r="AK130"/>
      <c r="AL130"/>
    </row>
    <row r="131" spans="1:38" ht="90.75" hidden="1" customHeight="1">
      <c r="A131" s="23" t="s">
        <v>2239</v>
      </c>
      <c r="B131" s="933" t="str">
        <f>GRAL!B132</f>
        <v>2012-2015</v>
      </c>
      <c r="C131" s="17">
        <f>OBRA!I130</f>
        <v>2015</v>
      </c>
      <c r="D131" s="18" t="str">
        <f>OBRA!K130</f>
        <v>CUENTA CORRIENTE</v>
      </c>
      <c r="E131" s="525" t="s">
        <v>1431</v>
      </c>
      <c r="F131" s="390"/>
      <c r="G131" s="1"/>
      <c r="H131" s="390"/>
      <c r="I131" s="56" t="str">
        <f>OBRA!U130</f>
        <v>-</v>
      </c>
      <c r="J131" s="57" t="str">
        <f>OBRA!V130</f>
        <v>ING. J. GUADALUPE IBARRA RAMIREZ</v>
      </c>
      <c r="K131" s="20"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2">
        <f>OBRA!S130</f>
        <v>42338</v>
      </c>
      <c r="T131" s="54"/>
      <c r="U131" s="248" t="s">
        <v>1431</v>
      </c>
      <c r="V131" s="111"/>
      <c r="W131" s="55"/>
      <c r="X131" s="305">
        <f>OBRA!AP130</f>
        <v>0</v>
      </c>
      <c r="Y131" s="341"/>
      <c r="Z131" s="341"/>
      <c r="AA131" s="5"/>
      <c r="AB131" s="351">
        <f>OBRA!BT130</f>
        <v>0</v>
      </c>
      <c r="AC131" s="569"/>
      <c r="AE131"/>
      <c r="AF131"/>
      <c r="AG131"/>
      <c r="AH131"/>
      <c r="AI131"/>
      <c r="AJ131"/>
      <c r="AK131"/>
      <c r="AL131"/>
    </row>
    <row r="132" spans="1:38" ht="90.75" hidden="1" customHeight="1">
      <c r="A132" s="23" t="s">
        <v>2239</v>
      </c>
      <c r="B132" s="933" t="str">
        <f>GRAL!B133</f>
        <v>2015-2018</v>
      </c>
      <c r="C132" s="17">
        <f>OBRA!I131</f>
        <v>2015</v>
      </c>
      <c r="D132" s="18" t="str">
        <f>OBRA!K131</f>
        <v>R33 - FONDEREG</v>
      </c>
      <c r="E132" s="525"/>
      <c r="F132" s="390"/>
      <c r="G132" s="1"/>
      <c r="H132" s="390"/>
      <c r="I132" s="56" t="str">
        <f>OBRA!U131</f>
        <v>-</v>
      </c>
      <c r="J132" s="57" t="str">
        <f>OBRA!V131</f>
        <v>ING. J. GUADALUPE IBARRA RAMIREZ</v>
      </c>
      <c r="K132" s="20"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E132"/>
      <c r="AF132"/>
      <c r="AG132"/>
      <c r="AH132"/>
      <c r="AI132"/>
      <c r="AJ132"/>
      <c r="AK132"/>
      <c r="AL132"/>
    </row>
    <row r="133" spans="1:38" ht="90.75" hidden="1" customHeight="1">
      <c r="A133" s="23" t="s">
        <v>2239</v>
      </c>
      <c r="B133" s="933" t="str">
        <f>GRAL!B134</f>
        <v>2015-2018</v>
      </c>
      <c r="C133" s="17">
        <f>OBRA!I132</f>
        <v>2015</v>
      </c>
      <c r="D133" s="18" t="str">
        <f>OBRA!K132</f>
        <v>FONDEREG</v>
      </c>
      <c r="E133" s="525"/>
      <c r="F133" s="390"/>
      <c r="G133" s="1"/>
      <c r="H133" s="390"/>
      <c r="I133" s="56" t="str">
        <f>OBRA!U132</f>
        <v>-</v>
      </c>
      <c r="J133" s="57" t="str">
        <f>OBRA!V132</f>
        <v>ING. J. GUADALUPE IBARRA RAMIREZ</v>
      </c>
      <c r="K133" s="20"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E133"/>
      <c r="AF133"/>
      <c r="AG133"/>
      <c r="AH133"/>
      <c r="AI133"/>
      <c r="AJ133"/>
      <c r="AK133"/>
      <c r="AL133"/>
    </row>
    <row r="134" spans="1:38" ht="60.75" hidden="1" customHeight="1">
      <c r="A134" s="23" t="s">
        <v>2239</v>
      </c>
      <c r="B134" s="933" t="str">
        <f>GRAL!B135</f>
        <v>2015-2018</v>
      </c>
      <c r="C134" s="17">
        <f>OBRA!I133</f>
        <v>2015</v>
      </c>
      <c r="D134" s="18" t="str">
        <f>OBRA!K133</f>
        <v>FOREMODA</v>
      </c>
      <c r="E134" s="525"/>
      <c r="F134" s="24"/>
      <c r="G134" s="1"/>
      <c r="H134" s="390"/>
      <c r="I134" s="56" t="str">
        <f>OBRA!U133</f>
        <v>-</v>
      </c>
      <c r="J134" s="57" t="str">
        <f>OBRA!V133</f>
        <v>-</v>
      </c>
      <c r="K134" s="20"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2">
        <f>OBRA!S133</f>
        <v>42696</v>
      </c>
      <c r="T134" s="54"/>
      <c r="U134" s="248" t="s">
        <v>1431</v>
      </c>
      <c r="V134" s="111"/>
      <c r="W134" s="55"/>
      <c r="X134" s="305">
        <f>OBRA!AP133</f>
        <v>0</v>
      </c>
      <c r="Y134" s="341"/>
      <c r="Z134" s="341"/>
      <c r="AA134" s="5"/>
      <c r="AB134" s="351">
        <f>OBRA!BT133</f>
        <v>0</v>
      </c>
      <c r="AC134" s="569"/>
      <c r="AE134"/>
      <c r="AF134"/>
      <c r="AG134"/>
      <c r="AH134"/>
      <c r="AI134"/>
      <c r="AJ134"/>
      <c r="AK134"/>
      <c r="AL134"/>
    </row>
    <row r="135" spans="1:38" s="197" customFormat="1" ht="96" hidden="1" customHeight="1">
      <c r="A135" s="335" t="s">
        <v>2239</v>
      </c>
      <c r="B135" s="933" t="str">
        <f>GRAL!B136</f>
        <v>2015-2018</v>
      </c>
      <c r="C135" s="327">
        <f>OBRA!I134</f>
        <v>2015</v>
      </c>
      <c r="D135" s="532" t="str">
        <f>OBRA!K134</f>
        <v>FOREMODA</v>
      </c>
      <c r="E135" s="530" t="s">
        <v>1571</v>
      </c>
      <c r="F135" s="542" t="s">
        <v>2273</v>
      </c>
      <c r="G135" s="545" t="s">
        <v>1578</v>
      </c>
      <c r="H135" s="546" t="s">
        <v>2274</v>
      </c>
      <c r="I135" s="339" t="str">
        <f>OBRA!U134</f>
        <v>ARGUELLES ARQUITECTOS S.A. DE C.V.</v>
      </c>
      <c r="J135" s="172" t="str">
        <f>OBRA!V134</f>
        <v>ARQ. FRANCISCO SALAZAR</v>
      </c>
      <c r="K135" s="180" t="str">
        <f>OBRA!L134</f>
        <v>GMJC001OP-2015</v>
      </c>
      <c r="L135" s="202" t="str">
        <f>OBRA!M134</f>
        <v>ADJUDICACIÓN DIRECTA</v>
      </c>
      <c r="M135" s="328" t="str">
        <f>OBRA!N134</f>
        <v>TRABAJOS DE RESTAURACION DE LA PARROQUIA DEL SEÑOR DEL MONTE, UBICADO EN CALLE MIGUEL ARANA Nº 76 EN JOCOTEPEC, JAL</v>
      </c>
      <c r="N135" s="510" t="s">
        <v>1574</v>
      </c>
      <c r="O135" s="69">
        <f>OBRA!Q134</f>
        <v>42339</v>
      </c>
      <c r="P135" s="4">
        <f>OBRA!P134</f>
        <v>1500000</v>
      </c>
      <c r="Q135" s="4"/>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t="s">
        <v>551</v>
      </c>
    </row>
    <row r="136" spans="1:38" s="110" customFormat="1" ht="75.75" hidden="1" customHeight="1">
      <c r="A136" s="87" t="s">
        <v>2239</v>
      </c>
      <c r="B136" s="946" t="str">
        <f>GRAL!B137</f>
        <v>2012-2015</v>
      </c>
      <c r="C136" s="88">
        <f>OBRA!I135</f>
        <v>2015</v>
      </c>
      <c r="D136" s="103" t="str">
        <f>OBRA!K135</f>
        <v>RAMO 33</v>
      </c>
      <c r="E136" s="531" t="s">
        <v>1431</v>
      </c>
      <c r="F136" s="392"/>
      <c r="G136" s="102"/>
      <c r="H136" s="392"/>
      <c r="I136" s="159" t="str">
        <f>OBRA!U135</f>
        <v>CONSTRUCCIONES VIKBRAK, S.A. DE C.V.</v>
      </c>
      <c r="J136" s="160" t="str">
        <f>OBRA!V135</f>
        <v xml:space="preserve">LIC. SALVADOR CONTRERAS </v>
      </c>
      <c r="K136" s="340" t="str">
        <f>OBRA!L135</f>
        <v>GMJ 003C OP/2015</v>
      </c>
      <c r="L136" s="203" t="str">
        <f>OBRA!M135</f>
        <v>CANCELADA</v>
      </c>
      <c r="M136" s="112" t="str">
        <f>OBRA!N135</f>
        <v>1 ER ETAPA DE REHABILITACION, RED DE DRENAJE Y REPOCISION DE EMPEDRADO AHOGADO EN CEMENTO EN LA CALLE ANIMA SOLA DE LA CABECERA MUNICIPAL DE JOCOTEPEC</v>
      </c>
      <c r="N136" s="512" t="s">
        <v>627</v>
      </c>
      <c r="O136" s="93">
        <f>OBRA!Q135</f>
        <v>42593</v>
      </c>
      <c r="P136" s="92">
        <f>OBRA!P135</f>
        <v>369433.09</v>
      </c>
      <c r="Q136" s="92"/>
      <c r="R136" s="94">
        <f>OBRA!R135</f>
        <v>42597</v>
      </c>
      <c r="S136" s="95">
        <f>OBRA!S135</f>
        <v>42704</v>
      </c>
      <c r="T136" s="107"/>
      <c r="U136" s="107" t="s">
        <v>1431</v>
      </c>
      <c r="V136" s="106"/>
      <c r="W136" s="97"/>
      <c r="X136" s="947">
        <f>OBRA!AP135</f>
        <v>0</v>
      </c>
      <c r="Y136" s="343"/>
      <c r="Z136" s="343"/>
      <c r="AA136" s="94"/>
      <c r="AB136" s="511">
        <f>OBRA!BT135</f>
        <v>0</v>
      </c>
      <c r="AC136" s="570"/>
    </row>
    <row r="137" spans="1:38" ht="105.75" hidden="1" customHeight="1">
      <c r="A137" s="23" t="s">
        <v>2239</v>
      </c>
      <c r="B137" s="933" t="str">
        <f>GRAL!B138</f>
        <v>2015-2018</v>
      </c>
      <c r="C137" s="17">
        <f>OBRA!I136</f>
        <v>2016</v>
      </c>
      <c r="D137" s="18" t="str">
        <f>OBRA!K136</f>
        <v>CUENTA CORRIENTE</v>
      </c>
      <c r="E137" s="528" t="s">
        <v>1431</v>
      </c>
      <c r="F137" s="390"/>
      <c r="G137" s="1"/>
      <c r="H137" s="390"/>
      <c r="I137" s="56" t="str">
        <f>OBRA!U136</f>
        <v>-</v>
      </c>
      <c r="J137" s="57" t="str">
        <f>OBRA!V136</f>
        <v>ING. J. GUADALUPE IBARRA RAMIREZ</v>
      </c>
      <c r="K137" s="20"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2">
        <f>OBRA!S136</f>
        <v>42441</v>
      </c>
      <c r="T137" s="54"/>
      <c r="U137" s="248" t="s">
        <v>1431</v>
      </c>
      <c r="V137" s="111"/>
      <c r="W137" s="55"/>
      <c r="X137" s="305">
        <f>OBRA!AP136</f>
        <v>0</v>
      </c>
      <c r="Y137" s="341"/>
      <c r="Z137" s="341"/>
      <c r="AA137" s="5"/>
      <c r="AB137" s="351">
        <f>OBRA!BT136</f>
        <v>0</v>
      </c>
      <c r="AC137" s="569"/>
      <c r="AE137"/>
      <c r="AF137"/>
      <c r="AG137"/>
      <c r="AH137"/>
      <c r="AI137"/>
      <c r="AJ137"/>
      <c r="AK137"/>
      <c r="AL137"/>
    </row>
    <row r="138" spans="1:38" ht="63.75" hidden="1" customHeight="1">
      <c r="A138" s="23" t="s">
        <v>2239</v>
      </c>
      <c r="B138" s="933" t="str">
        <f>GRAL!B139</f>
        <v>2015-2018</v>
      </c>
      <c r="C138" s="17">
        <f>OBRA!I137</f>
        <v>2016</v>
      </c>
      <c r="D138" s="18" t="str">
        <f>OBRA!K137</f>
        <v>CUENTA CORRIENTE</v>
      </c>
      <c r="E138" s="528" t="s">
        <v>1431</v>
      </c>
      <c r="F138" s="390"/>
      <c r="G138" s="1"/>
      <c r="H138" s="390"/>
      <c r="I138" s="56" t="str">
        <f>OBRA!U137</f>
        <v>-</v>
      </c>
      <c r="J138" s="57" t="str">
        <f>OBRA!V137</f>
        <v>ING. J. GUADALUPE IBARRA RAMIREZ</v>
      </c>
      <c r="K138" s="20"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2">
        <f>OBRA!S137</f>
        <v>42439</v>
      </c>
      <c r="T138" s="54"/>
      <c r="U138" s="248" t="s">
        <v>1431</v>
      </c>
      <c r="V138" s="111"/>
      <c r="W138" s="55"/>
      <c r="X138" s="305">
        <f>OBRA!AP137</f>
        <v>0</v>
      </c>
      <c r="Y138" s="341"/>
      <c r="Z138" s="341"/>
      <c r="AA138" s="5"/>
      <c r="AB138" s="351">
        <f>OBRA!BT137</f>
        <v>0</v>
      </c>
      <c r="AC138" s="569"/>
      <c r="AE138"/>
      <c r="AF138"/>
      <c r="AG138"/>
      <c r="AH138"/>
      <c r="AI138"/>
      <c r="AJ138"/>
      <c r="AK138"/>
      <c r="AL138"/>
    </row>
    <row r="139" spans="1:38" ht="60.75" hidden="1" customHeight="1">
      <c r="A139" s="23" t="s">
        <v>2239</v>
      </c>
      <c r="B139" s="933" t="str">
        <f>GRAL!B140</f>
        <v>2015-2018</v>
      </c>
      <c r="C139" s="17">
        <f>OBRA!I138</f>
        <v>2016</v>
      </c>
      <c r="D139" s="18" t="str">
        <f>OBRA!K138</f>
        <v>CUENTA CORRIENTE</v>
      </c>
      <c r="E139" s="14" t="s">
        <v>1431</v>
      </c>
      <c r="F139" s="390"/>
      <c r="G139" s="1"/>
      <c r="H139" s="390"/>
      <c r="I139" s="56" t="str">
        <f>OBRA!U138</f>
        <v>-</v>
      </c>
      <c r="J139" s="57" t="str">
        <f>OBRA!V138</f>
        <v>ING. J. GUADALUPE IBARRA RAMIREZ</v>
      </c>
      <c r="K139" s="20"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2">
        <f>OBRA!S138</f>
        <v>42560</v>
      </c>
      <c r="T139" s="54"/>
      <c r="U139" s="248" t="s">
        <v>1431</v>
      </c>
      <c r="V139" s="111"/>
      <c r="W139" s="55"/>
      <c r="X139" s="305">
        <f>OBRA!AP138</f>
        <v>0</v>
      </c>
      <c r="Y139" s="341"/>
      <c r="Z139" s="341"/>
      <c r="AA139" s="5"/>
      <c r="AB139" s="351">
        <f>OBRA!BT138</f>
        <v>0</v>
      </c>
      <c r="AC139" s="569"/>
      <c r="AE139"/>
      <c r="AF139"/>
      <c r="AG139"/>
      <c r="AH139"/>
      <c r="AI139"/>
      <c r="AJ139"/>
      <c r="AK139"/>
      <c r="AL139"/>
    </row>
    <row r="140" spans="1:38" ht="60.75" hidden="1" customHeight="1">
      <c r="A140" s="23" t="s">
        <v>2239</v>
      </c>
      <c r="B140" s="933" t="str">
        <f>GRAL!B141</f>
        <v>2015-2018</v>
      </c>
      <c r="C140" s="17">
        <f>OBRA!I139</f>
        <v>2016</v>
      </c>
      <c r="D140" s="18" t="str">
        <f>OBRA!K139</f>
        <v>FORTALECE</v>
      </c>
      <c r="E140" s="525"/>
      <c r="F140" s="390"/>
      <c r="G140" s="1"/>
      <c r="H140" s="390"/>
      <c r="I140" s="56" t="str">
        <f>OBRA!U139</f>
        <v>-</v>
      </c>
      <c r="J140" s="57" t="str">
        <f>OBRA!V139</f>
        <v>ING. J. GUADALUPE IBARRA RAMIREZ</v>
      </c>
      <c r="K140" s="20"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2">
        <f>OBRA!S139</f>
        <v>42578</v>
      </c>
      <c r="T140" s="54"/>
      <c r="U140" s="248" t="s">
        <v>1431</v>
      </c>
      <c r="V140" s="111"/>
      <c r="W140" s="55"/>
      <c r="X140" s="305">
        <f>OBRA!AP139</f>
        <v>0</v>
      </c>
      <c r="Y140" s="341"/>
      <c r="Z140" s="341"/>
      <c r="AA140" s="5"/>
      <c r="AB140" s="351">
        <f>OBRA!BT139</f>
        <v>0</v>
      </c>
      <c r="AC140" s="569"/>
      <c r="AE140"/>
      <c r="AF140"/>
      <c r="AG140"/>
      <c r="AH140"/>
      <c r="AI140"/>
      <c r="AJ140"/>
      <c r="AK140"/>
      <c r="AL140"/>
    </row>
    <row r="141" spans="1:38" ht="90.75" hidden="1" customHeight="1">
      <c r="A141" s="23" t="s">
        <v>2239</v>
      </c>
      <c r="B141" s="933" t="str">
        <f>GRAL!B142</f>
        <v>2015-2018</v>
      </c>
      <c r="C141" s="17">
        <f>OBRA!I140</f>
        <v>2016</v>
      </c>
      <c r="D141" s="18" t="str">
        <f>OBRA!K140</f>
        <v>FORTALECE</v>
      </c>
      <c r="E141" s="525"/>
      <c r="F141" s="390"/>
      <c r="G141" s="1"/>
      <c r="H141" s="390"/>
      <c r="I141" s="56" t="str">
        <f>OBRA!U140</f>
        <v>-</v>
      </c>
      <c r="J141" s="57" t="str">
        <f>OBRA!V140</f>
        <v>ING. J. GUADALUPE IBARRA RAMIREZ</v>
      </c>
      <c r="K141" s="20"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2">
        <f>OBRA!S140</f>
        <v>42710</v>
      </c>
      <c r="T141" s="54"/>
      <c r="U141" s="248" t="s">
        <v>1431</v>
      </c>
      <c r="V141" s="111"/>
      <c r="W141" s="55"/>
      <c r="X141" s="305">
        <f>OBRA!AP140</f>
        <v>0</v>
      </c>
      <c r="Y141" s="341"/>
      <c r="Z141" s="341"/>
      <c r="AA141" s="5"/>
      <c r="AB141" s="351">
        <f>OBRA!BT140</f>
        <v>0</v>
      </c>
      <c r="AC141" s="569"/>
      <c r="AE141"/>
      <c r="AF141"/>
      <c r="AG141"/>
      <c r="AH141"/>
      <c r="AI141"/>
      <c r="AJ141"/>
      <c r="AK141"/>
      <c r="AL141"/>
    </row>
    <row r="142" spans="1:38" ht="60.75" hidden="1" customHeight="1">
      <c r="A142" s="23" t="s">
        <v>2239</v>
      </c>
      <c r="B142" s="933" t="str">
        <f>GRAL!B143</f>
        <v>2015-2018</v>
      </c>
      <c r="C142" s="17">
        <f>OBRA!I141</f>
        <v>2016</v>
      </c>
      <c r="D142" s="18" t="str">
        <f>OBRA!K141</f>
        <v>RAMO 33</v>
      </c>
      <c r="E142" s="525" t="s">
        <v>1431</v>
      </c>
      <c r="F142" s="390"/>
      <c r="G142" s="1"/>
      <c r="H142" s="390"/>
      <c r="I142" s="56" t="str">
        <f>OBRA!U141</f>
        <v>-</v>
      </c>
      <c r="J142" s="57" t="str">
        <f>OBRA!V141</f>
        <v>ING. J. GUADALUPE IBARRA RAMIREZ</v>
      </c>
      <c r="K142" s="20"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2">
        <f>OBRA!S141</f>
        <v>42665</v>
      </c>
      <c r="T142" s="54"/>
      <c r="U142" s="248" t="s">
        <v>1431</v>
      </c>
      <c r="V142" s="111"/>
      <c r="W142" s="55"/>
      <c r="X142" s="305">
        <f>OBRA!AP141</f>
        <v>0</v>
      </c>
      <c r="Y142" s="341"/>
      <c r="Z142" s="341"/>
      <c r="AA142" s="5"/>
      <c r="AB142" s="351">
        <f>OBRA!BT141</f>
        <v>0</v>
      </c>
      <c r="AC142" s="569"/>
      <c r="AE142"/>
      <c r="AF142"/>
      <c r="AG142"/>
      <c r="AH142"/>
      <c r="AI142"/>
      <c r="AJ142"/>
      <c r="AK142"/>
      <c r="AL142"/>
    </row>
    <row r="143" spans="1:38" ht="60.75" hidden="1" customHeight="1">
      <c r="A143" s="23" t="s">
        <v>2239</v>
      </c>
      <c r="B143" s="933" t="str">
        <f>GRAL!B144</f>
        <v>2015-2018</v>
      </c>
      <c r="C143" s="17">
        <f>OBRA!I142</f>
        <v>2016</v>
      </c>
      <c r="D143" s="18" t="str">
        <f>OBRA!K142</f>
        <v>CUENTA CORRIENTE</v>
      </c>
      <c r="E143" s="525" t="s">
        <v>1431</v>
      </c>
      <c r="F143" s="390"/>
      <c r="G143" s="1"/>
      <c r="H143" s="390"/>
      <c r="I143" s="56" t="str">
        <f>OBRA!U142</f>
        <v>-</v>
      </c>
      <c r="J143" s="57" t="str">
        <f>OBRA!V142</f>
        <v>ING. RIGOBERTO OLMEDO RAMOS</v>
      </c>
      <c r="K143" s="20"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2">
        <f>OBRA!S142</f>
        <v>42581</v>
      </c>
      <c r="T143" s="54"/>
      <c r="U143" s="248" t="s">
        <v>1431</v>
      </c>
      <c r="V143" s="111"/>
      <c r="W143" s="55"/>
      <c r="X143" s="305">
        <f>OBRA!AP142</f>
        <v>0</v>
      </c>
      <c r="Y143" s="341"/>
      <c r="Z143" s="341"/>
      <c r="AA143" s="5"/>
      <c r="AB143" s="351">
        <f>OBRA!BT142</f>
        <v>0</v>
      </c>
      <c r="AC143" s="569"/>
      <c r="AE143"/>
      <c r="AF143"/>
      <c r="AG143"/>
      <c r="AH143"/>
      <c r="AI143"/>
      <c r="AJ143"/>
      <c r="AK143"/>
      <c r="AL143"/>
    </row>
    <row r="144" spans="1:38" ht="75.75" hidden="1" customHeight="1">
      <c r="A144" s="23" t="s">
        <v>2239</v>
      </c>
      <c r="B144" s="933" t="str">
        <f>GRAL!B145</f>
        <v>2015-2018</v>
      </c>
      <c r="C144" s="17">
        <f>OBRA!I143</f>
        <v>2016</v>
      </c>
      <c r="D144" s="18" t="str">
        <f>OBRA!K143</f>
        <v>RAMO 33</v>
      </c>
      <c r="E144" s="525" t="s">
        <v>1431</v>
      </c>
      <c r="F144" s="390"/>
      <c r="G144" s="1"/>
      <c r="H144" s="390"/>
      <c r="I144" s="56" t="str">
        <f>OBRA!U143</f>
        <v>-</v>
      </c>
      <c r="J144" s="57" t="str">
        <f>OBRA!V143</f>
        <v>ING. J. GUADALUPE IBARRA RAMIREZ</v>
      </c>
      <c r="K144" s="20"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2">
        <f>OBRA!S143</f>
        <v>42546</v>
      </c>
      <c r="T144" s="54"/>
      <c r="U144" s="248" t="s">
        <v>1431</v>
      </c>
      <c r="V144" s="111"/>
      <c r="W144" s="55"/>
      <c r="X144" s="305">
        <f>OBRA!AP143</f>
        <v>0</v>
      </c>
      <c r="Y144" s="341"/>
      <c r="Z144" s="341"/>
      <c r="AA144" s="5"/>
      <c r="AB144" s="351">
        <f>OBRA!BT143</f>
        <v>0</v>
      </c>
      <c r="AC144" s="569"/>
      <c r="AE144"/>
      <c r="AF144"/>
      <c r="AG144"/>
      <c r="AH144"/>
      <c r="AI144"/>
      <c r="AJ144"/>
      <c r="AK144"/>
      <c r="AL144"/>
    </row>
    <row r="145" spans="1:38" ht="75.75" hidden="1" customHeight="1">
      <c r="A145" s="23" t="s">
        <v>2239</v>
      </c>
      <c r="B145" s="933" t="str">
        <f>GRAL!B146</f>
        <v>2015-2018</v>
      </c>
      <c r="C145" s="17">
        <f>OBRA!I144</f>
        <v>2016</v>
      </c>
      <c r="D145" s="18" t="str">
        <f>OBRA!K144</f>
        <v>RAMO 33</v>
      </c>
      <c r="E145" s="525" t="s">
        <v>1431</v>
      </c>
      <c r="F145" s="390"/>
      <c r="G145" s="1"/>
      <c r="H145" s="390"/>
      <c r="I145" s="56" t="str">
        <f>OBRA!U144</f>
        <v>-</v>
      </c>
      <c r="J145" s="57" t="str">
        <f>OBRA!V144</f>
        <v>ING. J. GUADALUPE IBARRA RAMIREZ</v>
      </c>
      <c r="K145" s="20"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2">
        <f>OBRA!S144</f>
        <v>42665</v>
      </c>
      <c r="T145" s="54"/>
      <c r="U145" s="248" t="s">
        <v>1431</v>
      </c>
      <c r="V145" s="111"/>
      <c r="W145" s="55"/>
      <c r="X145" s="305">
        <f>OBRA!AP144</f>
        <v>0</v>
      </c>
      <c r="Y145" s="341"/>
      <c r="Z145" s="341"/>
      <c r="AA145" s="5"/>
      <c r="AB145" s="351">
        <f>OBRA!BT144</f>
        <v>0</v>
      </c>
      <c r="AC145" s="569"/>
      <c r="AE145"/>
      <c r="AF145"/>
      <c r="AG145"/>
      <c r="AH145"/>
      <c r="AI145"/>
      <c r="AJ145"/>
      <c r="AK145"/>
      <c r="AL145"/>
    </row>
    <row r="146" spans="1:38" ht="75.75" hidden="1" customHeight="1">
      <c r="A146" s="23" t="s">
        <v>2239</v>
      </c>
      <c r="B146" s="933" t="str">
        <f>GRAL!B147</f>
        <v>2015-2018</v>
      </c>
      <c r="C146" s="17">
        <f>OBRA!I145</f>
        <v>2016</v>
      </c>
      <c r="D146" s="18" t="str">
        <f>OBRA!K145</f>
        <v>RAMO 33</v>
      </c>
      <c r="E146" s="525" t="s">
        <v>1431</v>
      </c>
      <c r="F146" s="390"/>
      <c r="G146" s="1"/>
      <c r="H146" s="390"/>
      <c r="I146" s="56" t="str">
        <f>OBRA!U145</f>
        <v>-</v>
      </c>
      <c r="J146" s="57" t="str">
        <f>OBRA!V145</f>
        <v>ING. J. GUADALUPE IBARRA RAMIREZ</v>
      </c>
      <c r="K146" s="20"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2">
        <f>OBRA!S145</f>
        <v>42586</v>
      </c>
      <c r="T146" s="54"/>
      <c r="U146" s="248" t="s">
        <v>1431</v>
      </c>
      <c r="V146" s="111"/>
      <c r="W146" s="55"/>
      <c r="X146" s="305">
        <f>OBRA!AP145</f>
        <v>0</v>
      </c>
      <c r="Y146" s="341"/>
      <c r="Z146" s="341"/>
      <c r="AA146" s="5"/>
      <c r="AB146" s="351">
        <f>OBRA!BT145</f>
        <v>0</v>
      </c>
      <c r="AC146" s="569"/>
      <c r="AE146"/>
      <c r="AF146"/>
      <c r="AG146"/>
      <c r="AH146"/>
      <c r="AI146"/>
      <c r="AJ146"/>
      <c r="AK146"/>
      <c r="AL146"/>
    </row>
    <row r="147" spans="1:38" ht="135.75" hidden="1" customHeight="1">
      <c r="A147" s="23" t="s">
        <v>2239</v>
      </c>
      <c r="B147" s="933" t="str">
        <f>GRAL!B148</f>
        <v>2015-2018</v>
      </c>
      <c r="C147" s="17">
        <f>OBRA!I146</f>
        <v>2016</v>
      </c>
      <c r="D147" s="18" t="str">
        <f>OBRA!K146</f>
        <v>CUENTA CORRIENTE</v>
      </c>
      <c r="E147" s="14" t="s">
        <v>1431</v>
      </c>
      <c r="F147" s="390"/>
      <c r="G147" s="1"/>
      <c r="H147" s="390"/>
      <c r="I147" s="56" t="str">
        <f>OBRA!U146</f>
        <v>-</v>
      </c>
      <c r="J147" s="57" t="str">
        <f>OBRA!V146</f>
        <v>ING. J. GUADALUPE IBARRA RAMIREZ</v>
      </c>
      <c r="K147" s="20"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2">
        <f>OBRA!S146</f>
        <v>42582</v>
      </c>
      <c r="T147" s="54"/>
      <c r="U147" s="248" t="s">
        <v>1431</v>
      </c>
      <c r="V147" s="111"/>
      <c r="W147" s="55"/>
      <c r="X147" s="305">
        <f>OBRA!AP146</f>
        <v>0</v>
      </c>
      <c r="Y147" s="341"/>
      <c r="Z147" s="341"/>
      <c r="AA147" s="5"/>
      <c r="AB147" s="351">
        <f>OBRA!BT146</f>
        <v>0</v>
      </c>
      <c r="AC147" s="569"/>
      <c r="AE147"/>
      <c r="AF147"/>
      <c r="AG147"/>
      <c r="AH147"/>
      <c r="AI147"/>
      <c r="AJ147"/>
      <c r="AK147"/>
      <c r="AL147"/>
    </row>
    <row r="148" spans="1:38" ht="120.75" hidden="1" customHeight="1">
      <c r="A148" s="23" t="s">
        <v>2239</v>
      </c>
      <c r="B148" s="933" t="str">
        <f>GRAL!B149</f>
        <v>2015-2018</v>
      </c>
      <c r="C148" s="17">
        <f>OBRA!I147</f>
        <v>2016</v>
      </c>
      <c r="D148" s="18" t="str">
        <f>OBRA!K147</f>
        <v>FONDEREG</v>
      </c>
      <c r="E148" s="525"/>
      <c r="F148" s="390"/>
      <c r="G148" s="1"/>
      <c r="H148" s="390"/>
      <c r="I148" s="56" t="str">
        <f>OBRA!U147</f>
        <v>-</v>
      </c>
      <c r="J148" s="57" t="str">
        <f>OBRA!V147</f>
        <v>ING. RIGOBERTO OLMEDO RAMOS</v>
      </c>
      <c r="K148" s="20"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2">
        <f>OBRA!S147</f>
        <v>42643</v>
      </c>
      <c r="T148" s="54"/>
      <c r="U148" s="248" t="s">
        <v>1431</v>
      </c>
      <c r="V148" s="111"/>
      <c r="W148" s="55"/>
      <c r="X148" s="305">
        <f>OBRA!AP147</f>
        <v>0</v>
      </c>
      <c r="Y148" s="341"/>
      <c r="Z148" s="341"/>
      <c r="AA148" s="5"/>
      <c r="AB148" s="351">
        <f>OBRA!BT147</f>
        <v>0</v>
      </c>
      <c r="AC148" s="569"/>
      <c r="AE148"/>
      <c r="AF148"/>
      <c r="AG148"/>
      <c r="AH148"/>
      <c r="AI148"/>
      <c r="AJ148"/>
      <c r="AK148"/>
      <c r="AL148"/>
    </row>
    <row r="149" spans="1:38" ht="105.75" hidden="1" customHeight="1">
      <c r="A149" s="23" t="s">
        <v>2239</v>
      </c>
      <c r="B149" s="933" t="str">
        <f>GRAL!B150</f>
        <v>2015-2018</v>
      </c>
      <c r="C149" s="17">
        <f>OBRA!I148</f>
        <v>2016</v>
      </c>
      <c r="D149" s="18" t="str">
        <f>OBRA!K148</f>
        <v>FONDEREG</v>
      </c>
      <c r="E149" s="525"/>
      <c r="F149" s="390"/>
      <c r="G149" s="1"/>
      <c r="H149" s="390"/>
      <c r="I149" s="56" t="str">
        <f>OBRA!U148</f>
        <v>-</v>
      </c>
      <c r="J149" s="57" t="str">
        <f>OBRA!V148</f>
        <v>ING. RIGOBERTO OLMEDO RAMOS</v>
      </c>
      <c r="K149" s="20"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2">
        <f>OBRA!S148</f>
        <v>42651</v>
      </c>
      <c r="T149" s="54"/>
      <c r="U149" s="248" t="s">
        <v>1431</v>
      </c>
      <c r="V149" s="111"/>
      <c r="W149" s="55"/>
      <c r="X149" s="305">
        <f>OBRA!AP148</f>
        <v>0</v>
      </c>
      <c r="Y149" s="341"/>
      <c r="Z149" s="341"/>
      <c r="AA149" s="5"/>
      <c r="AB149" s="351">
        <f>OBRA!BT148</f>
        <v>0</v>
      </c>
      <c r="AC149" s="569"/>
      <c r="AE149"/>
      <c r="AF149"/>
      <c r="AG149"/>
      <c r="AH149"/>
      <c r="AI149"/>
      <c r="AJ149"/>
      <c r="AK149"/>
      <c r="AL149"/>
    </row>
    <row r="150" spans="1:38" ht="75.75" hidden="1" customHeight="1">
      <c r="A150" s="23" t="s">
        <v>2239</v>
      </c>
      <c r="B150" s="933" t="str">
        <f>GRAL!B151</f>
        <v>2015-2018</v>
      </c>
      <c r="C150" s="17">
        <f>OBRA!I149</f>
        <v>2016</v>
      </c>
      <c r="D150" s="18" t="str">
        <f>OBRA!K149</f>
        <v>FONDEREG</v>
      </c>
      <c r="E150" s="525"/>
      <c r="F150" s="390"/>
      <c r="G150" s="1"/>
      <c r="H150" s="390"/>
      <c r="I150" s="56" t="str">
        <f>OBRA!U149</f>
        <v>-</v>
      </c>
      <c r="J150" s="57" t="str">
        <f>OBRA!V149</f>
        <v>ING. RIGOBERTO OLMEDO RAMOS</v>
      </c>
      <c r="K150" s="20"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2">
        <f>OBRA!S149</f>
        <v>42719</v>
      </c>
      <c r="T150" s="54"/>
      <c r="U150" s="248" t="s">
        <v>1431</v>
      </c>
      <c r="V150" s="111"/>
      <c r="W150" s="55"/>
      <c r="X150" s="305">
        <f>OBRA!AP149</f>
        <v>0</v>
      </c>
      <c r="Y150" s="341"/>
      <c r="Z150" s="341"/>
      <c r="AA150" s="5"/>
      <c r="AB150" s="351">
        <f>OBRA!BT149</f>
        <v>0</v>
      </c>
      <c r="AC150" s="569"/>
      <c r="AE150"/>
      <c r="AF150"/>
      <c r="AG150"/>
      <c r="AH150"/>
      <c r="AI150"/>
      <c r="AJ150"/>
      <c r="AK150"/>
      <c r="AL150"/>
    </row>
    <row r="151" spans="1:38" ht="93" hidden="1" customHeight="1">
      <c r="A151" s="23" t="s">
        <v>2239</v>
      </c>
      <c r="B151" s="933" t="str">
        <f>GRAL!B152</f>
        <v>2015-2018</v>
      </c>
      <c r="C151" s="17">
        <f>OBRA!I150</f>
        <v>2016</v>
      </c>
      <c r="D151" s="18" t="str">
        <f>OBRA!K150</f>
        <v>CUENTA CORRIENTE</v>
      </c>
      <c r="E151" s="14" t="s">
        <v>1431</v>
      </c>
      <c r="F151" s="390"/>
      <c r="G151" s="1"/>
      <c r="H151" s="390"/>
      <c r="I151" s="56" t="str">
        <f>OBRA!U150</f>
        <v>-</v>
      </c>
      <c r="J151" s="57" t="str">
        <f>OBRA!V150</f>
        <v>ING. J. GUADALUPE IBARRA RAMIREZ</v>
      </c>
      <c r="K151" s="20"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2">
        <f>OBRA!S150</f>
        <v>42622</v>
      </c>
      <c r="T151" s="54"/>
      <c r="U151" s="248" t="s">
        <v>1431</v>
      </c>
      <c r="V151" s="111"/>
      <c r="W151" s="55"/>
      <c r="X151" s="305">
        <f>OBRA!AP150</f>
        <v>0</v>
      </c>
      <c r="Y151" s="341"/>
      <c r="Z151" s="341"/>
      <c r="AA151" s="5"/>
      <c r="AB151" s="351">
        <f>OBRA!BT150</f>
        <v>0</v>
      </c>
      <c r="AC151" s="569"/>
      <c r="AE151"/>
      <c r="AF151"/>
      <c r="AG151"/>
      <c r="AH151"/>
      <c r="AI151"/>
      <c r="AJ151"/>
      <c r="AK151"/>
      <c r="AL151"/>
    </row>
    <row r="152" spans="1:38" ht="45.75" hidden="1" customHeight="1">
      <c r="A152" s="23" t="s">
        <v>2239</v>
      </c>
      <c r="B152" s="933" t="str">
        <f>GRAL!B153</f>
        <v>2015-2018</v>
      </c>
      <c r="C152" s="17">
        <f>OBRA!I151</f>
        <v>2016</v>
      </c>
      <c r="D152" s="18" t="str">
        <f>OBRA!K151</f>
        <v>CUENTA CORRIENTE</v>
      </c>
      <c r="E152" s="525" t="s">
        <v>1431</v>
      </c>
      <c r="F152" s="390"/>
      <c r="G152" s="1"/>
      <c r="H152" s="390"/>
      <c r="I152" s="56" t="str">
        <f>OBRA!U151</f>
        <v>-</v>
      </c>
      <c r="J152" s="57" t="str">
        <f>OBRA!V151</f>
        <v>ING. J. GUADALUPE IBARRA RAMIREZ</v>
      </c>
      <c r="K152" s="20"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2">
        <f>OBRA!S151</f>
        <v>42622</v>
      </c>
      <c r="T152" s="54"/>
      <c r="U152" s="248" t="s">
        <v>1431</v>
      </c>
      <c r="V152" s="111"/>
      <c r="W152" s="55"/>
      <c r="X152" s="305">
        <f>OBRA!AP151</f>
        <v>0</v>
      </c>
      <c r="Y152" s="341"/>
      <c r="Z152" s="341"/>
      <c r="AA152" s="5"/>
      <c r="AB152" s="351">
        <f>OBRA!BT151</f>
        <v>0</v>
      </c>
      <c r="AC152" s="569"/>
      <c r="AE152"/>
      <c r="AF152"/>
      <c r="AG152"/>
      <c r="AH152"/>
      <c r="AI152"/>
      <c r="AJ152"/>
      <c r="AK152"/>
      <c r="AL152"/>
    </row>
    <row r="153" spans="1:38" ht="87.75" hidden="1" customHeight="1">
      <c r="A153" s="23" t="s">
        <v>2239</v>
      </c>
      <c r="B153" s="933" t="str">
        <f>GRAL!B154</f>
        <v>2015-2018</v>
      </c>
      <c r="C153" s="17">
        <f>OBRA!I152</f>
        <v>2016</v>
      </c>
      <c r="D153" s="19" t="str">
        <f>OBRA!K152</f>
        <v>3X1 PARA MIGRANTES</v>
      </c>
      <c r="E153" s="525"/>
      <c r="F153" s="390"/>
      <c r="G153" s="1"/>
      <c r="H153" s="390"/>
      <c r="I153" s="56" t="str">
        <f>OBRA!U152</f>
        <v>-</v>
      </c>
      <c r="J153" s="57" t="str">
        <f>OBRA!V152</f>
        <v>ING. RIGOBERTO OLMEDO RAMOS</v>
      </c>
      <c r="K153" s="20"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2">
        <f>OBRA!S152</f>
        <v>42643</v>
      </c>
      <c r="T153" s="54"/>
      <c r="U153" s="248" t="s">
        <v>1431</v>
      </c>
      <c r="V153" s="111"/>
      <c r="W153" s="55"/>
      <c r="X153" s="305">
        <f>OBRA!AP152</f>
        <v>0</v>
      </c>
      <c r="Y153" s="341"/>
      <c r="Z153" s="341"/>
      <c r="AA153" s="5"/>
      <c r="AB153" s="351">
        <f>OBRA!BT152</f>
        <v>0</v>
      </c>
      <c r="AC153" s="569"/>
      <c r="AE153"/>
      <c r="AF153"/>
      <c r="AG153"/>
      <c r="AH153"/>
      <c r="AI153"/>
      <c r="AJ153"/>
      <c r="AK153"/>
      <c r="AL153"/>
    </row>
    <row r="154" spans="1:38" ht="90" hidden="1" customHeight="1">
      <c r="A154" s="23" t="s">
        <v>2239</v>
      </c>
      <c r="B154" s="933" t="str">
        <f>GRAL!B155</f>
        <v>2015-2018</v>
      </c>
      <c r="C154" s="17">
        <f>OBRA!I153</f>
        <v>2016</v>
      </c>
      <c r="D154" s="19" t="str">
        <f>OBRA!K153</f>
        <v>3X1 PARA MIGRANTES</v>
      </c>
      <c r="E154" s="525"/>
      <c r="F154" s="390"/>
      <c r="G154" s="1"/>
      <c r="H154" s="390"/>
      <c r="I154" s="56" t="str">
        <f>OBRA!U153</f>
        <v>-</v>
      </c>
      <c r="J154" s="57" t="str">
        <f>OBRA!V153</f>
        <v>ING. RIGOBERTO OLMEDO RAMOS</v>
      </c>
      <c r="K154" s="20"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2">
        <f>OBRA!S153</f>
        <v>42651</v>
      </c>
      <c r="T154" s="54"/>
      <c r="U154" s="248" t="s">
        <v>1431</v>
      </c>
      <c r="V154" s="111"/>
      <c r="W154" s="55"/>
      <c r="X154" s="305">
        <f>OBRA!AP153</f>
        <v>0</v>
      </c>
      <c r="Y154" s="341"/>
      <c r="Z154" s="341"/>
      <c r="AA154" s="5"/>
      <c r="AB154" s="351">
        <f>OBRA!BT153</f>
        <v>0</v>
      </c>
      <c r="AC154" s="569"/>
      <c r="AE154"/>
      <c r="AF154"/>
      <c r="AG154"/>
      <c r="AH154"/>
      <c r="AI154"/>
      <c r="AJ154"/>
      <c r="AK154"/>
      <c r="AL154"/>
    </row>
    <row r="155" spans="1:38" ht="90.75" hidden="1" customHeight="1">
      <c r="A155" s="23" t="s">
        <v>2239</v>
      </c>
      <c r="B155" s="933" t="str">
        <f>GRAL!B156</f>
        <v>2015-2018</v>
      </c>
      <c r="C155" s="17">
        <f>OBRA!I154</f>
        <v>2016</v>
      </c>
      <c r="D155" s="19" t="str">
        <f>OBRA!K154</f>
        <v>3X1 PARA MIGRANTES</v>
      </c>
      <c r="E155" s="525"/>
      <c r="F155" s="390"/>
      <c r="G155" s="1"/>
      <c r="H155" s="390"/>
      <c r="I155" s="56" t="str">
        <f>OBRA!U154</f>
        <v>-</v>
      </c>
      <c r="J155" s="57" t="str">
        <f>OBRA!V154</f>
        <v>ING. RIGOBERTO OLMEDO RAMOS</v>
      </c>
      <c r="K155" s="20"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2">
        <f>OBRA!S154</f>
        <v>42663</v>
      </c>
      <c r="T155" s="54"/>
      <c r="U155" s="248" t="s">
        <v>1431</v>
      </c>
      <c r="V155" s="111"/>
      <c r="W155" s="55"/>
      <c r="X155" s="305">
        <f>OBRA!AP154</f>
        <v>0</v>
      </c>
      <c r="Y155" s="341"/>
      <c r="Z155" s="341"/>
      <c r="AA155" s="5"/>
      <c r="AB155" s="351">
        <f>OBRA!BT154</f>
        <v>0</v>
      </c>
      <c r="AC155" s="569"/>
      <c r="AE155"/>
      <c r="AF155"/>
      <c r="AG155"/>
      <c r="AH155"/>
      <c r="AI155"/>
      <c r="AJ155"/>
      <c r="AK155"/>
      <c r="AL155"/>
    </row>
    <row r="156" spans="1:38" ht="90" hidden="1" customHeight="1">
      <c r="A156" s="23" t="s">
        <v>2239</v>
      </c>
      <c r="B156" s="933" t="str">
        <f>GRAL!B157</f>
        <v>2015-2018</v>
      </c>
      <c r="C156" s="17">
        <f>OBRA!I155</f>
        <v>2016</v>
      </c>
      <c r="D156" s="19" t="str">
        <f>OBRA!K155</f>
        <v>3X1 PARA MIGRANTES</v>
      </c>
      <c r="E156" s="525"/>
      <c r="F156" s="390"/>
      <c r="G156" s="1"/>
      <c r="H156" s="390"/>
      <c r="I156" s="56" t="str">
        <f>OBRA!U155</f>
        <v>-</v>
      </c>
      <c r="J156" s="57" t="str">
        <f>OBRA!V155</f>
        <v>ING. RIGOBERTO OLMEDO RAMOS</v>
      </c>
      <c r="K156" s="20"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2">
        <f>OBRA!S155</f>
        <v>42663</v>
      </c>
      <c r="T156" s="54"/>
      <c r="U156" s="248" t="s">
        <v>1431</v>
      </c>
      <c r="V156" s="111"/>
      <c r="W156" s="55"/>
      <c r="X156" s="305">
        <f>OBRA!AP155</f>
        <v>0</v>
      </c>
      <c r="Y156" s="341"/>
      <c r="Z156" s="341"/>
      <c r="AA156" s="5"/>
      <c r="AB156" s="351">
        <f>OBRA!BT155</f>
        <v>0</v>
      </c>
      <c r="AC156" s="569"/>
      <c r="AE156"/>
      <c r="AF156"/>
      <c r="AG156"/>
      <c r="AH156"/>
      <c r="AI156"/>
      <c r="AJ156"/>
      <c r="AK156"/>
      <c r="AL156"/>
    </row>
    <row r="157" spans="1:38" ht="93" hidden="1" customHeight="1">
      <c r="A157" s="23" t="s">
        <v>2239</v>
      </c>
      <c r="B157" s="933" t="str">
        <f>GRAL!B158</f>
        <v>2015-2018</v>
      </c>
      <c r="C157" s="17">
        <f>OBRA!I156</f>
        <v>2016</v>
      </c>
      <c r="D157" s="19" t="str">
        <f>OBRA!K156</f>
        <v>3X1 PARA MIGRANTES</v>
      </c>
      <c r="E157" s="525"/>
      <c r="F157" s="390"/>
      <c r="G157" s="1"/>
      <c r="H157" s="390"/>
      <c r="I157" s="56" t="str">
        <f>OBRA!U156</f>
        <v>-</v>
      </c>
      <c r="J157" s="57" t="str">
        <f>OBRA!V156</f>
        <v>ING. RIGOBERTO OLMEDO RAMOS</v>
      </c>
      <c r="K157" s="20"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2">
        <f>OBRA!S156</f>
        <v>42669</v>
      </c>
      <c r="T157" s="54"/>
      <c r="U157" s="248" t="s">
        <v>1431</v>
      </c>
      <c r="V157" s="111"/>
      <c r="W157" s="55"/>
      <c r="X157" s="305">
        <f>OBRA!AP156</f>
        <v>0</v>
      </c>
      <c r="Y157" s="341"/>
      <c r="Z157" s="341"/>
      <c r="AA157" s="5"/>
      <c r="AB157" s="351">
        <f>OBRA!BT156</f>
        <v>0</v>
      </c>
      <c r="AC157" s="569"/>
      <c r="AE157"/>
      <c r="AF157"/>
      <c r="AG157"/>
      <c r="AH157"/>
      <c r="AI157"/>
      <c r="AJ157"/>
      <c r="AK157"/>
      <c r="AL157"/>
    </row>
    <row r="158" spans="1:38" ht="93" hidden="1" customHeight="1">
      <c r="A158" s="23" t="s">
        <v>2239</v>
      </c>
      <c r="B158" s="933" t="str">
        <f>GRAL!B159</f>
        <v>2015-2018</v>
      </c>
      <c r="C158" s="17">
        <f>OBRA!I157</f>
        <v>2016</v>
      </c>
      <c r="D158" s="19" t="str">
        <f>OBRA!K157</f>
        <v>3X1 PARA MIGRANTES</v>
      </c>
      <c r="E158" s="14"/>
      <c r="F158" s="390"/>
      <c r="G158" s="1"/>
      <c r="H158" s="390"/>
      <c r="I158" s="56" t="str">
        <f>OBRA!U157</f>
        <v>-</v>
      </c>
      <c r="J158" s="57" t="str">
        <f>OBRA!V157</f>
        <v>ING. RIGOBERTO OLMEDO RAMOS</v>
      </c>
      <c r="K158" s="20"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2">
        <f>OBRA!S157</f>
        <v>42684</v>
      </c>
      <c r="T158" s="54"/>
      <c r="U158" s="248" t="s">
        <v>1431</v>
      </c>
      <c r="V158" s="111"/>
      <c r="W158" s="55"/>
      <c r="X158" s="305">
        <f>OBRA!AP157</f>
        <v>0</v>
      </c>
      <c r="Y158" s="341"/>
      <c r="Z158" s="341"/>
      <c r="AA158" s="5"/>
      <c r="AB158" s="351">
        <f>OBRA!BT157</f>
        <v>0</v>
      </c>
      <c r="AC158" s="569"/>
      <c r="AE158"/>
      <c r="AF158"/>
      <c r="AG158"/>
      <c r="AH158"/>
      <c r="AI158"/>
      <c r="AJ158"/>
      <c r="AK158"/>
      <c r="AL158"/>
    </row>
    <row r="159" spans="1:38" ht="56.25" hidden="1" customHeight="1">
      <c r="A159" s="23" t="s">
        <v>2239</v>
      </c>
      <c r="B159" s="933" t="str">
        <f>GRAL!B160</f>
        <v>2015-2018</v>
      </c>
      <c r="C159" s="17">
        <f>OBRA!I158</f>
        <v>2016</v>
      </c>
      <c r="D159" s="19" t="str">
        <f>OBRA!K158</f>
        <v>3X1 PARA MIGRANTES</v>
      </c>
      <c r="E159" s="525"/>
      <c r="F159" s="390"/>
      <c r="G159" s="1"/>
      <c r="H159" s="390"/>
      <c r="I159" s="56" t="str">
        <f>OBRA!U158</f>
        <v>-</v>
      </c>
      <c r="J159" s="57" t="str">
        <f>OBRA!V158</f>
        <v>ING. RIGOBERTO OLMEDO RAMOS</v>
      </c>
      <c r="K159" s="20"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2">
        <f>OBRA!S158</f>
        <v>42700</v>
      </c>
      <c r="T159" s="54"/>
      <c r="U159" s="248" t="s">
        <v>1431</v>
      </c>
      <c r="V159" s="111"/>
      <c r="W159" s="55"/>
      <c r="X159" s="305">
        <f>OBRA!AP158</f>
        <v>0</v>
      </c>
      <c r="Y159" s="341"/>
      <c r="Z159" s="341"/>
      <c r="AA159" s="5"/>
      <c r="AB159" s="351">
        <f>OBRA!BT158</f>
        <v>0</v>
      </c>
      <c r="AC159" s="569"/>
      <c r="AE159"/>
      <c r="AF159"/>
      <c r="AG159"/>
      <c r="AH159"/>
      <c r="AI159"/>
      <c r="AJ159"/>
      <c r="AK159"/>
      <c r="AL159"/>
    </row>
    <row r="160" spans="1:38" ht="62.25" hidden="1" customHeight="1">
      <c r="A160" s="23" t="s">
        <v>2239</v>
      </c>
      <c r="B160" s="933" t="str">
        <f>GRAL!B161</f>
        <v>2015-2018</v>
      </c>
      <c r="C160" s="17">
        <f>OBRA!I159</f>
        <v>2016</v>
      </c>
      <c r="D160" s="19" t="str">
        <f>OBRA!K159</f>
        <v>3X1 PARA MIGRANTES</v>
      </c>
      <c r="E160" s="525"/>
      <c r="F160" s="390"/>
      <c r="G160" s="1"/>
      <c r="H160" s="390"/>
      <c r="I160" s="56" t="str">
        <f>OBRA!U159</f>
        <v>-</v>
      </c>
      <c r="J160" s="57" t="str">
        <f>OBRA!V159</f>
        <v>ING. RIGOBERTO OLMEDO RAMOS</v>
      </c>
      <c r="K160" s="20"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2">
        <f>OBRA!S159</f>
        <v>42721</v>
      </c>
      <c r="T160" s="54"/>
      <c r="U160" s="248" t="s">
        <v>1431</v>
      </c>
      <c r="V160" s="111"/>
      <c r="W160" s="55"/>
      <c r="X160" s="305">
        <f>OBRA!AP159</f>
        <v>0</v>
      </c>
      <c r="Y160" s="341"/>
      <c r="Z160" s="341"/>
      <c r="AA160" s="5"/>
      <c r="AB160" s="351">
        <f>OBRA!BT159</f>
        <v>0</v>
      </c>
      <c r="AC160" s="569"/>
      <c r="AE160"/>
      <c r="AF160"/>
      <c r="AG160"/>
      <c r="AH160"/>
      <c r="AI160"/>
      <c r="AJ160"/>
      <c r="AK160"/>
      <c r="AL160"/>
    </row>
    <row r="161" spans="1:38" ht="87" hidden="1" customHeight="1">
      <c r="A161" s="23" t="s">
        <v>2239</v>
      </c>
      <c r="B161" s="933" t="str">
        <f>GRAL!B162</f>
        <v>2015-2018</v>
      </c>
      <c r="C161" s="17">
        <f>OBRA!I160</f>
        <v>2016</v>
      </c>
      <c r="D161" s="19" t="str">
        <f>OBRA!K160</f>
        <v>3X1 PARA MIGRANTES</v>
      </c>
      <c r="E161" s="525"/>
      <c r="F161" s="390"/>
      <c r="G161" s="1"/>
      <c r="H161" s="390"/>
      <c r="I161" s="56" t="str">
        <f>OBRA!U160</f>
        <v>-</v>
      </c>
      <c r="J161" s="57" t="str">
        <f>OBRA!V160</f>
        <v>ING. RIGOBERTO OLMEDO RAMOS</v>
      </c>
      <c r="K161" s="20"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2">
        <f>OBRA!S160</f>
        <v>42672</v>
      </c>
      <c r="T161" s="54"/>
      <c r="U161" s="248" t="s">
        <v>1431</v>
      </c>
      <c r="V161" s="111"/>
      <c r="W161" s="55"/>
      <c r="X161" s="305">
        <f>OBRA!AP160</f>
        <v>0</v>
      </c>
      <c r="Y161" s="341"/>
      <c r="Z161" s="341"/>
      <c r="AA161" s="5"/>
      <c r="AB161" s="351">
        <f>OBRA!BT160</f>
        <v>0</v>
      </c>
      <c r="AC161" s="569"/>
      <c r="AE161"/>
      <c r="AF161"/>
      <c r="AG161"/>
      <c r="AH161"/>
      <c r="AI161"/>
      <c r="AJ161"/>
      <c r="AK161"/>
      <c r="AL161"/>
    </row>
    <row r="162" spans="1:38" ht="61.5" hidden="1" customHeight="1">
      <c r="A162" s="23" t="s">
        <v>2239</v>
      </c>
      <c r="B162" s="933" t="str">
        <f>GRAL!B163</f>
        <v>2015-2018</v>
      </c>
      <c r="C162" s="17">
        <f>OBRA!I161</f>
        <v>2016</v>
      </c>
      <c r="D162" s="19" t="str">
        <f>OBRA!K161</f>
        <v>3X1 PARA MIGRANTES</v>
      </c>
      <c r="E162" s="525"/>
      <c r="F162" s="390"/>
      <c r="G162" s="1"/>
      <c r="H162" s="390"/>
      <c r="I162" s="56" t="str">
        <f>OBRA!U161</f>
        <v>-</v>
      </c>
      <c r="J162" s="57" t="str">
        <f>OBRA!V161</f>
        <v>ING. RIGOBERTO OLMEDO RAMOS</v>
      </c>
      <c r="K162" s="20"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2">
        <f>OBRA!S161</f>
        <v>42704</v>
      </c>
      <c r="T162" s="54"/>
      <c r="U162" s="248" t="s">
        <v>1431</v>
      </c>
      <c r="V162" s="111"/>
      <c r="W162" s="55"/>
      <c r="X162" s="305">
        <f>OBRA!AP161</f>
        <v>0</v>
      </c>
      <c r="Y162" s="341"/>
      <c r="Z162" s="341"/>
      <c r="AA162" s="5"/>
      <c r="AB162" s="351">
        <f>OBRA!BT161</f>
        <v>0</v>
      </c>
      <c r="AC162" s="569"/>
      <c r="AE162"/>
      <c r="AF162"/>
      <c r="AG162"/>
      <c r="AH162"/>
      <c r="AI162"/>
      <c r="AJ162"/>
      <c r="AK162"/>
      <c r="AL162"/>
    </row>
    <row r="163" spans="1:38" ht="110.25" hidden="1" customHeight="1">
      <c r="A163" s="23" t="s">
        <v>2239</v>
      </c>
      <c r="B163" s="933" t="str">
        <f>GRAL!B164</f>
        <v>2015-2018</v>
      </c>
      <c r="C163" s="17">
        <f>OBRA!I162</f>
        <v>2016</v>
      </c>
      <c r="D163" s="19" t="str">
        <f>OBRA!K162</f>
        <v xml:space="preserve">Fortalecimiento Financiero Para La Inversion </v>
      </c>
      <c r="E163" s="14"/>
      <c r="F163" s="390"/>
      <c r="G163" s="1"/>
      <c r="H163" s="390"/>
      <c r="I163" s="56" t="str">
        <f>OBRA!U162</f>
        <v>-</v>
      </c>
      <c r="J163" s="57" t="str">
        <f>OBRA!V162</f>
        <v>ING. J. GUADALUPE IBARRA RAMIREZ</v>
      </c>
      <c r="K163" s="20"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2">
        <f>OBRA!S162</f>
        <v>42734</v>
      </c>
      <c r="T163" s="54"/>
      <c r="U163" s="248" t="s">
        <v>1431</v>
      </c>
      <c r="V163" s="111"/>
      <c r="W163" s="55"/>
      <c r="X163" s="305">
        <f>OBRA!AP162</f>
        <v>0</v>
      </c>
      <c r="Y163" s="341"/>
      <c r="Z163" s="341"/>
      <c r="AA163" s="5"/>
      <c r="AB163" s="351">
        <f>OBRA!BT162</f>
        <v>0</v>
      </c>
      <c r="AC163" s="569"/>
      <c r="AE163"/>
      <c r="AF163"/>
      <c r="AG163"/>
      <c r="AH163"/>
      <c r="AI163"/>
      <c r="AJ163"/>
      <c r="AK163"/>
      <c r="AL163"/>
    </row>
    <row r="164" spans="1:38" ht="67.5" hidden="1" customHeight="1">
      <c r="A164" s="23" t="s">
        <v>2239</v>
      </c>
      <c r="B164" s="933" t="str">
        <f>GRAL!B165</f>
        <v>2015-2018</v>
      </c>
      <c r="C164" s="17">
        <f>OBRA!I163</f>
        <v>2016</v>
      </c>
      <c r="D164" s="18" t="str">
        <f>OBRA!K163</f>
        <v>RAMO 33</v>
      </c>
      <c r="E164" s="525" t="s">
        <v>1431</v>
      </c>
      <c r="F164" s="390"/>
      <c r="G164" s="1"/>
      <c r="H164" s="390"/>
      <c r="I164" s="56" t="str">
        <f>OBRA!U163</f>
        <v>-</v>
      </c>
      <c r="J164" s="57" t="str">
        <f>OBRA!V163</f>
        <v>ING. J. GUADALUPE IBARRA RAMIREZ</v>
      </c>
      <c r="K164" s="20"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2">
        <f>OBRA!S163</f>
        <v>42735</v>
      </c>
      <c r="T164" s="54"/>
      <c r="U164" s="248" t="s">
        <v>1431</v>
      </c>
      <c r="V164" s="111"/>
      <c r="W164" s="55"/>
      <c r="X164" s="305">
        <f>OBRA!AP163</f>
        <v>0</v>
      </c>
      <c r="Y164" s="341"/>
      <c r="Z164" s="341"/>
      <c r="AA164" s="5"/>
      <c r="AB164" s="351">
        <f>OBRA!BT163</f>
        <v>0</v>
      </c>
      <c r="AC164" s="569"/>
      <c r="AE164"/>
      <c r="AF164"/>
      <c r="AG164"/>
      <c r="AH164"/>
      <c r="AI164"/>
      <c r="AJ164"/>
      <c r="AK164"/>
      <c r="AL164"/>
    </row>
    <row r="165" spans="1:38" ht="110.25" hidden="1" customHeight="1">
      <c r="A165" s="23" t="s">
        <v>2239</v>
      </c>
      <c r="B165" s="933" t="str">
        <f>GRAL!B166</f>
        <v>2015-2018</v>
      </c>
      <c r="C165" s="17">
        <f>OBRA!I164</f>
        <v>2016</v>
      </c>
      <c r="D165" s="18" t="str">
        <f>OBRA!K164</f>
        <v>CUENTA CORRIENTE</v>
      </c>
      <c r="E165" s="525" t="s">
        <v>1431</v>
      </c>
      <c r="F165" s="390"/>
      <c r="G165" s="1"/>
      <c r="H165" s="390"/>
      <c r="I165" s="56" t="str">
        <f>OBRA!U164</f>
        <v>-</v>
      </c>
      <c r="J165" s="57" t="str">
        <f>OBRA!V164</f>
        <v>ING. ANGEL ALBERTO HERNANDEZ MORA</v>
      </c>
      <c r="K165" s="20"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2">
        <f>OBRA!S164</f>
        <v>42711</v>
      </c>
      <c r="T165" s="54"/>
      <c r="U165" s="248" t="s">
        <v>1431</v>
      </c>
      <c r="V165" s="111"/>
      <c r="W165" s="55"/>
      <c r="X165" s="305">
        <f>OBRA!AP164</f>
        <v>0</v>
      </c>
      <c r="Y165" s="341"/>
      <c r="Z165" s="341"/>
      <c r="AA165" s="5"/>
      <c r="AB165" s="351">
        <f>OBRA!BT164</f>
        <v>0</v>
      </c>
      <c r="AC165" s="569"/>
      <c r="AE165"/>
      <c r="AF165"/>
      <c r="AG165"/>
      <c r="AH165"/>
      <c r="AI165"/>
      <c r="AJ165"/>
      <c r="AK165"/>
      <c r="AL165"/>
    </row>
    <row r="166" spans="1:38" ht="110.25" hidden="1" customHeight="1">
      <c r="A166" s="23" t="s">
        <v>2239</v>
      </c>
      <c r="B166" s="933" t="str">
        <f>GRAL!B167</f>
        <v>2015-2018</v>
      </c>
      <c r="C166" s="17">
        <f>OBRA!I165</f>
        <v>2016</v>
      </c>
      <c r="D166" s="18" t="str">
        <f>OBRA!K165</f>
        <v>RAMO 33</v>
      </c>
      <c r="E166" s="14" t="s">
        <v>1431</v>
      </c>
      <c r="F166" s="390"/>
      <c r="G166" s="1"/>
      <c r="H166" s="390"/>
      <c r="I166" s="56" t="str">
        <f>OBRA!U165</f>
        <v>-</v>
      </c>
      <c r="J166" s="57" t="str">
        <f>OBRA!V165</f>
        <v>ING. J. GUADALUPE IBARRA RAMIREZ</v>
      </c>
      <c r="K166" s="20"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2">
        <f>OBRA!S165</f>
        <v>42705</v>
      </c>
      <c r="T166" s="54"/>
      <c r="U166" s="248" t="s">
        <v>1431</v>
      </c>
      <c r="V166" s="111"/>
      <c r="W166" s="55"/>
      <c r="X166" s="305">
        <f>OBRA!AP165</f>
        <v>0</v>
      </c>
      <c r="Y166" s="341"/>
      <c r="Z166" s="341"/>
      <c r="AA166" s="5"/>
      <c r="AB166" s="351">
        <f>OBRA!BT165</f>
        <v>0</v>
      </c>
      <c r="AC166" s="569"/>
      <c r="AE166"/>
      <c r="AF166"/>
      <c r="AG166"/>
      <c r="AH166"/>
      <c r="AI166"/>
      <c r="AJ166"/>
      <c r="AK166"/>
      <c r="AL166"/>
    </row>
    <row r="167" spans="1:38" ht="123" hidden="1" customHeight="1">
      <c r="A167" s="23" t="s">
        <v>2239</v>
      </c>
      <c r="B167" s="933" t="str">
        <f>GRAL!B168</f>
        <v>2015-2018</v>
      </c>
      <c r="C167" s="17">
        <f>OBRA!I166</f>
        <v>2016</v>
      </c>
      <c r="D167" s="18" t="str">
        <f>OBRA!K166</f>
        <v>RAMO 33</v>
      </c>
      <c r="E167" s="525" t="s">
        <v>1431</v>
      </c>
      <c r="F167" s="390"/>
      <c r="G167" s="1"/>
      <c r="H167" s="390"/>
      <c r="I167" s="56" t="str">
        <f>OBRA!U166</f>
        <v>-</v>
      </c>
      <c r="J167" s="57" t="str">
        <f>OBRA!V166</f>
        <v>ING. J. GUADALUPE IBARRA RAMIREZ</v>
      </c>
      <c r="K167" s="20"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2">
        <f>OBRA!S166</f>
        <v>42719</v>
      </c>
      <c r="T167" s="54"/>
      <c r="U167" s="248" t="s">
        <v>1431</v>
      </c>
      <c r="V167" s="111"/>
      <c r="W167" s="55"/>
      <c r="X167" s="305">
        <f>OBRA!AP166</f>
        <v>0</v>
      </c>
      <c r="Y167" s="341"/>
      <c r="Z167" s="341"/>
      <c r="AA167" s="5"/>
      <c r="AB167" s="351">
        <f>OBRA!BT166</f>
        <v>0</v>
      </c>
      <c r="AC167" s="569"/>
      <c r="AE167"/>
      <c r="AF167"/>
      <c r="AG167"/>
      <c r="AH167"/>
      <c r="AI167"/>
      <c r="AJ167"/>
      <c r="AK167"/>
      <c r="AL167"/>
    </row>
    <row r="168" spans="1:38" ht="110.25" hidden="1" customHeight="1">
      <c r="A168" s="23" t="s">
        <v>2239</v>
      </c>
      <c r="B168" s="933" t="str">
        <f>GRAL!B169</f>
        <v>2015-2018</v>
      </c>
      <c r="C168" s="17">
        <f>OBRA!I167</f>
        <v>2016</v>
      </c>
      <c r="D168" s="18" t="str">
        <f>OBRA!K167</f>
        <v>RAMO 33</v>
      </c>
      <c r="E168" s="525" t="s">
        <v>1431</v>
      </c>
      <c r="F168" s="390"/>
      <c r="G168" s="1"/>
      <c r="H168" s="390"/>
      <c r="I168" s="56" t="str">
        <f>OBRA!U167</f>
        <v>-</v>
      </c>
      <c r="J168" s="57" t="str">
        <f>OBRA!V167</f>
        <v>ING. J. GUADALUPE IBARRA RAMIREZ</v>
      </c>
      <c r="K168" s="20"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2">
        <f>OBRA!S167</f>
        <v>42735</v>
      </c>
      <c r="T168" s="54"/>
      <c r="U168" s="248" t="s">
        <v>1431</v>
      </c>
      <c r="V168" s="111"/>
      <c r="W168" s="55"/>
      <c r="X168" s="305">
        <f>OBRA!AP167</f>
        <v>0</v>
      </c>
      <c r="Y168" s="341"/>
      <c r="Z168" s="341"/>
      <c r="AA168" s="5"/>
      <c r="AB168" s="351">
        <f>OBRA!BT167</f>
        <v>0</v>
      </c>
      <c r="AC168" s="569"/>
      <c r="AE168"/>
      <c r="AF168"/>
      <c r="AG168"/>
      <c r="AH168"/>
      <c r="AI168"/>
      <c r="AJ168"/>
      <c r="AK168"/>
      <c r="AL168"/>
    </row>
    <row r="169" spans="1:38" ht="110.25" hidden="1" customHeight="1">
      <c r="A169" s="23" t="s">
        <v>2239</v>
      </c>
      <c r="B169" s="933" t="str">
        <f>GRAL!B170</f>
        <v>2015-2018</v>
      </c>
      <c r="C169" s="17">
        <f>OBRA!I168</f>
        <v>2016</v>
      </c>
      <c r="D169" s="19" t="str">
        <f>OBRA!K168</f>
        <v>3X1 PARA MIGRANTES</v>
      </c>
      <c r="E169" s="525"/>
      <c r="F169" s="24"/>
      <c r="G169" s="1"/>
      <c r="H169" s="390"/>
      <c r="I169" s="56" t="str">
        <f>OBRA!U168</f>
        <v>-</v>
      </c>
      <c r="J169" s="57" t="str">
        <f>OBRA!V168</f>
        <v>ING. RIGOBERTO OLMEDO RAMOS</v>
      </c>
      <c r="K169" s="20"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2">
        <f>OBRA!S168</f>
        <v>42735</v>
      </c>
      <c r="T169" s="54"/>
      <c r="U169" s="248" t="s">
        <v>1431</v>
      </c>
      <c r="V169" s="111"/>
      <c r="W169" s="55"/>
      <c r="X169" s="305">
        <f>OBRA!AP168</f>
        <v>0</v>
      </c>
      <c r="Y169" s="341"/>
      <c r="Z169" s="341"/>
      <c r="AA169" s="5"/>
      <c r="AB169" s="351">
        <f>OBRA!BT168</f>
        <v>0</v>
      </c>
      <c r="AC169" s="569"/>
      <c r="AE169"/>
      <c r="AF169"/>
      <c r="AG169"/>
      <c r="AH169"/>
      <c r="AI169"/>
      <c r="AJ169"/>
      <c r="AK169"/>
      <c r="AL169"/>
    </row>
    <row r="170" spans="1:38" ht="253.5" hidden="1" customHeight="1">
      <c r="A170" s="23" t="s">
        <v>2239</v>
      </c>
      <c r="B170" s="933" t="str">
        <f>GRAL!B171</f>
        <v>2015-2018</v>
      </c>
      <c r="C170" s="17">
        <f>OBRA!I169</f>
        <v>2016</v>
      </c>
      <c r="D170" s="19" t="str">
        <f>OBRA!K169</f>
        <v>PATRIMONIO MUNICIPAL</v>
      </c>
      <c r="E170" s="529" t="s">
        <v>1431</v>
      </c>
      <c r="F170" s="542" t="s">
        <v>1745</v>
      </c>
      <c r="G170" s="502" t="s">
        <v>1747</v>
      </c>
      <c r="H170" s="503" t="s">
        <v>1746</v>
      </c>
      <c r="I170" s="56" t="str">
        <f>OBRA!U169</f>
        <v>ELECTRIFICACIONES MUGA, S.A. DE C.V.</v>
      </c>
      <c r="J170" s="57" t="str">
        <f>OBRA!V169</f>
        <v>ING. RIGOBERTO OLMEDO RAMOS</v>
      </c>
      <c r="K170" s="35"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1741</v>
      </c>
      <c r="O170" s="6">
        <f>OBRA!Q169</f>
        <v>42461</v>
      </c>
      <c r="P170" s="4">
        <f>OBRA!P169</f>
        <v>892870.48</v>
      </c>
      <c r="Q170" s="4"/>
      <c r="R170" s="5">
        <f>OBRA!R169</f>
        <v>42461</v>
      </c>
      <c r="S170" s="12">
        <f>OBRA!S169</f>
        <v>42583</v>
      </c>
      <c r="T170" s="55"/>
      <c r="U170" s="415" t="s">
        <v>1431</v>
      </c>
      <c r="V170" s="503" t="s">
        <v>1748</v>
      </c>
      <c r="W170" s="504" t="s">
        <v>2278</v>
      </c>
      <c r="X170" s="493">
        <f>OBRA!AP169</f>
        <v>89287.05</v>
      </c>
      <c r="Y170" s="5"/>
      <c r="Z170" s="341"/>
      <c r="AA170" s="5"/>
      <c r="AB170" s="351">
        <f>OBRA!BT169</f>
        <v>0</v>
      </c>
      <c r="AC170" s="569" t="s">
        <v>551</v>
      </c>
      <c r="AE170" s="624"/>
      <c r="AF170" s="624"/>
      <c r="AG170" s="624"/>
      <c r="AH170" s="624"/>
      <c r="AI170" s="624"/>
      <c r="AJ170" s="624"/>
      <c r="AK170" s="624"/>
      <c r="AL170" s="624"/>
    </row>
    <row r="171" spans="1:38" ht="108" hidden="1" customHeight="1">
      <c r="A171" s="23" t="s">
        <v>2239</v>
      </c>
      <c r="B171" s="933" t="str">
        <f>GRAL!B172</f>
        <v>2015-2018</v>
      </c>
      <c r="C171" s="17">
        <f>OBRA!I170</f>
        <v>2016</v>
      </c>
      <c r="D171" s="18" t="str">
        <f>OBRA!K170</f>
        <v>RAMO 33</v>
      </c>
      <c r="E171" s="529" t="s">
        <v>1431</v>
      </c>
      <c r="F171" s="503" t="s">
        <v>1754</v>
      </c>
      <c r="G171" s="502" t="s">
        <v>1756</v>
      </c>
      <c r="H171" s="503" t="s">
        <v>1755</v>
      </c>
      <c r="I171" s="56" t="str">
        <f>OBRA!U170</f>
        <v>RAMPER DRILLINGS S.A. DE C.V.</v>
      </c>
      <c r="J171" s="57" t="str">
        <f>OBRA!V170</f>
        <v>ING. J. GUADALUPE IBARRA RAMIREZ</v>
      </c>
      <c r="K171" s="35" t="str">
        <f>OBRA!L170</f>
        <v>GMJ 002C OP/2016</v>
      </c>
      <c r="L171" s="2" t="str">
        <f>OBRA!M170</f>
        <v>ADJUDICACIÓN DIRECTA</v>
      </c>
      <c r="M171" s="3" t="str">
        <f>OBRA!N170</f>
        <v>PERFORACIÓN DE POZO PROFUNDO, ADEME, AFORO Y EQUIPO DE BOMBEO EN LA CALLE LIBERTAD DE NEXTIPAC, DE ESTE MUNICIPIO JOCOTEPEC, JALISCO</v>
      </c>
      <c r="N171" s="508" t="s">
        <v>1751</v>
      </c>
      <c r="O171" s="6">
        <f>OBRA!Q170</f>
        <v>42458</v>
      </c>
      <c r="P171" s="4">
        <f>OBRA!P170</f>
        <v>1451401.32</v>
      </c>
      <c r="Q171" s="4"/>
      <c r="R171" s="5">
        <f>OBRA!R170</f>
        <v>42459</v>
      </c>
      <c r="S171" s="12">
        <f>OBRA!S170</f>
        <v>42498</v>
      </c>
      <c r="T171" s="55"/>
      <c r="U171" s="415" t="s">
        <v>1431</v>
      </c>
      <c r="V171" s="503" t="s">
        <v>1757</v>
      </c>
      <c r="W171" s="504" t="s">
        <v>2279</v>
      </c>
      <c r="X171" s="579">
        <f>OBRA!AP170</f>
        <v>145140.13</v>
      </c>
      <c r="Y171" s="255"/>
      <c r="Z171" s="341"/>
      <c r="AA171" s="5"/>
      <c r="AB171" s="351">
        <f>OBRA!BT170</f>
        <v>0</v>
      </c>
      <c r="AC171" s="569" t="s">
        <v>551</v>
      </c>
      <c r="AE171" s="624"/>
      <c r="AF171" s="624"/>
      <c r="AG171" s="624"/>
      <c r="AH171" s="624"/>
      <c r="AI171" s="624"/>
      <c r="AJ171" s="624"/>
      <c r="AK171" s="624"/>
      <c r="AL171" s="624"/>
    </row>
    <row r="172" spans="1:38" ht="111.75" hidden="1" customHeight="1">
      <c r="A172" s="23" t="s">
        <v>2239</v>
      </c>
      <c r="B172" s="933" t="str">
        <f>GRAL!B173</f>
        <v>2015-2018</v>
      </c>
      <c r="C172" s="17">
        <f>OBRA!I171</f>
        <v>2016</v>
      </c>
      <c r="D172" s="18" t="str">
        <f>OBRA!K171</f>
        <v>FONDEREG</v>
      </c>
      <c r="E172" s="396" t="s">
        <v>1633</v>
      </c>
      <c r="F172" s="550" t="s">
        <v>1762</v>
      </c>
      <c r="G172" s="502" t="s">
        <v>1764</v>
      </c>
      <c r="H172" s="503" t="s">
        <v>1763</v>
      </c>
      <c r="I172" s="56" t="str">
        <f>OBRA!U171</f>
        <v>ENERGIAS RENOVABLES DE LA RIVERA S.A. DE C.V</v>
      </c>
      <c r="J172" s="57" t="str">
        <f>OBRA!V171</f>
        <v>ING. RIGOBERTO OLMEDO RAMOS</v>
      </c>
      <c r="K172" s="35"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508" t="s">
        <v>1758</v>
      </c>
      <c r="O172" s="6">
        <f>OBRA!Q171</f>
        <v>42587</v>
      </c>
      <c r="P172" s="4">
        <f>OBRA!P171</f>
        <v>441388.12</v>
      </c>
      <c r="Q172" s="4"/>
      <c r="R172" s="5">
        <f>OBRA!R171</f>
        <v>42597</v>
      </c>
      <c r="S172" s="12">
        <f>OBRA!S171</f>
        <v>42628</v>
      </c>
      <c r="T172" s="55"/>
      <c r="U172" s="752" t="s">
        <v>2280</v>
      </c>
      <c r="V172" s="503" t="s">
        <v>1765</v>
      </c>
      <c r="W172" s="504" t="s">
        <v>2281</v>
      </c>
      <c r="X172" s="579">
        <f>OBRA!AP171</f>
        <v>88277.62</v>
      </c>
      <c r="Y172" s="255"/>
      <c r="Z172" s="341"/>
      <c r="AA172" s="5"/>
      <c r="AB172" s="351">
        <f>OBRA!BT171</f>
        <v>0</v>
      </c>
      <c r="AC172" s="569" t="s">
        <v>551</v>
      </c>
      <c r="AE172" s="1"/>
      <c r="AF172" s="1"/>
      <c r="AG172" s="1"/>
      <c r="AH172" s="1"/>
      <c r="AI172" s="1" t="s">
        <v>2282</v>
      </c>
      <c r="AJ172" s="1"/>
      <c r="AK172" s="1"/>
      <c r="AL172" s="1"/>
    </row>
    <row r="173" spans="1:38" ht="108" hidden="1" customHeight="1">
      <c r="A173" s="23" t="s">
        <v>2239</v>
      </c>
      <c r="B173" s="933" t="str">
        <f>GRAL!B174</f>
        <v>2015-2018</v>
      </c>
      <c r="C173" s="17">
        <f>OBRA!I172</f>
        <v>2016</v>
      </c>
      <c r="D173" s="18" t="str">
        <f>OBRA!K172</f>
        <v>RAMO 33</v>
      </c>
      <c r="E173" s="529" t="s">
        <v>1431</v>
      </c>
      <c r="F173" s="503" t="s">
        <v>1769</v>
      </c>
      <c r="G173" s="502" t="s">
        <v>1771</v>
      </c>
      <c r="H173" s="503" t="s">
        <v>1770</v>
      </c>
      <c r="I173" s="56" t="str">
        <f>OBRA!U172</f>
        <v>LIC. CARLOS MANUEL PELAYO CERVERA</v>
      </c>
      <c r="J173" s="57" t="str">
        <f>OBRA!V172</f>
        <v>LIC. SALVADOR CONTRERAS OLGUÍN</v>
      </c>
      <c r="K173" s="35"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508" t="s">
        <v>1768</v>
      </c>
      <c r="O173" s="6">
        <f>OBRA!Q172</f>
        <v>42599</v>
      </c>
      <c r="P173" s="4">
        <f>OBRA!P172</f>
        <v>346655.86</v>
      </c>
      <c r="Q173" s="4"/>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t="s">
        <v>551</v>
      </c>
      <c r="AE173" s="624"/>
      <c r="AF173" s="624"/>
      <c r="AG173" s="624"/>
      <c r="AH173" s="624"/>
      <c r="AI173" s="624"/>
      <c r="AJ173" s="624"/>
      <c r="AK173" s="624"/>
      <c r="AL173" s="624"/>
    </row>
    <row r="174" spans="1:38" ht="111" hidden="1" customHeight="1">
      <c r="A174" s="23" t="s">
        <v>2239</v>
      </c>
      <c r="B174" s="933" t="str">
        <f>GRAL!B175</f>
        <v>2015-2018</v>
      </c>
      <c r="C174" s="17">
        <f>OBRA!I173</f>
        <v>2016</v>
      </c>
      <c r="D174" s="18" t="str">
        <f>OBRA!K173</f>
        <v>RAMO 33</v>
      </c>
      <c r="E174" s="529" t="s">
        <v>1431</v>
      </c>
      <c r="F174" s="503" t="s">
        <v>1774</v>
      </c>
      <c r="G174" s="502" t="s">
        <v>1776</v>
      </c>
      <c r="H174" s="503" t="s">
        <v>1775</v>
      </c>
      <c r="I174" s="56" t="str">
        <f>OBRA!U173</f>
        <v>LIC. CARLOS MANUEL PELAYO CERVERA</v>
      </c>
      <c r="J174" s="57" t="str">
        <f>OBRA!V173</f>
        <v>LIC. SALVADOR CONTRERAS OLGUÍN</v>
      </c>
      <c r="K174" s="35"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508" t="s">
        <v>1773</v>
      </c>
      <c r="O174" s="6">
        <f>OBRA!Q173</f>
        <v>42593</v>
      </c>
      <c r="P174" s="4">
        <f>OBRA!P173</f>
        <v>410268.05</v>
      </c>
      <c r="Q174" s="4"/>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t="s">
        <v>551</v>
      </c>
      <c r="AE174" s="624"/>
      <c r="AF174" s="624"/>
      <c r="AG174" s="624"/>
      <c r="AH174" s="624"/>
      <c r="AI174" s="624"/>
      <c r="AJ174" s="624"/>
      <c r="AK174" s="624"/>
      <c r="AL174" s="624"/>
    </row>
    <row r="175" spans="1:38" ht="110.25" hidden="1" customHeight="1">
      <c r="A175" s="23" t="s">
        <v>2239</v>
      </c>
      <c r="B175" s="933" t="str">
        <f>GRAL!B176</f>
        <v>2015-2018</v>
      </c>
      <c r="C175" s="17">
        <f>OBRA!I174</f>
        <v>-2015</v>
      </c>
      <c r="D175" s="18" t="str">
        <f>OBRA!K174</f>
        <v>RAMO 33</v>
      </c>
      <c r="E175" s="529" t="s">
        <v>1431</v>
      </c>
      <c r="F175" s="503" t="s">
        <v>1780</v>
      </c>
      <c r="G175" s="502" t="s">
        <v>1782</v>
      </c>
      <c r="H175" s="503" t="s">
        <v>1781</v>
      </c>
      <c r="I175" s="56" t="str">
        <f>OBRA!U174</f>
        <v>CONSTRUCCIONES VIKBRAK, S.A. DE C.V.</v>
      </c>
      <c r="J175" s="57" t="str">
        <f>OBRA!V174</f>
        <v>LIC. SALVADOR CONTRERAS OLGUÍN</v>
      </c>
      <c r="K175" s="35" t="str">
        <f>OBRA!L174</f>
        <v>GMJ 006C OP/2016</v>
      </c>
      <c r="L175" s="2" t="str">
        <f>OBRA!M174</f>
        <v>ADJUDICACIÓN DIRECTA</v>
      </c>
      <c r="M175" s="328" t="str">
        <f>OBRA!N174</f>
        <v>1ER ETAPA DE REHABILITACION, RED DE AGUA POTABLE Y REPOSICION DE EMPEDRADO AHOGADO EN CEMENTO EN LA CALLE ANIMA SOLA DE LA CABECERA MUNICIPAL DE JOCOTEPEC, JALISCO</v>
      </c>
      <c r="N175" s="508" t="s">
        <v>1779</v>
      </c>
      <c r="O175" s="6">
        <f>OBRA!Q174</f>
        <v>42597</v>
      </c>
      <c r="P175" s="4">
        <f>OBRA!P174</f>
        <v>369433.07</v>
      </c>
      <c r="Q175" s="4"/>
      <c r="R175" s="5">
        <f>OBRA!R174</f>
        <v>42600</v>
      </c>
      <c r="S175" s="12">
        <f>OBRA!S174</f>
        <v>42704</v>
      </c>
      <c r="T175" s="55"/>
      <c r="U175" s="415" t="s">
        <v>1431</v>
      </c>
      <c r="V175" s="486" t="s">
        <v>1783</v>
      </c>
      <c r="W175" s="399" t="s">
        <v>2285</v>
      </c>
      <c r="X175" s="778">
        <f>OBRA!AP174</f>
        <v>36601.06</v>
      </c>
      <c r="Y175" s="5"/>
      <c r="Z175" s="341"/>
      <c r="AA175" s="5"/>
      <c r="AB175" s="351">
        <f>OBRA!BT174</f>
        <v>0</v>
      </c>
      <c r="AC175" s="569" t="s">
        <v>2286</v>
      </c>
      <c r="AE175" s="1"/>
      <c r="AF175" s="1" t="s">
        <v>2282</v>
      </c>
      <c r="AG175" s="1" t="s">
        <v>2282</v>
      </c>
      <c r="AH175" s="1"/>
      <c r="AI175" s="1"/>
      <c r="AJ175" s="1"/>
      <c r="AK175" s="1"/>
      <c r="AL175" s="1"/>
    </row>
    <row r="176" spans="1:38" ht="119.25" hidden="1" customHeight="1">
      <c r="A176" s="23" t="s">
        <v>2239</v>
      </c>
      <c r="B176" s="933" t="str">
        <f>GRAL!B177</f>
        <v>2015-2018</v>
      </c>
      <c r="C176" s="17">
        <f>OBRA!I175</f>
        <v>-2015</v>
      </c>
      <c r="D176" s="18" t="str">
        <f>OBRA!K175</f>
        <v>RAMO 33</v>
      </c>
      <c r="E176" s="529" t="s">
        <v>1431</v>
      </c>
      <c r="F176" s="503" t="s">
        <v>1785</v>
      </c>
      <c r="G176" s="502" t="s">
        <v>1787</v>
      </c>
      <c r="H176" s="503" t="s">
        <v>1786</v>
      </c>
      <c r="I176" s="56" t="str">
        <f>OBRA!U175</f>
        <v>CONSTRUCCIONES VIKBRAK, S.A. DE C.V.</v>
      </c>
      <c r="J176" s="57" t="str">
        <f>OBRA!V175</f>
        <v>LIC. SALVADOR CONTRERAS OLGUÍN</v>
      </c>
      <c r="K176" s="35" t="str">
        <f>OBRA!L175</f>
        <v>GMJ 007C OP/2016</v>
      </c>
      <c r="L176" s="2" t="str">
        <f>OBRA!M175</f>
        <v>ADJUDICACIÓN DIRECTA</v>
      </c>
      <c r="M176" s="328" t="str">
        <f>OBRA!N175</f>
        <v>1ER ETAPA DE REHABILITACION, RED DE DRENAJE Y REPOSICION DE EMPEDRADO AHOGADO EN CEMENTO EN LA CALLE ANIMA SOLA DE LA CABECERA MUNICIPAL DE JOCOTEPEC, JALISCO</v>
      </c>
      <c r="N176" s="508" t="s">
        <v>1784</v>
      </c>
      <c r="O176" s="6">
        <f>OBRA!Q175</f>
        <v>42592</v>
      </c>
      <c r="P176" s="4">
        <f>OBRA!P175</f>
        <v>369433.09</v>
      </c>
      <c r="Q176" s="4"/>
      <c r="R176" s="5">
        <f>OBRA!R175</f>
        <v>42593</v>
      </c>
      <c r="S176" s="12">
        <f>OBRA!S175</f>
        <v>42704</v>
      </c>
      <c r="T176" s="55"/>
      <c r="U176" s="415" t="s">
        <v>1431</v>
      </c>
      <c r="V176" s="396" t="s">
        <v>1788</v>
      </c>
      <c r="W176" s="487" t="s">
        <v>2287</v>
      </c>
      <c r="X176" s="778">
        <f>OBRA!AP175</f>
        <v>36952.17</v>
      </c>
      <c r="Y176" s="5"/>
      <c r="Z176" s="341"/>
      <c r="AA176" s="5"/>
      <c r="AB176" s="351">
        <f>OBRA!BT175</f>
        <v>0</v>
      </c>
      <c r="AC176" s="569" t="s">
        <v>2286</v>
      </c>
      <c r="AE176" s="1"/>
      <c r="AF176" s="1" t="s">
        <v>2282</v>
      </c>
      <c r="AG176" s="1" t="s">
        <v>2282</v>
      </c>
      <c r="AH176" s="1"/>
      <c r="AI176" s="1"/>
      <c r="AJ176" s="1"/>
      <c r="AK176" s="1"/>
      <c r="AL176" s="1"/>
    </row>
    <row r="177" spans="1:38" ht="105" hidden="1" customHeight="1">
      <c r="A177" s="23" t="s">
        <v>2239</v>
      </c>
      <c r="B177" s="933" t="str">
        <f>GRAL!B178</f>
        <v>2015-2018</v>
      </c>
      <c r="C177" s="17">
        <f>OBRA!I176</f>
        <v>2016</v>
      </c>
      <c r="D177" s="18" t="str">
        <f>OBRA!K176</f>
        <v>RAMO 33</v>
      </c>
      <c r="E177" s="529" t="s">
        <v>1431</v>
      </c>
      <c r="F177" s="503" t="s">
        <v>2288</v>
      </c>
      <c r="G177" s="502" t="s">
        <v>1792</v>
      </c>
      <c r="H177" s="503" t="s">
        <v>1791</v>
      </c>
      <c r="I177" s="56" t="str">
        <f>OBRA!U176</f>
        <v>CONSTRUCCIONES VIKBRAK, S.A. DE C.V.</v>
      </c>
      <c r="J177" s="57" t="str">
        <f>OBRA!V176</f>
        <v>LIC. SALVADOR CONTRERAS OLGUÍN</v>
      </c>
      <c r="K177" s="35" t="str">
        <f>OBRA!L176</f>
        <v>GMJ 008C OP/2016</v>
      </c>
      <c r="L177" s="2" t="str">
        <f>OBRA!M176</f>
        <v>ADJUDICACIÓN DIRECTA</v>
      </c>
      <c r="M177" s="3" t="str">
        <f>OBRA!N176</f>
        <v>2DA. ETAPA DE REHABILITACIÓN, RED DE DRENAJE Y REPOSICIÓN DE EMPEDRADO EN CEMENTO EN LA CALLE ANIMA SOLA EN JOCOTEPEC, JALISCO</v>
      </c>
      <c r="N177" s="508" t="s">
        <v>1789</v>
      </c>
      <c r="O177" s="6">
        <f>OBRA!Q176</f>
        <v>42618</v>
      </c>
      <c r="P177" s="4">
        <f>OBRA!P176</f>
        <v>205079.87</v>
      </c>
      <c r="Q177" s="4"/>
      <c r="R177" s="5">
        <f>OBRA!R176</f>
        <v>42625</v>
      </c>
      <c r="S177" s="12">
        <f>OBRA!S176</f>
        <v>42704</v>
      </c>
      <c r="T177" s="55"/>
      <c r="U177" s="415" t="s">
        <v>1431</v>
      </c>
      <c r="V177" s="552" t="s">
        <v>1793</v>
      </c>
      <c r="W177" s="504" t="s">
        <v>2289</v>
      </c>
      <c r="X177" s="778">
        <f>OBRA!AP176</f>
        <v>20303.93</v>
      </c>
      <c r="Y177" s="5"/>
      <c r="Z177" s="341"/>
      <c r="AA177" s="5"/>
      <c r="AB177" s="351">
        <f>OBRA!BT176</f>
        <v>0</v>
      </c>
      <c r="AC177" s="569" t="s">
        <v>2286</v>
      </c>
      <c r="AE177" s="1"/>
      <c r="AF177" s="1"/>
      <c r="AG177" s="1"/>
      <c r="AH177" s="1"/>
      <c r="AI177" s="1"/>
      <c r="AJ177" s="1" t="s">
        <v>2282</v>
      </c>
      <c r="AK177" s="1"/>
      <c r="AL177" s="1"/>
    </row>
    <row r="178" spans="1:38" ht="128.25" hidden="1" customHeight="1">
      <c r="A178" s="23" t="s">
        <v>2239</v>
      </c>
      <c r="B178" s="933" t="str">
        <f>GRAL!B179</f>
        <v>2015-2018</v>
      </c>
      <c r="C178" s="17">
        <f>OBRA!I177</f>
        <v>2016</v>
      </c>
      <c r="D178" s="18" t="str">
        <f>OBRA!K177</f>
        <v>RAMO 33</v>
      </c>
      <c r="E178" s="529" t="s">
        <v>1431</v>
      </c>
      <c r="F178" s="552" t="s">
        <v>1795</v>
      </c>
      <c r="G178" s="580" t="s">
        <v>1797</v>
      </c>
      <c r="H178" s="503" t="s">
        <v>1796</v>
      </c>
      <c r="I178" s="56" t="str">
        <f>OBRA!U177</f>
        <v>CONSTRUCCIONES VIKBRAK, S.A. DE C.V.</v>
      </c>
      <c r="J178" s="57" t="str">
        <f>OBRA!V177</f>
        <v>LIC. SALVADOR CONTRERAS OLGUÍN</v>
      </c>
      <c r="K178" s="35" t="str">
        <f>OBRA!L177</f>
        <v>GMJ 009C OP/2016</v>
      </c>
      <c r="L178" s="2" t="str">
        <f>OBRA!M177</f>
        <v>ADJUDICACIÓN DIRECTA</v>
      </c>
      <c r="M178" s="328" t="str">
        <f>OBRA!N177</f>
        <v>2DA. ETAPA DE REHABILITACIÓN DE RED DE AGUA POTABLE Y REPOSICIÓN DE EMPEDRADO AHOGADO EN CEMENTO EN LA C. ANIMA SOLA DE LA CABECERA MUNICIPAL DE JOCOTEPEC, JALISCO</v>
      </c>
      <c r="N178" s="508" t="s">
        <v>1794</v>
      </c>
      <c r="O178" s="6">
        <f>OBRA!Q177</f>
        <v>42618</v>
      </c>
      <c r="P178" s="4">
        <f>OBRA!P177</f>
        <v>187923.95</v>
      </c>
      <c r="Q178" s="4"/>
      <c r="R178" s="5">
        <f>OBRA!R177</f>
        <v>42625</v>
      </c>
      <c r="S178" s="12">
        <f>OBRA!S177</f>
        <v>42704</v>
      </c>
      <c r="T178" s="55"/>
      <c r="U178" s="415" t="s">
        <v>1431</v>
      </c>
      <c r="V178" s="396" t="s">
        <v>1798</v>
      </c>
      <c r="W178" s="641" t="s">
        <v>2290</v>
      </c>
      <c r="X178" s="778">
        <f>OBRA!AP177</f>
        <v>18792.37</v>
      </c>
      <c r="Y178" s="5"/>
      <c r="Z178" s="341"/>
      <c r="AA178" s="5"/>
      <c r="AB178" s="351">
        <f>OBRA!BT177</f>
        <v>0</v>
      </c>
      <c r="AC178" s="569" t="s">
        <v>2286</v>
      </c>
      <c r="AE178" s="1"/>
      <c r="AF178" s="1"/>
      <c r="AG178" s="1" t="s">
        <v>2282</v>
      </c>
      <c r="AH178" s="1"/>
      <c r="AI178" s="1"/>
      <c r="AJ178" s="1"/>
      <c r="AK178" s="1"/>
      <c r="AL178" s="1"/>
    </row>
    <row r="179" spans="1:38" ht="98.25" hidden="1" customHeight="1">
      <c r="A179" s="23" t="s">
        <v>2239</v>
      </c>
      <c r="B179" s="933" t="str">
        <f>GRAL!B180</f>
        <v>2015-2018</v>
      </c>
      <c r="C179" s="17">
        <f>OBRA!I178</f>
        <v>2016</v>
      </c>
      <c r="D179" s="18" t="str">
        <f>OBRA!K178</f>
        <v>RAMO 33</v>
      </c>
      <c r="E179" s="529" t="s">
        <v>1431</v>
      </c>
      <c r="F179" s="546" t="s">
        <v>1801</v>
      </c>
      <c r="G179" s="502" t="s">
        <v>1803</v>
      </c>
      <c r="H179" s="503" t="s">
        <v>1802</v>
      </c>
      <c r="I179" s="56" t="str">
        <f>OBRA!U178</f>
        <v>ING. GERARDO DANIEL PELAYO CERVERA</v>
      </c>
      <c r="J179" s="57" t="str">
        <f>OBRA!V178</f>
        <v>LIC. SALVADOR CONTRERAS OLGUÍN</v>
      </c>
      <c r="K179" s="35" t="str">
        <f>OBRA!L178</f>
        <v>GMJ 010C OP/2016</v>
      </c>
      <c r="L179" s="2" t="str">
        <f>OBRA!M178</f>
        <v>ADJUDICACIÓN DIRECTA</v>
      </c>
      <c r="M179" s="3" t="str">
        <f>OBRA!N178</f>
        <v>REHABILITACION DE RED DE DRENAJE EN C. VIENTE GUERRERO ENTRE INDEPENDENCIA Y NIÑOS HEROES, EN JOCOTEPEC, JALISCO</v>
      </c>
      <c r="N179" s="508" t="s">
        <v>1800</v>
      </c>
      <c r="O179" s="6">
        <f>OBRA!Q178</f>
        <v>42632</v>
      </c>
      <c r="P179" s="4">
        <f>OBRA!P178</f>
        <v>583370.43999999994</v>
      </c>
      <c r="Q179" s="4"/>
      <c r="R179" s="5">
        <f>OBRA!R178</f>
        <v>42635</v>
      </c>
      <c r="S179" s="12">
        <f>OBRA!S178</f>
        <v>42704</v>
      </c>
      <c r="T179" s="55"/>
      <c r="U179" s="415" t="s">
        <v>1431</v>
      </c>
      <c r="V179" s="552" t="s">
        <v>1804</v>
      </c>
      <c r="W179" s="504" t="s">
        <v>2291</v>
      </c>
      <c r="X179" s="493">
        <f>OBRA!AP178</f>
        <v>116674.08</v>
      </c>
      <c r="Y179" s="5"/>
      <c r="Z179" s="341"/>
      <c r="AA179" s="5"/>
      <c r="AB179" s="351">
        <f>OBRA!BT178</f>
        <v>0</v>
      </c>
      <c r="AC179" s="569" t="s">
        <v>551</v>
      </c>
      <c r="AE179" s="1"/>
      <c r="AF179" s="1"/>
      <c r="AG179" s="1"/>
      <c r="AH179" s="1"/>
      <c r="AI179" s="1"/>
      <c r="AJ179" s="1" t="s">
        <v>2282</v>
      </c>
      <c r="AK179" s="1"/>
      <c r="AL179" s="1"/>
    </row>
    <row r="180" spans="1:38" ht="103.5" hidden="1" customHeight="1">
      <c r="A180" s="23" t="s">
        <v>2239</v>
      </c>
      <c r="B180" s="933" t="str">
        <f>GRAL!B181</f>
        <v>2015-2018</v>
      </c>
      <c r="C180" s="17">
        <f>OBRA!I179</f>
        <v>2016</v>
      </c>
      <c r="D180" s="18" t="str">
        <f>OBRA!K179</f>
        <v>RAMO 33</v>
      </c>
      <c r="E180" s="529" t="s">
        <v>1431</v>
      </c>
      <c r="F180" s="503" t="s">
        <v>1806</v>
      </c>
      <c r="G180" s="502" t="s">
        <v>1808</v>
      </c>
      <c r="H180" s="503" t="s">
        <v>1807</v>
      </c>
      <c r="I180" s="56" t="str">
        <f>OBRA!U179</f>
        <v>ING. GERARDO DANIEL PELAYO CERVERA</v>
      </c>
      <c r="J180" s="57" t="str">
        <f>OBRA!V179</f>
        <v>LIC. SALVADOR CONTRERAS OLGUÍN</v>
      </c>
      <c r="K180" s="35" t="str">
        <f>OBRA!L179</f>
        <v>GMJ 011C OP/2016</v>
      </c>
      <c r="L180" s="2" t="str">
        <f>OBRA!M179</f>
        <v>ADJUDICACIÓN DIRECTA</v>
      </c>
      <c r="M180" s="3" t="str">
        <f>OBRA!N179</f>
        <v>REHABILITACIÓN DE RED DE AGUA POTABLE EN C. VIENTE GUERRERO ENTRE INDEPENDENCIA Y NIÑOS HEROES, EN JOCOTEPEC, JALISCO</v>
      </c>
      <c r="N180" s="508" t="s">
        <v>1805</v>
      </c>
      <c r="O180" s="6">
        <f>OBRA!Q179</f>
        <v>42632</v>
      </c>
      <c r="P180" s="4">
        <f>OBRA!P179</f>
        <v>490205.03</v>
      </c>
      <c r="Q180" s="4"/>
      <c r="R180" s="5">
        <f>OBRA!R179</f>
        <v>42635</v>
      </c>
      <c r="S180" s="12">
        <f>OBRA!S179</f>
        <v>42704</v>
      </c>
      <c r="T180" s="55"/>
      <c r="U180" s="415" t="s">
        <v>1431</v>
      </c>
      <c r="V180" s="546" t="s">
        <v>1809</v>
      </c>
      <c r="W180" s="504" t="s">
        <v>2292</v>
      </c>
      <c r="X180" s="493">
        <f>OBRA!AP179</f>
        <v>98041</v>
      </c>
      <c r="Y180" s="5"/>
      <c r="Z180" s="341"/>
      <c r="AA180" s="5"/>
      <c r="AB180" s="351">
        <f>OBRA!BT179</f>
        <v>0</v>
      </c>
      <c r="AC180" s="569" t="s">
        <v>551</v>
      </c>
      <c r="AE180" s="624"/>
      <c r="AF180" s="624"/>
      <c r="AG180" s="624"/>
      <c r="AH180" s="624"/>
      <c r="AI180" s="624"/>
      <c r="AJ180" s="624"/>
      <c r="AK180" s="624"/>
      <c r="AL180" s="624"/>
    </row>
    <row r="181" spans="1:38" ht="90.75" hidden="1" customHeight="1">
      <c r="A181" s="23" t="s">
        <v>2239</v>
      </c>
      <c r="B181" s="933" t="str">
        <f>GRAL!B182</f>
        <v>2015-2018</v>
      </c>
      <c r="C181" s="17">
        <f>OBRA!I180</f>
        <v>2016</v>
      </c>
      <c r="D181" s="19" t="str">
        <f>OBRA!K180</f>
        <v xml:space="preserve">Fortalecimiento Financiero Para La Inversion </v>
      </c>
      <c r="E181" s="14"/>
      <c r="F181" s="473"/>
      <c r="G181" s="474"/>
      <c r="H181" s="396"/>
      <c r="I181" s="56" t="str">
        <f>OBRA!U180</f>
        <v>A&amp;G URBANIZADORA S.A. DE C.V.</v>
      </c>
      <c r="J181" s="57" t="str">
        <f>OBRA!V180</f>
        <v>ING. J. GUADALUPE IBARRA RAMIREZ</v>
      </c>
      <c r="K181" s="35"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2">
        <f>OBRA!S180</f>
        <v>42719</v>
      </c>
      <c r="T181" s="54"/>
      <c r="U181" s="248" t="s">
        <v>1431</v>
      </c>
      <c r="V181" s="396"/>
      <c r="W181" s="399"/>
      <c r="X181" s="493">
        <f>OBRA!AP180</f>
        <v>1768829.66</v>
      </c>
      <c r="Y181" s="341"/>
      <c r="Z181" s="341"/>
      <c r="AA181" s="5"/>
      <c r="AB181" s="351">
        <f>OBRA!BT180</f>
        <v>0</v>
      </c>
      <c r="AC181" s="569"/>
      <c r="AE181"/>
      <c r="AF181"/>
      <c r="AG181"/>
      <c r="AH181"/>
      <c r="AI181"/>
      <c r="AJ181"/>
      <c r="AK181"/>
      <c r="AL181"/>
    </row>
    <row r="182" spans="1:38" ht="80.25" hidden="1" customHeight="1">
      <c r="A182" s="23" t="s">
        <v>2239</v>
      </c>
      <c r="B182" s="933" t="str">
        <f>GRAL!B183</f>
        <v>2015-2018</v>
      </c>
      <c r="C182" s="17">
        <f>OBRA!I181</f>
        <v>2016</v>
      </c>
      <c r="D182" s="18" t="str">
        <f>OBRA!K181</f>
        <v>RAMO 33</v>
      </c>
      <c r="E182" s="529" t="s">
        <v>1431</v>
      </c>
      <c r="F182" s="551" t="s">
        <v>1819</v>
      </c>
      <c r="G182" s="502" t="s">
        <v>1821</v>
      </c>
      <c r="H182" s="503" t="s">
        <v>1820</v>
      </c>
      <c r="I182" s="56" t="str">
        <f>OBRA!U181</f>
        <v>ENERGIAS RENOVABLES DE LA RIVERA S.A. DE C.V</v>
      </c>
      <c r="J182" s="57" t="str">
        <f>OBRA!V181</f>
        <v>ING. RIGOBERTO OLMEDO RAMOS</v>
      </c>
      <c r="K182" s="35" t="str">
        <f>OBRA!L181</f>
        <v>GMJ 013C OP/2016</v>
      </c>
      <c r="L182" s="2" t="str">
        <f>OBRA!M181</f>
        <v>ADJUDICACIÓN DIRECTA</v>
      </c>
      <c r="M182" s="3" t="str">
        <f>OBRA!N181</f>
        <v>ELECTRIFICACIÓN DE MEDIA Y BAJA TENSIÓN EN LA CALLE FRANCISCO VILLA DE ZAPOTITAN DE HIDALGO</v>
      </c>
      <c r="N182" s="508" t="s">
        <v>1818</v>
      </c>
      <c r="O182" s="6">
        <f>OBRA!Q181</f>
        <v>42650</v>
      </c>
      <c r="P182" s="4">
        <f>OBRA!P181</f>
        <v>352278.81</v>
      </c>
      <c r="Q182" s="4"/>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t="s">
        <v>551</v>
      </c>
      <c r="AE182" s="624"/>
      <c r="AF182" s="624"/>
      <c r="AG182" s="624"/>
      <c r="AH182" s="624"/>
      <c r="AI182" s="624"/>
      <c r="AJ182" s="624"/>
      <c r="AK182" s="624"/>
      <c r="AL182" s="624"/>
    </row>
    <row r="183" spans="1:38" ht="72" hidden="1" customHeight="1">
      <c r="A183" s="23" t="s">
        <v>2239</v>
      </c>
      <c r="B183" s="933" t="str">
        <f>GRAL!B184</f>
        <v>2015-2018</v>
      </c>
      <c r="C183" s="17">
        <f>OBRA!I182</f>
        <v>2016</v>
      </c>
      <c r="D183" s="18" t="str">
        <f>OBRA!K182</f>
        <v>RAMO 33</v>
      </c>
      <c r="E183" s="529" t="s">
        <v>1431</v>
      </c>
      <c r="F183" s="546" t="s">
        <v>1825</v>
      </c>
      <c r="G183" s="502" t="s">
        <v>1827</v>
      </c>
      <c r="H183" s="503" t="s">
        <v>1826</v>
      </c>
      <c r="I183" s="56" t="str">
        <f>OBRA!U182</f>
        <v>ENERGIAS RENOVABLES DE LA RIVERA S.A. DE C.V</v>
      </c>
      <c r="J183" s="57" t="str">
        <f>OBRA!V182</f>
        <v>ING. RIGOBERTO OLMEDO RAMOS</v>
      </c>
      <c r="K183" s="35" t="str">
        <f>OBRA!L182</f>
        <v>GMJ 014C OP/2016</v>
      </c>
      <c r="L183" s="2" t="str">
        <f>OBRA!M182</f>
        <v>ADJUDICACIÓN DIRECTA</v>
      </c>
      <c r="M183" s="3" t="str">
        <f>OBRA!N182</f>
        <v>ELECTRIFICACIÓN DE MEDIA Y BAJA TENSIÓN EN LA CALLE BERNARDO QUINTANA DE ZAPOTITAN DE HIDALGO</v>
      </c>
      <c r="N183" s="508" t="s">
        <v>1824</v>
      </c>
      <c r="O183" s="6">
        <f>OBRA!Q182</f>
        <v>42650</v>
      </c>
      <c r="P183" s="4">
        <f>OBRA!P182</f>
        <v>364293.06</v>
      </c>
      <c r="Q183" s="4"/>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t="s">
        <v>551</v>
      </c>
      <c r="AE183" s="624"/>
      <c r="AF183" s="624"/>
      <c r="AG183" s="624"/>
      <c r="AH183" s="624"/>
      <c r="AI183" s="624"/>
      <c r="AJ183" s="624"/>
      <c r="AK183" s="624"/>
      <c r="AL183" s="624"/>
    </row>
    <row r="184" spans="1:38" s="110" customFormat="1" ht="45" hidden="1" customHeight="1">
      <c r="A184" s="87" t="s">
        <v>2239</v>
      </c>
      <c r="B184" s="946" t="str">
        <f>GRAL!B185</f>
        <v>2012-2015</v>
      </c>
      <c r="C184" s="88">
        <f>OBRA!I183</f>
        <v>2016</v>
      </c>
      <c r="D184" s="89" t="str">
        <f>OBRA!K183</f>
        <v>3X1 PARA MIGRANTES</v>
      </c>
      <c r="E184" s="392"/>
      <c r="F184" s="948"/>
      <c r="G184" s="949"/>
      <c r="H184" s="950"/>
      <c r="I184" s="159" t="str">
        <f>OBRA!U183</f>
        <v>CANCELADA</v>
      </c>
      <c r="J184" s="160" t="str">
        <f>OBRA!V183</f>
        <v>ING. RIGOBERTO OLMEDO RAMOS</v>
      </c>
      <c r="K184" s="340" t="str">
        <f>OBRA!L183</f>
        <v>GMJ 015C OP/2016</v>
      </c>
      <c r="L184" s="203" t="str">
        <f>OBRA!M183</f>
        <v>CANCELADA</v>
      </c>
      <c r="M184" s="112" t="str">
        <f>OBRA!N183</f>
        <v>EMPEDRADO AHOGADO EN CEMENTO EN CALLE INSURGENTES PRIMERA ETAPA, ZAPOTITAN DE HIDALGO</v>
      </c>
      <c r="N184" s="132"/>
      <c r="O184" s="93" t="str">
        <f>OBRA!Q183</f>
        <v>-</v>
      </c>
      <c r="P184" s="92">
        <f>OBRA!P183</f>
        <v>2426000</v>
      </c>
      <c r="Q184" s="92"/>
      <c r="R184" s="94" t="str">
        <f>OBRA!R183</f>
        <v>-</v>
      </c>
      <c r="S184" s="95" t="str">
        <f>OBRA!S183</f>
        <v>-</v>
      </c>
      <c r="T184" s="97"/>
      <c r="U184" s="785" t="s">
        <v>1431</v>
      </c>
      <c r="V184" s="950"/>
      <c r="W184" s="951"/>
      <c r="X184" s="952">
        <f>OBRA!AP183</f>
        <v>0</v>
      </c>
      <c r="Y184" s="343"/>
      <c r="Z184" s="343"/>
      <c r="AA184" s="94"/>
      <c r="AB184" s="511" t="str">
        <f>OBRA!BT183</f>
        <v>CANCELADO</v>
      </c>
      <c r="AC184" s="570"/>
    </row>
    <row r="185" spans="1:38" ht="120" hidden="1" customHeight="1">
      <c r="A185" s="23" t="s">
        <v>2239</v>
      </c>
      <c r="B185" s="933" t="str">
        <f>GRAL!B186</f>
        <v>2015-2018</v>
      </c>
      <c r="C185" s="17">
        <f>OBRA!I184</f>
        <v>2016</v>
      </c>
      <c r="D185" s="19" t="str">
        <f>OBRA!K184</f>
        <v xml:space="preserve">Fortalecimiento Financiero Para La Inversion </v>
      </c>
      <c r="E185" s="527"/>
      <c r="F185" s="396"/>
      <c r="G185" s="474"/>
      <c r="H185" s="396"/>
      <c r="I185" s="56" t="str">
        <f>OBRA!U184</f>
        <v>TAG SOLUCIONES INTEGRALES S.A DE C.V.</v>
      </c>
      <c r="J185" s="57" t="str">
        <f>OBRA!V184</f>
        <v>ING. J. GUADALUPE IBARRA RAMIREZ</v>
      </c>
      <c r="K185" s="35"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2">
        <f>OBRA!S184</f>
        <v>42735</v>
      </c>
      <c r="T185" s="55"/>
      <c r="U185" s="415" t="s">
        <v>1431</v>
      </c>
      <c r="V185" s="396"/>
      <c r="W185" s="399"/>
      <c r="X185" s="493">
        <f>OBRA!AP184</f>
        <v>1097775.28</v>
      </c>
      <c r="Y185" s="341"/>
      <c r="Z185" s="341"/>
      <c r="AA185" s="5"/>
      <c r="AB185" s="351">
        <f>OBRA!BT184</f>
        <v>0</v>
      </c>
      <c r="AC185" s="569"/>
      <c r="AE185"/>
      <c r="AF185"/>
      <c r="AG185"/>
      <c r="AH185"/>
      <c r="AI185"/>
      <c r="AJ185"/>
      <c r="AK185"/>
      <c r="AL185"/>
    </row>
    <row r="186" spans="1:38" ht="120" hidden="1" customHeight="1">
      <c r="A186" s="23" t="s">
        <v>2239</v>
      </c>
      <c r="B186" s="933" t="str">
        <f>GRAL!B187</f>
        <v>2015-2018</v>
      </c>
      <c r="C186" s="17">
        <f>OBRA!I185</f>
        <v>2016</v>
      </c>
      <c r="D186" s="19" t="str">
        <f>OBRA!K185</f>
        <v xml:space="preserve">Fortalecimiento Financiero Para La Inversion </v>
      </c>
      <c r="E186" s="528"/>
      <c r="F186" s="396"/>
      <c r="G186" s="474"/>
      <c r="H186" s="396"/>
      <c r="I186" s="56" t="str">
        <f>OBRA!U185</f>
        <v xml:space="preserve">GRUPO DESARROLLADOR INMOBILIARIO CEMERAMA S.A. DE C.V. </v>
      </c>
      <c r="J186" s="57" t="str">
        <f>OBRA!V185</f>
        <v xml:space="preserve">LIC. SALVADOR CONTRERAS </v>
      </c>
      <c r="K186" s="35"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2">
        <f>OBRA!S185</f>
        <v>42735</v>
      </c>
      <c r="T186" s="55"/>
      <c r="U186" s="415" t="s">
        <v>1431</v>
      </c>
      <c r="V186" s="396"/>
      <c r="W186" s="399"/>
      <c r="X186" s="493">
        <f>OBRA!AP185</f>
        <v>1180455.52</v>
      </c>
      <c r="Y186" s="341"/>
      <c r="Z186" s="341"/>
      <c r="AA186" s="5"/>
      <c r="AB186" s="351">
        <f>OBRA!BT185</f>
        <v>0</v>
      </c>
      <c r="AC186" s="569"/>
      <c r="AE186"/>
      <c r="AF186"/>
      <c r="AG186"/>
      <c r="AH186"/>
      <c r="AI186"/>
      <c r="AJ186"/>
      <c r="AK186"/>
      <c r="AL186"/>
    </row>
    <row r="187" spans="1:38" ht="75" hidden="1" customHeight="1">
      <c r="A187" s="23" t="s">
        <v>2239</v>
      </c>
      <c r="B187" s="933" t="str">
        <f>GRAL!B188</f>
        <v>2015-2018</v>
      </c>
      <c r="C187" s="17">
        <f>OBRA!I186</f>
        <v>2016</v>
      </c>
      <c r="D187" s="18" t="str">
        <f>OBRA!K186</f>
        <v>SEDATU</v>
      </c>
      <c r="E187" s="528"/>
      <c r="F187" s="473"/>
      <c r="G187" s="474"/>
      <c r="H187" s="396"/>
      <c r="I187" s="56" t="str">
        <f>OBRA!U186</f>
        <v xml:space="preserve">GRUPO DESARROLLADOR INMOBILIARIO CEMERAMA S.A. DE C.V. </v>
      </c>
      <c r="J187" s="57" t="str">
        <f>OBRA!V186</f>
        <v xml:space="preserve">LIC. SALVADOR CONTRERAS </v>
      </c>
      <c r="K187" s="35"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2">
        <f>OBRA!S186</f>
        <v>42735</v>
      </c>
      <c r="T187" s="55"/>
      <c r="U187" s="415" t="s">
        <v>1431</v>
      </c>
      <c r="V187" s="396"/>
      <c r="W187" s="399"/>
      <c r="X187" s="493">
        <f>OBRA!AP186</f>
        <v>1077480</v>
      </c>
      <c r="Y187" s="341"/>
      <c r="Z187" s="341"/>
      <c r="AA187" s="5"/>
      <c r="AB187" s="351">
        <f>OBRA!BT186</f>
        <v>0</v>
      </c>
      <c r="AC187" s="569"/>
      <c r="AE187"/>
      <c r="AF187"/>
      <c r="AG187"/>
      <c r="AH187"/>
      <c r="AI187"/>
      <c r="AJ187"/>
      <c r="AK187"/>
      <c r="AL187"/>
    </row>
    <row r="188" spans="1:38" ht="93.75" hidden="1" customHeight="1">
      <c r="A188" s="23" t="s">
        <v>2239</v>
      </c>
      <c r="B188" s="933" t="str">
        <f>GRAL!B189</f>
        <v>2015-2018</v>
      </c>
      <c r="C188" s="17">
        <f>OBRA!I187</f>
        <v>2016</v>
      </c>
      <c r="D188" s="18" t="str">
        <f>OBRA!K187</f>
        <v>RAMO 33</v>
      </c>
      <c r="E188" s="529" t="s">
        <v>1431</v>
      </c>
      <c r="F188" s="503" t="s">
        <v>1850</v>
      </c>
      <c r="G188" s="502" t="s">
        <v>1852</v>
      </c>
      <c r="H188" s="503" t="s">
        <v>1851</v>
      </c>
      <c r="I188" s="56" t="str">
        <f>OBRA!U187</f>
        <v>CONSTRUCCIONES VIKBRAK, S.A. DE C.V.</v>
      </c>
      <c r="J188" s="172" t="str">
        <f>OBRA!V187</f>
        <v>LIC. SALVADOR CONTRERAS OLGUÍN</v>
      </c>
      <c r="K188" s="35" t="str">
        <f>OBRA!L187</f>
        <v>GMJ 019C OP/2016</v>
      </c>
      <c r="L188" s="2" t="str">
        <f>OBRA!M187</f>
        <v>ADJUDICACIÓN DIRECTA</v>
      </c>
      <c r="M188" s="3" t="str">
        <f>OBRA!N187</f>
        <v>CONSTRUCCIÓN DE EMPEDRADO AHOGADO EN CEMENTO EN LA CALLE ANIMA SOLA DE LA CABECERA MUNICIPAL DE JOCOTEPEC, JALISCO</v>
      </c>
      <c r="N188" s="508" t="s">
        <v>1849</v>
      </c>
      <c r="O188" s="6">
        <f>OBRA!Q187</f>
        <v>42677</v>
      </c>
      <c r="P188" s="4">
        <f>OBRA!P187</f>
        <v>196802.42</v>
      </c>
      <c r="Q188" s="4"/>
      <c r="R188" s="5">
        <f>OBRA!R187</f>
        <v>42681</v>
      </c>
      <c r="S188" s="12">
        <f>OBRA!S187</f>
        <v>42735</v>
      </c>
      <c r="T188" s="55"/>
      <c r="U188" s="415" t="s">
        <v>1431</v>
      </c>
      <c r="V188" s="503" t="s">
        <v>1853</v>
      </c>
      <c r="W188" s="692" t="s">
        <v>2295</v>
      </c>
      <c r="X188" s="778">
        <f>OBRA!AP187</f>
        <v>19640.96</v>
      </c>
      <c r="Y188" s="5"/>
      <c r="Z188" s="341"/>
      <c r="AA188" s="5"/>
      <c r="AB188" s="351">
        <f>OBRA!BT187</f>
        <v>0</v>
      </c>
      <c r="AC188" s="569" t="s">
        <v>2286</v>
      </c>
      <c r="AE188" s="1"/>
      <c r="AF188" s="1" t="s">
        <v>2282</v>
      </c>
      <c r="AG188" s="1" t="s">
        <v>2282</v>
      </c>
      <c r="AH188" s="1" t="s">
        <v>2282</v>
      </c>
      <c r="AI188" s="1"/>
      <c r="AJ188" s="1" t="s">
        <v>2282</v>
      </c>
      <c r="AK188" s="1" t="s">
        <v>2282</v>
      </c>
      <c r="AL188" s="1"/>
    </row>
    <row r="189" spans="1:38" ht="97.5" hidden="1" customHeight="1">
      <c r="A189" s="23" t="s">
        <v>2239</v>
      </c>
      <c r="B189" s="933" t="str">
        <f>GRAL!B190</f>
        <v>2015-2018</v>
      </c>
      <c r="C189" s="17">
        <f>OBRA!I188</f>
        <v>2016</v>
      </c>
      <c r="D189" s="18" t="str">
        <f>OBRA!K188</f>
        <v>RAMO 33</v>
      </c>
      <c r="E189" s="529" t="s">
        <v>1431</v>
      </c>
      <c r="F189" s="543" t="s">
        <v>1855</v>
      </c>
      <c r="G189" s="474" t="s">
        <v>1857</v>
      </c>
      <c r="H189" s="396" t="s">
        <v>1856</v>
      </c>
      <c r="I189" s="56" t="str">
        <f>OBRA!U188</f>
        <v>LIC. CARLOS MANUEL PELAYO CERVERA</v>
      </c>
      <c r="J189" s="172" t="str">
        <f>OBRA!V188</f>
        <v>LIC. SALVADOR CONTRERAS OLGUÍN</v>
      </c>
      <c r="K189" s="35" t="str">
        <f>OBRA!L188</f>
        <v>GMJ 020C OP/2016</v>
      </c>
      <c r="L189" s="2" t="str">
        <f>OBRA!M188</f>
        <v>ADJUDICACIÓN DIRECTA</v>
      </c>
      <c r="M189" s="328" t="str">
        <f>OBRA!N188</f>
        <v>REEMPEDRADO AHOGADO EN CEMENTO CALLE 16 DE SEPTIEMBRE ENTRE CALLES MORELOS Y 20 DE NOVIEMBRE EN LA DELEGACIÓN DE ZAPOTITAN DE HIDALGO</v>
      </c>
      <c r="N189" s="508" t="s">
        <v>1854</v>
      </c>
      <c r="O189" s="6">
        <f>OBRA!Q188</f>
        <v>42677</v>
      </c>
      <c r="P189" s="4">
        <f>OBRA!P188</f>
        <v>523396.29</v>
      </c>
      <c r="Q189" s="4"/>
      <c r="R189" s="5">
        <f>OBRA!R188</f>
        <v>42678</v>
      </c>
      <c r="S189" s="12">
        <f>OBRA!S188</f>
        <v>42735</v>
      </c>
      <c r="T189" s="55"/>
      <c r="U189" s="415" t="s">
        <v>1431</v>
      </c>
      <c r="V189" s="552" t="s">
        <v>1858</v>
      </c>
      <c r="W189" s="399" t="s">
        <v>2296</v>
      </c>
      <c r="X189" s="493">
        <f>OBRA!AP188</f>
        <v>104679.26</v>
      </c>
      <c r="Y189" s="5"/>
      <c r="Z189" s="341"/>
      <c r="AA189" s="5"/>
      <c r="AB189" s="351">
        <f>OBRA!BT188</f>
        <v>0</v>
      </c>
      <c r="AC189" s="569" t="s">
        <v>551</v>
      </c>
      <c r="AE189" s="1"/>
      <c r="AF189" s="1"/>
      <c r="AG189" s="1"/>
      <c r="AH189" s="1"/>
      <c r="AI189" s="1"/>
      <c r="AJ189" s="1" t="s">
        <v>2282</v>
      </c>
      <c r="AK189" s="1"/>
      <c r="AL189" s="1"/>
    </row>
    <row r="190" spans="1:38" ht="129.75" hidden="1" customHeight="1">
      <c r="A190" s="23" t="s">
        <v>2239</v>
      </c>
      <c r="B190" s="933" t="str">
        <f>GRAL!B191</f>
        <v>2015-2018</v>
      </c>
      <c r="C190" s="17">
        <f>OBRA!I189</f>
        <v>2016</v>
      </c>
      <c r="D190" s="19" t="str">
        <f>OBRA!K189</f>
        <v xml:space="preserve">Fortalecimiento Financiero Para La Inversion </v>
      </c>
      <c r="E190" s="396" t="s">
        <v>1706</v>
      </c>
      <c r="F190" s="606" t="s">
        <v>1860</v>
      </c>
      <c r="G190" s="502" t="s">
        <v>1862</v>
      </c>
      <c r="H190" s="503" t="s">
        <v>1861</v>
      </c>
      <c r="I190" s="56" t="str">
        <f>OBRA!U189</f>
        <v>ENERGIAS RENOVABLES DE LA RIVERA S.A. DE C.V</v>
      </c>
      <c r="J190" s="57" t="str">
        <f>OBRA!V189</f>
        <v>ING. J. GUADALUPE IBARRA RAMIREZ</v>
      </c>
      <c r="K190" s="35"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508" t="s">
        <v>1859</v>
      </c>
      <c r="O190" s="6">
        <f>OBRA!Q189</f>
        <v>42688</v>
      </c>
      <c r="P190" s="4">
        <f>OBRA!P189</f>
        <v>577695.28</v>
      </c>
      <c r="Q190" s="4"/>
      <c r="R190" s="5">
        <f>OBRA!R189</f>
        <v>42689</v>
      </c>
      <c r="S190" s="12">
        <f>OBRA!S189</f>
        <v>42734</v>
      </c>
      <c r="T190" s="55"/>
      <c r="U190" s="415" t="s">
        <v>1431</v>
      </c>
      <c r="V190" s="552" t="s">
        <v>1863</v>
      </c>
      <c r="W190" s="504" t="s">
        <v>2297</v>
      </c>
      <c r="X190" s="493">
        <f>OBRA!AP189</f>
        <v>115539.04</v>
      </c>
      <c r="Y190" s="5"/>
      <c r="Z190" s="341"/>
      <c r="AA190" s="5"/>
      <c r="AB190" s="351">
        <f>OBRA!BT189</f>
        <v>0</v>
      </c>
      <c r="AC190" s="569" t="s">
        <v>551</v>
      </c>
      <c r="AE190" s="624"/>
      <c r="AF190" s="624"/>
      <c r="AG190" s="624"/>
      <c r="AH190" s="624"/>
      <c r="AI190" s="624"/>
      <c r="AJ190" s="624"/>
      <c r="AK190" s="624"/>
      <c r="AL190" s="624"/>
    </row>
    <row r="191" spans="1:38" s="110" customFormat="1" ht="26.25" hidden="1" customHeight="1">
      <c r="A191" s="87" t="s">
        <v>2239</v>
      </c>
      <c r="B191" s="946" t="str">
        <f>GRAL!B192</f>
        <v>2012-2015</v>
      </c>
      <c r="C191" s="88">
        <f>OBRA!I190</f>
        <v>2016</v>
      </c>
      <c r="D191" s="103">
        <f>OBRA!K190</f>
        <v>0</v>
      </c>
      <c r="E191" s="108"/>
      <c r="F191" s="950"/>
      <c r="G191" s="949"/>
      <c r="H191" s="950"/>
      <c r="I191" s="159">
        <f>OBRA!U190</f>
        <v>0</v>
      </c>
      <c r="J191" s="160">
        <f>OBRA!V190</f>
        <v>0</v>
      </c>
      <c r="K191" s="340" t="str">
        <f>OBRA!L190</f>
        <v>GMJ 022C OP/2016</v>
      </c>
      <c r="L191" s="203" t="str">
        <f>OBRA!M190</f>
        <v>CANCELADA</v>
      </c>
      <c r="M191" s="112" t="str">
        <f>OBRA!N190</f>
        <v>CANCELADO</v>
      </c>
      <c r="N191" s="132"/>
      <c r="O191" s="93">
        <f>OBRA!Q190</f>
        <v>0</v>
      </c>
      <c r="P191" s="92">
        <f>OBRA!P190</f>
        <v>0</v>
      </c>
      <c r="Q191" s="92"/>
      <c r="R191" s="94">
        <f>OBRA!R190</f>
        <v>0</v>
      </c>
      <c r="S191" s="95">
        <f>OBRA!S190</f>
        <v>0</v>
      </c>
      <c r="T191" s="97"/>
      <c r="U191" s="785" t="s">
        <v>1431</v>
      </c>
      <c r="V191" s="950"/>
      <c r="W191" s="951"/>
      <c r="X191" s="952">
        <f>OBRA!AP190</f>
        <v>0</v>
      </c>
      <c r="Y191" s="343"/>
      <c r="Z191" s="343"/>
      <c r="AA191" s="94"/>
      <c r="AB191" s="511">
        <f>OBRA!BT190</f>
        <v>0</v>
      </c>
      <c r="AC191" s="570"/>
    </row>
    <row r="192" spans="1:38" s="110" customFormat="1" ht="26.25" hidden="1" customHeight="1">
      <c r="A192" s="87" t="s">
        <v>2239</v>
      </c>
      <c r="B192" s="946" t="str">
        <f>GRAL!B193</f>
        <v>2012-2015</v>
      </c>
      <c r="C192" s="88">
        <f>OBRA!I191</f>
        <v>2016</v>
      </c>
      <c r="D192" s="103">
        <f>OBRA!K191</f>
        <v>0</v>
      </c>
      <c r="E192" s="526"/>
      <c r="F192" s="950"/>
      <c r="G192" s="949"/>
      <c r="H192" s="950"/>
      <c r="I192" s="159">
        <f>OBRA!U191</f>
        <v>0</v>
      </c>
      <c r="J192" s="160">
        <f>OBRA!V191</f>
        <v>0</v>
      </c>
      <c r="K192" s="340" t="str">
        <f>OBRA!L191</f>
        <v>GMJ 023C OP/2016</v>
      </c>
      <c r="L192" s="203" t="str">
        <f>OBRA!M191</f>
        <v>CANCELADA</v>
      </c>
      <c r="M192" s="112" t="str">
        <f>OBRA!N191</f>
        <v>CANCELADO</v>
      </c>
      <c r="N192" s="132"/>
      <c r="O192" s="93">
        <f>OBRA!Q191</f>
        <v>0</v>
      </c>
      <c r="P192" s="92">
        <f>OBRA!P191</f>
        <v>0</v>
      </c>
      <c r="Q192" s="92"/>
      <c r="R192" s="94">
        <f>OBRA!R191</f>
        <v>0</v>
      </c>
      <c r="S192" s="95">
        <f>OBRA!S191</f>
        <v>0</v>
      </c>
      <c r="T192" s="97"/>
      <c r="U192" s="785" t="s">
        <v>1431</v>
      </c>
      <c r="V192" s="950"/>
      <c r="W192" s="951"/>
      <c r="X192" s="952">
        <f>OBRA!AP191</f>
        <v>0</v>
      </c>
      <c r="Y192" s="343"/>
      <c r="Z192" s="343"/>
      <c r="AA192" s="94"/>
      <c r="AB192" s="511">
        <f>OBRA!BT191</f>
        <v>0</v>
      </c>
      <c r="AC192" s="570"/>
    </row>
    <row r="193" spans="1:38" ht="60" hidden="1" customHeight="1">
      <c r="A193" s="23" t="s">
        <v>2239</v>
      </c>
      <c r="B193" s="933" t="str">
        <f>GRAL!B194</f>
        <v>2015-2018</v>
      </c>
      <c r="C193" s="17">
        <f>OBRA!I192</f>
        <v>2016</v>
      </c>
      <c r="D193" s="18" t="str">
        <f>OBRA!K192</f>
        <v>RAMO 33</v>
      </c>
      <c r="E193" s="525" t="s">
        <v>1431</v>
      </c>
      <c r="F193" s="396"/>
      <c r="G193" s="474"/>
      <c r="H193" s="396"/>
      <c r="I193" s="56" t="str">
        <f>OBRA!U192</f>
        <v>ING. GEOLOGO: J. TRINIDAD NUÑEZ BRITO</v>
      </c>
      <c r="J193" s="57" t="str">
        <f>OBRA!V192</f>
        <v>ING. RIGOBERTO OLMEDO RAMOS</v>
      </c>
      <c r="K193" s="35"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2">
        <f>OBRA!S192</f>
        <v>42794</v>
      </c>
      <c r="T193" s="55"/>
      <c r="U193" s="415" t="s">
        <v>1431</v>
      </c>
      <c r="V193" s="396"/>
      <c r="W193" s="399"/>
      <c r="X193" s="493">
        <f>OBRA!AP192</f>
        <v>733671</v>
      </c>
      <c r="Y193" s="341"/>
      <c r="Z193" s="341"/>
      <c r="AA193" s="5"/>
      <c r="AB193" s="351">
        <f>OBRA!BT192</f>
        <v>0</v>
      </c>
      <c r="AC193" s="569"/>
      <c r="AE193"/>
      <c r="AF193"/>
      <c r="AG193"/>
      <c r="AH193"/>
      <c r="AI193"/>
      <c r="AJ193"/>
      <c r="AK193"/>
      <c r="AL193"/>
    </row>
    <row r="194" spans="1:38" ht="60" hidden="1" customHeight="1">
      <c r="A194" s="23" t="s">
        <v>2239</v>
      </c>
      <c r="B194" s="933" t="str">
        <f>GRAL!B195</f>
        <v>2015-2018</v>
      </c>
      <c r="C194" s="17">
        <f>OBRA!I193</f>
        <v>-2016</v>
      </c>
      <c r="D194" s="18" t="str">
        <f>OBRA!K193</f>
        <v>FOREMODA</v>
      </c>
      <c r="E194" s="525"/>
      <c r="F194" s="396"/>
      <c r="G194" s="474"/>
      <c r="H194" s="396"/>
      <c r="I194" s="56" t="str">
        <f>OBRA!U193</f>
        <v>ARQ. LUIS MIGUEL ARGUELLES ALCALÁ</v>
      </c>
      <c r="J194" s="57" t="str">
        <f>OBRA!V193</f>
        <v>ARQ. FRANCISCO SALAZAR</v>
      </c>
      <c r="K194" s="35"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2">
        <f>OBRA!S193</f>
        <v>43039</v>
      </c>
      <c r="T194" s="55"/>
      <c r="U194" s="415" t="s">
        <v>1431</v>
      </c>
      <c r="V194" s="396"/>
      <c r="W194" s="399"/>
      <c r="X194" s="493">
        <f>OBRA!AP193</f>
        <v>360000</v>
      </c>
      <c r="Y194" s="341"/>
      <c r="Z194" s="341"/>
      <c r="AA194" s="5"/>
      <c r="AB194" s="351">
        <f>OBRA!BT193</f>
        <v>0</v>
      </c>
      <c r="AC194" s="569"/>
      <c r="AE194"/>
      <c r="AF194"/>
      <c r="AG194"/>
      <c r="AH194"/>
      <c r="AI194"/>
      <c r="AJ194"/>
      <c r="AK194"/>
      <c r="AL194"/>
    </row>
    <row r="195" spans="1:38" ht="90" hidden="1" customHeight="1">
      <c r="A195" s="23" t="s">
        <v>2239</v>
      </c>
      <c r="B195" s="933" t="str">
        <f>GRAL!B196</f>
        <v>2015-2018</v>
      </c>
      <c r="C195" s="17">
        <f>OBRA!I194</f>
        <v>2016</v>
      </c>
      <c r="D195" s="18" t="str">
        <f>OBRA!K194</f>
        <v>FONDEREG</v>
      </c>
      <c r="E195" s="14"/>
      <c r="F195" s="396"/>
      <c r="G195" s="474"/>
      <c r="H195" s="396"/>
      <c r="I195" s="56" t="str">
        <f>OBRA!U194</f>
        <v>-</v>
      </c>
      <c r="J195" s="57" t="str">
        <f>OBRA!V194</f>
        <v>-</v>
      </c>
      <c r="K195" s="35"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2" t="str">
        <f>OBRA!S194</f>
        <v>-</v>
      </c>
      <c r="T195" s="55"/>
      <c r="U195" s="415" t="s">
        <v>1431</v>
      </c>
      <c r="V195" s="396"/>
      <c r="W195" s="399"/>
      <c r="X195" s="493">
        <f>OBRA!AP194</f>
        <v>0</v>
      </c>
      <c r="Y195" s="341"/>
      <c r="Z195" s="341"/>
      <c r="AA195" s="5"/>
      <c r="AB195" s="351">
        <f>OBRA!BT194</f>
        <v>0</v>
      </c>
      <c r="AC195" s="569"/>
      <c r="AE195"/>
      <c r="AF195"/>
      <c r="AG195"/>
      <c r="AH195"/>
      <c r="AI195"/>
      <c r="AJ195"/>
      <c r="AK195"/>
      <c r="AL195"/>
    </row>
    <row r="196" spans="1:38" ht="45" hidden="1" customHeight="1">
      <c r="A196" s="23" t="s">
        <v>2239</v>
      </c>
      <c r="B196" s="933" t="str">
        <f>GRAL!B197</f>
        <v>2015-2018</v>
      </c>
      <c r="C196" s="17">
        <f>OBRA!I195</f>
        <v>2016</v>
      </c>
      <c r="D196" s="19" t="str">
        <f>OBRA!K195</f>
        <v xml:space="preserve">FONDO PARA EL FORTALECIMIENTO </v>
      </c>
      <c r="E196" s="525"/>
      <c r="F196" s="396"/>
      <c r="G196" s="474"/>
      <c r="H196" s="396"/>
      <c r="I196" s="56" t="str">
        <f>OBRA!U195</f>
        <v>-</v>
      </c>
      <c r="J196" s="57" t="str">
        <f>OBRA!V195</f>
        <v>-</v>
      </c>
      <c r="K196" s="35" t="str">
        <f>OBRA!L195</f>
        <v>FONDO PARA EL FORTALECIMIENTO 2016 "B"</v>
      </c>
      <c r="L196" s="2" t="str">
        <f>OBRA!M195</f>
        <v>CONVENIO</v>
      </c>
      <c r="M196" s="3" t="str">
        <f>OBRA!N195</f>
        <v>-</v>
      </c>
      <c r="N196" s="3"/>
      <c r="O196" s="6">
        <f>OBRA!Q195</f>
        <v>42614</v>
      </c>
      <c r="P196" s="4">
        <f>OBRA!P195</f>
        <v>10000000</v>
      </c>
      <c r="Q196" s="4"/>
      <c r="R196" s="5" t="str">
        <f>OBRA!R195</f>
        <v>-</v>
      </c>
      <c r="S196" s="12" t="str">
        <f>OBRA!S195</f>
        <v>-</v>
      </c>
      <c r="T196" s="55"/>
      <c r="U196" s="415" t="s">
        <v>1431</v>
      </c>
      <c r="V196" s="396"/>
      <c r="W196" s="399"/>
      <c r="X196" s="493">
        <f>OBRA!AP195</f>
        <v>0</v>
      </c>
      <c r="Y196" s="341"/>
      <c r="Z196" s="341"/>
      <c r="AA196" s="5"/>
      <c r="AB196" s="351">
        <f>OBRA!BT195</f>
        <v>0</v>
      </c>
      <c r="AC196" s="569"/>
      <c r="AE196"/>
      <c r="AF196"/>
      <c r="AG196"/>
      <c r="AH196"/>
      <c r="AI196"/>
      <c r="AJ196"/>
      <c r="AK196"/>
      <c r="AL196"/>
    </row>
    <row r="197" spans="1:38" ht="30" hidden="1" customHeight="1">
      <c r="A197" s="23" t="s">
        <v>2239</v>
      </c>
      <c r="B197" s="933" t="str">
        <f>GRAL!B198</f>
        <v>2015-2018</v>
      </c>
      <c r="C197" s="17">
        <f>OBRA!I196</f>
        <v>2016</v>
      </c>
      <c r="D197" s="19" t="str">
        <f>OBRA!K196</f>
        <v>3X1 PARA MIGRANTES</v>
      </c>
      <c r="E197" s="525"/>
      <c r="F197" s="396"/>
      <c r="G197" s="474"/>
      <c r="H197" s="396"/>
      <c r="I197" s="56" t="str">
        <f>OBRA!U196</f>
        <v>-</v>
      </c>
      <c r="J197" s="57" t="str">
        <f>OBRA!V196</f>
        <v>-</v>
      </c>
      <c r="K197" s="35"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2" t="str">
        <f>OBRA!S196</f>
        <v>-</v>
      </c>
      <c r="T197" s="55"/>
      <c r="U197" s="415" t="s">
        <v>1431</v>
      </c>
      <c r="V197" s="396"/>
      <c r="W197" s="399"/>
      <c r="X197" s="493">
        <f>OBRA!AP196</f>
        <v>0</v>
      </c>
      <c r="Y197" s="341"/>
      <c r="Z197" s="341"/>
      <c r="AA197" s="5"/>
      <c r="AB197" s="351">
        <f>OBRA!BT196</f>
        <v>0</v>
      </c>
      <c r="AC197" s="569"/>
      <c r="AE197"/>
      <c r="AF197"/>
      <c r="AG197"/>
      <c r="AH197"/>
      <c r="AI197"/>
      <c r="AJ197"/>
      <c r="AK197"/>
      <c r="AL197"/>
    </row>
    <row r="198" spans="1:38" ht="75" hidden="1" customHeight="1">
      <c r="A198" s="23" t="s">
        <v>2239</v>
      </c>
      <c r="B198" s="933" t="str">
        <f>GRAL!B199</f>
        <v>2015-2018</v>
      </c>
      <c r="C198" s="17">
        <f>OBRA!I197</f>
        <v>2016</v>
      </c>
      <c r="D198" s="19" t="str">
        <f>OBRA!K197</f>
        <v>3X1 PARA MIGRANTES</v>
      </c>
      <c r="E198" s="525"/>
      <c r="F198" s="396"/>
      <c r="G198" s="474"/>
      <c r="H198" s="396"/>
      <c r="I198" s="56" t="str">
        <f>OBRA!U197</f>
        <v>-</v>
      </c>
      <c r="J198" s="57" t="str">
        <f>OBRA!V197</f>
        <v>-</v>
      </c>
      <c r="K198" s="35"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2" t="str">
        <f>OBRA!S197</f>
        <v>-</v>
      </c>
      <c r="T198" s="55"/>
      <c r="U198" s="415" t="s">
        <v>1431</v>
      </c>
      <c r="V198" s="396"/>
      <c r="W198" s="399"/>
      <c r="X198" s="493">
        <f>OBRA!AP197</f>
        <v>0</v>
      </c>
      <c r="Y198" s="341"/>
      <c r="Z198" s="341"/>
      <c r="AA198" s="5"/>
      <c r="AB198" s="351">
        <f>OBRA!BT197</f>
        <v>0</v>
      </c>
      <c r="AC198" s="569"/>
      <c r="AE198"/>
      <c r="AF198"/>
      <c r="AG198"/>
      <c r="AH198"/>
      <c r="AI198"/>
      <c r="AJ198"/>
      <c r="AK198"/>
      <c r="AL198"/>
    </row>
    <row r="199" spans="1:38" ht="75" hidden="1" customHeight="1">
      <c r="A199" s="23" t="s">
        <v>2239</v>
      </c>
      <c r="B199" s="933" t="str">
        <f>GRAL!B200</f>
        <v>2015-2018</v>
      </c>
      <c r="C199" s="17">
        <f>OBRA!I198</f>
        <v>2016</v>
      </c>
      <c r="D199" s="19" t="str">
        <f>OBRA!K198</f>
        <v>3X1 PARA MIGRANTES</v>
      </c>
      <c r="E199" s="525"/>
      <c r="F199" s="396"/>
      <c r="G199" s="474"/>
      <c r="H199" s="396"/>
      <c r="I199" s="56" t="str">
        <f>OBRA!U198</f>
        <v>-</v>
      </c>
      <c r="J199" s="57" t="str">
        <f>OBRA!V198</f>
        <v>-</v>
      </c>
      <c r="K199" s="35"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2" t="str">
        <f>OBRA!S198</f>
        <v>-</v>
      </c>
      <c r="T199" s="55"/>
      <c r="U199" s="415" t="s">
        <v>1431</v>
      </c>
      <c r="V199" s="396"/>
      <c r="W199" s="399"/>
      <c r="X199" s="493">
        <f>OBRA!AP198</f>
        <v>0</v>
      </c>
      <c r="Y199" s="341"/>
      <c r="Z199" s="341"/>
      <c r="AA199" s="5"/>
      <c r="AB199" s="351">
        <f>OBRA!BT198</f>
        <v>0</v>
      </c>
      <c r="AC199" s="569"/>
      <c r="AE199"/>
      <c r="AF199"/>
      <c r="AG199"/>
      <c r="AH199"/>
      <c r="AI199"/>
      <c r="AJ199"/>
      <c r="AK199"/>
      <c r="AL199"/>
    </row>
    <row r="200" spans="1:38" ht="75" hidden="1" customHeight="1">
      <c r="A200" s="23" t="s">
        <v>2239</v>
      </c>
      <c r="B200" s="933" t="str">
        <f>GRAL!B201</f>
        <v>2015-2018</v>
      </c>
      <c r="C200" s="17">
        <f>OBRA!I199</f>
        <v>2016</v>
      </c>
      <c r="D200" s="19" t="str">
        <f>OBRA!K199</f>
        <v>3X1 PARA MIGRANTES</v>
      </c>
      <c r="E200" s="525"/>
      <c r="F200" s="396"/>
      <c r="G200" s="474"/>
      <c r="H200" s="396"/>
      <c r="I200" s="56" t="str">
        <f>OBRA!U199</f>
        <v>-</v>
      </c>
      <c r="J200" s="57" t="str">
        <f>OBRA!V199</f>
        <v>-</v>
      </c>
      <c r="K200" s="35"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2" t="str">
        <f>OBRA!S199</f>
        <v>-</v>
      </c>
      <c r="T200" s="55"/>
      <c r="U200" s="415" t="s">
        <v>1431</v>
      </c>
      <c r="V200" s="396"/>
      <c r="W200" s="399"/>
      <c r="X200" s="493">
        <f>OBRA!AP199</f>
        <v>0</v>
      </c>
      <c r="Y200" s="341"/>
      <c r="Z200" s="341"/>
      <c r="AA200" s="5"/>
      <c r="AB200" s="351">
        <f>OBRA!BT199</f>
        <v>0</v>
      </c>
      <c r="AC200" s="569"/>
      <c r="AE200"/>
      <c r="AF200"/>
      <c r="AG200"/>
      <c r="AH200"/>
      <c r="AI200"/>
      <c r="AJ200"/>
      <c r="AK200"/>
      <c r="AL200"/>
    </row>
    <row r="201" spans="1:38" ht="60" hidden="1" customHeight="1">
      <c r="A201" s="23" t="s">
        <v>2239</v>
      </c>
      <c r="B201" s="933" t="str">
        <f>GRAL!B202</f>
        <v>2015-2018</v>
      </c>
      <c r="C201" s="17">
        <f>OBRA!I200</f>
        <v>2016</v>
      </c>
      <c r="D201" s="19" t="str">
        <f>OBRA!K200</f>
        <v>3X1 PARA MIGRANTES</v>
      </c>
      <c r="E201" s="525"/>
      <c r="F201" s="396"/>
      <c r="G201" s="474"/>
      <c r="H201" s="396"/>
      <c r="I201" s="56" t="str">
        <f>OBRA!U200</f>
        <v>-</v>
      </c>
      <c r="J201" s="57" t="str">
        <f>OBRA!V200</f>
        <v>-</v>
      </c>
      <c r="K201" s="35"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2" t="str">
        <f>OBRA!S200</f>
        <v>-</v>
      </c>
      <c r="T201" s="55"/>
      <c r="U201" s="415" t="s">
        <v>1431</v>
      </c>
      <c r="V201" s="396"/>
      <c r="W201" s="399"/>
      <c r="X201" s="493">
        <f>OBRA!AP200</f>
        <v>0</v>
      </c>
      <c r="Y201" s="341"/>
      <c r="Z201" s="341"/>
      <c r="AA201" s="5"/>
      <c r="AB201" s="351">
        <f>OBRA!BT200</f>
        <v>0</v>
      </c>
      <c r="AC201" s="569"/>
      <c r="AE201"/>
      <c r="AF201"/>
      <c r="AG201"/>
      <c r="AH201"/>
      <c r="AI201"/>
      <c r="AJ201"/>
      <c r="AK201"/>
      <c r="AL201"/>
    </row>
    <row r="202" spans="1:38" ht="75" hidden="1" customHeight="1">
      <c r="A202" s="23" t="s">
        <v>2239</v>
      </c>
      <c r="B202" s="933" t="str">
        <f>GRAL!B203</f>
        <v>2015-2018</v>
      </c>
      <c r="C202" s="17">
        <f>OBRA!I201</f>
        <v>2016</v>
      </c>
      <c r="D202" s="19" t="str">
        <f>OBRA!K201</f>
        <v>3X1 PARA MIGRANTES</v>
      </c>
      <c r="E202" s="14"/>
      <c r="F202" s="396"/>
      <c r="G202" s="474"/>
      <c r="H202" s="396"/>
      <c r="I202" s="56" t="str">
        <f>OBRA!U201</f>
        <v>-</v>
      </c>
      <c r="J202" s="57" t="str">
        <f>OBRA!V201</f>
        <v>-</v>
      </c>
      <c r="K202" s="35"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2" t="str">
        <f>OBRA!S201</f>
        <v>-</v>
      </c>
      <c r="T202" s="55"/>
      <c r="U202" s="415" t="s">
        <v>1431</v>
      </c>
      <c r="V202" s="396"/>
      <c r="W202" s="399"/>
      <c r="X202" s="493">
        <f>OBRA!AP201</f>
        <v>0</v>
      </c>
      <c r="Y202" s="341"/>
      <c r="Z202" s="341"/>
      <c r="AA202" s="5"/>
      <c r="AB202" s="351">
        <f>OBRA!BT201</f>
        <v>0</v>
      </c>
      <c r="AC202" s="569"/>
      <c r="AE202"/>
      <c r="AF202"/>
      <c r="AG202"/>
      <c r="AH202"/>
      <c r="AI202"/>
      <c r="AJ202"/>
      <c r="AK202"/>
      <c r="AL202"/>
    </row>
    <row r="203" spans="1:38" ht="90" hidden="1" customHeight="1">
      <c r="A203" s="23" t="s">
        <v>2239</v>
      </c>
      <c r="B203" s="933" t="str">
        <f>GRAL!B204</f>
        <v>2015-2018</v>
      </c>
      <c r="C203" s="17">
        <f>OBRA!I202</f>
        <v>2016</v>
      </c>
      <c r="D203" s="19" t="str">
        <f>OBRA!K202</f>
        <v>3X1 PARA MIGRANTES</v>
      </c>
      <c r="E203" s="525"/>
      <c r="F203" s="396"/>
      <c r="G203" s="474"/>
      <c r="H203" s="396"/>
      <c r="I203" s="56" t="str">
        <f>OBRA!U202</f>
        <v>-</v>
      </c>
      <c r="J203" s="57" t="str">
        <f>OBRA!V202</f>
        <v>-</v>
      </c>
      <c r="K203" s="35"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2" t="str">
        <f>OBRA!S202</f>
        <v>-</v>
      </c>
      <c r="T203" s="55"/>
      <c r="U203" s="415" t="s">
        <v>1431</v>
      </c>
      <c r="V203" s="396"/>
      <c r="W203" s="399"/>
      <c r="X203" s="493">
        <f>OBRA!AP202</f>
        <v>0</v>
      </c>
      <c r="Y203" s="341"/>
      <c r="Z203" s="341"/>
      <c r="AA203" s="5"/>
      <c r="AB203" s="351">
        <f>OBRA!BT202</f>
        <v>0</v>
      </c>
      <c r="AC203" s="569"/>
      <c r="AE203"/>
      <c r="AF203"/>
      <c r="AG203"/>
      <c r="AH203"/>
      <c r="AI203"/>
      <c r="AJ203"/>
      <c r="AK203"/>
      <c r="AL203"/>
    </row>
    <row r="204" spans="1:38" ht="75" hidden="1" customHeight="1">
      <c r="A204" s="23" t="s">
        <v>2239</v>
      </c>
      <c r="B204" s="933" t="str">
        <f>GRAL!B205</f>
        <v>2015-2018</v>
      </c>
      <c r="C204" s="17">
        <f>OBRA!I203</f>
        <v>2016</v>
      </c>
      <c r="D204" s="19" t="str">
        <f>OBRA!K203</f>
        <v>3X1 PARA MIGRANTES</v>
      </c>
      <c r="E204" s="525"/>
      <c r="F204" s="396"/>
      <c r="G204" s="474"/>
      <c r="H204" s="396"/>
      <c r="I204" s="56" t="str">
        <f>OBRA!U203</f>
        <v>-</v>
      </c>
      <c r="J204" s="57" t="str">
        <f>OBRA!V203</f>
        <v>-</v>
      </c>
      <c r="K204" s="35"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2" t="str">
        <f>OBRA!S203</f>
        <v>-</v>
      </c>
      <c r="T204" s="55"/>
      <c r="U204" s="415" t="s">
        <v>1431</v>
      </c>
      <c r="V204" s="396"/>
      <c r="W204" s="399"/>
      <c r="X204" s="493">
        <f>OBRA!AP203</f>
        <v>0</v>
      </c>
      <c r="Y204" s="341"/>
      <c r="Z204" s="341"/>
      <c r="AA204" s="5"/>
      <c r="AB204" s="351">
        <f>OBRA!BT203</f>
        <v>0</v>
      </c>
      <c r="AC204" s="569"/>
      <c r="AE204"/>
      <c r="AF204"/>
      <c r="AG204"/>
      <c r="AH204"/>
      <c r="AI204"/>
      <c r="AJ204"/>
      <c r="AK204"/>
      <c r="AL204"/>
    </row>
    <row r="205" spans="1:38" ht="45" hidden="1" customHeight="1">
      <c r="A205" s="23" t="s">
        <v>2239</v>
      </c>
      <c r="B205" s="933" t="str">
        <f>GRAL!B206</f>
        <v>2015-2018</v>
      </c>
      <c r="C205" s="17">
        <f>OBRA!I204</f>
        <v>2016</v>
      </c>
      <c r="D205" s="19" t="str">
        <f>OBRA!K204</f>
        <v>3X1 PARA MIGRANTES</v>
      </c>
      <c r="E205" s="525"/>
      <c r="F205" s="396"/>
      <c r="G205" s="474"/>
      <c r="H205" s="396"/>
      <c r="I205" s="56" t="str">
        <f>OBRA!U204</f>
        <v>-</v>
      </c>
      <c r="J205" s="57" t="str">
        <f>OBRA!V204</f>
        <v>-</v>
      </c>
      <c r="K205" s="35"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2" t="str">
        <f>OBRA!S204</f>
        <v>-</v>
      </c>
      <c r="T205" s="55"/>
      <c r="U205" s="415" t="s">
        <v>1431</v>
      </c>
      <c r="V205" s="396"/>
      <c r="W205" s="399"/>
      <c r="X205" s="493">
        <f>OBRA!AP204</f>
        <v>0</v>
      </c>
      <c r="Y205" s="341"/>
      <c r="Z205" s="341"/>
      <c r="AA205" s="5"/>
      <c r="AB205" s="351">
        <f>OBRA!BT204</f>
        <v>0</v>
      </c>
      <c r="AC205" s="569"/>
      <c r="AE205"/>
      <c r="AF205"/>
      <c r="AG205"/>
      <c r="AH205"/>
      <c r="AI205"/>
      <c r="AJ205"/>
      <c r="AK205"/>
      <c r="AL205"/>
    </row>
    <row r="206" spans="1:38" ht="105" hidden="1" customHeight="1">
      <c r="A206" s="23" t="s">
        <v>2239</v>
      </c>
      <c r="B206" s="933" t="str">
        <f>GRAL!B207</f>
        <v>2015-2018</v>
      </c>
      <c r="C206" s="17">
        <f>OBRA!I205</f>
        <v>2016</v>
      </c>
      <c r="D206" s="19" t="str">
        <f>OBRA!K205</f>
        <v>3X1 PARA MIGRANTES</v>
      </c>
      <c r="E206" s="525"/>
      <c r="F206" s="396"/>
      <c r="G206" s="474"/>
      <c r="H206" s="396"/>
      <c r="I206" s="56" t="str">
        <f>OBRA!U205</f>
        <v>-</v>
      </c>
      <c r="J206" s="57" t="str">
        <f>OBRA!V205</f>
        <v>-</v>
      </c>
      <c r="K206" s="35"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2" t="str">
        <f>OBRA!S205</f>
        <v>-</v>
      </c>
      <c r="T206" s="55"/>
      <c r="U206" s="415" t="s">
        <v>1431</v>
      </c>
      <c r="V206" s="396"/>
      <c r="W206" s="399"/>
      <c r="X206" s="493">
        <f>OBRA!AP205</f>
        <v>0</v>
      </c>
      <c r="Y206" s="341"/>
      <c r="Z206" s="341"/>
      <c r="AA206" s="5"/>
      <c r="AB206" s="351">
        <f>OBRA!BT205</f>
        <v>0</v>
      </c>
      <c r="AC206" s="569"/>
      <c r="AE206"/>
      <c r="AF206"/>
      <c r="AG206"/>
      <c r="AH206"/>
      <c r="AI206"/>
      <c r="AJ206"/>
      <c r="AK206"/>
      <c r="AL206"/>
    </row>
    <row r="207" spans="1:38" ht="90" hidden="1" customHeight="1">
      <c r="A207" s="23" t="s">
        <v>2239</v>
      </c>
      <c r="B207" s="933" t="str">
        <f>GRAL!B208</f>
        <v>2015-2018</v>
      </c>
      <c r="C207" s="17">
        <f>OBRA!I206</f>
        <v>2016</v>
      </c>
      <c r="D207" s="19" t="str">
        <f>OBRA!K206</f>
        <v>3X1 PARA MIGRANTES</v>
      </c>
      <c r="E207" s="525"/>
      <c r="F207" s="396"/>
      <c r="G207" s="474"/>
      <c r="H207" s="396"/>
      <c r="I207" s="56" t="str">
        <f>OBRA!U206</f>
        <v>-</v>
      </c>
      <c r="J207" s="57" t="str">
        <f>OBRA!V206</f>
        <v>-</v>
      </c>
      <c r="K207" s="35"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2" t="str">
        <f>OBRA!S206</f>
        <v>-</v>
      </c>
      <c r="T207" s="55"/>
      <c r="U207" s="415" t="s">
        <v>1431</v>
      </c>
      <c r="V207" s="396"/>
      <c r="W207" s="399"/>
      <c r="X207" s="493">
        <f>OBRA!AP206</f>
        <v>0</v>
      </c>
      <c r="Y207" s="341"/>
      <c r="Z207" s="341"/>
      <c r="AA207" s="5"/>
      <c r="AB207" s="351">
        <f>OBRA!BT206</f>
        <v>0</v>
      </c>
      <c r="AC207" s="569"/>
      <c r="AE207"/>
      <c r="AF207"/>
      <c r="AG207"/>
      <c r="AH207"/>
      <c r="AI207"/>
      <c r="AJ207"/>
      <c r="AK207"/>
      <c r="AL207"/>
    </row>
    <row r="208" spans="1:38" ht="30" hidden="1" customHeight="1">
      <c r="A208" s="23" t="s">
        <v>2239</v>
      </c>
      <c r="B208" s="933" t="str">
        <f>GRAL!B209</f>
        <v>2015-2018</v>
      </c>
      <c r="C208" s="17">
        <f>OBRA!I207</f>
        <v>2017</v>
      </c>
      <c r="D208" s="19" t="str">
        <f>OBRA!K207</f>
        <v>FONDEREG</v>
      </c>
      <c r="E208" s="525"/>
      <c r="F208" s="396" t="s">
        <v>68</v>
      </c>
      <c r="G208" s="474" t="s">
        <v>68</v>
      </c>
      <c r="H208" s="396" t="s">
        <v>68</v>
      </c>
      <c r="I208" s="56" t="str">
        <f>OBRA!U207</f>
        <v>N/A</v>
      </c>
      <c r="J208" s="57" t="str">
        <f>OBRA!V207</f>
        <v>-</v>
      </c>
      <c r="K208" s="35"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2" t="str">
        <f>OBRA!S207</f>
        <v>-</v>
      </c>
      <c r="T208" s="55"/>
      <c r="U208" s="415" t="s">
        <v>1431</v>
      </c>
      <c r="V208" s="396"/>
      <c r="W208" s="399"/>
      <c r="X208" s="493">
        <f>OBRA!AP207</f>
        <v>0</v>
      </c>
      <c r="Y208" s="341"/>
      <c r="Z208" s="341"/>
      <c r="AA208" s="5"/>
      <c r="AB208" s="351">
        <f>OBRA!BT207</f>
        <v>0</v>
      </c>
      <c r="AC208" s="569"/>
      <c r="AE208"/>
      <c r="AF208"/>
      <c r="AG208"/>
      <c r="AH208"/>
      <c r="AI208"/>
      <c r="AJ208"/>
      <c r="AK208"/>
      <c r="AL208"/>
    </row>
    <row r="209" spans="1:38" ht="30" hidden="1" customHeight="1">
      <c r="A209" s="23" t="s">
        <v>2239</v>
      </c>
      <c r="B209" s="933" t="str">
        <f>GRAL!B210</f>
        <v>2015-2018</v>
      </c>
      <c r="C209" s="17">
        <f>OBRA!I208</f>
        <v>2017</v>
      </c>
      <c r="D209" s="19" t="str">
        <f>OBRA!K208</f>
        <v>FOCOCI</v>
      </c>
      <c r="E209" s="525"/>
      <c r="F209" s="396" t="s">
        <v>68</v>
      </c>
      <c r="G209" s="474" t="s">
        <v>68</v>
      </c>
      <c r="H209" s="396" t="s">
        <v>68</v>
      </c>
      <c r="I209" s="56" t="str">
        <f>OBRA!U208</f>
        <v>N/A</v>
      </c>
      <c r="J209" s="57" t="str">
        <f>OBRA!V208</f>
        <v>-</v>
      </c>
      <c r="K209" s="35"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2" t="str">
        <f>OBRA!S208</f>
        <v>-</v>
      </c>
      <c r="T209" s="55"/>
      <c r="U209" s="415" t="s">
        <v>1431</v>
      </c>
      <c r="V209" s="396"/>
      <c r="W209" s="399"/>
      <c r="X209" s="493">
        <f>OBRA!AP208</f>
        <v>0</v>
      </c>
      <c r="Y209" s="341"/>
      <c r="Z209" s="341"/>
      <c r="AA209" s="5"/>
      <c r="AB209" s="351">
        <f>OBRA!BT208</f>
        <v>0</v>
      </c>
      <c r="AC209" s="569"/>
      <c r="AE209"/>
      <c r="AF209"/>
      <c r="AG209"/>
      <c r="AH209"/>
      <c r="AI209"/>
      <c r="AJ209"/>
      <c r="AK209"/>
      <c r="AL209"/>
    </row>
    <row r="210" spans="1:38" ht="30" hidden="1" customHeight="1">
      <c r="A210" s="23" t="s">
        <v>2239</v>
      </c>
      <c r="B210" s="933" t="str">
        <f>GRAL!B211</f>
        <v>2015-2018</v>
      </c>
      <c r="C210" s="17">
        <f>OBRA!I209</f>
        <v>2017</v>
      </c>
      <c r="D210" s="19" t="str">
        <f>OBRA!K209</f>
        <v xml:space="preserve">PROYECTOS DESARROLLO REGIONAL </v>
      </c>
      <c r="E210" s="525"/>
      <c r="F210" s="396" t="s">
        <v>68</v>
      </c>
      <c r="G210" s="474" t="s">
        <v>68</v>
      </c>
      <c r="H210" s="396" t="s">
        <v>68</v>
      </c>
      <c r="I210" s="56" t="str">
        <f>OBRA!U209</f>
        <v>N/A</v>
      </c>
      <c r="J210" s="57" t="str">
        <f>OBRA!V209</f>
        <v>-</v>
      </c>
      <c r="K210" s="35" t="str">
        <f>OBRA!L209</f>
        <v xml:space="preserve">PROYECTOS DESARROLLO REGIONAL </v>
      </c>
      <c r="L210" s="2" t="str">
        <f>OBRA!M209</f>
        <v>CONVENIO</v>
      </c>
      <c r="M210" s="3" t="str">
        <f>OBRA!N209</f>
        <v>-</v>
      </c>
      <c r="N210" s="3"/>
      <c r="O210" s="6">
        <f>OBRA!Q209</f>
        <v>42863</v>
      </c>
      <c r="P210" s="4">
        <f>OBRA!P209</f>
        <v>2910056.73</v>
      </c>
      <c r="Q210" s="4"/>
      <c r="R210" s="5" t="str">
        <f>OBRA!R209</f>
        <v>-</v>
      </c>
      <c r="S210" s="12" t="str">
        <f>OBRA!S209</f>
        <v>-</v>
      </c>
      <c r="T210" s="55"/>
      <c r="U210" s="415" t="s">
        <v>1431</v>
      </c>
      <c r="V210" s="396"/>
      <c r="W210" s="399"/>
      <c r="X210" s="493">
        <f>OBRA!AP209</f>
        <v>0</v>
      </c>
      <c r="Y210" s="341"/>
      <c r="Z210" s="341"/>
      <c r="AA210" s="5"/>
      <c r="AB210" s="351">
        <f>OBRA!BT209</f>
        <v>0</v>
      </c>
      <c r="AC210" s="569"/>
      <c r="AE210"/>
      <c r="AF210"/>
      <c r="AG210"/>
      <c r="AH210"/>
      <c r="AI210"/>
      <c r="AJ210"/>
      <c r="AK210"/>
      <c r="AL210"/>
    </row>
    <row r="211" spans="1:38" ht="30" hidden="1" customHeight="1">
      <c r="A211" s="23" t="s">
        <v>2239</v>
      </c>
      <c r="B211" s="933" t="str">
        <f>GRAL!B212</f>
        <v>2015-2018</v>
      </c>
      <c r="C211" s="17">
        <f>OBRA!I210</f>
        <v>2017</v>
      </c>
      <c r="D211" s="19" t="str">
        <f>OBRA!K210</f>
        <v xml:space="preserve">PROYECTOS DESARROLLO REGIONAL </v>
      </c>
      <c r="E211" s="525"/>
      <c r="F211" s="396" t="s">
        <v>68</v>
      </c>
      <c r="G211" s="474" t="s">
        <v>68</v>
      </c>
      <c r="H211" s="396" t="s">
        <v>68</v>
      </c>
      <c r="I211" s="56" t="str">
        <f>OBRA!U210</f>
        <v>N/A</v>
      </c>
      <c r="J211" s="57" t="str">
        <f>OBRA!V210</f>
        <v>-</v>
      </c>
      <c r="K211" s="35"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2" t="str">
        <f>OBRA!S210</f>
        <v>-</v>
      </c>
      <c r="T211" s="55"/>
      <c r="U211" s="415" t="s">
        <v>1431</v>
      </c>
      <c r="V211" s="396"/>
      <c r="W211" s="399"/>
      <c r="X211" s="493">
        <f>OBRA!AP210</f>
        <v>0</v>
      </c>
      <c r="Y211" s="341"/>
      <c r="Z211" s="341"/>
      <c r="AA211" s="5"/>
      <c r="AB211" s="351">
        <f>OBRA!BT210</f>
        <v>0</v>
      </c>
      <c r="AC211" s="569"/>
      <c r="AE211"/>
      <c r="AF211"/>
      <c r="AG211"/>
      <c r="AH211"/>
      <c r="AI211"/>
      <c r="AJ211"/>
      <c r="AK211"/>
      <c r="AL211"/>
    </row>
    <row r="212" spans="1:38" ht="30" hidden="1" customHeight="1">
      <c r="A212" s="23" t="s">
        <v>2239</v>
      </c>
      <c r="B212" s="933" t="str">
        <f>GRAL!B213</f>
        <v>2015-2018</v>
      </c>
      <c r="C212" s="17">
        <f>OBRA!I211</f>
        <v>2017</v>
      </c>
      <c r="D212" s="18" t="str">
        <f>OBRA!K211</f>
        <v>CUENTA CORRIENTE</v>
      </c>
      <c r="E212" s="14" t="s">
        <v>1431</v>
      </c>
      <c r="F212" s="396"/>
      <c r="G212" s="474"/>
      <c r="H212" s="396"/>
      <c r="I212" s="56" t="str">
        <f>OBRA!U211</f>
        <v>N/A</v>
      </c>
      <c r="J212" s="57" t="str">
        <f>OBRA!V211</f>
        <v>ARQ. JAIME CONDE GOMEZ</v>
      </c>
      <c r="K212" s="35"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2">
        <f>OBRA!S211</f>
        <v>42746</v>
      </c>
      <c r="T212" s="55"/>
      <c r="U212" s="415" t="s">
        <v>1431</v>
      </c>
      <c r="V212" s="396"/>
      <c r="W212" s="399"/>
      <c r="X212" s="493">
        <f>OBRA!AP211</f>
        <v>0</v>
      </c>
      <c r="Y212" s="341"/>
      <c r="Z212" s="341"/>
      <c r="AA212" s="5"/>
      <c r="AB212" s="351">
        <f>OBRA!BT211</f>
        <v>0</v>
      </c>
      <c r="AC212" s="569"/>
      <c r="AE212"/>
      <c r="AF212"/>
      <c r="AG212"/>
      <c r="AH212"/>
      <c r="AI212"/>
      <c r="AJ212"/>
      <c r="AK212"/>
      <c r="AL212"/>
    </row>
    <row r="213" spans="1:38" ht="30" hidden="1" customHeight="1">
      <c r="A213" s="23" t="s">
        <v>2239</v>
      </c>
      <c r="B213" s="933" t="str">
        <f>GRAL!B214</f>
        <v>2015-2018</v>
      </c>
      <c r="C213" s="17">
        <f>OBRA!I212</f>
        <v>2017</v>
      </c>
      <c r="D213" s="18" t="str">
        <f>OBRA!K212</f>
        <v>CUENTA CORRIENTE</v>
      </c>
      <c r="E213" s="525" t="s">
        <v>1431</v>
      </c>
      <c r="F213" s="396"/>
      <c r="G213" s="474"/>
      <c r="H213" s="396"/>
      <c r="I213" s="56" t="str">
        <f>OBRA!U212</f>
        <v>N/A</v>
      </c>
      <c r="J213" s="57" t="str">
        <f>OBRA!V212</f>
        <v>ARQ. JAIME CONDE GOMEZ</v>
      </c>
      <c r="K213" s="35"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2">
        <f>OBRA!S212</f>
        <v>43046</v>
      </c>
      <c r="T213" s="55"/>
      <c r="U213" s="415" t="s">
        <v>1431</v>
      </c>
      <c r="V213" s="396"/>
      <c r="W213" s="399"/>
      <c r="X213" s="493">
        <f>OBRA!AP212</f>
        <v>0</v>
      </c>
      <c r="Y213" s="341"/>
      <c r="Z213" s="341"/>
      <c r="AA213" s="5"/>
      <c r="AB213" s="351">
        <f>OBRA!BT212</f>
        <v>0</v>
      </c>
      <c r="AC213" s="569"/>
      <c r="AE213"/>
      <c r="AF213"/>
      <c r="AG213"/>
      <c r="AH213"/>
      <c r="AI213"/>
      <c r="AJ213"/>
      <c r="AK213"/>
      <c r="AL213"/>
    </row>
    <row r="214" spans="1:38" ht="30" hidden="1" customHeight="1">
      <c r="A214" s="23" t="s">
        <v>2239</v>
      </c>
      <c r="B214" s="933" t="str">
        <f>GRAL!B215</f>
        <v>2015-2018</v>
      </c>
      <c r="C214" s="17">
        <f>OBRA!I213</f>
        <v>2017</v>
      </c>
      <c r="D214" s="18" t="str">
        <f>OBRA!K213</f>
        <v>CUENTA CORRIENTE</v>
      </c>
      <c r="E214" s="525" t="s">
        <v>1431</v>
      </c>
      <c r="F214" s="396"/>
      <c r="G214" s="474"/>
      <c r="H214" s="396"/>
      <c r="I214" s="56" t="str">
        <f>OBRA!U213</f>
        <v>N/A</v>
      </c>
      <c r="J214" s="57" t="str">
        <f>OBRA!V213</f>
        <v>ING. RIGOBERTO OLMEDO RAMOS</v>
      </c>
      <c r="K214" s="35"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2">
        <f>OBRA!S213</f>
        <v>42959</v>
      </c>
      <c r="T214" s="55"/>
      <c r="U214" s="415" t="s">
        <v>1431</v>
      </c>
      <c r="V214" s="396"/>
      <c r="W214" s="399"/>
      <c r="X214" s="493">
        <f>OBRA!AP213</f>
        <v>0</v>
      </c>
      <c r="Y214" s="341"/>
      <c r="Z214" s="341"/>
      <c r="AA214" s="5"/>
      <c r="AB214" s="351">
        <f>OBRA!BT213</f>
        <v>0</v>
      </c>
      <c r="AC214" s="569"/>
      <c r="AE214"/>
      <c r="AF214"/>
      <c r="AG214"/>
      <c r="AH214"/>
      <c r="AI214"/>
      <c r="AJ214"/>
      <c r="AK214"/>
      <c r="AL214"/>
    </row>
    <row r="215" spans="1:38" ht="30" hidden="1" customHeight="1">
      <c r="A215" s="23" t="s">
        <v>2239</v>
      </c>
      <c r="B215" s="933" t="str">
        <f>GRAL!B216</f>
        <v>2015-2018</v>
      </c>
      <c r="C215" s="17">
        <f>OBRA!I214</f>
        <v>2017</v>
      </c>
      <c r="D215" s="18" t="str">
        <f>OBRA!K214</f>
        <v>CUENTA CORRIENTE</v>
      </c>
      <c r="E215" s="525"/>
      <c r="F215" s="396"/>
      <c r="G215" s="474"/>
      <c r="H215" s="396"/>
      <c r="I215" s="56" t="str">
        <f>OBRA!U214</f>
        <v>N/A</v>
      </c>
      <c r="J215" s="57" t="str">
        <f>OBRA!V214</f>
        <v>ING. RIGOBERTO OLMEDO RAMOS</v>
      </c>
      <c r="K215" s="35"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2">
        <f>OBRA!S214</f>
        <v>42959</v>
      </c>
      <c r="T215" s="55"/>
      <c r="U215" s="415" t="s">
        <v>1431</v>
      </c>
      <c r="V215" s="396"/>
      <c r="W215" s="399"/>
      <c r="X215" s="493">
        <f>OBRA!AP214</f>
        <v>0</v>
      </c>
      <c r="Y215" s="341"/>
      <c r="Z215" s="341"/>
      <c r="AA215" s="5"/>
      <c r="AB215" s="351">
        <f>OBRA!BT214</f>
        <v>0</v>
      </c>
      <c r="AC215" s="569"/>
      <c r="AE215"/>
      <c r="AF215"/>
      <c r="AG215"/>
      <c r="AH215"/>
      <c r="AI215"/>
      <c r="AJ215"/>
      <c r="AK215"/>
      <c r="AL215"/>
    </row>
    <row r="216" spans="1:38" ht="30" hidden="1" customHeight="1">
      <c r="A216" s="23" t="s">
        <v>2239</v>
      </c>
      <c r="B216" s="933" t="str">
        <f>GRAL!B217</f>
        <v>2015-2018</v>
      </c>
      <c r="C216" s="17">
        <f>OBRA!I215</f>
        <v>2017</v>
      </c>
      <c r="D216" s="18" t="str">
        <f>OBRA!K215</f>
        <v>CUENTA CORRIENTE</v>
      </c>
      <c r="E216" s="525"/>
      <c r="F216" s="396"/>
      <c r="G216" s="474"/>
      <c r="H216" s="396"/>
      <c r="I216" s="56" t="str">
        <f>OBRA!U215</f>
        <v>N/A</v>
      </c>
      <c r="J216" s="57" t="str">
        <f>OBRA!V215</f>
        <v>ING. J. GUADALUPE IBARRA RAMIREZ</v>
      </c>
      <c r="K216" s="35"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2">
        <f>OBRA!S215</f>
        <v>43008</v>
      </c>
      <c r="T216" s="55"/>
      <c r="U216" s="415" t="s">
        <v>1431</v>
      </c>
      <c r="V216" s="396"/>
      <c r="W216" s="399"/>
      <c r="X216" s="493">
        <f>OBRA!AP215</f>
        <v>0</v>
      </c>
      <c r="Y216" s="341"/>
      <c r="Z216" s="341"/>
      <c r="AA216" s="5"/>
      <c r="AB216" s="351">
        <f>OBRA!BT215</f>
        <v>0</v>
      </c>
      <c r="AC216" s="569"/>
      <c r="AE216"/>
      <c r="AF216"/>
      <c r="AG216"/>
      <c r="AH216"/>
      <c r="AI216"/>
      <c r="AJ216"/>
      <c r="AK216"/>
      <c r="AL216"/>
    </row>
    <row r="217" spans="1:38" s="110" customFormat="1" ht="30" hidden="1" customHeight="1">
      <c r="A217" s="87" t="s">
        <v>2239</v>
      </c>
      <c r="B217" s="946" t="str">
        <f>GRAL!B218</f>
        <v>2012-2015</v>
      </c>
      <c r="C217" s="88">
        <f>OBRA!I216</f>
        <v>2017</v>
      </c>
      <c r="D217" s="103">
        <f>OBRA!K216</f>
        <v>0</v>
      </c>
      <c r="E217" s="526"/>
      <c r="F217" s="950"/>
      <c r="G217" s="949"/>
      <c r="H217" s="950"/>
      <c r="I217" s="159" t="str">
        <f>OBRA!U216</f>
        <v>-</v>
      </c>
      <c r="J217" s="160">
        <f>OBRA!V216</f>
        <v>0</v>
      </c>
      <c r="K217" s="340" t="str">
        <f>OBRA!L216</f>
        <v>DOP/AD/006/2017</v>
      </c>
      <c r="L217" s="203" t="str">
        <f>OBRA!M216</f>
        <v>CANCELADA</v>
      </c>
      <c r="M217" s="112">
        <f>OBRA!N216</f>
        <v>0</v>
      </c>
      <c r="N217" s="132"/>
      <c r="O217" s="93">
        <f>OBRA!Q216</f>
        <v>0</v>
      </c>
      <c r="P217" s="92">
        <f>OBRA!P216</f>
        <v>0</v>
      </c>
      <c r="Q217" s="92"/>
      <c r="R217" s="94">
        <f>OBRA!R216</f>
        <v>0</v>
      </c>
      <c r="S217" s="95">
        <f>OBRA!S216</f>
        <v>0</v>
      </c>
      <c r="T217" s="97"/>
      <c r="U217" s="785" t="s">
        <v>1431</v>
      </c>
      <c r="V217" s="950"/>
      <c r="W217" s="951"/>
      <c r="X217" s="952">
        <f>OBRA!AP216</f>
        <v>0</v>
      </c>
      <c r="Y217" s="343"/>
      <c r="Z217" s="343"/>
      <c r="AA217" s="94"/>
      <c r="AB217" s="511">
        <f>OBRA!BT216</f>
        <v>0</v>
      </c>
      <c r="AC217" s="570"/>
    </row>
    <row r="218" spans="1:38" ht="30" hidden="1" customHeight="1">
      <c r="A218" s="23" t="s">
        <v>2239</v>
      </c>
      <c r="B218" s="933" t="str">
        <f>GRAL!B219</f>
        <v>2015-2018</v>
      </c>
      <c r="C218" s="17">
        <f>OBRA!I217</f>
        <v>2017</v>
      </c>
      <c r="D218" s="18" t="str">
        <f>OBRA!K217</f>
        <v>CUENTA CORRIENTE</v>
      </c>
      <c r="E218" s="525"/>
      <c r="F218" s="396"/>
      <c r="G218" s="474"/>
      <c r="H218" s="396"/>
      <c r="I218" s="56" t="str">
        <f>OBRA!U217</f>
        <v>N/A</v>
      </c>
      <c r="J218" s="57" t="str">
        <f>OBRA!V217</f>
        <v>ING. JUAN MANUEL GARCIA ESCOTO</v>
      </c>
      <c r="K218" s="35"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2">
        <f>OBRA!S217</f>
        <v>43084</v>
      </c>
      <c r="T218" s="55"/>
      <c r="U218" s="415" t="s">
        <v>1431</v>
      </c>
      <c r="V218" s="396"/>
      <c r="W218" s="399"/>
      <c r="X218" s="493">
        <f>OBRA!AP217</f>
        <v>0</v>
      </c>
      <c r="Y218" s="341"/>
      <c r="Z218" s="341"/>
      <c r="AA218" s="5"/>
      <c r="AB218" s="351">
        <f>OBRA!BT217</f>
        <v>0</v>
      </c>
      <c r="AC218" s="569"/>
      <c r="AE218"/>
      <c r="AF218"/>
      <c r="AG218"/>
      <c r="AH218"/>
      <c r="AI218"/>
      <c r="AJ218"/>
      <c r="AK218"/>
      <c r="AL218"/>
    </row>
    <row r="219" spans="1:38" ht="30" hidden="1" customHeight="1">
      <c r="A219" s="23" t="s">
        <v>2239</v>
      </c>
      <c r="B219" s="933" t="str">
        <f>GRAL!B220</f>
        <v>2015-2018</v>
      </c>
      <c r="C219" s="17">
        <f>OBRA!I218</f>
        <v>2017</v>
      </c>
      <c r="D219" s="18" t="str">
        <f>OBRA!K218</f>
        <v>RAMO 33</v>
      </c>
      <c r="E219" s="525"/>
      <c r="F219" s="396"/>
      <c r="G219" s="474"/>
      <c r="H219" s="396"/>
      <c r="I219" s="56" t="str">
        <f>OBRA!U218</f>
        <v>N/A</v>
      </c>
      <c r="J219" s="57" t="str">
        <f>OBRA!V218</f>
        <v>ING. ANGEL ALBERTO HERNANDEZ MORA</v>
      </c>
      <c r="K219" s="35"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2">
        <f>OBRA!S218</f>
        <v>43066</v>
      </c>
      <c r="T219" s="55"/>
      <c r="U219" s="415" t="s">
        <v>1431</v>
      </c>
      <c r="V219" s="396"/>
      <c r="W219" s="399"/>
      <c r="X219" s="493">
        <f>OBRA!AP218</f>
        <v>0</v>
      </c>
      <c r="Y219" s="341"/>
      <c r="Z219" s="341"/>
      <c r="AA219" s="5"/>
      <c r="AB219" s="351">
        <f>OBRA!BT218</f>
        <v>0</v>
      </c>
      <c r="AC219" s="569"/>
      <c r="AE219"/>
      <c r="AF219"/>
      <c r="AG219"/>
      <c r="AH219"/>
      <c r="AI219"/>
      <c r="AJ219"/>
      <c r="AK219"/>
      <c r="AL219"/>
    </row>
    <row r="220" spans="1:38" ht="30" hidden="1" customHeight="1">
      <c r="A220" s="23" t="s">
        <v>2239</v>
      </c>
      <c r="B220" s="933" t="str">
        <f>GRAL!B221</f>
        <v>2015-2018</v>
      </c>
      <c r="C220" s="17">
        <f>OBRA!I219</f>
        <v>2017</v>
      </c>
      <c r="D220" s="18" t="str">
        <f>OBRA!K219</f>
        <v>RAMO 33</v>
      </c>
      <c r="E220" s="525"/>
      <c r="F220" s="396"/>
      <c r="G220" s="474"/>
      <c r="H220" s="396"/>
      <c r="I220" s="56" t="str">
        <f>OBRA!U219</f>
        <v>N/A</v>
      </c>
      <c r="J220" s="57" t="str">
        <f>OBRA!V219</f>
        <v>ING. ANGEL ALBERTO HERNANDEZ MORA</v>
      </c>
      <c r="K220" s="35"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2">
        <f>OBRA!S219</f>
        <v>43099</v>
      </c>
      <c r="T220" s="55"/>
      <c r="U220" s="415" t="s">
        <v>1431</v>
      </c>
      <c r="V220" s="396"/>
      <c r="W220" s="399"/>
      <c r="X220" s="493">
        <f>OBRA!AP219</f>
        <v>0</v>
      </c>
      <c r="Y220" s="341"/>
      <c r="Z220" s="341"/>
      <c r="AA220" s="5"/>
      <c r="AB220" s="351">
        <f>OBRA!BT219</f>
        <v>0</v>
      </c>
      <c r="AC220" s="569"/>
      <c r="AE220"/>
      <c r="AF220"/>
      <c r="AG220"/>
      <c r="AH220"/>
      <c r="AI220"/>
      <c r="AJ220"/>
      <c r="AK220"/>
      <c r="AL220"/>
    </row>
    <row r="221" spans="1:38" ht="30" hidden="1" customHeight="1">
      <c r="A221" s="23" t="s">
        <v>2239</v>
      </c>
      <c r="B221" s="933" t="str">
        <f>GRAL!B222</f>
        <v>2015-2018</v>
      </c>
      <c r="C221" s="17">
        <f>OBRA!I220</f>
        <v>2017</v>
      </c>
      <c r="D221" s="18" t="str">
        <f>OBRA!K220</f>
        <v>RAMO 33</v>
      </c>
      <c r="E221" s="525"/>
      <c r="F221" s="396"/>
      <c r="G221" s="474"/>
      <c r="H221" s="396"/>
      <c r="I221" s="56" t="str">
        <f>OBRA!U220</f>
        <v>N/A</v>
      </c>
      <c r="J221" s="57" t="str">
        <f>OBRA!V220</f>
        <v>ING. ANGEL ALBERTO HERNANDEZ MORA</v>
      </c>
      <c r="K221" s="35"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2">
        <f>OBRA!S220</f>
        <v>43099</v>
      </c>
      <c r="T221" s="55"/>
      <c r="U221" s="415" t="s">
        <v>1431</v>
      </c>
      <c r="V221" s="396"/>
      <c r="W221" s="399"/>
      <c r="X221" s="493">
        <f>OBRA!AP220</f>
        <v>0</v>
      </c>
      <c r="Y221" s="341"/>
      <c r="Z221" s="341"/>
      <c r="AA221" s="5"/>
      <c r="AB221" s="351">
        <f>OBRA!BT220</f>
        <v>0</v>
      </c>
      <c r="AC221" s="569"/>
      <c r="AE221"/>
      <c r="AF221"/>
      <c r="AG221"/>
      <c r="AH221"/>
      <c r="AI221"/>
      <c r="AJ221"/>
      <c r="AK221"/>
      <c r="AL221"/>
    </row>
    <row r="222" spans="1:38" ht="30" hidden="1" customHeight="1">
      <c r="A222" s="23" t="s">
        <v>2239</v>
      </c>
      <c r="B222" s="933" t="str">
        <f>GRAL!B223</f>
        <v>2015-2018</v>
      </c>
      <c r="C222" s="17">
        <f>OBRA!I221</f>
        <v>2017</v>
      </c>
      <c r="D222" s="18" t="str">
        <f>OBRA!K221</f>
        <v>CUENTA CORRIENTE</v>
      </c>
      <c r="E222" s="525"/>
      <c r="F222" s="396"/>
      <c r="G222" s="474"/>
      <c r="H222" s="396"/>
      <c r="I222" s="56" t="str">
        <f>OBRA!U221</f>
        <v>N/A</v>
      </c>
      <c r="J222" s="57" t="str">
        <f>OBRA!V221</f>
        <v>ARQ. JAIME CONDE GOMEZ</v>
      </c>
      <c r="K222" s="35"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2">
        <f>OBRA!S221</f>
        <v>43099</v>
      </c>
      <c r="T222" s="55"/>
      <c r="U222" s="415" t="s">
        <v>1431</v>
      </c>
      <c r="V222" s="396"/>
      <c r="W222" s="399"/>
      <c r="X222" s="493">
        <f>OBRA!AP221</f>
        <v>0</v>
      </c>
      <c r="Y222" s="341"/>
      <c r="Z222" s="341"/>
      <c r="AA222" s="5"/>
      <c r="AB222" s="351">
        <f>OBRA!BT221</f>
        <v>0</v>
      </c>
      <c r="AC222" s="569"/>
      <c r="AE222"/>
      <c r="AF222"/>
      <c r="AG222"/>
      <c r="AH222"/>
      <c r="AI222"/>
      <c r="AJ222"/>
      <c r="AK222"/>
      <c r="AL222"/>
    </row>
    <row r="223" spans="1:38" s="110" customFormat="1" ht="30" hidden="1" customHeight="1">
      <c r="A223" s="87" t="s">
        <v>2239</v>
      </c>
      <c r="B223" s="946" t="str">
        <f>GRAL!B224</f>
        <v>2012-2015</v>
      </c>
      <c r="C223" s="88">
        <f>OBRA!I222</f>
        <v>2017</v>
      </c>
      <c r="D223" s="103" t="str">
        <f>OBRA!K222</f>
        <v>RAMO 33</v>
      </c>
      <c r="E223" s="526"/>
      <c r="F223" s="950"/>
      <c r="G223" s="949"/>
      <c r="H223" s="950"/>
      <c r="I223" s="159" t="str">
        <f>OBRA!U222</f>
        <v>-</v>
      </c>
      <c r="J223" s="160">
        <f>OBRA!V222</f>
        <v>0</v>
      </c>
      <c r="K223" s="340" t="str">
        <f>OBRA!L222</f>
        <v>DOP/AD/012/2017</v>
      </c>
      <c r="L223" s="203" t="str">
        <f>OBRA!M222</f>
        <v>CANCELADA</v>
      </c>
      <c r="M223" s="112" t="str">
        <f>OBRA!N222</f>
        <v>REHABILITACION DE LINEA DE AGUA POTABLE EN CALLE INDEPENDENCIA ENTRE CARRETERA Y CERRADA, EN LA LOCALIDAD DE SAN JUAN COSALA, DEL MUNICIPIO DE JOCOTEPEC, JALISCO</v>
      </c>
      <c r="N223" s="132"/>
      <c r="O223" s="93">
        <f>OBRA!Q222</f>
        <v>0</v>
      </c>
      <c r="P223" s="92">
        <f>OBRA!P222</f>
        <v>46522.58</v>
      </c>
      <c r="Q223" s="92"/>
      <c r="R223" s="94">
        <f>OBRA!R222</f>
        <v>42979</v>
      </c>
      <c r="S223" s="95">
        <f>OBRA!S222</f>
        <v>42734</v>
      </c>
      <c r="T223" s="97"/>
      <c r="U223" s="785" t="s">
        <v>1431</v>
      </c>
      <c r="V223" s="950"/>
      <c r="W223" s="951"/>
      <c r="X223" s="952">
        <f>OBRA!AP222</f>
        <v>0</v>
      </c>
      <c r="Y223" s="343"/>
      <c r="Z223" s="343"/>
      <c r="AA223" s="94"/>
      <c r="AB223" s="511">
        <f>OBRA!BT222</f>
        <v>0</v>
      </c>
      <c r="AC223" s="570"/>
    </row>
    <row r="224" spans="1:38" s="110" customFormat="1" ht="30" hidden="1" customHeight="1">
      <c r="A224" s="87" t="s">
        <v>2239</v>
      </c>
      <c r="B224" s="946" t="str">
        <f>GRAL!B225</f>
        <v>2012-2015</v>
      </c>
      <c r="C224" s="88">
        <f>OBRA!I223</f>
        <v>2017</v>
      </c>
      <c r="D224" s="103" t="str">
        <f>OBRA!K223</f>
        <v>RAMO 33</v>
      </c>
      <c r="E224" s="526"/>
      <c r="F224" s="950"/>
      <c r="G224" s="949"/>
      <c r="H224" s="950"/>
      <c r="I224" s="159" t="str">
        <f>OBRA!U223</f>
        <v>-</v>
      </c>
      <c r="J224" s="160">
        <f>OBRA!V223</f>
        <v>0</v>
      </c>
      <c r="K224" s="340" t="str">
        <f>OBRA!L223</f>
        <v>DOP/AD/013/2017</v>
      </c>
      <c r="L224" s="203" t="str">
        <f>OBRA!M223</f>
        <v>CANCELADA</v>
      </c>
      <c r="M224" s="112" t="str">
        <f>OBRA!N223</f>
        <v>FABRICACION DE EMPEDRADO AHOGADO EN CEMENTO EN CALLE INDEPENDENCIA, EN LA LOCALIDAD DE SAN JUAN COSALA, DEL MUNICIPIO DE JOCOTEPEC, JALISCO</v>
      </c>
      <c r="N224" s="132"/>
      <c r="O224" s="93">
        <f>OBRA!Q223</f>
        <v>0</v>
      </c>
      <c r="P224" s="92">
        <f>OBRA!P223</f>
        <v>107544.91</v>
      </c>
      <c r="Q224" s="92"/>
      <c r="R224" s="94">
        <f>OBRA!R223</f>
        <v>43070</v>
      </c>
      <c r="S224" s="95">
        <f>OBRA!S223</f>
        <v>43099</v>
      </c>
      <c r="T224" s="97"/>
      <c r="U224" s="785" t="s">
        <v>1431</v>
      </c>
      <c r="V224" s="950"/>
      <c r="W224" s="951"/>
      <c r="X224" s="952">
        <f>OBRA!AP223</f>
        <v>0</v>
      </c>
      <c r="Y224" s="343"/>
      <c r="Z224" s="343"/>
      <c r="AA224" s="94"/>
      <c r="AB224" s="511">
        <f>OBRA!BT223</f>
        <v>0</v>
      </c>
      <c r="AC224" s="570"/>
    </row>
    <row r="225" spans="1:38" ht="30" hidden="1" customHeight="1">
      <c r="A225" s="23" t="s">
        <v>2239</v>
      </c>
      <c r="B225" s="933" t="str">
        <f>GRAL!B226</f>
        <v>2015-2018</v>
      </c>
      <c r="C225" s="17">
        <f>OBRA!I224</f>
        <v>2017</v>
      </c>
      <c r="D225" s="18" t="str">
        <f>OBRA!K224</f>
        <v>CUENTA CORRIENTE</v>
      </c>
      <c r="E225" s="525"/>
      <c r="F225" s="396"/>
      <c r="G225" s="474"/>
      <c r="H225" s="396"/>
      <c r="I225" s="56" t="str">
        <f>OBRA!U224</f>
        <v>N/A</v>
      </c>
      <c r="J225" s="57" t="str">
        <f>OBRA!V224</f>
        <v>ING. JUAN MANUEL GARCIA ESCOTO</v>
      </c>
      <c r="K225" s="35"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2">
        <f>OBRA!S224</f>
        <v>43099</v>
      </c>
      <c r="T225" s="55"/>
      <c r="U225" s="415" t="s">
        <v>1431</v>
      </c>
      <c r="V225" s="396"/>
      <c r="W225" s="399"/>
      <c r="X225" s="493">
        <f>OBRA!AP224</f>
        <v>0</v>
      </c>
      <c r="Y225" s="341"/>
      <c r="Z225" s="341"/>
      <c r="AA225" s="5"/>
      <c r="AB225" s="351">
        <f>OBRA!BT224</f>
        <v>0</v>
      </c>
      <c r="AC225" s="569"/>
      <c r="AE225"/>
      <c r="AF225"/>
      <c r="AG225"/>
      <c r="AH225"/>
      <c r="AI225"/>
      <c r="AJ225"/>
      <c r="AK225"/>
      <c r="AL225"/>
    </row>
    <row r="226" spans="1:38" s="110" customFormat="1" ht="30" hidden="1" customHeight="1">
      <c r="A226" s="87" t="s">
        <v>2239</v>
      </c>
      <c r="B226" s="946" t="str">
        <f>GRAL!B227</f>
        <v>2012-2015</v>
      </c>
      <c r="C226" s="88">
        <f>OBRA!I225</f>
        <v>2017</v>
      </c>
      <c r="D226" s="103">
        <f>OBRA!K225</f>
        <v>0</v>
      </c>
      <c r="E226" s="526"/>
      <c r="F226" s="950"/>
      <c r="G226" s="949"/>
      <c r="H226" s="950"/>
      <c r="I226" s="159" t="str">
        <f>OBRA!U225</f>
        <v>-</v>
      </c>
      <c r="J226" s="160">
        <f>OBRA!V225</f>
        <v>0</v>
      </c>
      <c r="K226" s="340" t="str">
        <f>OBRA!L225</f>
        <v>DOP/AD/015/2017</v>
      </c>
      <c r="L226" s="203" t="str">
        <f>OBRA!M225</f>
        <v>CANCELADA</v>
      </c>
      <c r="M226" s="112">
        <f>OBRA!N225</f>
        <v>0</v>
      </c>
      <c r="N226" s="132"/>
      <c r="O226" s="93">
        <f>OBRA!Q225</f>
        <v>0</v>
      </c>
      <c r="P226" s="92">
        <f>OBRA!P225</f>
        <v>0</v>
      </c>
      <c r="Q226" s="92"/>
      <c r="R226" s="94">
        <f>OBRA!R225</f>
        <v>0</v>
      </c>
      <c r="S226" s="95">
        <f>OBRA!S225</f>
        <v>0</v>
      </c>
      <c r="T226" s="97"/>
      <c r="U226" s="785" t="s">
        <v>1431</v>
      </c>
      <c r="V226" s="950"/>
      <c r="W226" s="951"/>
      <c r="X226" s="952">
        <f>OBRA!AP225</f>
        <v>0</v>
      </c>
      <c r="Y226" s="343"/>
      <c r="Z226" s="343"/>
      <c r="AA226" s="94"/>
      <c r="AB226" s="511">
        <f>OBRA!BT225</f>
        <v>0</v>
      </c>
      <c r="AC226" s="570"/>
    </row>
    <row r="227" spans="1:38" ht="354" hidden="1" customHeight="1">
      <c r="A227" s="23" t="s">
        <v>2239</v>
      </c>
      <c r="B227" s="933" t="str">
        <f>GRAL!B228</f>
        <v>2015-2018</v>
      </c>
      <c r="C227" s="17">
        <f>OBRA!I226</f>
        <v>2017</v>
      </c>
      <c r="D227" s="471" t="str">
        <f>OBRA!K226</f>
        <v>CUENTA CORRIENTE</v>
      </c>
      <c r="E227" s="478" t="s">
        <v>1431</v>
      </c>
      <c r="F227" s="1129"/>
      <c r="G227" s="1012"/>
      <c r="H227" s="557"/>
      <c r="I227" s="339" t="str">
        <f>OBRA!U226</f>
        <v>ASFALTOS GUADALAJARA, S.A.P.I. DE C.V.</v>
      </c>
      <c r="J227" s="172" t="str">
        <f>OBRA!V226</f>
        <v>ING. ANGEL ALBERTO HERNANDEZ MORA</v>
      </c>
      <c r="K227" s="180" t="str">
        <f>OBRA!L226</f>
        <v>GMJ 001C OP/2017</v>
      </c>
      <c r="L227" s="202" t="str">
        <f>OBRA!M226</f>
        <v>ADJUDICACIÓN DIRECTA</v>
      </c>
      <c r="M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OBRA!Q226</f>
        <v>42737</v>
      </c>
      <c r="P227" s="85">
        <f>OBRA!P226</f>
        <v>1499890.33</v>
      </c>
      <c r="Q227" s="85"/>
      <c r="R227" s="255">
        <f>OBRA!R226</f>
        <v>42740</v>
      </c>
      <c r="S227" s="245">
        <f>OBRA!S226</f>
        <v>42746</v>
      </c>
      <c r="T227" s="758"/>
      <c r="U227" s="216" t="s">
        <v>1431</v>
      </c>
      <c r="V227" s="557"/>
      <c r="W227" s="1011"/>
      <c r="X227" s="579">
        <f>OBRA!AP226</f>
        <v>299978.06</v>
      </c>
      <c r="Y227" s="5"/>
      <c r="Z227" s="341"/>
      <c r="AA227" s="5"/>
      <c r="AB227" s="351">
        <f>OBRA!BT226</f>
        <v>0</v>
      </c>
      <c r="AC227" s="569" t="s">
        <v>551</v>
      </c>
      <c r="AE227" s="624"/>
      <c r="AF227" s="624"/>
      <c r="AG227" s="624"/>
      <c r="AH227" s="624"/>
      <c r="AI227" s="624"/>
      <c r="AJ227" s="624"/>
      <c r="AK227" s="624"/>
      <c r="AL227" s="624"/>
    </row>
    <row r="228" spans="1:38" ht="355.5" hidden="1" customHeight="1">
      <c r="A228" s="23" t="s">
        <v>2239</v>
      </c>
      <c r="B228" s="933" t="str">
        <f>GRAL!B229</f>
        <v>2015-2018</v>
      </c>
      <c r="C228" s="17">
        <f>OBRA!I227</f>
        <v>2017</v>
      </c>
      <c r="D228" s="1" t="str">
        <f>OBRA!K227</f>
        <v>CUENTA CORRIENTE</v>
      </c>
      <c r="E228" s="607" t="s">
        <v>1431</v>
      </c>
      <c r="F228" s="1129"/>
      <c r="G228" s="1012"/>
      <c r="H228" s="557"/>
      <c r="I228" s="339" t="str">
        <f>OBRA!U227</f>
        <v>ASFALTOS GUADALAJARA, S.A.P.I. DE C.V.</v>
      </c>
      <c r="J228" s="172" t="str">
        <f>OBRA!V227</f>
        <v>ING. ANGEL ALBERTO HERNANDEZ MORA</v>
      </c>
      <c r="K228" s="180" t="str">
        <f>OBRA!L227</f>
        <v>GMJ 002C OP/2017</v>
      </c>
      <c r="L228" s="202" t="str">
        <f>OBRA!M227</f>
        <v>ADJUDICACIÓN DIRECTA</v>
      </c>
      <c r="M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OBRA!Q227</f>
        <v>42747</v>
      </c>
      <c r="P228" s="85">
        <f>OBRA!P227</f>
        <v>1316020.1499999999</v>
      </c>
      <c r="Q228" s="85"/>
      <c r="R228" s="255">
        <f>OBRA!R227</f>
        <v>42747</v>
      </c>
      <c r="S228" s="245">
        <f>OBRA!S227</f>
        <v>42837</v>
      </c>
      <c r="T228" s="758"/>
      <c r="U228" s="216" t="s">
        <v>1431</v>
      </c>
      <c r="V228" s="557"/>
      <c r="W228" s="1011"/>
      <c r="X228" s="579">
        <f>OBRA!AP227</f>
        <v>263204.02</v>
      </c>
      <c r="Y228" s="5"/>
      <c r="Z228" s="341"/>
      <c r="AA228" s="5"/>
      <c r="AB228" s="351">
        <f>OBRA!BT227</f>
        <v>0</v>
      </c>
      <c r="AC228" s="569" t="s">
        <v>551</v>
      </c>
      <c r="AE228" s="624"/>
      <c r="AF228" s="624"/>
      <c r="AG228" s="624"/>
      <c r="AH228" s="624"/>
      <c r="AI228" s="624"/>
      <c r="AJ228" s="624"/>
      <c r="AK228" s="624"/>
      <c r="AL228" s="624"/>
    </row>
    <row r="229" spans="1:38" ht="126.75" hidden="1" customHeight="1">
      <c r="A229" s="23" t="s">
        <v>2239</v>
      </c>
      <c r="B229" s="933" t="str">
        <f>GRAL!B230</f>
        <v>2015-2018</v>
      </c>
      <c r="C229" s="17">
        <f>OBRA!I228</f>
        <v>2017</v>
      </c>
      <c r="D229" s="1" t="str">
        <f>OBRA!K228</f>
        <v>RAMO 33</v>
      </c>
      <c r="E229" s="18" t="s">
        <v>1431</v>
      </c>
      <c r="F229" s="557"/>
      <c r="G229" s="1012"/>
      <c r="H229" s="557"/>
      <c r="I229" s="56" t="str">
        <f>OBRA!U228</f>
        <v>ING. SERGIO CABRERA</v>
      </c>
      <c r="J229" s="57" t="str">
        <f>OBRA!V228</f>
        <v>ING. ANGEL ALBERTO HERNANDEZ MORA</v>
      </c>
      <c r="K229" s="35" t="str">
        <f>OBRA!L228</f>
        <v>GMJ 003C OP/2017</v>
      </c>
      <c r="L229" s="2" t="str">
        <f>OBRA!M228</f>
        <v>ADJUDICACIÓN DIRECTA</v>
      </c>
      <c r="M229" s="3" t="str">
        <f>OBRA!N228</f>
        <v>REHABILITACIÓN DE LÍNEA DE DRENAJE EN CALLES PROLONGACIÓN GONZALEZ ORTEGA, CABECERA MUNICIPAL DE JOCOTEPEC JALISCO</v>
      </c>
      <c r="N229" s="508"/>
      <c r="O229" s="6">
        <f>OBRA!Q228</f>
        <v>42857</v>
      </c>
      <c r="P229" s="4">
        <f>OBRA!P228</f>
        <v>626112.69999999995</v>
      </c>
      <c r="Q229" s="4"/>
      <c r="R229" s="5">
        <f>OBRA!R228</f>
        <v>42860</v>
      </c>
      <c r="S229" s="12">
        <f>OBRA!S228</f>
        <v>42880</v>
      </c>
      <c r="T229" s="55"/>
      <c r="U229" s="415" t="s">
        <v>1431</v>
      </c>
      <c r="V229" s="557"/>
      <c r="W229" s="1441"/>
      <c r="X229" s="306">
        <f>OBRA!AP228</f>
        <v>125222.54</v>
      </c>
      <c r="Y229" s="5">
        <v>125222.54</v>
      </c>
      <c r="Z229" s="341"/>
      <c r="AA229" s="5"/>
      <c r="AB229" s="351">
        <f>OBRA!BT228</f>
        <v>0</v>
      </c>
      <c r="AC229" s="569" t="s">
        <v>551</v>
      </c>
      <c r="AE229" s="624"/>
      <c r="AF229" s="624"/>
      <c r="AG229" s="624"/>
      <c r="AH229" s="624"/>
      <c r="AI229" s="624"/>
      <c r="AJ229" s="624"/>
      <c r="AK229" s="624"/>
      <c r="AL229" s="624"/>
    </row>
    <row r="230" spans="1:38" ht="153" hidden="1" customHeight="1">
      <c r="A230" s="23" t="s">
        <v>2239</v>
      </c>
      <c r="B230" s="933" t="str">
        <f>GRAL!B231</f>
        <v>2015-2018</v>
      </c>
      <c r="C230" s="17">
        <f>OBRA!I229</f>
        <v>2017</v>
      </c>
      <c r="D230" s="1" t="str">
        <f>OBRA!K229</f>
        <v>RAMO 33</v>
      </c>
      <c r="E230" s="18" t="s">
        <v>1431</v>
      </c>
      <c r="F230" s="557"/>
      <c r="G230" s="1012"/>
      <c r="H230" s="557"/>
      <c r="I230" s="56" t="str">
        <f>OBRA!U229</f>
        <v>ING. SERGIO CABRERA</v>
      </c>
      <c r="J230" s="57" t="str">
        <f>OBRA!V229</f>
        <v>ING. ANGEL ALBERTO HERNANDEZ MORA</v>
      </c>
      <c r="K230" s="35" t="str">
        <f>OBRA!L229</f>
        <v>GMJ 004C OP/2017</v>
      </c>
      <c r="L230" s="2" t="str">
        <f>OBRA!M229</f>
        <v>ADJUDICACIÓN DIRECTA</v>
      </c>
      <c r="M230" s="3" t="str">
        <f>OBRA!N229</f>
        <v>REHABILITACIÓN DE RED DE AGUA POTABLE EN CALLE PROLONGACIÓN GONZÁLEZ ORTEGA, CABECERA MUNICIPAL DE JOCOTEPEC JALISCO</v>
      </c>
      <c r="N230" s="508"/>
      <c r="O230" s="6">
        <f>OBRA!Q229</f>
        <v>42857</v>
      </c>
      <c r="P230" s="4">
        <f>OBRA!P229</f>
        <v>475018.98</v>
      </c>
      <c r="Q230" s="4"/>
      <c r="R230" s="5">
        <f>OBRA!R229</f>
        <v>42860</v>
      </c>
      <c r="S230" s="12">
        <f>OBRA!S229</f>
        <v>42885</v>
      </c>
      <c r="T230" s="55"/>
      <c r="U230" s="415" t="s">
        <v>1431</v>
      </c>
      <c r="V230" s="557"/>
      <c r="W230" s="1441"/>
      <c r="X230" s="601">
        <f>OBRA!AP229</f>
        <v>95003.78</v>
      </c>
      <c r="Y230" s="5"/>
      <c r="Z230" s="341"/>
      <c r="AA230" s="5"/>
      <c r="AB230" s="351">
        <f>OBRA!BT229</f>
        <v>0</v>
      </c>
      <c r="AC230" s="569" t="s">
        <v>551</v>
      </c>
      <c r="AE230" s="624"/>
      <c r="AF230" s="624"/>
      <c r="AG230" s="624"/>
      <c r="AH230" s="624"/>
      <c r="AI230" s="624"/>
      <c r="AJ230" s="624"/>
      <c r="AK230" s="624"/>
      <c r="AL230" s="624"/>
    </row>
    <row r="231" spans="1:38" ht="102" hidden="1" customHeight="1">
      <c r="A231" s="23" t="s">
        <v>2239</v>
      </c>
      <c r="B231" s="933" t="str">
        <f>GRAL!B232</f>
        <v>2015-2018</v>
      </c>
      <c r="C231" s="17">
        <f>OBRA!I230</f>
        <v>2017</v>
      </c>
      <c r="D231" s="471" t="str">
        <f>OBRA!K230</f>
        <v>RAMO 33</v>
      </c>
      <c r="E231" s="14" t="s">
        <v>1431</v>
      </c>
      <c r="F231" s="1437"/>
      <c r="G231" s="1438"/>
      <c r="H231" s="557"/>
      <c r="I231" s="339" t="str">
        <f>OBRA!U230</f>
        <v>ING. SERGIO CABRERA</v>
      </c>
      <c r="J231" s="172" t="str">
        <f>OBRA!V230</f>
        <v>ING. ANGEL ALBERTO HERNANDEZ MORA</v>
      </c>
      <c r="K231" s="180" t="str">
        <f>OBRA!L230</f>
        <v>GMJ 005C OP/2017</v>
      </c>
      <c r="L231" s="202" t="str">
        <f>OBRA!M230</f>
        <v>ADJUDICACIÓN DIRECTA</v>
      </c>
      <c r="M231" s="328" t="str">
        <f>OBRA!N230</f>
        <v>CONSTRUCCIÓN DE HUELLAS DE CONCRETO EN CALLE PROLONGACIÓN GONZALEZ ORTEGA, CABECERA MUNICIPAL DE JOCOTEPEC JALISCO</v>
      </c>
      <c r="N231" s="510"/>
      <c r="O231" s="69">
        <f>OBRA!Q230</f>
        <v>42857</v>
      </c>
      <c r="P231" s="85">
        <f>OBRA!P230</f>
        <v>383419.34</v>
      </c>
      <c r="Q231" s="85"/>
      <c r="R231" s="255">
        <f>OBRA!R230</f>
        <v>42861</v>
      </c>
      <c r="S231" s="245">
        <f>OBRA!S230</f>
        <v>42901</v>
      </c>
      <c r="T231" s="758"/>
      <c r="U231" s="216" t="s">
        <v>1431</v>
      </c>
      <c r="V231" s="654"/>
      <c r="W231" s="1438"/>
      <c r="X231" s="729">
        <f>OBRA!AP230</f>
        <v>76683.86</v>
      </c>
      <c r="Y231" s="5"/>
      <c r="Z231" s="341"/>
      <c r="AA231" s="5"/>
      <c r="AB231" s="351">
        <f>OBRA!BT230</f>
        <v>0</v>
      </c>
      <c r="AC231" s="569" t="s">
        <v>551</v>
      </c>
      <c r="AE231" s="1"/>
      <c r="AF231" s="1" t="s">
        <v>2282</v>
      </c>
      <c r="AG231" s="1"/>
      <c r="AH231" s="1" t="s">
        <v>2282</v>
      </c>
      <c r="AI231" s="1"/>
      <c r="AJ231" s="1" t="s">
        <v>2282</v>
      </c>
      <c r="AK231" s="1"/>
      <c r="AL231" s="1"/>
    </row>
    <row r="232" spans="1:38" ht="48" hidden="1" customHeight="1">
      <c r="A232" s="23" t="s">
        <v>2239</v>
      </c>
      <c r="B232" s="933" t="str">
        <f>GRAL!B233</f>
        <v>2015-2018</v>
      </c>
      <c r="C232" s="17">
        <f>OBRA!I231</f>
        <v>2017</v>
      </c>
      <c r="D232" s="18" t="str">
        <f>OBRA!K231</f>
        <v>RAMO 33</v>
      </c>
      <c r="E232" s="18" t="s">
        <v>1431</v>
      </c>
      <c r="F232" s="1437"/>
      <c r="G232" s="1438"/>
      <c r="H232" s="557"/>
      <c r="I232" s="56" t="str">
        <f>OBRA!U231</f>
        <v xml:space="preserve">GRUPO DESARROLLADOR INMOBILIARIO CEMERAMA S.A. DE C.V. </v>
      </c>
      <c r="J232" s="57" t="str">
        <f>OBRA!V231</f>
        <v>LIC. SALVADOR CONTRERAS OLGUÍN</v>
      </c>
      <c r="K232" s="35" t="str">
        <f>OBRA!L231</f>
        <v>GMJ 006C OP/2017</v>
      </c>
      <c r="L232" s="2" t="str">
        <f>OBRA!M231</f>
        <v>ADJUDICACIÓN DIRECTA</v>
      </c>
      <c r="M232" s="3" t="str">
        <f>OBRA!N231</f>
        <v>CONSTRUCCIÓN DE RED DE DRENAJE DE POZO A CALLE JUAREZ</v>
      </c>
      <c r="N232" s="508"/>
      <c r="O232" s="69">
        <f>OBRA!Q231</f>
        <v>42858</v>
      </c>
      <c r="P232" s="4">
        <f>OBRA!P231</f>
        <v>167666.94</v>
      </c>
      <c r="Q232" s="4"/>
      <c r="R232" s="5">
        <f>OBRA!R231</f>
        <v>42859</v>
      </c>
      <c r="S232" s="12">
        <f>OBRA!S231</f>
        <v>42875</v>
      </c>
      <c r="T232" s="55"/>
      <c r="U232" s="415" t="s">
        <v>1431</v>
      </c>
      <c r="V232" s="654"/>
      <c r="W232" s="1438"/>
      <c r="X232" s="729">
        <f>OBRA!AP231</f>
        <v>33533.379999999997</v>
      </c>
      <c r="Y232" s="5"/>
      <c r="Z232" s="341"/>
      <c r="AA232" s="5"/>
      <c r="AB232" s="351">
        <f>OBRA!BT231</f>
        <v>0</v>
      </c>
      <c r="AC232" s="569" t="s">
        <v>551</v>
      </c>
      <c r="AE232" s="1"/>
      <c r="AF232" s="1" t="s">
        <v>2282</v>
      </c>
      <c r="AG232" s="1" t="s">
        <v>2282</v>
      </c>
      <c r="AH232" s="1" t="s">
        <v>2282</v>
      </c>
      <c r="AI232" s="1"/>
      <c r="AJ232" s="1" t="s">
        <v>2282</v>
      </c>
      <c r="AK232" s="1" t="s">
        <v>2282</v>
      </c>
      <c r="AL232" s="1"/>
    </row>
    <row r="233" spans="1:38" ht="101.25" hidden="1" customHeight="1">
      <c r="A233" s="23" t="s">
        <v>2239</v>
      </c>
      <c r="B233" s="933" t="str">
        <f>GRAL!B234</f>
        <v>2015-2018</v>
      </c>
      <c r="C233" s="17">
        <f>OBRA!I232</f>
        <v>2017</v>
      </c>
      <c r="D233" s="18" t="str">
        <f>OBRA!K232</f>
        <v>RAMO 33</v>
      </c>
      <c r="E233" s="18" t="s">
        <v>1431</v>
      </c>
      <c r="F233" s="1437"/>
      <c r="G233" s="1438"/>
      <c r="H233" s="557"/>
      <c r="I233" s="56" t="str">
        <f>OBRA!U232</f>
        <v xml:space="preserve">GRUPO DESARROLLADOR INMOBILIARIO CEMERAMA S.A. DE C.V. </v>
      </c>
      <c r="J233" s="57" t="str">
        <f>OBRA!V232</f>
        <v>LIC. SALVADOR CONTRERAS OLGUÍN</v>
      </c>
      <c r="K233" s="35" t="str">
        <f>OBRA!L232</f>
        <v>GMJ 007C OP/2017</v>
      </c>
      <c r="L233" s="2" t="str">
        <f>OBRA!M232</f>
        <v>ADJUDICACIÓN DIRECTA</v>
      </c>
      <c r="M233" s="3" t="str">
        <f>OBRA!N232</f>
        <v>CONSTRUCCIÓN DE LÍNEA ALIMENTADORA DE AGUA POTABLE DEL POZO A LA RED MUNICIPAL DE LA CALLE MORELOS DELEGACION DEL CHANTE</v>
      </c>
      <c r="N233" s="508"/>
      <c r="O233" s="69">
        <f>OBRA!Q232</f>
        <v>42857</v>
      </c>
      <c r="P233" s="4">
        <f>OBRA!P232</f>
        <v>336153.85</v>
      </c>
      <c r="Q233" s="4"/>
      <c r="R233" s="5">
        <f>OBRA!R232</f>
        <v>42868</v>
      </c>
      <c r="S233" s="12">
        <f>OBRA!S232</f>
        <v>42899</v>
      </c>
      <c r="T233" s="55"/>
      <c r="U233" s="415" t="s">
        <v>1431</v>
      </c>
      <c r="V233" s="654"/>
      <c r="W233" s="1438"/>
      <c r="X233" s="729">
        <f>OBRA!AP232</f>
        <v>67230.759999999995</v>
      </c>
      <c r="Y233" s="5"/>
      <c r="Z233" s="341"/>
      <c r="AA233" s="5"/>
      <c r="AB233" s="351">
        <f>OBRA!BT232</f>
        <v>0</v>
      </c>
      <c r="AC233" s="569" t="s">
        <v>551</v>
      </c>
      <c r="AE233" s="1"/>
      <c r="AF233" s="1" t="s">
        <v>2282</v>
      </c>
      <c r="AG233" s="1" t="s">
        <v>2282</v>
      </c>
      <c r="AH233" s="1" t="s">
        <v>2282</v>
      </c>
      <c r="AI233" s="1"/>
      <c r="AJ233" s="1" t="s">
        <v>2282</v>
      </c>
      <c r="AK233" s="1" t="s">
        <v>2282</v>
      </c>
      <c r="AL233" s="1"/>
    </row>
    <row r="234" spans="1:38" ht="102" hidden="1" customHeight="1">
      <c r="A234" s="23" t="s">
        <v>2239</v>
      </c>
      <c r="B234" s="933" t="str">
        <f>GRAL!B235</f>
        <v>2015-2018</v>
      </c>
      <c r="C234" s="17">
        <f>OBRA!I233</f>
        <v>2017</v>
      </c>
      <c r="D234" s="18" t="str">
        <f>OBRA!K233</f>
        <v>RAMO 33</v>
      </c>
      <c r="E234" s="532" t="s">
        <v>1431</v>
      </c>
      <c r="F234" s="557"/>
      <c r="G234" s="1012"/>
      <c r="H234" s="557"/>
      <c r="I234" s="56" t="str">
        <f>OBRA!U233</f>
        <v>CONSTRUCCIONES VIKBRAK, S.A. DE C.V.</v>
      </c>
      <c r="J234" s="57" t="str">
        <f>OBRA!V233</f>
        <v>ARQ. JAIME CONDE GOMEZ</v>
      </c>
      <c r="K234" s="35" t="str">
        <f>OBRA!L233</f>
        <v>GMJ 008C OP/2017</v>
      </c>
      <c r="L234" s="2" t="str">
        <f>OBRA!M233</f>
        <v>ADJUDICACIÓN DIRECTA</v>
      </c>
      <c r="M234" s="3" t="str">
        <f>OBRA!N233</f>
        <v>REHABILITACIÓN DE RED DE DRENAJE EN CALLE NIÑOS HEROES DE INVIERNO A PROLONGACIÓN ALDAMA, EN LA CABECERA MUNICIPAL DE JOCOTEPEC JALISCO</v>
      </c>
      <c r="N234" s="508"/>
      <c r="O234" s="69">
        <f>OBRA!Q233</f>
        <v>42857</v>
      </c>
      <c r="P234" s="4">
        <f>OBRA!P233</f>
        <v>177076.07</v>
      </c>
      <c r="Q234" s="4"/>
      <c r="R234" s="5">
        <f>OBRA!R233</f>
        <v>42859</v>
      </c>
      <c r="S234" s="12">
        <f>OBRA!S233</f>
        <v>42890</v>
      </c>
      <c r="T234" s="55"/>
      <c r="U234" s="415" t="s">
        <v>1431</v>
      </c>
      <c r="V234" s="591"/>
      <c r="W234" s="479"/>
      <c r="X234" s="590">
        <f>OBRA!AP233</f>
        <v>0</v>
      </c>
      <c r="Y234" s="5"/>
      <c r="Z234" s="341"/>
      <c r="AA234" s="5"/>
      <c r="AB234" s="351">
        <f>OBRA!BT233</f>
        <v>0</v>
      </c>
      <c r="AC234" s="569" t="s">
        <v>1295</v>
      </c>
      <c r="AE234" s="1"/>
      <c r="AF234" s="1"/>
      <c r="AG234" s="1"/>
      <c r="AH234" s="1"/>
      <c r="AI234" s="1"/>
      <c r="AJ234" s="1" t="s">
        <v>2282</v>
      </c>
      <c r="AK234" s="1" t="s">
        <v>2282</v>
      </c>
      <c r="AL234" s="1"/>
    </row>
    <row r="235" spans="1:38" ht="96.75" hidden="1" customHeight="1">
      <c r="A235" s="23" t="s">
        <v>2239</v>
      </c>
      <c r="B235" s="933" t="str">
        <f>GRAL!B236</f>
        <v>2015-2018</v>
      </c>
      <c r="C235" s="17">
        <f>OBRA!I234</f>
        <v>2017</v>
      </c>
      <c r="D235" s="18" t="str">
        <f>OBRA!K234</f>
        <v>RAMO 33</v>
      </c>
      <c r="E235" s="18" t="s">
        <v>1431</v>
      </c>
      <c r="F235" s="557"/>
      <c r="G235" s="1012"/>
      <c r="H235" s="557"/>
      <c r="I235" s="56" t="str">
        <f>OBRA!U234</f>
        <v>CONSTRUCCIONES VIKBRAK, S.A. DE C.V.</v>
      </c>
      <c r="J235" s="57" t="str">
        <f>OBRA!V234</f>
        <v>ARQ. JAIME CONDE GOMEZ</v>
      </c>
      <c r="K235" s="35" t="str">
        <f>OBRA!L234</f>
        <v>GMJ 009C OP/2017</v>
      </c>
      <c r="L235" s="2" t="str">
        <f>OBRA!M234</f>
        <v>ADJUDICACIÓN DIRECTA</v>
      </c>
      <c r="M235" s="3" t="str">
        <f>OBRA!N234</f>
        <v>REHABILITACIÓN DE RED DE AGUA POTABLE EN CALLE NIÑOS HEROES, DE INVIERNO A PROLONGACIÓN ALDAMA, EN LA CABECERA MUNICIPAL DE JOCOTEPEC, JALISCO</v>
      </c>
      <c r="N235" s="508"/>
      <c r="O235" s="69">
        <f>OBRA!Q234</f>
        <v>42858</v>
      </c>
      <c r="P235" s="4">
        <f>OBRA!P234</f>
        <v>113674.93</v>
      </c>
      <c r="Q235" s="4"/>
      <c r="R235" s="5">
        <f>OBRA!R234</f>
        <v>42870</v>
      </c>
      <c r="S235" s="12">
        <f>OBRA!S234</f>
        <v>42886</v>
      </c>
      <c r="T235" s="55"/>
      <c r="U235" s="415" t="s">
        <v>1431</v>
      </c>
      <c r="V235" s="998"/>
      <c r="W235" s="999"/>
      <c r="X235" s="590">
        <f>OBRA!AP234</f>
        <v>0</v>
      </c>
      <c r="Y235" s="5"/>
      <c r="Z235" s="341"/>
      <c r="AA235" s="5"/>
      <c r="AB235" s="351">
        <f>OBRA!BT234</f>
        <v>0</v>
      </c>
      <c r="AC235" s="569" t="s">
        <v>1295</v>
      </c>
      <c r="AE235" s="1"/>
      <c r="AF235" s="1" t="s">
        <v>2282</v>
      </c>
      <c r="AG235" s="1" t="s">
        <v>2282</v>
      </c>
      <c r="AH235" s="1" t="s">
        <v>2282</v>
      </c>
      <c r="AI235" s="1"/>
      <c r="AJ235" s="1" t="s">
        <v>2282</v>
      </c>
      <c r="AK235" s="1" t="s">
        <v>2282</v>
      </c>
      <c r="AL235" s="1"/>
    </row>
    <row r="236" spans="1:38" ht="80.25" hidden="1" customHeight="1">
      <c r="A236" s="23" t="s">
        <v>2239</v>
      </c>
      <c r="B236" s="933" t="str">
        <f>GRAL!B237</f>
        <v>2015-2018</v>
      </c>
      <c r="C236" s="17">
        <f>OBRA!I235</f>
        <v>2017</v>
      </c>
      <c r="D236" s="18" t="str">
        <f>OBRA!K235</f>
        <v>RAMO 33</v>
      </c>
      <c r="E236" s="18" t="s">
        <v>1431</v>
      </c>
      <c r="F236" s="557"/>
      <c r="G236" s="560"/>
      <c r="H236" s="557"/>
      <c r="I236" s="56" t="str">
        <f>OBRA!U235</f>
        <v>CONSTRUCCIONES VIKBRAK, S.A. DE C.V.</v>
      </c>
      <c r="J236" s="57" t="str">
        <f>OBRA!V235</f>
        <v>ARQ. JAIME CONDE GOMEZ</v>
      </c>
      <c r="K236" s="35" t="str">
        <f>OBRA!L235</f>
        <v>GMJ 010C OP/2017</v>
      </c>
      <c r="L236" s="2" t="str">
        <f>OBRA!M235</f>
        <v>ADJUDICACIÓN DIRECTA</v>
      </c>
      <c r="M236" s="3" t="str">
        <f>OBRA!N235</f>
        <v>REHABILITACIÓN DE RED DE DRENAJE EN CALLE INVIERNO DE NIÑOS HEROES A ZARAGOZA, EN LA CABECERA MUNICIPAL</v>
      </c>
      <c r="N236" s="508"/>
      <c r="O236" s="69">
        <f>OBRA!Q235</f>
        <v>42857</v>
      </c>
      <c r="P236" s="4">
        <f>OBRA!P235</f>
        <v>228407.58</v>
      </c>
      <c r="Q236" s="4"/>
      <c r="R236" s="5">
        <f>OBRA!R235</f>
        <v>42859</v>
      </c>
      <c r="S236" s="12">
        <f>OBRA!S235</f>
        <v>42890</v>
      </c>
      <c r="T236" s="55"/>
      <c r="U236" s="415" t="s">
        <v>1431</v>
      </c>
      <c r="V236" s="591"/>
      <c r="W236" s="479"/>
      <c r="X236" s="590">
        <f>OBRA!AP235</f>
        <v>0</v>
      </c>
      <c r="Y236" s="5"/>
      <c r="Z236" s="341"/>
      <c r="AA236" s="5"/>
      <c r="AB236" s="351">
        <f>OBRA!BT235</f>
        <v>0</v>
      </c>
      <c r="AC236" s="569" t="s">
        <v>1295</v>
      </c>
      <c r="AE236" s="1"/>
      <c r="AF236" s="1"/>
      <c r="AG236" s="1" t="s">
        <v>2282</v>
      </c>
      <c r="AH236" s="1"/>
      <c r="AI236" s="1"/>
      <c r="AJ236" s="1" t="s">
        <v>2282</v>
      </c>
      <c r="AK236" s="1" t="s">
        <v>2282</v>
      </c>
      <c r="AL236" s="1"/>
    </row>
    <row r="237" spans="1:38" ht="82.5" hidden="1" customHeight="1">
      <c r="A237" s="23" t="s">
        <v>2239</v>
      </c>
      <c r="B237" s="933" t="str">
        <f>GRAL!B238</f>
        <v>2015-2018</v>
      </c>
      <c r="C237" s="17">
        <f>OBRA!I236</f>
        <v>2017</v>
      </c>
      <c r="D237" s="18" t="str">
        <f>OBRA!K236</f>
        <v>RAMO 33</v>
      </c>
      <c r="E237" s="18" t="s">
        <v>1431</v>
      </c>
      <c r="F237" s="557"/>
      <c r="G237" s="1012"/>
      <c r="H237" s="557"/>
      <c r="I237" s="56" t="str">
        <f>OBRA!U236</f>
        <v>CONSTRUCCIONES VIKBRAK, S.A. DE C.V.</v>
      </c>
      <c r="J237" s="57" t="str">
        <f>OBRA!V236</f>
        <v>ARQ. JAIME CONDE GOMEZ</v>
      </c>
      <c r="K237" s="35" t="str">
        <f>OBRA!L236</f>
        <v>GMJ 011C OP/2017</v>
      </c>
      <c r="L237" s="2" t="str">
        <f>OBRA!M236</f>
        <v>ADJUDICACIÓN DIRECTA</v>
      </c>
      <c r="M237" s="3" t="str">
        <f>OBRA!N236</f>
        <v>REHABILITACIÓN DE RED DE AGUA POTABLE EN CALLE INVIERNO, DE NIÑOS HEROES A ZARAGOZA, EN LA CABECERA MUNICIPAL DE JOCOTEPEC, JALISCO</v>
      </c>
      <c r="N237" s="508"/>
      <c r="O237" s="69">
        <f>OBRA!Q236</f>
        <v>42858</v>
      </c>
      <c r="P237" s="4">
        <f>OBRA!P236</f>
        <v>147033.21</v>
      </c>
      <c r="Q237" s="4"/>
      <c r="R237" s="5">
        <f>OBRA!R236</f>
        <v>42870</v>
      </c>
      <c r="S237" s="12">
        <f>OBRA!S236</f>
        <v>42886</v>
      </c>
      <c r="T237" s="55"/>
      <c r="U237" s="415" t="s">
        <v>1431</v>
      </c>
      <c r="V237" s="998"/>
      <c r="W237" s="999"/>
      <c r="X237" s="590">
        <f>OBRA!AP236</f>
        <v>0</v>
      </c>
      <c r="Y237" s="5"/>
      <c r="Z237" s="341"/>
      <c r="AA237" s="5"/>
      <c r="AB237" s="351">
        <f>OBRA!BT236</f>
        <v>0</v>
      </c>
      <c r="AC237" s="569" t="s">
        <v>1295</v>
      </c>
      <c r="AE237" s="1"/>
      <c r="AF237" s="1" t="s">
        <v>2282</v>
      </c>
      <c r="AG237" s="1" t="s">
        <v>2282</v>
      </c>
      <c r="AH237" s="1" t="s">
        <v>2282</v>
      </c>
      <c r="AI237" s="1"/>
      <c r="AJ237" s="1" t="s">
        <v>2282</v>
      </c>
      <c r="AK237" s="1" t="s">
        <v>2282</v>
      </c>
      <c r="AL237" s="1"/>
    </row>
    <row r="238" spans="1:38" ht="87.75" hidden="1" customHeight="1">
      <c r="A238" s="23" t="s">
        <v>2239</v>
      </c>
      <c r="B238" s="933" t="str">
        <f>GRAL!B239</f>
        <v>2015-2018</v>
      </c>
      <c r="C238" s="17">
        <f>OBRA!I237</f>
        <v>2017</v>
      </c>
      <c r="D238" s="18" t="str">
        <f>OBRA!K237</f>
        <v>RAMO 33</v>
      </c>
      <c r="E238" s="18" t="s">
        <v>1431</v>
      </c>
      <c r="F238" s="557"/>
      <c r="G238" s="1012"/>
      <c r="H238" s="557"/>
      <c r="I238" s="56" t="str">
        <f>OBRA!U237</f>
        <v>CONSTRUCCIONES VIKBRAK, S.A. DE C.V.</v>
      </c>
      <c r="J238" s="57" t="str">
        <f>OBRA!V237</f>
        <v>ARQ. JAIME CONDE GOMEZ</v>
      </c>
      <c r="K238" s="35" t="str">
        <f>OBRA!L237</f>
        <v>GMJ 012C OP/2017</v>
      </c>
      <c r="L238" s="2" t="str">
        <f>OBRA!M237</f>
        <v>ADJUDICACIÓN DIRECTA</v>
      </c>
      <c r="M238" s="3" t="str">
        <f>OBRA!N237</f>
        <v>REHABILITACIÓN DE RED DE DRENAJE EN CALLE ZARAGOZA DE INVIERNO A OTOÑO, EN LA CABECERA MUNICIPAL DE JOCOTEPEC JALISCO</v>
      </c>
      <c r="N238" s="508"/>
      <c r="O238" s="69">
        <f>OBRA!Q237</f>
        <v>42858</v>
      </c>
      <c r="P238" s="4">
        <f>OBRA!P237</f>
        <v>81517.39</v>
      </c>
      <c r="Q238" s="4"/>
      <c r="R238" s="5">
        <f>OBRA!R237</f>
        <v>42859</v>
      </c>
      <c r="S238" s="12">
        <f>OBRA!S237</f>
        <v>42890</v>
      </c>
      <c r="T238" s="55"/>
      <c r="U238" s="415" t="s">
        <v>1431</v>
      </c>
      <c r="V238" s="998"/>
      <c r="W238" s="999"/>
      <c r="X238" s="590">
        <f>OBRA!AP237</f>
        <v>0</v>
      </c>
      <c r="Y238" s="5"/>
      <c r="Z238" s="341"/>
      <c r="AA238" s="5"/>
      <c r="AB238" s="351">
        <f>OBRA!BT237</f>
        <v>0</v>
      </c>
      <c r="AC238" s="569" t="s">
        <v>1295</v>
      </c>
      <c r="AE238" s="1"/>
      <c r="AF238" s="1" t="s">
        <v>2282</v>
      </c>
      <c r="AG238" s="1" t="s">
        <v>2282</v>
      </c>
      <c r="AH238" s="1" t="s">
        <v>2282</v>
      </c>
      <c r="AI238" s="1"/>
      <c r="AJ238" s="1" t="s">
        <v>2282</v>
      </c>
      <c r="AK238" s="1" t="s">
        <v>2282</v>
      </c>
      <c r="AL238" s="1"/>
    </row>
    <row r="239" spans="1:38" ht="110.25" hidden="1" customHeight="1">
      <c r="A239" s="23" t="s">
        <v>2239</v>
      </c>
      <c r="B239" s="933" t="str">
        <f>GRAL!B240</f>
        <v>2015-2018</v>
      </c>
      <c r="C239" s="17">
        <f>OBRA!I238</f>
        <v>2017</v>
      </c>
      <c r="D239" s="18" t="str">
        <f>OBRA!K238</f>
        <v>RAMO 33</v>
      </c>
      <c r="E239" s="18" t="s">
        <v>1431</v>
      </c>
      <c r="F239" s="557"/>
      <c r="G239" s="1012"/>
      <c r="H239" s="557"/>
      <c r="I239" s="56" t="str">
        <f>OBRA!U238</f>
        <v>CONSTRUCCIONES VIKBRAK, S.A. DE C.V.</v>
      </c>
      <c r="J239" s="57" t="str">
        <f>OBRA!V238</f>
        <v>ARQ. JAIME CONDE GOMEZ</v>
      </c>
      <c r="K239" s="35" t="str">
        <f>OBRA!L238</f>
        <v>GMJ 013C OP/2017</v>
      </c>
      <c r="L239" s="2" t="str">
        <f>OBRA!M238</f>
        <v>ADJUDICACIÓN DIRECTA</v>
      </c>
      <c r="M239" s="3" t="str">
        <f>OBRA!N238</f>
        <v>REHABILITACIÓN DE RED DE AGUA POTABLE EN CALLE ZARAGOZA DE INVIERNO A OTOÑO, EN LA CABECERA MUNICIPAL DE JOCOTEPEC, JALISCO</v>
      </c>
      <c r="N239" s="508"/>
      <c r="O239" s="69">
        <f>OBRA!Q238</f>
        <v>42858</v>
      </c>
      <c r="P239" s="4">
        <f>OBRA!P238</f>
        <v>52148.39</v>
      </c>
      <c r="Q239" s="4"/>
      <c r="R239" s="5">
        <f>OBRA!R238</f>
        <v>42870</v>
      </c>
      <c r="S239" s="12">
        <f>OBRA!S238</f>
        <v>42886</v>
      </c>
      <c r="T239" s="55"/>
      <c r="U239" s="415" t="s">
        <v>1431</v>
      </c>
      <c r="V239" s="998"/>
      <c r="W239" s="999"/>
      <c r="X239" s="590">
        <f>OBRA!AP238</f>
        <v>0</v>
      </c>
      <c r="Y239" s="5"/>
      <c r="Z239" s="341"/>
      <c r="AA239" s="5"/>
      <c r="AB239" s="351">
        <f>OBRA!BT238</f>
        <v>0</v>
      </c>
      <c r="AC239" s="569" t="s">
        <v>1295</v>
      </c>
      <c r="AE239" s="1"/>
      <c r="AF239" s="1" t="s">
        <v>2282</v>
      </c>
      <c r="AG239" s="1" t="s">
        <v>2282</v>
      </c>
      <c r="AH239" s="1" t="s">
        <v>2282</v>
      </c>
      <c r="AI239" s="1"/>
      <c r="AJ239" s="1" t="s">
        <v>2282</v>
      </c>
      <c r="AK239" s="1" t="s">
        <v>2282</v>
      </c>
      <c r="AL239" s="1"/>
    </row>
    <row r="240" spans="1:38" ht="115.5" hidden="1" customHeight="1">
      <c r="A240" s="23" t="s">
        <v>2239</v>
      </c>
      <c r="B240" s="933" t="str">
        <f>GRAL!B241</f>
        <v>2015-2018</v>
      </c>
      <c r="C240" s="17">
        <f>OBRA!I239</f>
        <v>2017</v>
      </c>
      <c r="D240" s="18" t="str">
        <f>OBRA!K239</f>
        <v>RAMO 33</v>
      </c>
      <c r="E240" s="18" t="s">
        <v>1431</v>
      </c>
      <c r="F240" s="557"/>
      <c r="G240" s="1012"/>
      <c r="H240" s="557"/>
      <c r="I240" s="56" t="str">
        <f>OBRA!U239</f>
        <v>SERVICIOS ARQUITECTÓNICOS MOAPAL S.A. DE C.V.</v>
      </c>
      <c r="J240" s="57" t="str">
        <f>OBRA!V239</f>
        <v>ING. J. GUADALUPE IBARRA RAMIREZ</v>
      </c>
      <c r="K240" s="35" t="str">
        <f>OBRA!L239</f>
        <v>GMJ 014C OP/2017</v>
      </c>
      <c r="L240" s="2" t="str">
        <f>OBRA!M239</f>
        <v>ADJUDICACIÓN DIRECTA</v>
      </c>
      <c r="M240" s="3" t="str">
        <f>OBRA!N239</f>
        <v>REHABILITACIÓN DE RED DE DRENAJE EN CALLE VENUSTIANO CARRANZA DE PRIMAVERA A ITURBIDE, EN LA CABECERA MUNICIPAL DE JOCOTEPEC, JALISCO</v>
      </c>
      <c r="N240" s="508"/>
      <c r="O240" s="69">
        <f>OBRA!Q239</f>
        <v>42888</v>
      </c>
      <c r="P240" s="4">
        <f>OBRA!P239</f>
        <v>206557.32</v>
      </c>
      <c r="Q240" s="4"/>
      <c r="R240" s="5">
        <f>OBRA!R239</f>
        <v>42888</v>
      </c>
      <c r="S240" s="12">
        <f>OBRA!S239</f>
        <v>42902</v>
      </c>
      <c r="T240" s="55"/>
      <c r="U240" s="415" t="s">
        <v>1431</v>
      </c>
      <c r="V240" s="557"/>
      <c r="W240" s="1442"/>
      <c r="X240" s="376">
        <f>OBRA!AP239</f>
        <v>20655.73</v>
      </c>
      <c r="Y240" s="5"/>
      <c r="Z240" s="341"/>
      <c r="AA240" s="5"/>
      <c r="AB240" s="351">
        <f>OBRA!BT239</f>
        <v>0</v>
      </c>
      <c r="AC240" s="569" t="s">
        <v>551</v>
      </c>
      <c r="AE240" s="624"/>
      <c r="AF240" s="624"/>
      <c r="AG240" s="624"/>
      <c r="AH240" s="624"/>
      <c r="AI240" s="624"/>
      <c r="AJ240" s="624"/>
      <c r="AK240" s="624"/>
      <c r="AL240" s="624"/>
    </row>
    <row r="241" spans="1:38" ht="112.5" hidden="1" customHeight="1">
      <c r="A241" s="23" t="s">
        <v>2239</v>
      </c>
      <c r="B241" s="933" t="str">
        <f>GRAL!B242</f>
        <v>2015-2018</v>
      </c>
      <c r="C241" s="17">
        <f>OBRA!I240</f>
        <v>2017</v>
      </c>
      <c r="D241" s="18" t="str">
        <f>OBRA!K240</f>
        <v>RAMO 33</v>
      </c>
      <c r="E241" s="18" t="s">
        <v>1431</v>
      </c>
      <c r="F241" s="557"/>
      <c r="G241" s="1015"/>
      <c r="H241" s="1439"/>
      <c r="I241" s="56" t="str">
        <f>OBRA!U240</f>
        <v>SERVICIOS ARQUITECTÓNICOS MOAPAL S.A. DE C.V.</v>
      </c>
      <c r="J241" s="57" t="str">
        <f>OBRA!V240</f>
        <v>ING. J. GUADALUPE IBARRA RAMIREZ</v>
      </c>
      <c r="K241" s="35" t="str">
        <f>OBRA!L240</f>
        <v>GMJ 015C OP/2017</v>
      </c>
      <c r="L241" s="2" t="str">
        <f>OBRA!M240</f>
        <v>ADJUDICACIÓN DIRECTA</v>
      </c>
      <c r="M241" s="3" t="str">
        <f>OBRA!N240</f>
        <v>REHABILITACIÓN DE RED DE AGUA POTABLE EN CALLE VENUSTIANO CARRANZA DE PRIMAVERA A ITURBIDE, EN LA CABECERA MUNICIPAL DE JOCOTEPEC, JALISCO</v>
      </c>
      <c r="N241" s="508"/>
      <c r="O241" s="69">
        <f>OBRA!Q240</f>
        <v>42887</v>
      </c>
      <c r="P241" s="4">
        <f>OBRA!P240</f>
        <v>125546.81</v>
      </c>
      <c r="Q241" s="4"/>
      <c r="R241" s="5">
        <f>OBRA!R240</f>
        <v>42888</v>
      </c>
      <c r="S241" s="12">
        <f>OBRA!S240</f>
        <v>42902</v>
      </c>
      <c r="T241" s="55"/>
      <c r="U241" s="415" t="s">
        <v>1431</v>
      </c>
      <c r="V241" s="557"/>
      <c r="W241" s="1441"/>
      <c r="X241" s="376">
        <f>OBRA!AP240</f>
        <v>12554.68</v>
      </c>
      <c r="Y241" s="5"/>
      <c r="Z241" s="341"/>
      <c r="AA241" s="5"/>
      <c r="AB241" s="351">
        <f>OBRA!BT240</f>
        <v>0</v>
      </c>
      <c r="AC241" s="569" t="s">
        <v>551</v>
      </c>
      <c r="AE241" s="624"/>
      <c r="AF241" s="624"/>
      <c r="AG241" s="624"/>
      <c r="AH241" s="624"/>
      <c r="AI241" s="624"/>
      <c r="AJ241" s="624"/>
      <c r="AK241" s="624"/>
      <c r="AL241" s="624"/>
    </row>
    <row r="242" spans="1:38" ht="86.25" hidden="1" customHeight="1">
      <c r="A242" s="23" t="s">
        <v>2239</v>
      </c>
      <c r="B242" s="933" t="str">
        <f>GRAL!B243</f>
        <v>2015-2018</v>
      </c>
      <c r="C242" s="17">
        <f>OBRA!I241</f>
        <v>2017</v>
      </c>
      <c r="D242" s="18" t="str">
        <f>OBRA!K241</f>
        <v>CUENTA CORRIENTE</v>
      </c>
      <c r="E242" s="281" t="s">
        <v>1431</v>
      </c>
      <c r="F242" s="557"/>
      <c r="G242" s="1012"/>
      <c r="H242" s="557"/>
      <c r="I242" s="56" t="str">
        <f>OBRA!U241</f>
        <v>ARGUELLES ARQUITECTOS S.A. DE C.V.</v>
      </c>
      <c r="J242" s="57" t="str">
        <f>OBRA!V241</f>
        <v>ARQ. JAIME CONDE GOMEZ</v>
      </c>
      <c r="K242" s="35" t="str">
        <f>OBRA!L241</f>
        <v>GMJ 016C OP/2017</v>
      </c>
      <c r="L242" s="2" t="str">
        <f>OBRA!M241</f>
        <v>ADJUDICACIÓN DIRECTA</v>
      </c>
      <c r="M242" s="3" t="str">
        <f>OBRA!N241</f>
        <v>CONSTRUCCIÓN DE LA AMPLIACIÓN DEL PANTEON MUNICIPAL, PRIMERA ETAPA EN LA CABECERA MUNICIPAL DE JOCOTEPEC, JALISCO</v>
      </c>
      <c r="N242" s="554"/>
      <c r="O242" s="69">
        <f>OBRA!Q241</f>
        <v>42893</v>
      </c>
      <c r="P242" s="4">
        <f>OBRA!P241</f>
        <v>1570967.83</v>
      </c>
      <c r="Q242" s="4"/>
      <c r="R242" s="5">
        <f>OBRA!R241</f>
        <v>42905</v>
      </c>
      <c r="S242" s="12">
        <f>OBRA!S241</f>
        <v>43027</v>
      </c>
      <c r="T242" s="55"/>
      <c r="U242" s="415" t="s">
        <v>1431</v>
      </c>
      <c r="V242" s="654"/>
      <c r="W242" s="1443"/>
      <c r="X242" s="751">
        <f>OBRA!AP241</f>
        <v>628386.98</v>
      </c>
      <c r="Y242" s="5"/>
      <c r="Z242" s="341"/>
      <c r="AA242" s="5"/>
      <c r="AB242" s="351">
        <f>OBRA!BT241</f>
        <v>0</v>
      </c>
      <c r="AC242" s="569" t="s">
        <v>551</v>
      </c>
      <c r="AE242" s="1"/>
      <c r="AF242" s="1"/>
      <c r="AG242" s="1"/>
      <c r="AH242" s="1"/>
      <c r="AI242" s="1"/>
      <c r="AJ242" s="1" t="s">
        <v>2282</v>
      </c>
      <c r="AK242" s="1" t="s">
        <v>2282</v>
      </c>
      <c r="AL242" s="1"/>
    </row>
    <row r="243" spans="1:38" ht="114.75" hidden="1" customHeight="1">
      <c r="A243" s="23" t="s">
        <v>2239</v>
      </c>
      <c r="B243" s="933" t="str">
        <f>GRAL!B244</f>
        <v>2015-2018</v>
      </c>
      <c r="C243" s="17">
        <f>OBRA!I242</f>
        <v>2017</v>
      </c>
      <c r="D243" s="18" t="str">
        <f>OBRA!K242</f>
        <v>RAMO 33</v>
      </c>
      <c r="E243" s="432" t="s">
        <v>1431</v>
      </c>
      <c r="F243" s="557"/>
      <c r="G243" s="1012"/>
      <c r="H243" s="557"/>
      <c r="I243" s="56" t="str">
        <f>OBRA!U242</f>
        <v>ING. SERGIO CABRERA</v>
      </c>
      <c r="J243" s="57" t="str">
        <f>OBRA!V242</f>
        <v>ING. J. GUADALUPE IBARRA RAMIREZ</v>
      </c>
      <c r="K243" s="35" t="str">
        <f>OBRA!L242</f>
        <v>GMJ 017C OP/2017</v>
      </c>
      <c r="L243" s="2" t="str">
        <f>OBRA!M242</f>
        <v>ADJUDICACIÓN DIRECTA</v>
      </c>
      <c r="M243" s="3" t="str">
        <f>OBRA!N242</f>
        <v>REHABILITACIÓN DE RED DE DRENAJE EN CALLE VERNANO DE ANDADOR JESÚS MORALES A 21 DE MARZO, EN LA CABECERA MUNICIPAL DE JOCOTEPEC, JALISCO</v>
      </c>
      <c r="N243" s="508"/>
      <c r="O243" s="69">
        <f>OBRA!Q242</f>
        <v>42902</v>
      </c>
      <c r="P243" s="4">
        <f>OBRA!P242</f>
        <v>143878.99</v>
      </c>
      <c r="Q243" s="4"/>
      <c r="R243" s="5">
        <f>OBRA!R242</f>
        <v>42907</v>
      </c>
      <c r="S243" s="12">
        <f>OBRA!S242</f>
        <v>42968</v>
      </c>
      <c r="T243" s="55"/>
      <c r="U243" s="415" t="s">
        <v>1431</v>
      </c>
      <c r="V243" s="591"/>
      <c r="W243" s="479"/>
      <c r="X243" s="751">
        <f>OBRA!AP242</f>
        <v>64745.52</v>
      </c>
      <c r="Y243" s="5"/>
      <c r="Z243" s="341"/>
      <c r="AA243" s="5"/>
      <c r="AB243" s="351">
        <f>OBRA!BT242</f>
        <v>0</v>
      </c>
      <c r="AC243" s="569" t="s">
        <v>1295</v>
      </c>
      <c r="AE243" s="1"/>
      <c r="AF243" s="1"/>
      <c r="AG243" s="1"/>
      <c r="AH243" s="1"/>
      <c r="AI243" s="1"/>
      <c r="AJ243" s="1" t="s">
        <v>2282</v>
      </c>
      <c r="AK243" s="1" t="s">
        <v>2282</v>
      </c>
      <c r="AL243" s="1"/>
    </row>
    <row r="244" spans="1:38" ht="93" hidden="1" customHeight="1">
      <c r="A244" s="23" t="s">
        <v>2239</v>
      </c>
      <c r="B244" s="933" t="str">
        <f>GRAL!B245</f>
        <v>2015-2018</v>
      </c>
      <c r="C244" s="17">
        <f>OBRA!I243</f>
        <v>2017</v>
      </c>
      <c r="D244" s="18" t="str">
        <f>OBRA!K243</f>
        <v>RAMO 33</v>
      </c>
      <c r="E244" s="532" t="s">
        <v>1431</v>
      </c>
      <c r="F244" s="557"/>
      <c r="G244" s="1012"/>
      <c r="H244" s="557"/>
      <c r="I244" s="56" t="str">
        <f>OBRA!U243</f>
        <v>ING. SERGIO CABRERA</v>
      </c>
      <c r="J244" s="57" t="str">
        <f>OBRA!V243</f>
        <v>ING. J. GUADALUPE IBARRA RAMIREZ</v>
      </c>
      <c r="K244" s="35" t="str">
        <f>OBRA!L243</f>
        <v>GMJ 018C OP/2017</v>
      </c>
      <c r="L244" s="2" t="str">
        <f>OBRA!M243</f>
        <v>ADJUDICACIÓN DIRECTA</v>
      </c>
      <c r="M244" s="3" t="str">
        <f>OBRA!N243</f>
        <v>REHABILITACIÓN DE RED DE AGUA POTABLE EN CALLE VERANO DE ANDADOR JESÚS MORALES A 21 DE MARZO, EN LA CABECERA MUNICIPAL DE JOCOTEPEC, JALISCO</v>
      </c>
      <c r="N244" s="508"/>
      <c r="O244" s="69">
        <f>OBRA!Q243</f>
        <v>42902</v>
      </c>
      <c r="P244" s="4">
        <f>OBRA!P243</f>
        <v>88991.13</v>
      </c>
      <c r="Q244" s="4"/>
      <c r="R244" s="5">
        <f>OBRA!R243</f>
        <v>42907</v>
      </c>
      <c r="S244" s="12">
        <f>OBRA!S243</f>
        <v>42968</v>
      </c>
      <c r="T244" s="55"/>
      <c r="U244" s="415" t="s">
        <v>1431</v>
      </c>
      <c r="V244" s="998"/>
      <c r="W244" s="1443"/>
      <c r="X244" s="751">
        <f>OBRA!AP243</f>
        <v>31146.89</v>
      </c>
      <c r="Y244" s="5"/>
      <c r="Z244" s="341"/>
      <c r="AA244" s="5"/>
      <c r="AB244" s="351">
        <f>OBRA!BT243</f>
        <v>0</v>
      </c>
      <c r="AC244" s="569" t="s">
        <v>1295</v>
      </c>
      <c r="AE244" s="1"/>
      <c r="AF244" s="1"/>
      <c r="AG244" s="1"/>
      <c r="AH244" s="1"/>
      <c r="AI244" s="1"/>
      <c r="AJ244" s="1" t="s">
        <v>2282</v>
      </c>
      <c r="AK244" s="1" t="s">
        <v>2282</v>
      </c>
      <c r="AL244" s="1"/>
    </row>
    <row r="245" spans="1:38" ht="99.75" hidden="1" customHeight="1">
      <c r="A245" s="23" t="s">
        <v>2239</v>
      </c>
      <c r="B245" s="933" t="str">
        <f>GRAL!B246</f>
        <v>2015-2018</v>
      </c>
      <c r="C245" s="17">
        <f>OBRA!I244</f>
        <v>2017</v>
      </c>
      <c r="D245" s="18" t="str">
        <f>OBRA!K244</f>
        <v>RAMO 33</v>
      </c>
      <c r="E245" s="18" t="s">
        <v>1431</v>
      </c>
      <c r="F245" s="557"/>
      <c r="G245" s="1012"/>
      <c r="H245" s="557"/>
      <c r="I245" s="56" t="str">
        <f>OBRA!U244</f>
        <v>ING. SERGIO CABRERA</v>
      </c>
      <c r="J245" s="57" t="str">
        <f>OBRA!V244</f>
        <v>ING. J. GUADALUPE IBARRA RAMIREZ</v>
      </c>
      <c r="K245" s="35" t="str">
        <f>OBRA!L244</f>
        <v>GMJ 019C OP/2017</v>
      </c>
      <c r="L245" s="2" t="str">
        <f>OBRA!M244</f>
        <v>ADJUDICACIÓN DIRECTA</v>
      </c>
      <c r="M245" s="3" t="str">
        <f>OBRA!N244</f>
        <v>REHABILITACIÓN DE RED DE DRENAJE EN CALLE VERANO, DE 21 DE MARZO A 20 DE NOVIEMBRE, EN LA CABECERA MUNICIPAL DE JOCOTEPEC, JALISCO</v>
      </c>
      <c r="N245" s="508"/>
      <c r="O245" s="69">
        <f>OBRA!Q244</f>
        <v>42902</v>
      </c>
      <c r="P245" s="4">
        <f>OBRA!P244</f>
        <v>120964.57</v>
      </c>
      <c r="Q245" s="4"/>
      <c r="R245" s="5">
        <f>OBRA!R244</f>
        <v>42907</v>
      </c>
      <c r="S245" s="12">
        <f>OBRA!S244</f>
        <v>42968</v>
      </c>
      <c r="T245" s="55"/>
      <c r="U245" s="415" t="s">
        <v>1431</v>
      </c>
      <c r="V245" s="998"/>
      <c r="W245" s="1443"/>
      <c r="X245" s="307">
        <f>OBRA!AP244</f>
        <v>54434.039999999994</v>
      </c>
      <c r="Y245" s="5"/>
      <c r="Z245" s="341"/>
      <c r="AA245" s="5"/>
      <c r="AB245" s="351">
        <f>OBRA!BT244</f>
        <v>0</v>
      </c>
      <c r="AC245" s="569" t="s">
        <v>1295</v>
      </c>
      <c r="AE245" s="1"/>
      <c r="AF245" s="1"/>
      <c r="AG245" s="1"/>
      <c r="AH245" s="1"/>
      <c r="AI245" s="1"/>
      <c r="AJ245" s="1" t="s">
        <v>2282</v>
      </c>
      <c r="AK245" s="1" t="s">
        <v>2282</v>
      </c>
      <c r="AL245" s="1"/>
    </row>
    <row r="246" spans="1:38" ht="123" hidden="1" customHeight="1">
      <c r="A246" s="23" t="s">
        <v>2239</v>
      </c>
      <c r="B246" s="933" t="str">
        <f>GRAL!B247</f>
        <v>2015-2018</v>
      </c>
      <c r="C246" s="17">
        <f>OBRA!I245</f>
        <v>2017</v>
      </c>
      <c r="D246" s="18" t="str">
        <f>OBRA!K245</f>
        <v>RAMO 33</v>
      </c>
      <c r="E246" s="18" t="s">
        <v>1431</v>
      </c>
      <c r="F246" s="557"/>
      <c r="G246" s="1012"/>
      <c r="H246" s="557"/>
      <c r="I246" s="56" t="str">
        <f>OBRA!U245</f>
        <v>ING. SERGIO CABRERA</v>
      </c>
      <c r="J246" s="57" t="str">
        <f>OBRA!V245</f>
        <v>ING. J. GUADALUPE IBARRA RAMIREZ</v>
      </c>
      <c r="K246" s="35" t="str">
        <f>OBRA!L245</f>
        <v>GMJ 020C OP/2017</v>
      </c>
      <c r="L246" s="2" t="str">
        <f>OBRA!M245</f>
        <v>ADJUDICACIÓN DIRECTA</v>
      </c>
      <c r="M246" s="3" t="str">
        <f>OBRA!N245</f>
        <v>REHABILITACIÓN DE RED DE AGUA POTABLE EN CALLE VERANO, DE 21 DE MARZO A 20 DE NOVIEMBRE, EN LA CABECERA MUNICIPAL DE JOCOTEPEC, JALISCO</v>
      </c>
      <c r="N246" s="508"/>
      <c r="O246" s="69">
        <f>OBRA!Q245</f>
        <v>42902</v>
      </c>
      <c r="P246" s="4">
        <f>OBRA!P245</f>
        <v>77992.240000000005</v>
      </c>
      <c r="Q246" s="4"/>
      <c r="R246" s="5">
        <f>OBRA!R245</f>
        <v>42907</v>
      </c>
      <c r="S246" s="12">
        <f>OBRA!S245</f>
        <v>42968</v>
      </c>
      <c r="T246" s="55"/>
      <c r="U246" s="415" t="s">
        <v>1431</v>
      </c>
      <c r="V246" s="998"/>
      <c r="W246" s="1443"/>
      <c r="X246" s="307">
        <f>OBRA!AP245</f>
        <v>27297.280000000002</v>
      </c>
      <c r="Y246" s="5"/>
      <c r="Z246" s="341"/>
      <c r="AA246" s="5"/>
      <c r="AB246" s="351">
        <f>OBRA!BT245</f>
        <v>0</v>
      </c>
      <c r="AC246" s="569" t="s">
        <v>1295</v>
      </c>
      <c r="AE246" s="1"/>
      <c r="AF246" s="1"/>
      <c r="AG246" s="1"/>
      <c r="AH246" s="1"/>
      <c r="AI246" s="1"/>
      <c r="AJ246" s="1" t="s">
        <v>2282</v>
      </c>
      <c r="AK246" s="1" t="s">
        <v>2282</v>
      </c>
      <c r="AL246" s="1"/>
    </row>
    <row r="247" spans="1:38" ht="102" hidden="1" customHeight="1">
      <c r="A247" s="23" t="s">
        <v>2239</v>
      </c>
      <c r="B247" s="933" t="str">
        <f>GRAL!B248</f>
        <v>2015-2018</v>
      </c>
      <c r="C247" s="17">
        <f>OBRA!I246</f>
        <v>2017</v>
      </c>
      <c r="D247" s="18" t="str">
        <f>OBRA!K246</f>
        <v>RAMO 33</v>
      </c>
      <c r="E247" s="18" t="s">
        <v>1431</v>
      </c>
      <c r="F247" s="557"/>
      <c r="G247" s="1012"/>
      <c r="H247" s="557"/>
      <c r="I247" s="56" t="str">
        <f>OBRA!U246</f>
        <v>GILCO INGENIERIA S.A. DE C.V.</v>
      </c>
      <c r="J247" s="172" t="str">
        <f>OBRA!V246</f>
        <v>ING. J. GUADALUPE IBARRA RAMIREZ</v>
      </c>
      <c r="K247" s="35" t="str">
        <f>OBRA!L246</f>
        <v>GMJ 021C OP/2017</v>
      </c>
      <c r="L247" s="2" t="str">
        <f>OBRA!M246</f>
        <v>ADJUDICACIÓN DIRECTA</v>
      </c>
      <c r="M247" s="3" t="str">
        <f>OBRA!N246</f>
        <v>REHABILITACIÓN DE RED DE DRENAJE EN CALLE VERANO DE 20 DE NOVIEMBRE A VENUSTIANO CARRANZA EN LA CABECERA MUNICIPAL, DE JOCOTEPEC, JALISCO</v>
      </c>
      <c r="N247" s="554"/>
      <c r="O247" s="69">
        <f>OBRA!Q246</f>
        <v>42944</v>
      </c>
      <c r="P247" s="4">
        <f>OBRA!P246</f>
        <v>125684.46</v>
      </c>
      <c r="Q247" s="4"/>
      <c r="R247" s="5">
        <f>OBRA!R246</f>
        <v>42948</v>
      </c>
      <c r="S247" s="12">
        <f>OBRA!S246</f>
        <v>42978</v>
      </c>
      <c r="T247" s="55"/>
      <c r="U247" s="415" t="s">
        <v>1431</v>
      </c>
      <c r="V247" s="654"/>
      <c r="W247" s="1443"/>
      <c r="X247" s="751">
        <f>OBRA!AP246</f>
        <v>56558.020000000004</v>
      </c>
      <c r="Y247" s="5"/>
      <c r="Z247" s="341"/>
      <c r="AA247" s="5"/>
      <c r="AB247" s="351">
        <f>OBRA!BT246</f>
        <v>0</v>
      </c>
      <c r="AC247" s="569" t="s">
        <v>551</v>
      </c>
      <c r="AE247" s="1"/>
      <c r="AF247" s="1"/>
      <c r="AG247" s="1"/>
      <c r="AH247" s="1"/>
      <c r="AI247" s="1"/>
      <c r="AJ247" s="1" t="s">
        <v>2282</v>
      </c>
      <c r="AK247" s="1" t="s">
        <v>2282</v>
      </c>
      <c r="AL247" s="1"/>
    </row>
    <row r="248" spans="1:38" ht="105.75" hidden="1" customHeight="1">
      <c r="A248" s="23" t="s">
        <v>2239</v>
      </c>
      <c r="B248" s="933" t="str">
        <f>GRAL!B249</f>
        <v>2015-2018</v>
      </c>
      <c r="C248" s="17">
        <f>OBRA!I247</f>
        <v>2017</v>
      </c>
      <c r="D248" s="18" t="str">
        <f>OBRA!K247</f>
        <v>RAMO 33</v>
      </c>
      <c r="E248" s="18" t="s">
        <v>1431</v>
      </c>
      <c r="F248" s="557"/>
      <c r="G248" s="1012"/>
      <c r="H248" s="557"/>
      <c r="I248" s="56" t="str">
        <f>OBRA!U247</f>
        <v>GILCO INGENIERIA S.A. DE C.V.</v>
      </c>
      <c r="J248" s="172" t="str">
        <f>OBRA!V247</f>
        <v>ING. J. GUADALUPE IBARRA RAMIREZ</v>
      </c>
      <c r="K248" s="35" t="str">
        <f>OBRA!L247</f>
        <v>GMJ 022C OP/2017</v>
      </c>
      <c r="L248" s="2" t="str">
        <f>OBRA!M247</f>
        <v>ADJUDICACIÓN DIRECTA</v>
      </c>
      <c r="M248" s="3" t="str">
        <f>OBRA!N247</f>
        <v>REHABILITACIÓN DE RED DE AGUA POTABLE EN CALLE VERANO DE 20 DE NOVIEMBRE A VENUSTIANO CARRANZA, EN LA CABECERA MUNICIPAL, DE JOCOTEPEC, JALISCO</v>
      </c>
      <c r="N248" s="554"/>
      <c r="O248" s="69">
        <f>OBRA!Q247</f>
        <v>42944</v>
      </c>
      <c r="P248" s="4">
        <f>OBRA!P247</f>
        <v>79897.39</v>
      </c>
      <c r="Q248" s="4"/>
      <c r="R248" s="5">
        <f>OBRA!R247</f>
        <v>42948</v>
      </c>
      <c r="S248" s="12">
        <f>OBRA!S247</f>
        <v>42978</v>
      </c>
      <c r="T248" s="55"/>
      <c r="U248" s="415" t="s">
        <v>1431</v>
      </c>
      <c r="V248" s="998"/>
      <c r="W248" s="999"/>
      <c r="X248" s="307">
        <f>OBRA!AP247</f>
        <v>19974.349999999999</v>
      </c>
      <c r="Y248" s="5"/>
      <c r="Z248" s="341"/>
      <c r="AA248" s="5"/>
      <c r="AB248" s="351">
        <f>OBRA!BT247</f>
        <v>0</v>
      </c>
      <c r="AC248" s="569" t="s">
        <v>1295</v>
      </c>
      <c r="AE248" s="1"/>
      <c r="AF248" s="1"/>
      <c r="AG248" s="1"/>
      <c r="AH248" s="1"/>
      <c r="AI248" s="1"/>
      <c r="AJ248" s="1" t="s">
        <v>2282</v>
      </c>
      <c r="AK248" s="1" t="s">
        <v>2282</v>
      </c>
      <c r="AL248" s="1"/>
    </row>
    <row r="249" spans="1:38" ht="107.25" hidden="1" customHeight="1">
      <c r="A249" s="23" t="s">
        <v>2239</v>
      </c>
      <c r="B249" s="933" t="str">
        <f>GRAL!B250</f>
        <v>2015-2018</v>
      </c>
      <c r="C249" s="17">
        <f>OBRA!I248</f>
        <v>2017</v>
      </c>
      <c r="D249" s="18" t="str">
        <f>OBRA!K248</f>
        <v>RAMO 33</v>
      </c>
      <c r="E249" s="18" t="s">
        <v>1431</v>
      </c>
      <c r="F249" s="557"/>
      <c r="G249" s="1012"/>
      <c r="H249" s="557"/>
      <c r="I249" s="56" t="str">
        <f>OBRA!U248</f>
        <v>GILCO INGENIERIA S.A. DE C.V.</v>
      </c>
      <c r="J249" s="172" t="str">
        <f>OBRA!V248</f>
        <v>ING. J. GUADALUPE IBARRA RAMIREZ</v>
      </c>
      <c r="K249" s="35" t="str">
        <f>OBRA!L248</f>
        <v>GMJ 023C OP/2017</v>
      </c>
      <c r="L249" s="2" t="str">
        <f>OBRA!M248</f>
        <v>ADJUDICACIÓN DIRECTA</v>
      </c>
      <c r="M249" s="3" t="str">
        <f>OBRA!N248</f>
        <v>REHABILITACIÓN DE RED DE DRENAJE EN CALLE VERANO DE VENUSTIANO CARRANZA A FRANCISCO VILLA, EN LA CABECERA MUNICIPAL, DE JOCOTEPEC, JALISCO</v>
      </c>
      <c r="N249" s="554"/>
      <c r="O249" s="69">
        <f>OBRA!Q248</f>
        <v>42957</v>
      </c>
      <c r="P249" s="4">
        <f>OBRA!P248</f>
        <v>119278.43</v>
      </c>
      <c r="Q249" s="4"/>
      <c r="R249" s="5">
        <f>OBRA!R248</f>
        <v>42961</v>
      </c>
      <c r="S249" s="12">
        <f>OBRA!S248</f>
        <v>42994</v>
      </c>
      <c r="T249" s="55"/>
      <c r="U249" s="415" t="s">
        <v>1431</v>
      </c>
      <c r="V249" s="654"/>
      <c r="W249" s="1443"/>
      <c r="X249" s="751">
        <f>OBRA!AP248</f>
        <v>53675.289999999994</v>
      </c>
      <c r="Y249" s="5"/>
      <c r="Z249" s="341"/>
      <c r="AA249" s="5"/>
      <c r="AB249" s="351">
        <f>OBRA!BT248</f>
        <v>0</v>
      </c>
      <c r="AC249" s="569" t="s">
        <v>551</v>
      </c>
      <c r="AE249" s="1"/>
      <c r="AF249" s="1"/>
      <c r="AG249" s="1"/>
      <c r="AH249" s="1"/>
      <c r="AI249" s="1"/>
      <c r="AJ249" s="1" t="s">
        <v>2282</v>
      </c>
      <c r="AK249" s="1" t="s">
        <v>2282</v>
      </c>
      <c r="AL249" s="1"/>
    </row>
    <row r="250" spans="1:38" ht="112.5" hidden="1" customHeight="1">
      <c r="A250" s="23" t="s">
        <v>2239</v>
      </c>
      <c r="B250" s="933" t="str">
        <f>GRAL!B251</f>
        <v>2015-2018</v>
      </c>
      <c r="C250" s="17">
        <f>OBRA!I249</f>
        <v>2017</v>
      </c>
      <c r="D250" s="18" t="str">
        <f>OBRA!K249</f>
        <v>RAMO 33</v>
      </c>
      <c r="E250" s="18" t="s">
        <v>1431</v>
      </c>
      <c r="F250" s="557"/>
      <c r="G250" s="1012"/>
      <c r="H250" s="557"/>
      <c r="I250" s="56" t="str">
        <f>OBRA!U249</f>
        <v>GILCO INGENIERIA S.A. DE C.V.</v>
      </c>
      <c r="J250" s="172" t="str">
        <f>OBRA!V249</f>
        <v>ING. J. GUADALUPE IBARRA RAMIREZ</v>
      </c>
      <c r="K250" s="35" t="str">
        <f>OBRA!L249</f>
        <v>GMJ 024C OP/2017</v>
      </c>
      <c r="L250" s="2" t="str">
        <f>OBRA!M249</f>
        <v>ADJUDICACIÓN DIRECTA</v>
      </c>
      <c r="M250" s="3" t="str">
        <f>OBRA!N249</f>
        <v>REHABILITACIÓN DE RED DE AGUA POTABLE EN CALLE VERANO DE VENUSTIANO CARRANZA A FRANCISCO VILLA, EN LA CABECERA MUNICIPAL, DE JOCOTEPEC, JALISCO</v>
      </c>
      <c r="N250" s="554"/>
      <c r="O250" s="69">
        <f>OBRA!Q249</f>
        <v>42957</v>
      </c>
      <c r="P250" s="4">
        <f>OBRA!P249</f>
        <v>77217.95</v>
      </c>
      <c r="Q250" s="4"/>
      <c r="R250" s="5">
        <f>OBRA!R249</f>
        <v>42961</v>
      </c>
      <c r="S250" s="12">
        <f>OBRA!S249</f>
        <v>42994</v>
      </c>
      <c r="T250" s="55"/>
      <c r="U250" s="415" t="s">
        <v>1431</v>
      </c>
      <c r="V250" s="998"/>
      <c r="W250" s="999"/>
      <c r="X250" s="751">
        <f>OBRA!AP249</f>
        <v>34748.090000000004</v>
      </c>
      <c r="Y250" s="5"/>
      <c r="Z250" s="341"/>
      <c r="AA250" s="5"/>
      <c r="AB250" s="351">
        <f>OBRA!BT249</f>
        <v>0</v>
      </c>
      <c r="AC250" s="569" t="s">
        <v>1295</v>
      </c>
      <c r="AE250" s="1"/>
      <c r="AF250" s="1"/>
      <c r="AG250" s="1"/>
      <c r="AH250" s="1"/>
      <c r="AI250" s="1"/>
      <c r="AJ250" s="1" t="s">
        <v>2282</v>
      </c>
      <c r="AK250" s="1" t="s">
        <v>2282</v>
      </c>
      <c r="AL250" s="1"/>
    </row>
    <row r="251" spans="1:38" ht="108" hidden="1" customHeight="1">
      <c r="A251" s="23" t="s">
        <v>2239</v>
      </c>
      <c r="B251" s="933" t="str">
        <f>GRAL!B252</f>
        <v>2015-2018</v>
      </c>
      <c r="C251" s="17">
        <f>OBRA!I250</f>
        <v>2017</v>
      </c>
      <c r="D251" s="18" t="str">
        <f>OBRA!K250</f>
        <v>RAMO 33</v>
      </c>
      <c r="E251" s="18" t="s">
        <v>1431</v>
      </c>
      <c r="F251" s="557"/>
      <c r="G251" s="1012"/>
      <c r="H251" s="557"/>
      <c r="I251" s="56" t="str">
        <f>OBRA!U250</f>
        <v>GILCO INGENIERIA S.A. DE C.V.</v>
      </c>
      <c r="J251" s="172" t="str">
        <f>OBRA!V250</f>
        <v>ING. J. GUADALUPE IBARRA RAMIREZ</v>
      </c>
      <c r="K251" s="35" t="str">
        <f>OBRA!L250</f>
        <v>GMJ 025C OP/2017</v>
      </c>
      <c r="L251" s="2" t="str">
        <f>OBRA!M250</f>
        <v>ADJUDICACIÓN DIRECTA</v>
      </c>
      <c r="M251" s="3" t="str">
        <f>OBRA!N250</f>
        <v>REHABILITACIÓN DE RED DE DRENAJE EN CALLE VERANO DE FRANCISCO VILLA A LAZARO CARDENAS, EN LA CABECERA MUNICIPAL, DE JOCOTEPEC, JALISCO</v>
      </c>
      <c r="N251" s="554"/>
      <c r="O251" s="69">
        <f>OBRA!Q250</f>
        <v>42977</v>
      </c>
      <c r="P251" s="4">
        <f>OBRA!P250</f>
        <v>101100.81</v>
      </c>
      <c r="Q251" s="4"/>
      <c r="R251" s="5">
        <f>OBRA!R250</f>
        <v>42982</v>
      </c>
      <c r="S251" s="12">
        <f>OBRA!S250</f>
        <v>43008</v>
      </c>
      <c r="T251" s="55"/>
      <c r="U251" s="415" t="s">
        <v>1431</v>
      </c>
      <c r="V251" s="654"/>
      <c r="W251" s="1443"/>
      <c r="X251" s="751">
        <f>OBRA!AP250</f>
        <v>45495.360000000001</v>
      </c>
      <c r="Y251" s="5"/>
      <c r="Z251" s="341"/>
      <c r="AA251" s="5"/>
      <c r="AB251" s="351">
        <f>OBRA!BT250</f>
        <v>0</v>
      </c>
      <c r="AC251" s="569" t="s">
        <v>551</v>
      </c>
      <c r="AE251" s="1"/>
      <c r="AF251" s="1"/>
      <c r="AG251" s="1"/>
      <c r="AH251" s="1"/>
      <c r="AI251" s="1"/>
      <c r="AJ251" s="1" t="s">
        <v>2282</v>
      </c>
      <c r="AK251" s="1" t="s">
        <v>2282</v>
      </c>
      <c r="AL251" s="1"/>
    </row>
    <row r="252" spans="1:38" ht="109.5" hidden="1" customHeight="1">
      <c r="A252" s="23" t="s">
        <v>2239</v>
      </c>
      <c r="B252" s="933" t="str">
        <f>GRAL!B253</f>
        <v>2015-2018</v>
      </c>
      <c r="C252" s="17">
        <f>OBRA!I251</f>
        <v>2017</v>
      </c>
      <c r="D252" s="18" t="str">
        <f>OBRA!K251</f>
        <v>RAMO 33</v>
      </c>
      <c r="E252" s="18" t="s">
        <v>1431</v>
      </c>
      <c r="F252" s="557"/>
      <c r="G252" s="1012"/>
      <c r="H252" s="557"/>
      <c r="I252" s="56" t="str">
        <f>OBRA!U251</f>
        <v>GILCO INGENIERIA S.A. DE C.V.</v>
      </c>
      <c r="J252" s="172" t="str">
        <f>OBRA!V251</f>
        <v>ING. J. GUADALUPE IBARRA RAMIREZ</v>
      </c>
      <c r="K252" s="35" t="str">
        <f>OBRA!L251</f>
        <v>GMJ 026C OP/2017</v>
      </c>
      <c r="L252" s="2" t="str">
        <f>OBRA!M251</f>
        <v>ADJUDICACIÓN DIRECTA</v>
      </c>
      <c r="M252" s="3" t="str">
        <f>OBRA!N251</f>
        <v>REHABILITACIÓN DE RED DE AGUA POTABLE EN CALLE VERANO DE FRANCISCO VILLA  A LAZARO CARDENAS, EN LA CABECERA MUNICIPAL, DE JOCOTEPEC, JALISCO</v>
      </c>
      <c r="N252" s="554"/>
      <c r="O252" s="69">
        <f>OBRA!Q251</f>
        <v>42977</v>
      </c>
      <c r="P252" s="4">
        <f>OBRA!P251</f>
        <v>62348.13</v>
      </c>
      <c r="Q252" s="4"/>
      <c r="R252" s="5">
        <f>OBRA!R251</f>
        <v>42982</v>
      </c>
      <c r="S252" s="12">
        <f>OBRA!S251</f>
        <v>43008</v>
      </c>
      <c r="T252" s="55"/>
      <c r="U252" s="415" t="s">
        <v>1431</v>
      </c>
      <c r="V252" s="654"/>
      <c r="W252" s="1443"/>
      <c r="X252" s="376">
        <f>OBRA!AP251</f>
        <v>28056.65</v>
      </c>
      <c r="Y252" s="5"/>
      <c r="Z252" s="341"/>
      <c r="AA252" s="5"/>
      <c r="AB252" s="351">
        <f>OBRA!BT251</f>
        <v>0</v>
      </c>
      <c r="AC252" s="569" t="s">
        <v>551</v>
      </c>
      <c r="AE252" s="1"/>
      <c r="AF252" s="1"/>
      <c r="AG252" s="1"/>
      <c r="AH252" s="1"/>
      <c r="AI252" s="1"/>
      <c r="AJ252" s="1" t="s">
        <v>2282</v>
      </c>
      <c r="AK252" s="1" t="s">
        <v>2282</v>
      </c>
      <c r="AL252" s="1"/>
    </row>
    <row r="253" spans="1:38" ht="180" hidden="1" customHeight="1">
      <c r="A253" s="23" t="s">
        <v>2239</v>
      </c>
      <c r="B253" s="933" t="str">
        <f>GRAL!B254</f>
        <v>2015-2018</v>
      </c>
      <c r="C253" s="17">
        <f>OBRA!I252</f>
        <v>2017</v>
      </c>
      <c r="D253" s="19" t="str">
        <f>OBRA!K252</f>
        <v>Fondo de proyectos para el Desarrollo Regional</v>
      </c>
      <c r="E253" s="680" t="s">
        <v>1937</v>
      </c>
      <c r="F253" s="557"/>
      <c r="G253" s="1012"/>
      <c r="H253" s="557"/>
      <c r="I253" s="56" t="str">
        <f>OBRA!U252</f>
        <v>SERVICIOS ARQUITECTÓNICOS MOAPAL S.A. DE C.V.</v>
      </c>
      <c r="J253" s="172" t="str">
        <f>OBRA!V252</f>
        <v>ING. J. GUADALUPE IBARRA RAMIREZ</v>
      </c>
      <c r="K253" s="35"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508"/>
      <c r="O253" s="69">
        <f>OBRA!Q252</f>
        <v>42895</v>
      </c>
      <c r="P253" s="4">
        <f>OBRA!P252</f>
        <v>527048.46</v>
      </c>
      <c r="Q253" s="4"/>
      <c r="R253" s="5">
        <f>OBRA!R252</f>
        <v>42901</v>
      </c>
      <c r="S253" s="12">
        <f>OBRA!S252</f>
        <v>42922</v>
      </c>
      <c r="T253" s="55"/>
      <c r="U253" s="415" t="s">
        <v>1431</v>
      </c>
      <c r="V253" s="998"/>
      <c r="W253" s="999"/>
      <c r="X253" s="590">
        <f>OBRA!AP252</f>
        <v>52704.84</v>
      </c>
      <c r="Y253" s="5"/>
      <c r="Z253" s="341"/>
      <c r="AA253" s="5"/>
      <c r="AB253" s="351">
        <f>OBRA!BT252</f>
        <v>0</v>
      </c>
      <c r="AC253" s="569" t="s">
        <v>1295</v>
      </c>
      <c r="AE253" s="1"/>
      <c r="AF253" s="1" t="s">
        <v>2282</v>
      </c>
      <c r="AG253" s="1"/>
      <c r="AH253" s="1" t="s">
        <v>2282</v>
      </c>
      <c r="AI253" s="1"/>
      <c r="AJ253" s="1" t="s">
        <v>2282</v>
      </c>
      <c r="AK253" s="1" t="s">
        <v>2282</v>
      </c>
      <c r="AL253" s="1"/>
    </row>
    <row r="254" spans="1:38" ht="306.75" hidden="1" customHeight="1">
      <c r="A254" s="23" t="s">
        <v>2239</v>
      </c>
      <c r="B254" s="933" t="str">
        <f>GRAL!B255</f>
        <v>2015-2018</v>
      </c>
      <c r="C254" s="17">
        <f>OBRA!I253</f>
        <v>2017</v>
      </c>
      <c r="D254" s="19" t="str">
        <f>OBRA!K253</f>
        <v>Fondo de proyectos para el Desarrollo Regional</v>
      </c>
      <c r="E254" s="680" t="s">
        <v>1938</v>
      </c>
      <c r="F254" s="557"/>
      <c r="G254" s="1012"/>
      <c r="H254" s="557"/>
      <c r="I254" s="56" t="str">
        <f>OBRA!U253</f>
        <v>ING. SERGIO CABRERA</v>
      </c>
      <c r="J254" s="172" t="str">
        <f>OBRA!V253</f>
        <v>ING. J. GUADALUPE IBARRA RAMIREZ</v>
      </c>
      <c r="K254" s="35"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OBRA!Q253</f>
        <v>42951</v>
      </c>
      <c r="P254" s="4">
        <f>OBRA!P253</f>
        <v>887214.12</v>
      </c>
      <c r="Q254" s="4"/>
      <c r="R254" s="5">
        <f>OBRA!R253</f>
        <v>42955</v>
      </c>
      <c r="S254" s="12">
        <f>OBRA!S253</f>
        <v>42986</v>
      </c>
      <c r="T254" s="55"/>
      <c r="U254" s="216" t="s">
        <v>1431</v>
      </c>
      <c r="V254" s="654"/>
      <c r="W254" s="1443"/>
      <c r="X254" s="376">
        <f>OBRA!AP253</f>
        <v>177442.82</v>
      </c>
      <c r="Y254" s="5"/>
      <c r="Z254" s="341"/>
      <c r="AA254" s="5"/>
      <c r="AB254" s="351" t="str">
        <f>OBRA!BT253</f>
        <v>CONV 2</v>
      </c>
      <c r="AC254" s="569" t="s">
        <v>551</v>
      </c>
      <c r="AE254" s="1"/>
      <c r="AF254" s="1"/>
      <c r="AG254" s="1"/>
      <c r="AH254" s="1"/>
      <c r="AI254" s="1"/>
      <c r="AJ254" s="1"/>
      <c r="AK254" s="1"/>
      <c r="AL254" s="1"/>
    </row>
    <row r="255" spans="1:38" ht="289.5" hidden="1" customHeight="1">
      <c r="A255" s="23" t="s">
        <v>2239</v>
      </c>
      <c r="B255" s="933" t="str">
        <f>GRAL!B256</f>
        <v>2015-2018</v>
      </c>
      <c r="C255" s="17">
        <f>OBRA!I254</f>
        <v>2017</v>
      </c>
      <c r="D255" s="19" t="str">
        <f>OBRA!K254</f>
        <v>Fondo de proyectos para el Desarrollo Regional</v>
      </c>
      <c r="E255" s="680" t="s">
        <v>1938</v>
      </c>
      <c r="F255" s="557"/>
      <c r="G255" s="1012"/>
      <c r="H255" s="557"/>
      <c r="I255" s="339" t="str">
        <f>OBRA!U254</f>
        <v>GILCO INGENIERIA S.A. DE C.V.</v>
      </c>
      <c r="J255" s="172" t="str">
        <f>OBRA!V254</f>
        <v>ING. J. GUADALUPE IBARRA RAMIREZ</v>
      </c>
      <c r="K255" s="35"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OBRA!Q254</f>
        <v>43021</v>
      </c>
      <c r="P255" s="4">
        <f>OBRA!P254</f>
        <v>197219.12</v>
      </c>
      <c r="Q255" s="4"/>
      <c r="R255" s="5">
        <f>OBRA!R254</f>
        <v>43038</v>
      </c>
      <c r="S255" s="12">
        <f>OBRA!S254</f>
        <v>43100</v>
      </c>
      <c r="T255" s="55"/>
      <c r="U255" s="415" t="s">
        <v>1431</v>
      </c>
      <c r="V255" s="998"/>
      <c r="W255" s="999"/>
      <c r="X255" s="590">
        <f>OBRA!AP254</f>
        <v>0</v>
      </c>
      <c r="Y255" s="5"/>
      <c r="Z255" s="341"/>
      <c r="AA255" s="5"/>
      <c r="AB255" s="351">
        <f>OBRA!BT254</f>
        <v>0</v>
      </c>
      <c r="AC255" s="569" t="s">
        <v>1295</v>
      </c>
      <c r="AE255" s="1"/>
      <c r="AF255" s="1"/>
      <c r="AG255" s="1"/>
      <c r="AH255" s="1"/>
      <c r="AI255" s="1"/>
      <c r="AJ255" s="1" t="s">
        <v>2282</v>
      </c>
      <c r="AK255" s="1" t="s">
        <v>2282</v>
      </c>
      <c r="AL255" s="1"/>
    </row>
    <row r="256" spans="1:38" ht="215.25" hidden="1" customHeight="1">
      <c r="A256" s="23" t="s">
        <v>2239</v>
      </c>
      <c r="B256" s="933" t="str">
        <f>GRAL!B257</f>
        <v>2015-2018</v>
      </c>
      <c r="C256" s="17">
        <f>OBRA!I255</f>
        <v>2017</v>
      </c>
      <c r="D256" s="19" t="str">
        <f>OBRA!K255</f>
        <v>Fondo de proyectos para el Desarrollo Regional</v>
      </c>
      <c r="E256" s="680" t="s">
        <v>1938</v>
      </c>
      <c r="F256" s="557"/>
      <c r="G256" s="1012"/>
      <c r="H256" s="557"/>
      <c r="I256" s="56" t="str">
        <f>OBRA!U255</f>
        <v>A&amp;G URBANIZADORA S.A. DE C.V.</v>
      </c>
      <c r="J256" s="57" t="str">
        <f>OBRA!V255</f>
        <v>ING. J. GUADALUPE IBARRA RAMIREZ</v>
      </c>
      <c r="K256" s="35" t="str">
        <f>OBRA!L255</f>
        <v>GMJ 030C OP/2017</v>
      </c>
      <c r="L256" s="2" t="str">
        <f>OBRA!M255</f>
        <v>ADJUDICACIÓN DIRECTA</v>
      </c>
      <c r="M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OBRA!Q255</f>
        <v>43021</v>
      </c>
      <c r="P256" s="4">
        <f>OBRA!P255</f>
        <v>1185389.8899999999</v>
      </c>
      <c r="Q256" s="4"/>
      <c r="R256" s="5">
        <f>OBRA!R255</f>
        <v>43031</v>
      </c>
      <c r="S256" s="12">
        <f>OBRA!S255</f>
        <v>43100</v>
      </c>
      <c r="T256" s="55"/>
      <c r="U256" s="415" t="s">
        <v>1431</v>
      </c>
      <c r="V256" s="654"/>
      <c r="W256" s="1443"/>
      <c r="X256" s="601">
        <f>OBRA!AP255</f>
        <v>533425.44999999995</v>
      </c>
      <c r="Y256" s="5"/>
      <c r="Z256" s="341"/>
      <c r="AA256" s="5"/>
      <c r="AB256" s="351">
        <f>OBRA!BT255</f>
        <v>0</v>
      </c>
      <c r="AC256" s="569" t="s">
        <v>551</v>
      </c>
      <c r="AE256" s="624"/>
      <c r="AF256" s="624"/>
      <c r="AG256" s="624"/>
      <c r="AH256" s="624"/>
      <c r="AI256" s="624"/>
      <c r="AJ256" s="624"/>
      <c r="AK256" s="624"/>
      <c r="AL256" s="624"/>
    </row>
    <row r="257" spans="1:38" ht="167.25" hidden="1" customHeight="1">
      <c r="A257" s="23" t="s">
        <v>2239</v>
      </c>
      <c r="B257" s="933" t="str">
        <f>GRAL!B258</f>
        <v>2015-2018</v>
      </c>
      <c r="C257" s="17">
        <f>OBRA!I256</f>
        <v>2017</v>
      </c>
      <c r="D257" s="19" t="str">
        <f>OBRA!K256</f>
        <v>Fondo de proyectos para el Desarrollo Regional</v>
      </c>
      <c r="E257" s="680" t="s">
        <v>1937</v>
      </c>
      <c r="F257" s="557"/>
      <c r="G257" s="1012"/>
      <c r="H257" s="557"/>
      <c r="I257" s="339" t="str">
        <f>OBRA!U256</f>
        <v>CONSTRUCCIONES VIKBRAK, S.A. DE C.V.</v>
      </c>
      <c r="J257" s="172" t="str">
        <f>OBRA!V256</f>
        <v>ING. J. GUADALUPE IBARRA RAMIREZ</v>
      </c>
      <c r="K257" s="35"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OBRA!Q256</f>
        <v>42926</v>
      </c>
      <c r="P257" s="4">
        <f>OBRA!P256</f>
        <v>227599.71</v>
      </c>
      <c r="Q257" s="4"/>
      <c r="R257" s="5">
        <f>OBRA!R256</f>
        <v>42928</v>
      </c>
      <c r="S257" s="12">
        <f>OBRA!S256</f>
        <v>43035</v>
      </c>
      <c r="T257" s="55"/>
      <c r="U257" s="415" t="s">
        <v>1431</v>
      </c>
      <c r="V257" s="654"/>
      <c r="W257" s="1443"/>
      <c r="X257" s="601">
        <f>OBRA!AP256</f>
        <v>45519.94</v>
      </c>
      <c r="Y257" s="5"/>
      <c r="Z257" s="341"/>
      <c r="AA257" s="5"/>
      <c r="AB257" s="351">
        <f>OBRA!BT256</f>
        <v>0</v>
      </c>
      <c r="AC257" s="569" t="s">
        <v>1295</v>
      </c>
      <c r="AE257" s="1"/>
      <c r="AF257" s="1" t="s">
        <v>2282</v>
      </c>
      <c r="AG257" s="1"/>
      <c r="AH257" s="1" t="s">
        <v>2282</v>
      </c>
      <c r="AI257" s="1"/>
      <c r="AJ257" s="1"/>
      <c r="AK257" s="1"/>
      <c r="AL257" s="1"/>
    </row>
    <row r="258" spans="1:38" ht="195.75" hidden="1" customHeight="1">
      <c r="A258" s="23" t="s">
        <v>2239</v>
      </c>
      <c r="B258" s="933" t="str">
        <f>GRAL!B259</f>
        <v>2015-2018</v>
      </c>
      <c r="C258" s="17">
        <f>OBRA!I257</f>
        <v>2017</v>
      </c>
      <c r="D258" s="19" t="str">
        <f>OBRA!K257</f>
        <v>Fondo de proyectos para el Desarrollo Regional</v>
      </c>
      <c r="E258" s="680" t="s">
        <v>1937</v>
      </c>
      <c r="F258" s="557"/>
      <c r="G258" s="1012"/>
      <c r="H258" s="557"/>
      <c r="I258" s="339" t="str">
        <f>OBRA!U257</f>
        <v>COLYEST S.A. DE C.V.</v>
      </c>
      <c r="J258" s="172" t="str">
        <f>OBRA!V257</f>
        <v>ING. J. GUADALUPE IBARRA RAMIREZ</v>
      </c>
      <c r="K258" s="180" t="str">
        <f>OBRA!L257</f>
        <v>GMJ 032C OP/2017</v>
      </c>
      <c r="L258" s="202" t="str">
        <f>OBRA!M257</f>
        <v>ADJUDICACIÓN DIRECTA</v>
      </c>
      <c r="M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OBRA!Q257</f>
        <v>42927</v>
      </c>
      <c r="P258" s="85">
        <f>OBRA!P257</f>
        <v>1522376.56</v>
      </c>
      <c r="Q258" s="85"/>
      <c r="R258" s="255">
        <f>OBRA!R257</f>
        <v>42928</v>
      </c>
      <c r="S258" s="245">
        <f>OBRA!S257</f>
        <v>43035</v>
      </c>
      <c r="T258" s="758"/>
      <c r="U258" s="216" t="s">
        <v>1431</v>
      </c>
      <c r="V258" s="654"/>
      <c r="W258" s="1443"/>
      <c r="X258" s="307">
        <f>OBRA!AP257</f>
        <v>152237.65</v>
      </c>
      <c r="Y258" s="5"/>
      <c r="Z258" s="341"/>
      <c r="AA258" s="5"/>
      <c r="AB258" s="351">
        <f>OBRA!BT257</f>
        <v>0</v>
      </c>
      <c r="AC258" s="569" t="s">
        <v>1295</v>
      </c>
      <c r="AE258" s="1"/>
      <c r="AF258" s="1" t="s">
        <v>2282</v>
      </c>
      <c r="AG258" s="1"/>
      <c r="AH258" s="1" t="s">
        <v>2282</v>
      </c>
      <c r="AI258" s="1"/>
      <c r="AJ258" s="1"/>
      <c r="AK258" s="1"/>
      <c r="AL258" s="1"/>
    </row>
    <row r="259" spans="1:38" ht="76.5" hidden="1" customHeight="1">
      <c r="A259" s="23" t="s">
        <v>2239</v>
      </c>
      <c r="B259" s="933" t="str">
        <f>GRAL!B260</f>
        <v>2015-2018</v>
      </c>
      <c r="C259" s="17">
        <f>OBRA!I258</f>
        <v>2017</v>
      </c>
      <c r="D259" s="18" t="str">
        <f>OBRA!K258</f>
        <v>RAMO 33</v>
      </c>
      <c r="E259" s="525" t="s">
        <v>1431</v>
      </c>
      <c r="F259" s="997"/>
      <c r="G259" s="1012"/>
      <c r="H259" s="557"/>
      <c r="I259" s="339" t="str">
        <f>OBRA!U258</f>
        <v>ING. SERGIO CABRERA</v>
      </c>
      <c r="J259" s="172" t="str">
        <f>OBRA!V258</f>
        <v>ING. J. GUADALUPE IBARRA RAMIREZ</v>
      </c>
      <c r="K259" s="180" t="str">
        <f>OBRA!L258</f>
        <v>GMJ 033C OP/2017</v>
      </c>
      <c r="L259" s="202" t="str">
        <f>OBRA!M258</f>
        <v>ADJUDICACIÓN DIRECTA</v>
      </c>
      <c r="M259" s="328" t="str">
        <f>OBRA!N258</f>
        <v>REHABILITACION DE RED DE DRENAJE EN CALLE 21 DE MARZO, DE OTOÑO A PRIMAVERA, EN EL MUNICIPIO DE JOCOTEPEC, JALISCO</v>
      </c>
      <c r="N259" s="554"/>
      <c r="O259" s="69">
        <f>OBRA!Q258</f>
        <v>43028</v>
      </c>
      <c r="P259" s="85">
        <f>OBRA!P258</f>
        <v>275105.09999999998</v>
      </c>
      <c r="Q259" s="85"/>
      <c r="R259" s="255">
        <f>OBRA!R258</f>
        <v>43031</v>
      </c>
      <c r="S259" s="245">
        <f>OBRA!S258</f>
        <v>43039</v>
      </c>
      <c r="T259" s="758"/>
      <c r="U259" s="216" t="s">
        <v>1431</v>
      </c>
      <c r="V259" s="654"/>
      <c r="W259" s="1443"/>
      <c r="X259" s="729">
        <f>OBRA!AP258</f>
        <v>55021.02</v>
      </c>
      <c r="Y259" s="5"/>
      <c r="Z259" s="341"/>
      <c r="AA259" s="5"/>
      <c r="AB259" s="351">
        <f>OBRA!BT258</f>
        <v>0</v>
      </c>
      <c r="AC259" s="569" t="s">
        <v>1295</v>
      </c>
      <c r="AE259" s="1"/>
      <c r="AF259" s="1" t="s">
        <v>2282</v>
      </c>
      <c r="AG259" s="1" t="s">
        <v>2282</v>
      </c>
      <c r="AH259" s="1" t="s">
        <v>2282</v>
      </c>
      <c r="AI259" s="1"/>
      <c r="AJ259" s="1" t="s">
        <v>2282</v>
      </c>
      <c r="AK259" s="1" t="s">
        <v>2282</v>
      </c>
      <c r="AL259" s="1"/>
    </row>
    <row r="260" spans="1:38" ht="76.5" hidden="1" customHeight="1">
      <c r="A260" s="23" t="s">
        <v>2239</v>
      </c>
      <c r="B260" s="933" t="str">
        <f>GRAL!B261</f>
        <v>2015-2018</v>
      </c>
      <c r="C260" s="17">
        <f>OBRA!I259</f>
        <v>2017</v>
      </c>
      <c r="D260" s="18" t="str">
        <f>OBRA!K259</f>
        <v>RAMO 33</v>
      </c>
      <c r="E260" s="525" t="s">
        <v>1431</v>
      </c>
      <c r="F260" s="557"/>
      <c r="G260" s="1012"/>
      <c r="H260" s="557"/>
      <c r="I260" s="753" t="str">
        <f>OBRA!U259</f>
        <v>ING. SERGIO CABRERA</v>
      </c>
      <c r="J260" s="1002" t="str">
        <f>OBRA!V259</f>
        <v>ING. J. GUADALUPE IBARRA RAMIREZ</v>
      </c>
      <c r="K260" s="266" t="str">
        <f>OBRA!L259</f>
        <v>GMJ 034C OP/2017</v>
      </c>
      <c r="L260" s="426" t="str">
        <f>OBRA!M259</f>
        <v>ADJUDICACIÓN DIRECTA</v>
      </c>
      <c r="M260" s="780" t="str">
        <f>OBRA!N259</f>
        <v>REHABILITACIÓN DE RED DE AGUA POTABLE EN CALLE 21 DE MARZO DE OTOÑO A PRIMAVERA, EN EL MUNICIPIO DE JOCOTEPEC, JALISCO</v>
      </c>
      <c r="N260" s="717"/>
      <c r="O260" s="767">
        <f>OBRA!Q259</f>
        <v>43028</v>
      </c>
      <c r="P260" s="215">
        <f>OBRA!P259</f>
        <v>185828.12</v>
      </c>
      <c r="Q260" s="215"/>
      <c r="R260" s="60">
        <f>OBRA!R259</f>
        <v>43035</v>
      </c>
      <c r="S260" s="61">
        <f>OBRA!S259</f>
        <v>43041</v>
      </c>
      <c r="T260" s="1588"/>
      <c r="U260" s="415" t="s">
        <v>1431</v>
      </c>
      <c r="V260" s="654"/>
      <c r="W260" s="1443"/>
      <c r="X260" s="729">
        <f>OBRA!AP259</f>
        <v>37165.620000000003</v>
      </c>
      <c r="Y260" s="5"/>
      <c r="Z260" s="341"/>
      <c r="AA260" s="5"/>
      <c r="AB260" s="351">
        <f>OBRA!BT259</f>
        <v>0</v>
      </c>
      <c r="AC260" s="569" t="s">
        <v>551</v>
      </c>
      <c r="AE260" s="1"/>
      <c r="AF260" s="1" t="s">
        <v>2282</v>
      </c>
      <c r="AG260" s="1" t="s">
        <v>2282</v>
      </c>
      <c r="AH260" s="1" t="s">
        <v>2282</v>
      </c>
      <c r="AI260" s="1"/>
      <c r="AJ260" s="1" t="s">
        <v>2282</v>
      </c>
      <c r="AK260" s="1" t="s">
        <v>2282</v>
      </c>
      <c r="AL260" s="1"/>
    </row>
    <row r="261" spans="1:38" ht="104.25" hidden="1" customHeight="1">
      <c r="A261" s="23" t="s">
        <v>2239</v>
      </c>
      <c r="B261" s="933" t="str">
        <f>GRAL!B262</f>
        <v>2015-2018</v>
      </c>
      <c r="C261" s="17">
        <f>OBRA!I260</f>
        <v>2017</v>
      </c>
      <c r="D261" s="18" t="str">
        <f>OBRA!K260</f>
        <v>RAMO 33</v>
      </c>
      <c r="E261" s="525" t="s">
        <v>1431</v>
      </c>
      <c r="F261" s="557"/>
      <c r="G261" s="1012"/>
      <c r="H261" s="557"/>
      <c r="I261" s="56" t="str">
        <f>OBRA!U260</f>
        <v>ING. SERGIO CABRERA</v>
      </c>
      <c r="J261" s="172" t="str">
        <f>OBRA!V260</f>
        <v>ING. ANGEL ALBERTO HERNANDEZ MORA</v>
      </c>
      <c r="K261" s="35" t="str">
        <f>OBRA!L260</f>
        <v>GMJ 035C OP/2017</v>
      </c>
      <c r="L261" s="2" t="str">
        <f>OBRA!M260</f>
        <v>ADJUDICACIÓN DIRECTA</v>
      </c>
      <c r="M261" s="3" t="str">
        <f>OBRA!N260</f>
        <v>REHABILITACIÓN DE RED DE DRENAJE EN PRIVADA LIBERTAD, EN LA AGENCIA MUNICIPAL DE NEXTIPAC, DEL MUNICIPIO DE JOCOTEPEC, JALISCO</v>
      </c>
      <c r="N261" s="554"/>
      <c r="O261" s="69">
        <f>OBRA!Q260</f>
        <v>42954</v>
      </c>
      <c r="P261" s="4">
        <f>OBRA!P260</f>
        <v>181893.05</v>
      </c>
      <c r="Q261" s="4"/>
      <c r="R261" s="5">
        <f>OBRA!R260</f>
        <v>42956</v>
      </c>
      <c r="S261" s="12">
        <f>OBRA!S260</f>
        <v>42970</v>
      </c>
      <c r="T261" s="55"/>
      <c r="U261" s="415" t="s">
        <v>1431</v>
      </c>
      <c r="V261" s="654"/>
      <c r="W261" s="807"/>
      <c r="X261" s="376">
        <f>OBRA!AP260</f>
        <v>36378.6</v>
      </c>
      <c r="Y261" s="5"/>
      <c r="Z261" s="341"/>
      <c r="AA261" s="5"/>
      <c r="AB261" s="351">
        <f>OBRA!BT260</f>
        <v>0</v>
      </c>
      <c r="AC261" s="569" t="s">
        <v>551</v>
      </c>
      <c r="AE261" s="624"/>
      <c r="AF261" s="624"/>
      <c r="AG261" s="624"/>
      <c r="AH261" s="624"/>
      <c r="AI261" s="624"/>
      <c r="AJ261" s="624"/>
      <c r="AK261" s="624"/>
      <c r="AL261" s="624"/>
    </row>
    <row r="262" spans="1:38" ht="105.75" hidden="1" customHeight="1">
      <c r="A262" s="23" t="s">
        <v>2239</v>
      </c>
      <c r="B262" s="933" t="str">
        <f>GRAL!B263</f>
        <v>2015-2018</v>
      </c>
      <c r="C262" s="17">
        <f>OBRA!I261</f>
        <v>2017</v>
      </c>
      <c r="D262" s="18" t="str">
        <f>OBRA!K261</f>
        <v>RAMO 33</v>
      </c>
      <c r="E262" s="525" t="s">
        <v>1431</v>
      </c>
      <c r="F262" s="557"/>
      <c r="G262" s="1012"/>
      <c r="H262" s="557"/>
      <c r="I262" s="56" t="str">
        <f>OBRA!U261</f>
        <v>ING. SERGIO CABRERA</v>
      </c>
      <c r="J262" s="172" t="str">
        <f>OBRA!V261</f>
        <v>ING. ANGEL ALBERTO HERNANDEZ MORA</v>
      </c>
      <c r="K262" s="35" t="str">
        <f>OBRA!L261</f>
        <v>GMJ 036C OP/2017</v>
      </c>
      <c r="L262" s="2" t="str">
        <f>OBRA!M261</f>
        <v>ADJUDICACIÓN DIRECTA</v>
      </c>
      <c r="M262" s="3" t="str">
        <f>OBRA!N261</f>
        <v>CONSTRUCCIÓN DE EMPEDRADO ECOLOGICO EN PRIVADA LIBERTAD, EN LA AGENCIA MUNICIPAL DE NEXTIPAC, DEL MUNICIPIO DE JOCOTEPEC, JALISCO</v>
      </c>
      <c r="N262" s="554"/>
      <c r="O262" s="69">
        <f>OBRA!Q261</f>
        <v>42968</v>
      </c>
      <c r="P262" s="4">
        <f>OBRA!P261</f>
        <v>237009.82</v>
      </c>
      <c r="Q262" s="4"/>
      <c r="R262" s="5">
        <f>OBRA!R261</f>
        <v>42970</v>
      </c>
      <c r="S262" s="12">
        <f>OBRA!S261</f>
        <v>42985</v>
      </c>
      <c r="T262" s="55"/>
      <c r="U262" s="415" t="s">
        <v>1431</v>
      </c>
      <c r="V262" s="654"/>
      <c r="W262" s="654"/>
      <c r="X262" s="307">
        <f>OBRA!AP261</f>
        <v>23700.98</v>
      </c>
      <c r="Y262" s="5"/>
      <c r="Z262" s="341"/>
      <c r="AA262" s="5"/>
      <c r="AB262" s="351">
        <f>OBRA!BT261</f>
        <v>0</v>
      </c>
      <c r="AC262" s="569" t="s">
        <v>1295</v>
      </c>
      <c r="AE262" s="1"/>
      <c r="AF262" s="1"/>
      <c r="AG262" s="1"/>
      <c r="AH262" s="1"/>
      <c r="AI262" s="1"/>
      <c r="AJ262" s="1" t="s">
        <v>2282</v>
      </c>
      <c r="AK262" s="1" t="s">
        <v>2282</v>
      </c>
      <c r="AL262" s="1"/>
    </row>
    <row r="263" spans="1:38" ht="90.75" hidden="1" customHeight="1">
      <c r="A263" s="23" t="s">
        <v>2239</v>
      </c>
      <c r="B263" s="933" t="str">
        <f>GRAL!B264</f>
        <v>2015-2018</v>
      </c>
      <c r="C263" s="17">
        <f>OBRA!I262</f>
        <v>2017</v>
      </c>
      <c r="D263" s="18" t="str">
        <f>OBRA!K262</f>
        <v>RAMO 33</v>
      </c>
      <c r="E263" s="525" t="s">
        <v>1431</v>
      </c>
      <c r="F263" s="557"/>
      <c r="G263" s="1012"/>
      <c r="H263" s="557"/>
      <c r="I263" s="56" t="str">
        <f>OBRA!U262</f>
        <v>ING. SERGIO CABRERA</v>
      </c>
      <c r="J263" s="172" t="str">
        <f>OBRA!V262</f>
        <v>ING. ANGEL ALBERTO HERNANDEZ MORA</v>
      </c>
      <c r="K263" s="35" t="str">
        <f>OBRA!L262</f>
        <v>GMJ 037C OP/2017</v>
      </c>
      <c r="L263" s="2" t="str">
        <f>OBRA!M262</f>
        <v>ADJUDICACIÓN DIRECTA</v>
      </c>
      <c r="M263" s="3" t="str">
        <f>OBRA!N262</f>
        <v>REHABILITACIÓN DE RED DE DRENAJE EN CALLE LIBERTAD, EN LA AGENCIA MUNICIPAL DE NEXTIPAC, DEL MUNICIPIO DE JOCOTEPEC</v>
      </c>
      <c r="N263" s="554"/>
      <c r="O263" s="6">
        <f>OBRA!Q262</f>
        <v>42948</v>
      </c>
      <c r="P263" s="4">
        <f>OBRA!P262</f>
        <v>93422.64</v>
      </c>
      <c r="Q263" s="4"/>
      <c r="R263" s="5">
        <f>OBRA!R262</f>
        <v>42950</v>
      </c>
      <c r="S263" s="12">
        <f>OBRA!S262</f>
        <v>42957</v>
      </c>
      <c r="T263" s="55"/>
      <c r="U263" s="415" t="s">
        <v>1431</v>
      </c>
      <c r="V263" s="654"/>
      <c r="W263" s="807"/>
      <c r="X263" s="601">
        <f>OBRA!AP262</f>
        <v>18684.52</v>
      </c>
      <c r="Y263" s="5"/>
      <c r="Z263" s="341"/>
      <c r="AA263" s="5"/>
      <c r="AB263" s="351">
        <f>OBRA!BT262</f>
        <v>0</v>
      </c>
      <c r="AC263" s="569" t="s">
        <v>551</v>
      </c>
      <c r="AE263" s="624"/>
      <c r="AF263" s="624"/>
      <c r="AG263" s="624"/>
      <c r="AH263" s="624"/>
      <c r="AI263" s="624"/>
      <c r="AJ263" s="624"/>
      <c r="AK263" s="624"/>
      <c r="AL263" s="624"/>
    </row>
    <row r="264" spans="1:38" ht="102.75" hidden="1" customHeight="1">
      <c r="A264" s="23" t="s">
        <v>2239</v>
      </c>
      <c r="B264" s="933" t="str">
        <f>GRAL!B265</f>
        <v>2015-2018</v>
      </c>
      <c r="C264" s="17">
        <f>OBRA!I263</f>
        <v>2017</v>
      </c>
      <c r="D264" s="18" t="str">
        <f>OBRA!K263</f>
        <v>RAMO 33</v>
      </c>
      <c r="E264" s="525" t="s">
        <v>1431</v>
      </c>
      <c r="F264" s="557"/>
      <c r="G264" s="1012"/>
      <c r="H264" s="557"/>
      <c r="I264" s="56" t="str">
        <f>OBRA!U263</f>
        <v>ING. SERGIO CABRERA</v>
      </c>
      <c r="J264" s="172" t="str">
        <f>OBRA!V263</f>
        <v>ING. ANGEL ALBERTO HERNANDEZ MORA</v>
      </c>
      <c r="K264" s="35"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54"/>
      <c r="O264" s="6">
        <f>OBRA!Q263</f>
        <v>42983</v>
      </c>
      <c r="P264" s="4">
        <f>OBRA!P263</f>
        <v>329150.28999999998</v>
      </c>
      <c r="Q264" s="4"/>
      <c r="R264" s="5">
        <f>OBRA!R263</f>
        <v>42985</v>
      </c>
      <c r="S264" s="12">
        <f>OBRA!S263</f>
        <v>42995</v>
      </c>
      <c r="T264" s="55"/>
      <c r="U264" s="415" t="s">
        <v>1431</v>
      </c>
      <c r="V264" s="654"/>
      <c r="W264" s="807"/>
      <c r="X264" s="601">
        <f>OBRA!AP263</f>
        <v>65830.039999999994</v>
      </c>
      <c r="Y264" s="5"/>
      <c r="Z264" s="341"/>
      <c r="AA264" s="5"/>
      <c r="AB264" s="351">
        <f>OBRA!BT263</f>
        <v>0</v>
      </c>
      <c r="AC264" s="569" t="s">
        <v>551</v>
      </c>
      <c r="AE264" s="624"/>
      <c r="AF264" s="624"/>
      <c r="AG264" s="624"/>
      <c r="AH264" s="624"/>
      <c r="AI264" s="624"/>
      <c r="AJ264" s="624"/>
      <c r="AK264" s="624"/>
      <c r="AL264" s="624"/>
    </row>
    <row r="265" spans="1:38" s="110" customFormat="1" ht="30" hidden="1" customHeight="1">
      <c r="A265" s="87" t="s">
        <v>2239</v>
      </c>
      <c r="B265" s="946" t="str">
        <f>GRAL!B266</f>
        <v>2012-2015</v>
      </c>
      <c r="C265" s="88">
        <f>OBRA!I264</f>
        <v>2017</v>
      </c>
      <c r="D265" s="103">
        <f>OBRA!K264</f>
        <v>0</v>
      </c>
      <c r="E265" s="526" t="s">
        <v>1431</v>
      </c>
      <c r="F265" s="392"/>
      <c r="G265" s="102"/>
      <c r="H265" s="392"/>
      <c r="I265" s="159">
        <f>OBRA!U264</f>
        <v>0</v>
      </c>
      <c r="J265" s="160">
        <f>OBRA!V264</f>
        <v>0</v>
      </c>
      <c r="K265" s="340" t="str">
        <f>OBRA!L264</f>
        <v>GMJ 039C OP/2017</v>
      </c>
      <c r="L265" s="203" t="str">
        <f>OBRA!M264</f>
        <v>CANCELADA</v>
      </c>
      <c r="M265" s="112" t="str">
        <f>OBRA!N264</f>
        <v>CANCELADO</v>
      </c>
      <c r="N265" s="132"/>
      <c r="O265" s="93">
        <f>OBRA!Q264</f>
        <v>0</v>
      </c>
      <c r="P265" s="92">
        <f>OBRA!P264</f>
        <v>0</v>
      </c>
      <c r="Q265" s="92"/>
      <c r="R265" s="94">
        <f>OBRA!R264</f>
        <v>0</v>
      </c>
      <c r="S265" s="95">
        <f>OBRA!S264</f>
        <v>0</v>
      </c>
      <c r="T265" s="97"/>
      <c r="U265" s="785" t="s">
        <v>1431</v>
      </c>
      <c r="V265" s="343"/>
      <c r="W265" s="95"/>
      <c r="X265" s="311">
        <f>OBRA!AP264</f>
        <v>0</v>
      </c>
      <c r="Y265" s="343"/>
      <c r="Z265" s="343"/>
      <c r="AA265" s="94"/>
      <c r="AB265" s="511">
        <f>OBRA!BT264</f>
        <v>0</v>
      </c>
      <c r="AC265" s="570"/>
    </row>
    <row r="266" spans="1:38" ht="105" hidden="1" customHeight="1">
      <c r="A266" s="23" t="s">
        <v>2239</v>
      </c>
      <c r="B266" s="933" t="str">
        <f>GRAL!B267</f>
        <v>2015-2018</v>
      </c>
      <c r="C266" s="17">
        <f>OBRA!I265</f>
        <v>2017</v>
      </c>
      <c r="D266" s="18" t="str">
        <f>OBRA!K265</f>
        <v>RAMO 33</v>
      </c>
      <c r="E266" s="525" t="s">
        <v>1431</v>
      </c>
      <c r="F266" s="557"/>
      <c r="G266" s="1012"/>
      <c r="H266" s="557"/>
      <c r="I266" s="56" t="str">
        <f>OBRA!U265</f>
        <v>SERVICIOS ARQUITECTÓNICOS MOAPAL S.A. DE C.V.</v>
      </c>
      <c r="J266" s="172" t="str">
        <f>OBRA!V265</f>
        <v>ING. ANGEL ALBERTO HERNANDEZ MORA</v>
      </c>
      <c r="K266" s="35" t="str">
        <f>OBRA!L265</f>
        <v>GMJ 040C OP/2017</v>
      </c>
      <c r="L266" s="2" t="str">
        <f>OBRA!M265</f>
        <v>ADJUDICACIÓN DIRECTA</v>
      </c>
      <c r="M266" s="3" t="str">
        <f>OBRA!N265</f>
        <v>CONSTRUCCIÓN DE RED DE DRENAJE EN EL BARRIO CONOCIDO COMO EL TORIL EN LA LOCALIDAD DE ZAPOTITAN DE HIDALGO DEL MUNICIPIO DE JOCOTEPEC, JALISCO</v>
      </c>
      <c r="N266" s="554"/>
      <c r="O266" s="6">
        <f>OBRA!Q265</f>
        <v>42965</v>
      </c>
      <c r="P266" s="4">
        <f>OBRA!P265</f>
        <v>965876.67</v>
      </c>
      <c r="Q266" s="4"/>
      <c r="R266" s="5">
        <f>OBRA!R265</f>
        <v>42968</v>
      </c>
      <c r="S266" s="12">
        <f>OBRA!S265</f>
        <v>43000</v>
      </c>
      <c r="T266" s="55"/>
      <c r="U266" s="415" t="s">
        <v>1431</v>
      </c>
      <c r="V266" s="654"/>
      <c r="W266" s="1011"/>
      <c r="X266" s="376">
        <f>OBRA!AP265</f>
        <v>96587.66</v>
      </c>
      <c r="Y266" s="5"/>
      <c r="Z266" s="341"/>
      <c r="AA266" s="5"/>
      <c r="AB266" s="351">
        <f>OBRA!BT265</f>
        <v>0</v>
      </c>
      <c r="AC266" s="569" t="s">
        <v>551</v>
      </c>
      <c r="AE266" s="624"/>
      <c r="AF266" s="624"/>
      <c r="AG266" s="624"/>
      <c r="AH266" s="624"/>
      <c r="AI266" s="624"/>
      <c r="AJ266" s="624"/>
      <c r="AK266" s="624"/>
      <c r="AL266" s="624"/>
    </row>
    <row r="267" spans="1:38" ht="105" hidden="1" customHeight="1">
      <c r="A267" s="23" t="s">
        <v>2239</v>
      </c>
      <c r="B267" s="933" t="str">
        <f>GRAL!B268</f>
        <v>2015-2018</v>
      </c>
      <c r="C267" s="17">
        <f>OBRA!I266</f>
        <v>2017</v>
      </c>
      <c r="D267" s="18" t="str">
        <f>OBRA!K266</f>
        <v>RAMO 33</v>
      </c>
      <c r="E267" s="525" t="s">
        <v>1431</v>
      </c>
      <c r="F267" s="1129"/>
      <c r="G267" s="1012"/>
      <c r="H267" s="557"/>
      <c r="I267" s="56" t="str">
        <f>OBRA!U266</f>
        <v xml:space="preserve">GRUPO DESARROLLADOR INMOBILIARIO CEMERAMA S.A. DE C.V. </v>
      </c>
      <c r="J267" s="57" t="str">
        <f>OBRA!V266</f>
        <v>LIC. SALVADOR CONTRERAS OLGUÍN</v>
      </c>
      <c r="K267" s="35" t="str">
        <f>OBRA!L266</f>
        <v>GMJ 041C OP/2017</v>
      </c>
      <c r="L267" s="2" t="str">
        <f>OBRA!M266</f>
        <v>ADJUDICACIÓN DIRECTA</v>
      </c>
      <c r="M267" s="3" t="str">
        <f>OBRA!N266</f>
        <v>CONSTRUCCIÓN DE CASETA DE CONTROL Y CUARTO DE CLORACIÓN PARA EL POZO DE LA PLAZOLETA EL CHANTE, DELEGACIÓN DE CHANTEPEC, JOCOTEPEC JALISCO</v>
      </c>
      <c r="N267" s="554"/>
      <c r="O267" s="6">
        <f>OBRA!Q266</f>
        <v>42948</v>
      </c>
      <c r="P267" s="4">
        <f>OBRA!P266</f>
        <v>185695.33</v>
      </c>
      <c r="Q267" s="4"/>
      <c r="R267" s="5">
        <f>OBRA!R266</f>
        <v>42950</v>
      </c>
      <c r="S267" s="12">
        <f>OBRA!S266</f>
        <v>42978</v>
      </c>
      <c r="T267" s="55"/>
      <c r="U267" s="415" t="s">
        <v>1431</v>
      </c>
      <c r="V267" s="557"/>
      <c r="W267" s="1011"/>
      <c r="X267" s="306">
        <f>OBRA!AP266</f>
        <v>37139.06</v>
      </c>
      <c r="Y267" s="5"/>
      <c r="Z267" s="341"/>
      <c r="AA267" s="5"/>
      <c r="AB267" s="351">
        <f>OBRA!BT266</f>
        <v>0</v>
      </c>
      <c r="AC267" s="569" t="s">
        <v>551</v>
      </c>
      <c r="AE267" s="1"/>
      <c r="AF267" s="1"/>
      <c r="AG267" s="1"/>
      <c r="AH267" s="1"/>
      <c r="AI267" s="1"/>
      <c r="AJ267" s="1"/>
      <c r="AK267" s="1"/>
      <c r="AL267" s="1"/>
    </row>
    <row r="268" spans="1:38" ht="105" hidden="1" customHeight="1">
      <c r="A268" s="23" t="s">
        <v>2239</v>
      </c>
      <c r="B268" s="933" t="str">
        <f>GRAL!B269</f>
        <v>2015-2018</v>
      </c>
      <c r="C268" s="17">
        <f>OBRA!I267</f>
        <v>-2016</v>
      </c>
      <c r="D268" s="18" t="str">
        <f>OBRA!K267</f>
        <v>RAMO 33</v>
      </c>
      <c r="E268" s="525" t="s">
        <v>1431</v>
      </c>
      <c r="F268" s="552" t="s">
        <v>1951</v>
      </c>
      <c r="G268" s="580" t="s">
        <v>1953</v>
      </c>
      <c r="H268" s="552" t="s">
        <v>1952</v>
      </c>
      <c r="I268" s="56" t="str">
        <f>OBRA!U267</f>
        <v>ENERGIAS RENOVABLES DE LA RIVERA S.A. DE C.V</v>
      </c>
      <c r="J268" s="57" t="str">
        <f>OBRA!V267</f>
        <v>ING. RIGOBERTO OLMEDO RAMOS</v>
      </c>
      <c r="K268" s="35"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54" t="s">
        <v>1950</v>
      </c>
      <c r="O268" s="6">
        <f>OBRA!Q267</f>
        <v>42951</v>
      </c>
      <c r="P268" s="4">
        <f>OBRA!P267</f>
        <v>360000</v>
      </c>
      <c r="Q268" s="4"/>
      <c r="R268" s="5">
        <f>OBRA!R267</f>
        <v>42954</v>
      </c>
      <c r="S268" s="12">
        <f>OBRA!S267</f>
        <v>42973</v>
      </c>
      <c r="T268" s="55"/>
      <c r="U268" s="415" t="s">
        <v>1431</v>
      </c>
      <c r="V268" s="549" t="s">
        <v>1954</v>
      </c>
      <c r="W268" s="668" t="s">
        <v>2298</v>
      </c>
      <c r="X268" s="601">
        <f>OBRA!AP267</f>
        <v>72000</v>
      </c>
      <c r="Y268" s="5"/>
      <c r="Z268" s="341"/>
      <c r="AA268" s="5"/>
      <c r="AB268" s="351">
        <f>OBRA!BT267</f>
        <v>0</v>
      </c>
      <c r="AC268" s="569" t="s">
        <v>551</v>
      </c>
      <c r="AE268" s="1"/>
      <c r="AF268" s="1" t="s">
        <v>2282</v>
      </c>
      <c r="AG268" s="1" t="s">
        <v>2282</v>
      </c>
      <c r="AH268" s="1" t="s">
        <v>2282</v>
      </c>
      <c r="AI268" s="1"/>
      <c r="AJ268" s="1" t="s">
        <v>2282</v>
      </c>
      <c r="AK268" s="1" t="s">
        <v>2282</v>
      </c>
      <c r="AL268" s="1"/>
    </row>
    <row r="269" spans="1:38" ht="105" hidden="1" customHeight="1">
      <c r="A269" s="23" t="s">
        <v>2239</v>
      </c>
      <c r="B269" s="933" t="str">
        <f>GRAL!B270</f>
        <v>2015-2018</v>
      </c>
      <c r="C269" s="17">
        <f>OBRA!I268</f>
        <v>2017</v>
      </c>
      <c r="D269" s="18" t="str">
        <f>OBRA!K268</f>
        <v>CUENTA CORRIENTE</v>
      </c>
      <c r="E269" s="525" t="s">
        <v>1431</v>
      </c>
      <c r="F269" s="997"/>
      <c r="G269" s="1012"/>
      <c r="H269" s="557"/>
      <c r="I269" s="753" t="str">
        <f>OBRA!U268</f>
        <v>ELECTRIFICACIONES MUGA, S.A. DE C.V.</v>
      </c>
      <c r="J269" s="57" t="str">
        <f>OBRA!V268</f>
        <v>C. DANIEL RODRIGUEZ VALENZUELA</v>
      </c>
      <c r="K269" s="35" t="str">
        <f>OBRA!L268</f>
        <v>GMJ 043C OP/2017</v>
      </c>
      <c r="L269" s="2" t="str">
        <f>OBRA!M268</f>
        <v>ADJUDICACIÓN DIRECTA</v>
      </c>
      <c r="M269" s="3" t="str">
        <f>OBRA!N268</f>
        <v>ELECTRIFICACIÓN DE LA SUBDIVICION DE LAS AREAS DE CESION DE VISTA DEL ANGEL, EN LA LOCALIDAD DE SAN JUAN COSALA DEL MUNICIPIO DE JOCOTEPEC, JALISCO</v>
      </c>
      <c r="N269" s="554"/>
      <c r="O269" s="69">
        <f>OBRA!Q268</f>
        <v>42916</v>
      </c>
      <c r="P269" s="4">
        <f>OBRA!P268</f>
        <v>729291.31</v>
      </c>
      <c r="Q269" s="4"/>
      <c r="R269" s="5">
        <f>OBRA!R268</f>
        <v>42917</v>
      </c>
      <c r="S269" s="12">
        <f>OBRA!S268</f>
        <v>43158</v>
      </c>
      <c r="T269" s="55"/>
      <c r="U269" s="415" t="s">
        <v>1431</v>
      </c>
      <c r="V269" s="654"/>
      <c r="W269" s="999"/>
      <c r="X269" s="307">
        <f>OBRA!AP268</f>
        <v>0</v>
      </c>
      <c r="Y269" s="5"/>
      <c r="Z269" s="341"/>
      <c r="AA269" s="5"/>
      <c r="AB269" s="351">
        <f>OBRA!BT268</f>
        <v>0</v>
      </c>
      <c r="AC269" s="569" t="s">
        <v>1295</v>
      </c>
      <c r="AE269" s="1"/>
      <c r="AF269" s="1" t="s">
        <v>2282</v>
      </c>
      <c r="AG269" s="1" t="s">
        <v>2282</v>
      </c>
      <c r="AH269" s="1" t="s">
        <v>2282</v>
      </c>
      <c r="AI269" s="1"/>
      <c r="AJ269" s="1" t="s">
        <v>2282</v>
      </c>
      <c r="AK269" s="1" t="s">
        <v>2282</v>
      </c>
      <c r="AL269" s="1"/>
    </row>
    <row r="270" spans="1:38" s="110" customFormat="1" ht="30" hidden="1" customHeight="1">
      <c r="A270" s="87" t="s">
        <v>2239</v>
      </c>
      <c r="B270" s="946" t="str">
        <f>GRAL!B271</f>
        <v>2012-2015</v>
      </c>
      <c r="C270" s="88">
        <f>OBRA!I269</f>
        <v>2017</v>
      </c>
      <c r="D270" s="103">
        <f>OBRA!K269</f>
        <v>0</v>
      </c>
      <c r="E270" s="526" t="s">
        <v>1431</v>
      </c>
      <c r="F270" s="392"/>
      <c r="G270" s="102"/>
      <c r="H270" s="392"/>
      <c r="I270" s="159" t="str">
        <f>OBRA!U269</f>
        <v>-</v>
      </c>
      <c r="J270" s="160" t="str">
        <f>OBRA!V269</f>
        <v>-</v>
      </c>
      <c r="K270" s="340" t="str">
        <f>OBRA!L269</f>
        <v>GMJ 044C OP/2017</v>
      </c>
      <c r="L270" s="203" t="str">
        <f>OBRA!M269</f>
        <v>CANCELADA</v>
      </c>
      <c r="M270" s="112">
        <f>OBRA!N269</f>
        <v>0</v>
      </c>
      <c r="N270" s="132"/>
      <c r="O270" s="93">
        <f>OBRA!Q269</f>
        <v>0</v>
      </c>
      <c r="P270" s="92">
        <f>OBRA!P269</f>
        <v>0</v>
      </c>
      <c r="Q270" s="92"/>
      <c r="R270" s="94">
        <f>OBRA!R269</f>
        <v>0</v>
      </c>
      <c r="S270" s="95">
        <f>OBRA!S269</f>
        <v>0</v>
      </c>
      <c r="T270" s="97"/>
      <c r="U270" s="785" t="s">
        <v>1431</v>
      </c>
      <c r="V270" s="343"/>
      <c r="W270" s="95"/>
      <c r="X270" s="311">
        <f>OBRA!AP269</f>
        <v>0</v>
      </c>
      <c r="Y270" s="94"/>
      <c r="Z270" s="343"/>
      <c r="AA270" s="94"/>
      <c r="AB270" s="511">
        <f>OBRA!BT269</f>
        <v>0</v>
      </c>
      <c r="AC270" s="570"/>
      <c r="AE270" s="102"/>
      <c r="AF270" s="102" t="s">
        <v>2282</v>
      </c>
      <c r="AG270" s="102" t="s">
        <v>2282</v>
      </c>
      <c r="AH270" s="102" t="s">
        <v>2282</v>
      </c>
      <c r="AI270" s="102"/>
      <c r="AJ270" s="102" t="s">
        <v>2282</v>
      </c>
      <c r="AK270" s="102" t="s">
        <v>2282</v>
      </c>
      <c r="AL270" s="102"/>
    </row>
    <row r="271" spans="1:38" ht="30" hidden="1" customHeight="1">
      <c r="A271" s="23" t="s">
        <v>2239</v>
      </c>
      <c r="B271" s="933" t="str">
        <f>GRAL!B272</f>
        <v>2015-2018</v>
      </c>
      <c r="C271" s="17">
        <f>OBRA!I270</f>
        <v>2017</v>
      </c>
      <c r="D271" s="18" t="str">
        <f>OBRA!K270</f>
        <v>FONDEREG</v>
      </c>
      <c r="E271" s="525"/>
      <c r="F271" s="390"/>
      <c r="G271" s="1"/>
      <c r="H271" s="390"/>
      <c r="I271" s="56" t="str">
        <f>OBRA!U270</f>
        <v xml:space="preserve">GRUPO DESARROLLADOR INMOBILIARIO CEMERAMA S.A. DE C.V. </v>
      </c>
      <c r="J271" s="57" t="str">
        <f>OBRA!V270</f>
        <v xml:space="preserve">LIC. SALVADOR CONTRERAS </v>
      </c>
      <c r="K271" s="35"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2">
        <f>OBRA!S270</f>
        <v>43054</v>
      </c>
      <c r="T271" s="55"/>
      <c r="U271" s="415" t="s">
        <v>1431</v>
      </c>
      <c r="V271" s="341"/>
      <c r="W271" s="12"/>
      <c r="X271" s="306">
        <f>OBRA!AP270</f>
        <v>1550258.96</v>
      </c>
      <c r="Y271" s="341"/>
      <c r="Z271" s="341"/>
      <c r="AA271" s="5"/>
      <c r="AB271" s="351">
        <f>OBRA!BT270</f>
        <v>0</v>
      </c>
      <c r="AC271" s="569"/>
      <c r="AE271"/>
      <c r="AF271"/>
      <c r="AG271"/>
      <c r="AH271"/>
      <c r="AI271"/>
      <c r="AJ271"/>
      <c r="AK271"/>
      <c r="AL271"/>
    </row>
    <row r="272" spans="1:38" ht="30" hidden="1" customHeight="1">
      <c r="A272" s="23" t="s">
        <v>2239</v>
      </c>
      <c r="B272" s="933" t="str">
        <f>GRAL!B273</f>
        <v>2015-2018</v>
      </c>
      <c r="C272" s="17">
        <f>OBRA!I271</f>
        <v>2017</v>
      </c>
      <c r="D272" s="18" t="str">
        <f>OBRA!K271</f>
        <v>FOCOCI</v>
      </c>
      <c r="E272" s="525"/>
      <c r="F272" s="390"/>
      <c r="G272" s="1"/>
      <c r="H272" s="390"/>
      <c r="I272" s="56" t="str">
        <f>OBRA!U271</f>
        <v>PROYECCION INTEGRAL ZURE S.A. DE C.V.</v>
      </c>
      <c r="J272" s="57" t="str">
        <f>OBRA!V271</f>
        <v xml:space="preserve">LIC. SALVADOR CONTRERAS </v>
      </c>
      <c r="K272" s="35"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2">
        <f>OBRA!S271</f>
        <v>43049</v>
      </c>
      <c r="T272" s="55"/>
      <c r="U272" s="415" t="s">
        <v>1431</v>
      </c>
      <c r="V272" s="341"/>
      <c r="W272" s="12"/>
      <c r="X272" s="306">
        <f>OBRA!AP271</f>
        <v>591940.96</v>
      </c>
      <c r="Y272" s="341"/>
      <c r="Z272" s="341"/>
      <c r="AA272" s="5"/>
      <c r="AB272" s="351">
        <f>OBRA!BT271</f>
        <v>0</v>
      </c>
      <c r="AC272" s="569"/>
      <c r="AE272"/>
      <c r="AF272"/>
      <c r="AG272"/>
      <c r="AH272"/>
      <c r="AI272"/>
      <c r="AJ272"/>
      <c r="AK272"/>
      <c r="AL272"/>
    </row>
    <row r="273" spans="1:38" ht="141.75" hidden="1" customHeight="1">
      <c r="A273" s="23" t="s">
        <v>2239</v>
      </c>
      <c r="B273" s="933" t="str">
        <f>GRAL!B274</f>
        <v>2015-2018</v>
      </c>
      <c r="C273" s="17">
        <f>OBRA!I272</f>
        <v>-2016</v>
      </c>
      <c r="D273" s="18" t="str">
        <f>OBRA!K272</f>
        <v>FOREMODA</v>
      </c>
      <c r="E273" s="680" t="s">
        <v>1967</v>
      </c>
      <c r="F273" s="552" t="s">
        <v>1973</v>
      </c>
      <c r="G273" s="580" t="s">
        <v>1975</v>
      </c>
      <c r="H273" s="552" t="s">
        <v>1974</v>
      </c>
      <c r="I273" s="56" t="str">
        <f>OBRA!U272</f>
        <v>CONSTRUCTORA DALMA S.A. DE C.V.</v>
      </c>
      <c r="J273" s="57" t="str">
        <f>OBRA!V272</f>
        <v>ARQ. FRANCISCO SALAZAR</v>
      </c>
      <c r="K273" s="35"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54" t="s">
        <v>1970</v>
      </c>
      <c r="O273" s="6">
        <f>OBRA!Q272</f>
        <v>42943</v>
      </c>
      <c r="P273" s="4">
        <f>OBRA!P272</f>
        <v>440000</v>
      </c>
      <c r="Q273" s="4"/>
      <c r="R273" s="5">
        <f>OBRA!R272</f>
        <v>43017</v>
      </c>
      <c r="S273" s="12">
        <f>OBRA!S272</f>
        <v>43087</v>
      </c>
      <c r="T273" s="55"/>
      <c r="U273" s="415"/>
      <c r="V273" s="552" t="s">
        <v>1976</v>
      </c>
      <c r="W273" s="691" t="s">
        <v>2299</v>
      </c>
      <c r="X273" s="306">
        <f>OBRA!AP272</f>
        <v>396000</v>
      </c>
      <c r="Y273" s="5"/>
      <c r="Z273" s="341"/>
      <c r="AA273" s="5"/>
      <c r="AB273" s="351">
        <f>OBRA!BT272</f>
        <v>0</v>
      </c>
      <c r="AC273" s="569" t="s">
        <v>551</v>
      </c>
      <c r="AE273" s="1"/>
      <c r="AF273" s="1"/>
      <c r="AG273" s="1"/>
      <c r="AH273" s="1"/>
      <c r="AI273" s="1"/>
      <c r="AJ273" s="1"/>
      <c r="AK273" s="1"/>
      <c r="AL273" s="1"/>
    </row>
    <row r="274" spans="1:38" ht="96" hidden="1" customHeight="1">
      <c r="A274" s="23" t="s">
        <v>2239</v>
      </c>
      <c r="B274" s="933" t="str">
        <f>GRAL!B275</f>
        <v>2015-2018</v>
      </c>
      <c r="C274" s="17">
        <f>OBRA!I273</f>
        <v>2017</v>
      </c>
      <c r="D274" s="18" t="str">
        <f>OBRA!K273</f>
        <v>CUENTA CORRIENTE</v>
      </c>
      <c r="E274" s="14" t="s">
        <v>1431</v>
      </c>
      <c r="F274" s="557"/>
      <c r="G274" s="1012"/>
      <c r="H274" s="557"/>
      <c r="I274" s="56" t="str">
        <f>OBRA!U273</f>
        <v>ASFALTOS GUADALAJARA, S.A.P.I. DE C.V.</v>
      </c>
      <c r="J274" s="57" t="str">
        <f>OBRA!V273</f>
        <v>ING. ANGEL ALBERTO HERNANDEZ MORA</v>
      </c>
      <c r="K274" s="35" t="str">
        <f>OBRA!L273</f>
        <v>GMJ 048C OP/2017</v>
      </c>
      <c r="L274" s="2" t="str">
        <f>OBRA!M273</f>
        <v>ADJUDICACIÓN DIRECTA</v>
      </c>
      <c r="M274" s="3" t="str">
        <f>OBRA!N273</f>
        <v>REENCARPETAMIENTO Y BACHEO EN VARIAS CALLES EN LA LOCALIDAD DE ZAPOTITAN DE HIDALGO, MUNICIPIO DE JOCOTEPEC, JALISCO</v>
      </c>
      <c r="N274" s="554"/>
      <c r="O274" s="6">
        <f>OBRA!Q273</f>
        <v>42977</v>
      </c>
      <c r="P274" s="4">
        <f>OBRA!P273</f>
        <v>1254850.92</v>
      </c>
      <c r="Q274" s="4"/>
      <c r="R274" s="5">
        <f>OBRA!R273</f>
        <v>42977</v>
      </c>
      <c r="S274" s="12">
        <f>OBRA!S273</f>
        <v>43008</v>
      </c>
      <c r="T274" s="55"/>
      <c r="U274" s="415" t="s">
        <v>1431</v>
      </c>
      <c r="V274" s="654"/>
      <c r="W274" s="1443"/>
      <c r="X274" s="306">
        <f>OBRA!AP273</f>
        <v>250970.18</v>
      </c>
      <c r="Y274" s="5"/>
      <c r="Z274" s="341"/>
      <c r="AA274" s="5"/>
      <c r="AB274" s="351">
        <f>OBRA!BT273</f>
        <v>0</v>
      </c>
      <c r="AC274" s="569" t="s">
        <v>551</v>
      </c>
      <c r="AE274" s="1"/>
      <c r="AF274" s="1"/>
      <c r="AG274" s="1"/>
      <c r="AH274" s="1"/>
      <c r="AI274" s="1"/>
      <c r="AJ274" s="1"/>
      <c r="AK274" s="1"/>
      <c r="AL274" s="1"/>
    </row>
    <row r="275" spans="1:38" ht="81.75" hidden="1" customHeight="1">
      <c r="A275" s="23" t="s">
        <v>2239</v>
      </c>
      <c r="B275" s="933" t="str">
        <f>GRAL!B276</f>
        <v>2015-2018</v>
      </c>
      <c r="C275" s="17">
        <f>OBRA!I274</f>
        <v>2017</v>
      </c>
      <c r="D275" s="18" t="str">
        <f>OBRA!K274</f>
        <v>CUENTA CORRIENTE</v>
      </c>
      <c r="E275" s="525" t="s">
        <v>1431</v>
      </c>
      <c r="F275" s="557"/>
      <c r="G275" s="1012"/>
      <c r="H275" s="557"/>
      <c r="I275" s="56" t="str">
        <f>OBRA!U274</f>
        <v>ASFALTOS GUADALAJARA, S.A.P.I. DE C.V.</v>
      </c>
      <c r="J275" s="57" t="str">
        <f>OBRA!V274</f>
        <v>ING. ANGEL ALBERTO HERNANDEZ MORA</v>
      </c>
      <c r="K275" s="35" t="str">
        <f>OBRA!L274</f>
        <v>GMJ 049C OP/2017</v>
      </c>
      <c r="L275" s="2" t="str">
        <f>OBRA!M274</f>
        <v>ADJUDICACIÓN DIRECTA</v>
      </c>
      <c r="M275" s="3" t="str">
        <f>OBRA!N274</f>
        <v>REENCARPETAMIENTO Y BACHEO EN VARIAS CALLES DE LA CABECERA MUNICIPAL, DEL MUNICIPIO DE JOCOTEPEC, JALISCO</v>
      </c>
      <c r="N275" s="554"/>
      <c r="O275" s="6">
        <f>OBRA!Q274</f>
        <v>42977</v>
      </c>
      <c r="P275" s="4">
        <f>OBRA!P274</f>
        <v>1053156.1299999999</v>
      </c>
      <c r="Q275" s="4"/>
      <c r="R275" s="5">
        <f>OBRA!R274</f>
        <v>42977</v>
      </c>
      <c r="S275" s="12">
        <f>OBRA!S274</f>
        <v>43053</v>
      </c>
      <c r="T275" s="55"/>
      <c r="U275" s="415" t="s">
        <v>1431</v>
      </c>
      <c r="V275" s="654"/>
      <c r="W275" s="1443"/>
      <c r="X275" s="306">
        <f>OBRA!AP274</f>
        <v>210631.22</v>
      </c>
      <c r="Y275" s="5"/>
      <c r="Z275" s="341"/>
      <c r="AA275" s="5"/>
      <c r="AB275" s="351">
        <f>OBRA!BT274</f>
        <v>0</v>
      </c>
      <c r="AC275" s="569" t="s">
        <v>551</v>
      </c>
      <c r="AE275" s="1"/>
      <c r="AF275" s="1"/>
      <c r="AG275" s="1"/>
      <c r="AH275" s="1"/>
      <c r="AI275" s="1"/>
      <c r="AJ275" s="1"/>
      <c r="AK275" s="1"/>
      <c r="AL275" s="1"/>
    </row>
    <row r="276" spans="1:38" ht="106.5" hidden="1" customHeight="1">
      <c r="A276" s="23" t="s">
        <v>2239</v>
      </c>
      <c r="B276" s="933" t="str">
        <f>GRAL!B277</f>
        <v>2015-2018</v>
      </c>
      <c r="C276" s="17">
        <f>OBRA!I275</f>
        <v>2017</v>
      </c>
      <c r="D276" s="18" t="str">
        <f>OBRA!K275</f>
        <v>CUENTA CORRIENTE</v>
      </c>
      <c r="E276" s="525" t="s">
        <v>1431</v>
      </c>
      <c r="F276" s="557"/>
      <c r="G276" s="1012"/>
      <c r="H276" s="557"/>
      <c r="I276" s="56" t="str">
        <f>OBRA!U275</f>
        <v>ASFALTOS GUADALAJARA, S.A.P.I. DE C.V.</v>
      </c>
      <c r="J276" s="57" t="str">
        <f>OBRA!V275</f>
        <v>ING. ANGEL ALBERTO HERNANDEZ MORA</v>
      </c>
      <c r="K276" s="35" t="str">
        <f>OBRA!L275</f>
        <v>GMJ 050C OP/2017</v>
      </c>
      <c r="L276" s="2" t="str">
        <f>OBRA!M275</f>
        <v>ADJUDICACIÓN DIRECTA</v>
      </c>
      <c r="M276" s="3" t="str">
        <f>OBRA!N275</f>
        <v>REENCARPETAMIENTO Y BACHEO EN VARIAS CALLES EN LA LOCALIDAD DE SAN CRISTOBAL ZAPOTITLAN, DEL MUNICIPIO DE JOCOTEPEC, JALISCO</v>
      </c>
      <c r="N276" s="554"/>
      <c r="O276" s="6">
        <f>OBRA!Q275</f>
        <v>43007</v>
      </c>
      <c r="P276" s="4">
        <f>OBRA!P275</f>
        <v>614358.76</v>
      </c>
      <c r="Q276" s="4"/>
      <c r="R276" s="5">
        <f>OBRA!R275</f>
        <v>43010</v>
      </c>
      <c r="S276" s="12">
        <f>OBRA!S275</f>
        <v>43017</v>
      </c>
      <c r="T276" s="55"/>
      <c r="U276" s="415" t="s">
        <v>1431</v>
      </c>
      <c r="V276" s="654"/>
      <c r="W276" s="1443"/>
      <c r="X276" s="306">
        <f>OBRA!AP275</f>
        <v>122871.76</v>
      </c>
      <c r="Y276" s="5"/>
      <c r="Z276" s="341"/>
      <c r="AA276" s="5"/>
      <c r="AB276" s="351">
        <f>OBRA!BT275</f>
        <v>0</v>
      </c>
      <c r="AC276" s="569" t="s">
        <v>551</v>
      </c>
      <c r="AE276" s="1"/>
      <c r="AF276" s="1"/>
      <c r="AG276" s="1"/>
      <c r="AH276" s="1"/>
      <c r="AI276" s="1"/>
      <c r="AJ276" s="1"/>
      <c r="AK276" s="1"/>
      <c r="AL276" s="1"/>
    </row>
    <row r="277" spans="1:38" ht="162" hidden="1" customHeight="1">
      <c r="A277" s="23" t="s">
        <v>2239</v>
      </c>
      <c r="B277" s="933" t="str">
        <f>GRAL!B278</f>
        <v>2015-2018</v>
      </c>
      <c r="C277" s="17">
        <f>OBRA!I276</f>
        <v>2017</v>
      </c>
      <c r="D277" s="19" t="str">
        <f>OBRA!K276</f>
        <v>Fondo de proyectos para el Desarrollo Regional</v>
      </c>
      <c r="E277" s="680" t="s">
        <v>1937</v>
      </c>
      <c r="F277" s="557"/>
      <c r="G277" s="1012"/>
      <c r="H277" s="557"/>
      <c r="I277" s="56" t="str">
        <f>OBRA!U276</f>
        <v>ING. SERGIO CABRERA</v>
      </c>
      <c r="J277" s="57" t="str">
        <f>OBRA!V276</f>
        <v>ING. J. GUADALUPE IBARRA RAMIREZ</v>
      </c>
      <c r="K277" s="35"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54"/>
      <c r="O277" s="69">
        <f>OBRA!Q276</f>
        <v>42992</v>
      </c>
      <c r="P277" s="4">
        <f>OBRA!P276</f>
        <v>607706.15</v>
      </c>
      <c r="Q277" s="4"/>
      <c r="R277" s="5">
        <f>OBRA!R276</f>
        <v>43059</v>
      </c>
      <c r="S277" s="12">
        <f>OBRA!S276</f>
        <v>43084</v>
      </c>
      <c r="T277" s="55"/>
      <c r="U277" s="415" t="s">
        <v>1431</v>
      </c>
      <c r="V277" s="654"/>
      <c r="W277" s="1443"/>
      <c r="X277" s="601">
        <f>OBRA!AP276</f>
        <v>121541.22</v>
      </c>
      <c r="Y277" s="5"/>
      <c r="Z277" s="341"/>
      <c r="AA277" s="5"/>
      <c r="AB277" s="351">
        <f>OBRA!BT276</f>
        <v>0</v>
      </c>
      <c r="AC277" s="569" t="s">
        <v>1295</v>
      </c>
      <c r="AF277" s="1" t="s">
        <v>2282</v>
      </c>
      <c r="AH277" s="1" t="s">
        <v>2282</v>
      </c>
      <c r="AJ277" s="1"/>
      <c r="AK277" s="1"/>
    </row>
    <row r="278" spans="1:38" s="110" customFormat="1" ht="15" hidden="1" customHeight="1">
      <c r="A278" s="87" t="s">
        <v>2239</v>
      </c>
      <c r="B278" s="946" t="str">
        <f>GRAL!B279</f>
        <v>2012-2015</v>
      </c>
      <c r="C278" s="88">
        <f>OBRA!I277</f>
        <v>2017</v>
      </c>
      <c r="D278" s="103">
        <f>OBRA!K277</f>
        <v>0</v>
      </c>
      <c r="E278" s="526"/>
      <c r="F278" s="953"/>
      <c r="G278" s="102"/>
      <c r="H278" s="392"/>
      <c r="I278" s="159">
        <f>OBRA!U277</f>
        <v>0</v>
      </c>
      <c r="J278" s="160">
        <f>OBRA!V277</f>
        <v>0</v>
      </c>
      <c r="K278" s="340" t="str">
        <f>OBRA!L277</f>
        <v>GMJ 052C OP/2017</v>
      </c>
      <c r="L278" s="203" t="str">
        <f>OBRA!M277</f>
        <v>CANCELADA</v>
      </c>
      <c r="M278" s="112" t="str">
        <f>OBRA!N277</f>
        <v>CANCELADO</v>
      </c>
      <c r="N278" s="938"/>
      <c r="O278" s="93">
        <f>OBRA!Q277</f>
        <v>0</v>
      </c>
      <c r="P278" s="92">
        <f>OBRA!P277</f>
        <v>0</v>
      </c>
      <c r="Q278" s="92"/>
      <c r="R278" s="94">
        <f>OBRA!R277</f>
        <v>0</v>
      </c>
      <c r="S278" s="95">
        <f>OBRA!S277</f>
        <v>0</v>
      </c>
      <c r="T278" s="97"/>
      <c r="U278" s="785" t="s">
        <v>1431</v>
      </c>
      <c r="V278" s="343"/>
      <c r="W278" s="95"/>
      <c r="X278" s="311">
        <f>OBRA!AP277</f>
        <v>0</v>
      </c>
      <c r="Y278" s="343"/>
      <c r="Z278" s="343"/>
      <c r="AA278" s="94"/>
      <c r="AB278" s="511">
        <f>OBRA!BT277</f>
        <v>0</v>
      </c>
      <c r="AC278" s="570"/>
    </row>
    <row r="279" spans="1:38" ht="81.75" hidden="1" customHeight="1">
      <c r="A279" s="23" t="s">
        <v>2239</v>
      </c>
      <c r="B279" s="933" t="str">
        <f>GRAL!B280</f>
        <v>2015-2018</v>
      </c>
      <c r="C279" s="17">
        <f>OBRA!I278</f>
        <v>-2016</v>
      </c>
      <c r="D279" s="18" t="str">
        <f>OBRA!K278</f>
        <v>RAMO 33</v>
      </c>
      <c r="E279" s="525" t="s">
        <v>1431</v>
      </c>
      <c r="F279" s="552" t="s">
        <v>1985</v>
      </c>
      <c r="G279" s="580" t="s">
        <v>1987</v>
      </c>
      <c r="H279" s="552" t="s">
        <v>1986</v>
      </c>
      <c r="I279" s="56" t="str">
        <f>OBRA!U278</f>
        <v>C. JESSICA MONSERRAT RIVERA TORRES</v>
      </c>
      <c r="J279" s="57" t="str">
        <f>OBRA!V278</f>
        <v>ING. RIGOBERTO OLMEDO RAMOS</v>
      </c>
      <c r="K279" s="35" t="str">
        <f>OBRA!L278</f>
        <v>GMJ 053C OP/2017</v>
      </c>
      <c r="L279" s="2" t="str">
        <f>OBRA!M278</f>
        <v>ADJUDICACIÓN DIRECTA</v>
      </c>
      <c r="M279" s="3" t="str">
        <f>OBRA!N278</f>
        <v>EQUIPAMIENTO  DE POZO PROFUNDO EN LA CALLE JUAREZ, EN LA LOCALIDAD DE CHANTEPEC, DEL MUNICIPIO DE JOCOTEPEC, JALISCO</v>
      </c>
      <c r="N279" s="554" t="s">
        <v>1984</v>
      </c>
      <c r="O279" s="6">
        <f>OBRA!Q278</f>
        <v>43000</v>
      </c>
      <c r="P279" s="4">
        <f>OBRA!P278</f>
        <v>335569.36</v>
      </c>
      <c r="Q279" s="4"/>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t="s">
        <v>551</v>
      </c>
      <c r="AE279" s="1"/>
      <c r="AF279" s="1" t="s">
        <v>2282</v>
      </c>
      <c r="AG279" s="1" t="s">
        <v>2282</v>
      </c>
      <c r="AH279" s="1" t="s">
        <v>2282</v>
      </c>
      <c r="AI279" s="1"/>
      <c r="AJ279" s="1" t="s">
        <v>2282</v>
      </c>
      <c r="AK279" s="1" t="s">
        <v>2282</v>
      </c>
      <c r="AL279" s="1"/>
    </row>
    <row r="280" spans="1:38" ht="111" hidden="1" customHeight="1">
      <c r="A280" s="23" t="s">
        <v>2239</v>
      </c>
      <c r="B280" s="933" t="str">
        <f>GRAL!B281</f>
        <v>2015-2018</v>
      </c>
      <c r="C280" s="17">
        <f>OBRA!I279</f>
        <v>2017</v>
      </c>
      <c r="D280" s="18" t="str">
        <f>OBRA!K279</f>
        <v>CUENTA CORRIENTE</v>
      </c>
      <c r="E280" s="525" t="s">
        <v>1431</v>
      </c>
      <c r="F280" s="557"/>
      <c r="G280" s="557"/>
      <c r="H280" s="557"/>
      <c r="I280" s="56" t="str">
        <f>OBRA!U279</f>
        <v>ING. MANUEL PALOS VACA</v>
      </c>
      <c r="J280" s="57" t="str">
        <f>OBRA!V279</f>
        <v>ING. ANGEL ALBERTO HERNANDEZ MORA</v>
      </c>
      <c r="K280" s="35"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52"/>
      <c r="O280" s="6">
        <f>OBRA!Q279</f>
        <v>42979</v>
      </c>
      <c r="P280" s="4">
        <f>OBRA!P279</f>
        <v>240397.92</v>
      </c>
      <c r="Q280" s="4"/>
      <c r="R280" s="5">
        <f>OBRA!R279</f>
        <v>42980</v>
      </c>
      <c r="S280" s="12">
        <f>OBRA!S279</f>
        <v>43007</v>
      </c>
      <c r="T280" s="55"/>
      <c r="U280" s="415" t="s">
        <v>1431</v>
      </c>
      <c r="V280" s="557"/>
      <c r="W280" s="557"/>
      <c r="X280" s="306">
        <f>OBRA!AP279</f>
        <v>55772.3</v>
      </c>
      <c r="Y280" s="5"/>
      <c r="Z280" s="341"/>
      <c r="AA280" s="5"/>
      <c r="AB280" s="351">
        <f>OBRA!BT279</f>
        <v>0</v>
      </c>
      <c r="AC280" s="569" t="s">
        <v>1295</v>
      </c>
      <c r="AF280" s="1" t="s">
        <v>2282</v>
      </c>
    </row>
    <row r="281" spans="1:38" ht="139.5" hidden="1" customHeight="1">
      <c r="A281" s="23" t="s">
        <v>2239</v>
      </c>
      <c r="B281" s="933" t="str">
        <f>GRAL!B282</f>
        <v>2015-2018</v>
      </c>
      <c r="C281" s="17">
        <f>OBRA!I280</f>
        <v>2017</v>
      </c>
      <c r="D281" s="18" t="str">
        <f>OBRA!K280</f>
        <v>CUENTA CORRIENTE</v>
      </c>
      <c r="E281" s="525" t="s">
        <v>1431</v>
      </c>
      <c r="F281" s="557"/>
      <c r="G281" s="1012"/>
      <c r="H281" s="557"/>
      <c r="I281" s="339" t="str">
        <f>OBRA!U280</f>
        <v>AGUA Y SANEAMIENTO AMBIENTAL S.A. DE C.V.</v>
      </c>
      <c r="J281" s="172" t="str">
        <f>OBRA!V280</f>
        <v>ING. JUAN MANUEL GARCIA ESCOTO</v>
      </c>
      <c r="K281" s="35"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508"/>
      <c r="O281" s="69">
        <f>OBRA!Q280</f>
        <v>43052</v>
      </c>
      <c r="P281" s="4">
        <f>OBRA!P280</f>
        <v>743056.9</v>
      </c>
      <c r="Q281" s="4"/>
      <c r="R281" s="5">
        <f>OBRA!R280</f>
        <v>43061</v>
      </c>
      <c r="S281" s="12">
        <f>OBRA!S280</f>
        <v>43084</v>
      </c>
      <c r="T281" s="54"/>
      <c r="U281" s="547" t="s">
        <v>2301</v>
      </c>
      <c r="V281" s="557"/>
      <c r="W281" s="1011"/>
      <c r="X281" s="601">
        <f>OBRA!AP280</f>
        <v>520139.83</v>
      </c>
      <c r="Y281" s="5"/>
      <c r="Z281" s="341"/>
      <c r="AA281" s="5"/>
      <c r="AB281" s="351">
        <f>OBRA!BT280</f>
        <v>0</v>
      </c>
      <c r="AC281" s="569" t="s">
        <v>551</v>
      </c>
      <c r="AE281" s="1"/>
      <c r="AF281" s="1"/>
      <c r="AG281" s="1"/>
      <c r="AH281" s="1"/>
      <c r="AI281" s="1"/>
      <c r="AJ281" s="1"/>
      <c r="AK281" s="1"/>
      <c r="AL281" s="1"/>
    </row>
    <row r="282" spans="1:38" ht="125.25" hidden="1" customHeight="1">
      <c r="A282" s="23" t="s">
        <v>2239</v>
      </c>
      <c r="B282" s="933" t="str">
        <f>GRAL!B283</f>
        <v>2015-2018</v>
      </c>
      <c r="C282" s="17">
        <f>OBRA!I281</f>
        <v>2017</v>
      </c>
      <c r="D282" s="18" t="str">
        <f>OBRA!K281</f>
        <v>RAMO 33</v>
      </c>
      <c r="E282" s="525" t="s">
        <v>1431</v>
      </c>
      <c r="F282" s="557"/>
      <c r="G282" s="585"/>
      <c r="H282" s="557"/>
      <c r="I282" s="56" t="str">
        <f>OBRA!U281</f>
        <v>C. JOSÉ MIGUEL GARCIA VALLE</v>
      </c>
      <c r="J282" s="57" t="str">
        <f>OBRA!V281</f>
        <v>ARQ. JAIME CONDE GOMEZ</v>
      </c>
      <c r="K282" s="35"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54"/>
      <c r="O282" s="6">
        <f>OBRA!Q281</f>
        <v>43047</v>
      </c>
      <c r="P282" s="4">
        <f>OBRA!P281</f>
        <v>493878.63</v>
      </c>
      <c r="Q282" s="4"/>
      <c r="R282" s="5">
        <f>OBRA!R281</f>
        <v>43048</v>
      </c>
      <c r="S282" s="12">
        <f>OBRA!S281</f>
        <v>43086</v>
      </c>
      <c r="T282" s="55"/>
      <c r="U282" s="415" t="s">
        <v>1431</v>
      </c>
      <c r="V282" s="591"/>
      <c r="W282" s="1443"/>
      <c r="X282" s="751">
        <f>OBRA!AP281</f>
        <v>54551.4</v>
      </c>
      <c r="Y282" s="5"/>
      <c r="Z282" s="341"/>
      <c r="AA282" s="5"/>
      <c r="AB282" s="351">
        <f>OBRA!BT281</f>
        <v>0</v>
      </c>
      <c r="AC282" s="569" t="s">
        <v>1295</v>
      </c>
      <c r="AE282" s="1"/>
      <c r="AF282" s="1" t="s">
        <v>2282</v>
      </c>
      <c r="AG282" s="1" t="s">
        <v>2282</v>
      </c>
      <c r="AH282" s="1" t="s">
        <v>2282</v>
      </c>
      <c r="AI282" s="1"/>
      <c r="AJ282" s="1" t="s">
        <v>2282</v>
      </c>
      <c r="AK282" s="1" t="s">
        <v>2282</v>
      </c>
      <c r="AL282" s="1"/>
    </row>
    <row r="283" spans="1:38" ht="141.75" hidden="1" customHeight="1">
      <c r="A283" s="23" t="s">
        <v>2239</v>
      </c>
      <c r="B283" s="933" t="str">
        <f>GRAL!B284</f>
        <v>2015-2018</v>
      </c>
      <c r="C283" s="17">
        <f>OBRA!I282</f>
        <v>2017</v>
      </c>
      <c r="D283" s="18" t="str">
        <f>OBRA!K282</f>
        <v>RAMO 33</v>
      </c>
      <c r="E283" s="525" t="s">
        <v>1431</v>
      </c>
      <c r="F283" s="557"/>
      <c r="G283" s="1012"/>
      <c r="H283" s="557"/>
      <c r="I283" s="56" t="str">
        <f>OBRA!U282</f>
        <v>C. JOSÉ MIGUEL GARCIA VALLE</v>
      </c>
      <c r="J283" s="57" t="str">
        <f>OBRA!V282</f>
        <v>ARQ. JAIME CONDE GOMEZ</v>
      </c>
      <c r="K283" s="35"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54"/>
      <c r="O283" s="6">
        <f>OBRA!Q282</f>
        <v>43047</v>
      </c>
      <c r="P283" s="4">
        <f>OBRA!P282</f>
        <v>515747.25</v>
      </c>
      <c r="Q283" s="4"/>
      <c r="R283" s="5">
        <f>OBRA!R282</f>
        <v>43048</v>
      </c>
      <c r="S283" s="12">
        <f>OBRA!S282</f>
        <v>43081</v>
      </c>
      <c r="T283" s="55"/>
      <c r="U283" s="415" t="s">
        <v>1431</v>
      </c>
      <c r="V283" s="558"/>
      <c r="W283" s="1443"/>
      <c r="X283" s="751">
        <f>OBRA!AP282</f>
        <v>514393.58999999997</v>
      </c>
      <c r="Y283" s="5"/>
      <c r="Z283" s="341"/>
      <c r="AA283" s="5"/>
      <c r="AB283" s="351">
        <f>OBRA!BT282</f>
        <v>0</v>
      </c>
      <c r="AC283" s="569" t="s">
        <v>1295</v>
      </c>
      <c r="AE283" s="1"/>
      <c r="AF283" s="1" t="s">
        <v>2282</v>
      </c>
      <c r="AG283" s="1" t="s">
        <v>2282</v>
      </c>
      <c r="AH283" s="1" t="s">
        <v>2282</v>
      </c>
      <c r="AI283" s="1"/>
      <c r="AJ283" s="1" t="s">
        <v>2282</v>
      </c>
      <c r="AK283" s="1" t="s">
        <v>2282</v>
      </c>
      <c r="AL283" s="1"/>
    </row>
    <row r="284" spans="1:38" ht="98.25" hidden="1" customHeight="1">
      <c r="A284" s="23" t="s">
        <v>2239</v>
      </c>
      <c r="B284" s="933" t="str">
        <f>GRAL!B285</f>
        <v>2015-2018</v>
      </c>
      <c r="C284" s="17">
        <f>OBRA!I283</f>
        <v>2017</v>
      </c>
      <c r="D284" s="18" t="str">
        <f>OBRA!K283</f>
        <v>RAMO 33</v>
      </c>
      <c r="E284" s="525" t="s">
        <v>1431</v>
      </c>
      <c r="F284" s="557"/>
      <c r="G284" s="1012"/>
      <c r="H284" s="557"/>
      <c r="I284" s="56" t="str">
        <f>OBRA!U283</f>
        <v>ING. PEDRO TOPETE LOPEZ</v>
      </c>
      <c r="J284" s="57" t="str">
        <f>OBRA!V283</f>
        <v>ING. ANGEL ALBERTO HERNANDEZ MORA</v>
      </c>
      <c r="K284" s="35" t="str">
        <f>OBRA!L283</f>
        <v>GMJ 058C OP/2017</v>
      </c>
      <c r="L284" s="2" t="str">
        <f>OBRA!M283</f>
        <v>ADJUDICACIÓN DIRECTA</v>
      </c>
      <c r="M284" s="3" t="str">
        <f>OBRA!N283</f>
        <v>REHABILITACIÓN DE LINEA DE AGUA POTABLE EN CALLE CHAPULTEPEC ENTRE PRIVADA SAN MIGUEL Y CALLE CERRADA, EN LA AGENCIA MUNICIPAL "LA LOMA"</v>
      </c>
      <c r="N284" s="508"/>
      <c r="O284" s="6">
        <f>OBRA!Q283</f>
        <v>43046</v>
      </c>
      <c r="P284" s="4">
        <f>OBRA!P283</f>
        <v>392640.25</v>
      </c>
      <c r="Q284" s="4"/>
      <c r="R284" s="5">
        <f>OBRA!R283</f>
        <v>43047</v>
      </c>
      <c r="S284" s="12">
        <f>OBRA!S283</f>
        <v>43078</v>
      </c>
      <c r="T284" s="55"/>
      <c r="U284" s="415" t="s">
        <v>1431</v>
      </c>
      <c r="V284" s="557"/>
      <c r="W284" s="557"/>
      <c r="X284" s="719">
        <f>OBRA!AP283</f>
        <v>180243.78999999998</v>
      </c>
      <c r="Y284" s="5"/>
      <c r="Z284" s="341"/>
      <c r="AA284" s="5"/>
      <c r="AB284" s="351">
        <f>OBRA!BT283</f>
        <v>0</v>
      </c>
      <c r="AC284" s="569" t="s">
        <v>551</v>
      </c>
      <c r="AE284" s="1"/>
      <c r="AF284" s="1" t="s">
        <v>524</v>
      </c>
      <c r="AG284" s="1" t="s">
        <v>524</v>
      </c>
      <c r="AH284" s="1"/>
      <c r="AI284" s="1"/>
      <c r="AJ284" s="1" t="s">
        <v>2282</v>
      </c>
      <c r="AK284" s="1" t="s">
        <v>2282</v>
      </c>
      <c r="AL284" s="1"/>
    </row>
    <row r="285" spans="1:38" ht="244.5" hidden="1" customHeight="1">
      <c r="A285" s="23" t="s">
        <v>2239</v>
      </c>
      <c r="B285" s="933" t="str">
        <f>GRAL!B286</f>
        <v>2015-2018</v>
      </c>
      <c r="C285" s="17">
        <f>OBRA!I284</f>
        <v>2017</v>
      </c>
      <c r="D285" s="19" t="str">
        <f>OBRA!K284</f>
        <v>Fondo de proyectos para el Desarrollo Regional</v>
      </c>
      <c r="E285" s="680" t="s">
        <v>1938</v>
      </c>
      <c r="F285" s="557"/>
      <c r="G285" s="1012"/>
      <c r="H285" s="557"/>
      <c r="I285" s="339" t="str">
        <f>OBRA!U284</f>
        <v>ING. SERGIO CABRERA</v>
      </c>
      <c r="J285" s="172" t="str">
        <f>OBRA!V284</f>
        <v>ING. J. GUADALUPE IBARRA RAMIREZ</v>
      </c>
      <c r="K285" s="35"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OBRA!Q284</f>
        <v>43038</v>
      </c>
      <c r="P285" s="4">
        <f>OBRA!P284</f>
        <v>794788.72</v>
      </c>
      <c r="Q285" s="4"/>
      <c r="R285" s="5">
        <f>OBRA!R284</f>
        <v>43061</v>
      </c>
      <c r="S285" s="12">
        <f>OBRA!S284</f>
        <v>43084</v>
      </c>
      <c r="T285" s="55"/>
      <c r="U285" s="415" t="s">
        <v>1431</v>
      </c>
      <c r="V285" s="654"/>
      <c r="W285" s="1443"/>
      <c r="X285" s="601">
        <f>OBRA!AP284</f>
        <v>158957.74</v>
      </c>
      <c r="Y285" s="5"/>
      <c r="Z285" s="341"/>
      <c r="AA285" s="5"/>
      <c r="AB285" s="351">
        <f>OBRA!BT284</f>
        <v>0</v>
      </c>
      <c r="AC285" s="569" t="s">
        <v>551</v>
      </c>
      <c r="AE285" s="624"/>
      <c r="AF285" s="624"/>
      <c r="AG285" s="624"/>
      <c r="AH285" s="624"/>
      <c r="AI285" s="624"/>
      <c r="AJ285" s="624"/>
      <c r="AK285" s="624"/>
      <c r="AL285" s="624"/>
    </row>
    <row r="286" spans="1:38" ht="93" hidden="1" customHeight="1">
      <c r="A286" s="23" t="s">
        <v>2239</v>
      </c>
      <c r="B286" s="933" t="str">
        <f>GRAL!B287</f>
        <v>2015-2018</v>
      </c>
      <c r="C286" s="17">
        <f>OBRA!I285</f>
        <v>2017</v>
      </c>
      <c r="D286" s="18" t="str">
        <f>OBRA!K285</f>
        <v>CUENTA CORRIENTE</v>
      </c>
      <c r="E286" s="695" t="s">
        <v>1431</v>
      </c>
      <c r="F286" s="557"/>
      <c r="G286" s="1012"/>
      <c r="H286" s="557"/>
      <c r="I286" s="56" t="str">
        <f>OBRA!U285</f>
        <v>ASFALTOS GUADALAJARA, S.A.P.I. DE C.V.</v>
      </c>
      <c r="J286" s="57" t="str">
        <f>OBRA!V285</f>
        <v>ING. ANGEL ALBERTO HERNANDEZ MORA</v>
      </c>
      <c r="K286" s="35" t="str">
        <f>OBRA!L285</f>
        <v>GMJ 060C OP/2017</v>
      </c>
      <c r="L286" s="2" t="str">
        <f>OBRA!M285</f>
        <v>ADJUDICACIÓN DIRECTA</v>
      </c>
      <c r="M286" s="3" t="str">
        <f>OBRA!N285</f>
        <v>REENCARPETAMIENTO Y BACHEO ASFALTICO EN VARIAS CALLES EN LA CABECERA MUNICIPAL, DE JOCOTEPEC, JALISCO</v>
      </c>
      <c r="N286" s="554"/>
      <c r="O286" s="6">
        <f>OBRA!Q285</f>
        <v>43059</v>
      </c>
      <c r="P286" s="4">
        <f>OBRA!P285</f>
        <v>773560.6</v>
      </c>
      <c r="Q286" s="4"/>
      <c r="R286" s="5">
        <f>OBRA!R285</f>
        <v>43059</v>
      </c>
      <c r="S286" s="12">
        <f>OBRA!S285</f>
        <v>43075</v>
      </c>
      <c r="T286" s="55"/>
      <c r="U286" s="415" t="s">
        <v>1431</v>
      </c>
      <c r="V286" s="557"/>
      <c r="W286" s="1011"/>
      <c r="X286" s="601">
        <f>OBRA!AP285</f>
        <v>154712.12</v>
      </c>
      <c r="Y286" s="5"/>
      <c r="Z286" s="341"/>
      <c r="AA286" s="5"/>
      <c r="AB286" s="351">
        <f>OBRA!BT285</f>
        <v>0</v>
      </c>
      <c r="AC286" s="569" t="s">
        <v>551</v>
      </c>
      <c r="AE286" s="1"/>
      <c r="AF286" s="1"/>
      <c r="AG286" s="1"/>
      <c r="AH286" s="1"/>
      <c r="AI286" s="1"/>
      <c r="AJ286" s="1"/>
      <c r="AK286" s="1"/>
      <c r="AL286" s="1"/>
    </row>
    <row r="287" spans="1:38" ht="120.75" hidden="1" customHeight="1">
      <c r="A287" s="23" t="s">
        <v>2239</v>
      </c>
      <c r="B287" s="933" t="str">
        <f>GRAL!B288</f>
        <v>2015-2018</v>
      </c>
      <c r="C287" s="17">
        <f>OBRA!I286</f>
        <v>2017</v>
      </c>
      <c r="D287" s="18" t="str">
        <f>OBRA!K286</f>
        <v>RAMO 33</v>
      </c>
      <c r="E287" s="525" t="s">
        <v>1431</v>
      </c>
      <c r="F287" s="557"/>
      <c r="G287" s="1012"/>
      <c r="H287" s="557"/>
      <c r="I287" s="56" t="str">
        <f>OBRA!U286</f>
        <v>C. NORMA GORETY DOMINGUEZ CALVARIO</v>
      </c>
      <c r="J287" s="57" t="str">
        <f>OBRA!V286</f>
        <v>ING. JUAN MANUEL GARCIA ESCOTO</v>
      </c>
      <c r="K287" s="35"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54"/>
      <c r="O287" s="6">
        <f>OBRA!Q286</f>
        <v>43078</v>
      </c>
      <c r="P287" s="4">
        <f>OBRA!P286</f>
        <v>928575.62</v>
      </c>
      <c r="Q287" s="4"/>
      <c r="R287" s="5">
        <f>OBRA!R286</f>
        <v>43078</v>
      </c>
      <c r="S287" s="12">
        <f>OBRA!S286</f>
        <v>43099</v>
      </c>
      <c r="T287" s="55"/>
      <c r="U287" s="415" t="s">
        <v>1431</v>
      </c>
      <c r="V287" s="654"/>
      <c r="W287" s="1443"/>
      <c r="X287" s="376">
        <f>OBRA!AP286</f>
        <v>417859.01999999996</v>
      </c>
      <c r="Y287" s="5"/>
      <c r="Z287" s="341"/>
      <c r="AA287" s="5"/>
      <c r="AB287" s="351">
        <f>OBRA!BT286</f>
        <v>0</v>
      </c>
      <c r="AC287" s="569" t="s">
        <v>551</v>
      </c>
      <c r="AE287" s="1"/>
      <c r="AF287" s="1" t="s">
        <v>2282</v>
      </c>
      <c r="AG287" s="1" t="s">
        <v>2282</v>
      </c>
      <c r="AH287" s="1" t="s">
        <v>2282</v>
      </c>
      <c r="AI287" s="1"/>
      <c r="AJ287" s="1" t="s">
        <v>2282</v>
      </c>
      <c r="AK287" s="1" t="s">
        <v>2282</v>
      </c>
      <c r="AL287" s="1"/>
    </row>
    <row r="288" spans="1:38" ht="142.5" hidden="1" customHeight="1">
      <c r="A288" s="23" t="s">
        <v>2239</v>
      </c>
      <c r="B288" s="933" t="str">
        <f>GRAL!B289</f>
        <v>2015-2018</v>
      </c>
      <c r="C288" s="17">
        <f>OBRA!I287</f>
        <v>2017</v>
      </c>
      <c r="D288" s="18" t="str">
        <f>OBRA!K287</f>
        <v>RAMO 33</v>
      </c>
      <c r="E288" s="525" t="s">
        <v>1431</v>
      </c>
      <c r="F288" s="557"/>
      <c r="G288" s="1012"/>
      <c r="H288" s="557"/>
      <c r="I288" s="56" t="str">
        <f>OBRA!U287</f>
        <v>C. NORMA GORETY DOMINGUEZ CALVARIO</v>
      </c>
      <c r="J288" s="57" t="str">
        <f>OBRA!V287</f>
        <v>ING. JUAN MANUEL GARCIA ESCOTO</v>
      </c>
      <c r="K288" s="35"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54"/>
      <c r="O288" s="6">
        <f>OBRA!Q287</f>
        <v>43078</v>
      </c>
      <c r="P288" s="4">
        <f>OBRA!P287</f>
        <v>831598.75</v>
      </c>
      <c r="Q288" s="4"/>
      <c r="R288" s="5">
        <f>OBRA!R287</f>
        <v>43078</v>
      </c>
      <c r="S288" s="12">
        <f>OBRA!S287</f>
        <v>43099</v>
      </c>
      <c r="T288" s="55"/>
      <c r="U288" s="415" t="s">
        <v>1431</v>
      </c>
      <c r="V288" s="654"/>
      <c r="W288" s="1443"/>
      <c r="X288" s="376">
        <f>OBRA!AP287</f>
        <v>374219.42</v>
      </c>
      <c r="Y288" s="5"/>
      <c r="Z288" s="341"/>
      <c r="AA288" s="5"/>
      <c r="AB288" s="351">
        <f>OBRA!BT287</f>
        <v>0</v>
      </c>
      <c r="AC288" s="569" t="s">
        <v>551</v>
      </c>
      <c r="AE288" s="1"/>
      <c r="AF288" s="1" t="s">
        <v>2282</v>
      </c>
      <c r="AG288" s="1" t="s">
        <v>2282</v>
      </c>
      <c r="AH288" s="1" t="s">
        <v>2282</v>
      </c>
      <c r="AI288" s="1"/>
      <c r="AJ288" s="1" t="s">
        <v>2282</v>
      </c>
      <c r="AK288" s="1" t="s">
        <v>2282</v>
      </c>
      <c r="AL288" s="1"/>
    </row>
    <row r="289" spans="1:38" ht="122.25" hidden="1" customHeight="1">
      <c r="A289" s="23" t="s">
        <v>2239</v>
      </c>
      <c r="B289" s="933" t="str">
        <f>GRAL!B290</f>
        <v>2015-2018</v>
      </c>
      <c r="C289" s="17">
        <f>OBRA!I288</f>
        <v>2017</v>
      </c>
      <c r="D289" s="18" t="str">
        <f>OBRA!K288</f>
        <v>RAMO 33</v>
      </c>
      <c r="E289" s="525" t="s">
        <v>1431</v>
      </c>
      <c r="F289" s="557"/>
      <c r="G289" s="557"/>
      <c r="H289" s="557"/>
      <c r="I289" s="56" t="str">
        <f>OBRA!U288</f>
        <v>ING. PEDRO TOPETE LOPEZ</v>
      </c>
      <c r="J289" s="57" t="str">
        <f>OBRA!V288</f>
        <v>ING. ANGEL ALBERTO HERNANDEZ MORA</v>
      </c>
      <c r="K289" s="35"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54"/>
      <c r="O289" s="6">
        <f>OBRA!Q288</f>
        <v>43078</v>
      </c>
      <c r="P289" s="4">
        <f>OBRA!P288</f>
        <v>394058.8</v>
      </c>
      <c r="Q289" s="4"/>
      <c r="R289" s="5">
        <f>OBRA!R288</f>
        <v>43078</v>
      </c>
      <c r="S289" s="12">
        <f>OBRA!S288</f>
        <v>43099</v>
      </c>
      <c r="T289" s="55"/>
      <c r="U289" s="415" t="s">
        <v>1431</v>
      </c>
      <c r="V289" s="654"/>
      <c r="W289" s="557"/>
      <c r="X289" s="307">
        <f>OBRA!AP288</f>
        <v>176988.21</v>
      </c>
      <c r="Y289" s="5"/>
      <c r="Z289" s="341"/>
      <c r="AA289" s="5"/>
      <c r="AB289" s="351">
        <f>OBRA!BT288</f>
        <v>0</v>
      </c>
      <c r="AC289" s="569" t="s">
        <v>551</v>
      </c>
      <c r="AE289" s="1"/>
      <c r="AF289" s="1"/>
      <c r="AG289" s="1"/>
      <c r="AH289" s="1"/>
      <c r="AI289" s="1"/>
      <c r="AJ289" s="1" t="s">
        <v>2282</v>
      </c>
      <c r="AK289" s="1" t="s">
        <v>2282</v>
      </c>
      <c r="AL289" s="1"/>
    </row>
    <row r="290" spans="1:38" ht="108" hidden="1" customHeight="1">
      <c r="A290" s="23" t="s">
        <v>2239</v>
      </c>
      <c r="B290" s="933" t="str">
        <f>GRAL!B291</f>
        <v>2015-2018</v>
      </c>
      <c r="C290" s="17">
        <f>OBRA!I289</f>
        <v>2017</v>
      </c>
      <c r="D290" s="18" t="str">
        <f>OBRA!K289</f>
        <v>RAMO 33</v>
      </c>
      <c r="E290" s="525" t="s">
        <v>1431</v>
      </c>
      <c r="F290" s="557"/>
      <c r="G290" s="1012"/>
      <c r="H290" s="557"/>
      <c r="I290" s="56" t="str">
        <f>OBRA!U289</f>
        <v>C. JOSÉ MIGUEL GARCIA VALLE</v>
      </c>
      <c r="J290" s="57" t="str">
        <f>OBRA!V289</f>
        <v>LIC. SALVADOR CONTRERAS OLGUÍN</v>
      </c>
      <c r="K290" s="35"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54"/>
      <c r="O290" s="6">
        <f>OBRA!Q289</f>
        <v>43077</v>
      </c>
      <c r="P290" s="4">
        <f>OBRA!P289</f>
        <v>46522.28</v>
      </c>
      <c r="Q290" s="4"/>
      <c r="R290" s="5">
        <f>OBRA!R289</f>
        <v>43078</v>
      </c>
      <c r="S290" s="12">
        <f>OBRA!S289</f>
        <v>43099</v>
      </c>
      <c r="T290" s="55"/>
      <c r="U290" s="415" t="s">
        <v>1431</v>
      </c>
      <c r="V290" s="557"/>
      <c r="W290" s="1011"/>
      <c r="X290" s="307">
        <f>OBRA!AP289</f>
        <v>9304.52</v>
      </c>
      <c r="Y290" s="5"/>
      <c r="Z290" s="341"/>
      <c r="AA290" s="5"/>
      <c r="AB290" s="351">
        <f>OBRA!BT289</f>
        <v>0</v>
      </c>
      <c r="AC290" s="569" t="s">
        <v>551</v>
      </c>
      <c r="AE290" s="1"/>
      <c r="AF290" s="1"/>
      <c r="AG290" s="1"/>
      <c r="AH290" s="1"/>
      <c r="AI290" s="1"/>
      <c r="AJ290" s="1"/>
      <c r="AK290" s="1"/>
      <c r="AL290" s="1"/>
    </row>
    <row r="291" spans="1:38" ht="96.75" hidden="1" customHeight="1">
      <c r="A291" s="23" t="s">
        <v>2239</v>
      </c>
      <c r="B291" s="933" t="str">
        <f>GRAL!B292</f>
        <v>2015-2018</v>
      </c>
      <c r="C291" s="17">
        <f>OBRA!I290</f>
        <v>2017</v>
      </c>
      <c r="D291" s="18" t="str">
        <f>OBRA!K290</f>
        <v>RAMO 33</v>
      </c>
      <c r="E291" s="525" t="s">
        <v>1431</v>
      </c>
      <c r="F291" s="557"/>
      <c r="G291" s="1012"/>
      <c r="H291" s="557"/>
      <c r="I291" s="56" t="str">
        <f>OBRA!U290</f>
        <v>C. JOSÉ MIGUEL GARCIA VALLE</v>
      </c>
      <c r="J291" s="57" t="str">
        <f>OBRA!V290</f>
        <v>LIC. SALVADOR CONTRERAS OLGUÍN</v>
      </c>
      <c r="K291" s="35" t="str">
        <f>OBRA!L290</f>
        <v>GMJ 065C OP/2017</v>
      </c>
      <c r="L291" s="2" t="str">
        <f>OBRA!M290</f>
        <v>ADJUDICACIÓN DIRECTA</v>
      </c>
      <c r="M291" s="3" t="str">
        <f>OBRA!N290</f>
        <v>FABRICACION DE EMPEDRADO AHOGADO EN CONCRETO EN CALLE INDEPENDENCIA, EN  LA LOCALIDAD  DE SAN JUAN COSALA, DEL MUNICIPIO DE JOCOTEPEC, JALISCO</v>
      </c>
      <c r="N291" s="554"/>
      <c r="O291" s="6">
        <f>OBRA!Q290</f>
        <v>43077</v>
      </c>
      <c r="P291" s="4">
        <f>OBRA!P290</f>
        <v>107544.91</v>
      </c>
      <c r="Q291" s="4"/>
      <c r="R291" s="5">
        <f>OBRA!R290</f>
        <v>43078</v>
      </c>
      <c r="S291" s="12">
        <f>OBRA!S290</f>
        <v>43099</v>
      </c>
      <c r="T291" s="55"/>
      <c r="U291" s="415" t="s">
        <v>1431</v>
      </c>
      <c r="V291" s="557"/>
      <c r="W291" s="1011"/>
      <c r="X291" s="307">
        <f>OBRA!AP290</f>
        <v>21508.98</v>
      </c>
      <c r="Y291" s="5"/>
      <c r="Z291" s="341"/>
      <c r="AA291" s="5"/>
      <c r="AB291" s="351">
        <f>OBRA!BT290</f>
        <v>0</v>
      </c>
      <c r="AC291" s="569" t="s">
        <v>551</v>
      </c>
      <c r="AE291" s="1"/>
      <c r="AF291" s="1"/>
      <c r="AG291" s="1"/>
      <c r="AH291" s="1"/>
      <c r="AI291" s="1"/>
      <c r="AJ291" s="1"/>
      <c r="AK291" s="1"/>
      <c r="AL291" s="1"/>
    </row>
    <row r="292" spans="1:38" ht="30" hidden="1" customHeight="1">
      <c r="A292" s="23" t="s">
        <v>2239</v>
      </c>
      <c r="B292" s="933" t="str">
        <f>GRAL!B293</f>
        <v>2015-2018</v>
      </c>
      <c r="C292" s="17">
        <f>OBRA!I291</f>
        <v>2018</v>
      </c>
      <c r="D292" s="18" t="str">
        <f>OBRA!K291</f>
        <v>FONDEREG</v>
      </c>
      <c r="E292" s="525" t="s">
        <v>1431</v>
      </c>
      <c r="F292" s="552"/>
      <c r="G292" s="580"/>
      <c r="H292" s="552"/>
      <c r="I292" s="56" t="str">
        <f>OBRA!U291</f>
        <v>N/A</v>
      </c>
      <c r="J292" s="57" t="str">
        <f>OBRA!V291</f>
        <v>-</v>
      </c>
      <c r="K292" s="35"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54"/>
      <c r="O292" s="6">
        <f>OBRA!Q291</f>
        <v>43223</v>
      </c>
      <c r="P292" s="4">
        <f>OBRA!P291</f>
        <v>1634531.02</v>
      </c>
      <c r="Q292" s="4"/>
      <c r="R292" s="5" t="str">
        <f>OBRA!R291</f>
        <v>-</v>
      </c>
      <c r="S292" s="12" t="str">
        <f>OBRA!S291</f>
        <v>-</v>
      </c>
      <c r="T292" s="55"/>
      <c r="U292" s="415" t="s">
        <v>1431</v>
      </c>
      <c r="V292" s="552"/>
      <c r="W292" s="691"/>
      <c r="X292" s="307">
        <f>OBRA!AP291</f>
        <v>0</v>
      </c>
      <c r="Y292" s="5"/>
      <c r="Z292" s="341"/>
      <c r="AA292" s="5"/>
      <c r="AB292" s="351">
        <f>OBRA!BT291</f>
        <v>0</v>
      </c>
      <c r="AC292" s="569" t="s">
        <v>551</v>
      </c>
      <c r="AE292" s="1"/>
      <c r="AF292" s="1"/>
      <c r="AG292" s="1"/>
      <c r="AH292" s="1"/>
      <c r="AI292" s="1"/>
      <c r="AJ292" s="1"/>
      <c r="AK292" s="1"/>
      <c r="AL292" s="1"/>
    </row>
    <row r="293" spans="1:38" ht="30" hidden="1" customHeight="1">
      <c r="A293" s="23" t="s">
        <v>2239</v>
      </c>
      <c r="B293" s="933" t="str">
        <f>GRAL!B294</f>
        <v>2015-2018</v>
      </c>
      <c r="C293" s="17">
        <f>OBRA!I292</f>
        <v>2018</v>
      </c>
      <c r="D293" s="18" t="str">
        <f>OBRA!K292</f>
        <v>FONDEREG</v>
      </c>
      <c r="E293" s="525" t="s">
        <v>1431</v>
      </c>
      <c r="F293" s="552"/>
      <c r="G293" s="580"/>
      <c r="H293" s="552"/>
      <c r="I293" s="56" t="str">
        <f>OBRA!U292</f>
        <v>N/A</v>
      </c>
      <c r="J293" s="57" t="str">
        <f>OBRA!V292</f>
        <v>-</v>
      </c>
      <c r="K293" s="35"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54"/>
      <c r="O293" s="6">
        <f>OBRA!Q292</f>
        <v>43223</v>
      </c>
      <c r="P293" s="4">
        <f>OBRA!P292</f>
        <v>724057.5</v>
      </c>
      <c r="Q293" s="4"/>
      <c r="R293" s="5" t="str">
        <f>OBRA!R292</f>
        <v>-</v>
      </c>
      <c r="S293" s="12" t="str">
        <f>OBRA!S292</f>
        <v>-</v>
      </c>
      <c r="T293" s="55"/>
      <c r="U293" s="415" t="s">
        <v>1431</v>
      </c>
      <c r="V293" s="552"/>
      <c r="W293" s="691"/>
      <c r="X293" s="307">
        <f>OBRA!AP292</f>
        <v>0</v>
      </c>
      <c r="Y293" s="5"/>
      <c r="Z293" s="341"/>
      <c r="AA293" s="5"/>
      <c r="AB293" s="351">
        <f>OBRA!BT292</f>
        <v>0</v>
      </c>
      <c r="AC293" s="569" t="s">
        <v>551</v>
      </c>
      <c r="AE293" s="1"/>
      <c r="AF293" s="1"/>
      <c r="AG293" s="1"/>
      <c r="AH293" s="1"/>
      <c r="AI293" s="1"/>
      <c r="AJ293" s="1"/>
      <c r="AK293" s="1"/>
      <c r="AL293" s="1"/>
    </row>
    <row r="294" spans="1:38" ht="30" hidden="1" customHeight="1">
      <c r="A294" s="23" t="s">
        <v>2239</v>
      </c>
      <c r="B294" s="933" t="str">
        <f>GRAL!B295</f>
        <v>2015-2018</v>
      </c>
      <c r="C294" s="17">
        <f>OBRA!I293</f>
        <v>2018</v>
      </c>
      <c r="D294" s="18" t="str">
        <f>OBRA!K293</f>
        <v xml:space="preserve">PROYECTOS DESARROLLO REGIONAL </v>
      </c>
      <c r="E294" s="525" t="s">
        <v>1431</v>
      </c>
      <c r="F294" s="552"/>
      <c r="G294" s="580"/>
      <c r="H294" s="552"/>
      <c r="I294" s="56" t="str">
        <f>OBRA!U293</f>
        <v>N/A</v>
      </c>
      <c r="J294" s="57" t="str">
        <f>OBRA!V293</f>
        <v>-</v>
      </c>
      <c r="K294" s="35"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OBRA!Q293</f>
        <v>43199</v>
      </c>
      <c r="P294" s="4">
        <f>OBRA!P293</f>
        <v>2900000</v>
      </c>
      <c r="Q294" s="4"/>
      <c r="R294" s="5" t="str">
        <f>OBRA!R293</f>
        <v>-</v>
      </c>
      <c r="S294" s="12" t="str">
        <f>OBRA!S293</f>
        <v>-</v>
      </c>
      <c r="T294" s="55"/>
      <c r="U294" s="415" t="s">
        <v>1431</v>
      </c>
      <c r="V294" s="552"/>
      <c r="W294" s="691"/>
      <c r="X294" s="307">
        <f>OBRA!AP293</f>
        <v>0</v>
      </c>
      <c r="Y294" s="5"/>
      <c r="Z294" s="341"/>
      <c r="AA294" s="5"/>
      <c r="AB294" s="351">
        <f>OBRA!BT293</f>
        <v>0</v>
      </c>
      <c r="AC294" s="569" t="s">
        <v>551</v>
      </c>
      <c r="AE294" s="1"/>
      <c r="AF294" s="1"/>
      <c r="AG294" s="1"/>
      <c r="AH294" s="1"/>
      <c r="AI294" s="1"/>
      <c r="AJ294" s="1"/>
      <c r="AK294" s="1"/>
      <c r="AL294" s="1"/>
    </row>
    <row r="295" spans="1:38" ht="35.25" hidden="1" customHeight="1">
      <c r="A295" s="23" t="s">
        <v>2239</v>
      </c>
      <c r="B295" s="933" t="str">
        <f>GRAL!B293</f>
        <v>2015-2018</v>
      </c>
      <c r="C295" s="17">
        <f>OBRA!I294</f>
        <v>2018</v>
      </c>
      <c r="D295" s="18" t="str">
        <f>OBRA!K294</f>
        <v>CUENTA CORRIENTE</v>
      </c>
      <c r="E295" s="525"/>
      <c r="F295" s="390"/>
      <c r="G295" s="1"/>
      <c r="H295" s="390"/>
      <c r="I295" s="56" t="str">
        <f>OBRA!U294</f>
        <v>N/A</v>
      </c>
      <c r="J295" s="57" t="str">
        <f>OBRA!V294</f>
        <v>ING. JUAN MANUEL GARCIA ESCOTO</v>
      </c>
      <c r="K295" s="35"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2">
        <f>OBRA!S294</f>
        <v>43210</v>
      </c>
      <c r="T295" s="55"/>
      <c r="U295" s="415" t="s">
        <v>1431</v>
      </c>
      <c r="V295" s="341"/>
      <c r="W295" s="12"/>
      <c r="X295" s="307">
        <f>OBRA!AP294</f>
        <v>0</v>
      </c>
      <c r="Y295" s="341"/>
      <c r="Z295" s="341"/>
      <c r="AA295" s="5"/>
      <c r="AB295" s="351">
        <f>OBRA!BT294</f>
        <v>0</v>
      </c>
      <c r="AC295" s="569"/>
      <c r="AE295"/>
      <c r="AF295"/>
      <c r="AG295"/>
      <c r="AH295"/>
      <c r="AI295"/>
      <c r="AJ295"/>
      <c r="AK295"/>
      <c r="AL295"/>
    </row>
    <row r="296" spans="1:38" ht="15" hidden="1" customHeight="1">
      <c r="A296" s="23" t="s">
        <v>2239</v>
      </c>
      <c r="B296" s="933" t="str">
        <f>GRAL!B297</f>
        <v>2015-2018</v>
      </c>
      <c r="C296" s="17">
        <f>OBRA!I295</f>
        <v>2018</v>
      </c>
      <c r="D296" s="18" t="str">
        <f>OBRA!K295</f>
        <v>CUENTA CORRIENTE</v>
      </c>
      <c r="E296" s="525"/>
      <c r="F296" s="390"/>
      <c r="G296" s="1"/>
      <c r="H296" s="390"/>
      <c r="I296" s="56" t="str">
        <f>OBRA!U295</f>
        <v>N/A</v>
      </c>
      <c r="J296" s="57" t="str">
        <f>OBRA!V295</f>
        <v>ING. JUAN MANUEL GARCIA ESCOTO</v>
      </c>
      <c r="K296" s="35"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2">
        <f>OBRA!S295</f>
        <v>43210</v>
      </c>
      <c r="T296" s="55"/>
      <c r="U296" s="415" t="s">
        <v>1431</v>
      </c>
      <c r="V296" s="341"/>
      <c r="W296" s="12"/>
      <c r="X296" s="307">
        <f>OBRA!AP295</f>
        <v>0</v>
      </c>
      <c r="Y296" s="341"/>
      <c r="Z296" s="341"/>
      <c r="AA296" s="5"/>
      <c r="AB296" s="351">
        <f>OBRA!BT295</f>
        <v>0</v>
      </c>
      <c r="AC296" s="569"/>
      <c r="AE296"/>
      <c r="AF296"/>
      <c r="AG296"/>
      <c r="AH296"/>
      <c r="AI296"/>
      <c r="AJ296"/>
      <c r="AK296"/>
      <c r="AL296"/>
    </row>
    <row r="297" spans="1:38" ht="15" hidden="1" customHeight="1">
      <c r="A297" s="23" t="s">
        <v>2239</v>
      </c>
      <c r="B297" s="933" t="str">
        <f>GRAL!B298</f>
        <v>2015-2018</v>
      </c>
      <c r="C297" s="17">
        <f>OBRA!I296</f>
        <v>2018</v>
      </c>
      <c r="D297" s="18" t="str">
        <f>OBRA!K296</f>
        <v>CUENTA CORRIENTE</v>
      </c>
      <c r="E297" s="525"/>
      <c r="F297" s="390"/>
      <c r="G297" s="1"/>
      <c r="H297" s="390"/>
      <c r="I297" s="56" t="str">
        <f>OBRA!U296</f>
        <v>N/A</v>
      </c>
      <c r="J297" s="57" t="str">
        <f>OBRA!V296</f>
        <v>ING. JUAN MANUEL GARCIA ESCOTO</v>
      </c>
      <c r="K297" s="35"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2">
        <f>OBRA!S296</f>
        <v>43159</v>
      </c>
      <c r="T297" s="55"/>
      <c r="U297" s="415" t="s">
        <v>1431</v>
      </c>
      <c r="V297" s="341"/>
      <c r="W297" s="12"/>
      <c r="X297" s="307">
        <f>OBRA!AP296</f>
        <v>0</v>
      </c>
      <c r="Y297" s="341"/>
      <c r="Z297" s="341"/>
      <c r="AA297" s="5"/>
      <c r="AB297" s="351">
        <f>OBRA!BT296</f>
        <v>0</v>
      </c>
      <c r="AC297" s="569"/>
      <c r="AE297"/>
      <c r="AF297"/>
      <c r="AG297"/>
      <c r="AH297"/>
      <c r="AI297"/>
      <c r="AJ297"/>
      <c r="AK297"/>
      <c r="AL297"/>
    </row>
    <row r="298" spans="1:38" ht="15" hidden="1" customHeight="1">
      <c r="A298" s="23" t="s">
        <v>2239</v>
      </c>
      <c r="B298" s="933" t="str">
        <f>GRAL!B299</f>
        <v>2015-2018</v>
      </c>
      <c r="C298" s="17">
        <f>OBRA!I297</f>
        <v>2018</v>
      </c>
      <c r="D298" s="18" t="str">
        <f>OBRA!K297</f>
        <v>CUENTA CORRIENTE</v>
      </c>
      <c r="E298" s="525"/>
      <c r="F298" s="390"/>
      <c r="G298" s="1"/>
      <c r="H298" s="390"/>
      <c r="I298" s="56" t="str">
        <f>OBRA!U297</f>
        <v>N/A</v>
      </c>
      <c r="J298" s="57" t="str">
        <f>OBRA!V297</f>
        <v>ARQ. JAIME CONDE GOMEZ</v>
      </c>
      <c r="K298" s="35"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2">
        <f>OBRA!S297</f>
        <v>43245</v>
      </c>
      <c r="T298" s="55"/>
      <c r="U298" s="415" t="s">
        <v>1431</v>
      </c>
      <c r="V298" s="341"/>
      <c r="W298" s="12"/>
      <c r="X298" s="307">
        <f>OBRA!AP297</f>
        <v>0</v>
      </c>
      <c r="Y298" s="341"/>
      <c r="Z298" s="341"/>
      <c r="AA298" s="5"/>
      <c r="AB298" s="351">
        <f>OBRA!BT297</f>
        <v>0</v>
      </c>
      <c r="AC298" s="569"/>
      <c r="AE298"/>
      <c r="AF298"/>
      <c r="AG298"/>
      <c r="AH298"/>
      <c r="AI298"/>
      <c r="AJ298"/>
      <c r="AK298"/>
      <c r="AL298"/>
    </row>
    <row r="299" spans="1:38" s="110" customFormat="1" ht="15" hidden="1" customHeight="1">
      <c r="A299" s="87" t="s">
        <v>2239</v>
      </c>
      <c r="B299" s="946" t="str">
        <f>GRAL!B300</f>
        <v>2015-2018</v>
      </c>
      <c r="C299" s="88">
        <f>OBRA!I298</f>
        <v>2018</v>
      </c>
      <c r="D299" s="103">
        <f>OBRA!K298</f>
        <v>0</v>
      </c>
      <c r="E299" s="526"/>
      <c r="F299" s="392"/>
      <c r="G299" s="102"/>
      <c r="H299" s="392"/>
      <c r="I299" s="159" t="str">
        <f>OBRA!U298</f>
        <v>-</v>
      </c>
      <c r="J299" s="160">
        <f>OBRA!V298</f>
        <v>0</v>
      </c>
      <c r="K299" s="340" t="str">
        <f>OBRA!L298</f>
        <v>DOP/AD/005/2018</v>
      </c>
      <c r="L299" s="203" t="str">
        <f>OBRA!M298</f>
        <v>CANCELADA</v>
      </c>
      <c r="M299" s="112">
        <f>OBRA!N298</f>
        <v>0</v>
      </c>
      <c r="N299" s="132"/>
      <c r="O299" s="93">
        <f>OBRA!Q298</f>
        <v>0</v>
      </c>
      <c r="P299" s="92">
        <f>OBRA!P298</f>
        <v>0</v>
      </c>
      <c r="Q299" s="92"/>
      <c r="R299" s="94">
        <f>OBRA!R298</f>
        <v>0</v>
      </c>
      <c r="S299" s="95">
        <f>OBRA!S298</f>
        <v>0</v>
      </c>
      <c r="T299" s="97"/>
      <c r="U299" s="785" t="s">
        <v>1431</v>
      </c>
      <c r="V299" s="343"/>
      <c r="W299" s="95"/>
      <c r="X299" s="954">
        <f>OBRA!AP298</f>
        <v>0</v>
      </c>
      <c r="Y299" s="343"/>
      <c r="Z299" s="343"/>
      <c r="AA299" s="94"/>
      <c r="AB299" s="511">
        <f>OBRA!BT298</f>
        <v>0</v>
      </c>
      <c r="AC299" s="570"/>
    </row>
    <row r="300" spans="1:38" ht="15" hidden="1" customHeight="1">
      <c r="A300" s="23" t="s">
        <v>2239</v>
      </c>
      <c r="B300" s="933" t="str">
        <f>GRAL!B301</f>
        <v>2015-2018</v>
      </c>
      <c r="C300" s="17">
        <f>OBRA!I299</f>
        <v>2018</v>
      </c>
      <c r="D300" s="18" t="str">
        <f>OBRA!K299</f>
        <v>CUENTA CORRIENTE</v>
      </c>
      <c r="E300" s="525"/>
      <c r="F300" s="390"/>
      <c r="G300" s="1"/>
      <c r="H300" s="390"/>
      <c r="I300" s="56" t="str">
        <f>OBRA!U299</f>
        <v>N/A</v>
      </c>
      <c r="J300" s="57" t="str">
        <f>OBRA!V299</f>
        <v>-</v>
      </c>
      <c r="K300" s="35"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2" t="str">
        <f>OBRA!S299</f>
        <v>-</v>
      </c>
      <c r="T300" s="55"/>
      <c r="U300" s="415" t="s">
        <v>1431</v>
      </c>
      <c r="V300" s="341"/>
      <c r="W300" s="12"/>
      <c r="X300" s="307">
        <f>OBRA!AP299</f>
        <v>0</v>
      </c>
      <c r="Y300" s="341"/>
      <c r="Z300" s="341"/>
      <c r="AA300" s="5"/>
      <c r="AB300" s="351">
        <f>OBRA!BT299</f>
        <v>0</v>
      </c>
      <c r="AC300" s="569"/>
      <c r="AE300"/>
      <c r="AF300"/>
      <c r="AG300"/>
      <c r="AH300"/>
      <c r="AI300"/>
      <c r="AJ300"/>
      <c r="AK300"/>
      <c r="AL300"/>
    </row>
    <row r="301" spans="1:38" s="110" customFormat="1" ht="15" hidden="1" customHeight="1">
      <c r="A301" s="87" t="s">
        <v>2239</v>
      </c>
      <c r="B301" s="946" t="str">
        <f>GRAL!B302</f>
        <v>2015-2018</v>
      </c>
      <c r="C301" s="88">
        <f>OBRA!I300</f>
        <v>2018</v>
      </c>
      <c r="D301" s="103" t="str">
        <f>OBRA!K300</f>
        <v>RAMO 33</v>
      </c>
      <c r="E301" s="526"/>
      <c r="F301" s="392"/>
      <c r="G301" s="102"/>
      <c r="H301" s="392"/>
      <c r="I301" s="159" t="str">
        <f>OBRA!U300</f>
        <v>-</v>
      </c>
      <c r="J301" s="160" t="str">
        <f>OBRA!V300</f>
        <v>ING. J. GUADALUPE IBARRA RAMIREZ</v>
      </c>
      <c r="K301" s="340" t="str">
        <f>OBRA!L300</f>
        <v>DOP/AD/007/2018</v>
      </c>
      <c r="L301" s="203" t="str">
        <f>OBRA!M300</f>
        <v>CANCELADA</v>
      </c>
      <c r="M301" s="112" t="str">
        <f>OBRA!N300</f>
        <v>PUENTE PEATONAL, C. LIBERTAD, ZDH</v>
      </c>
      <c r="N301" s="132"/>
      <c r="O301" s="93">
        <f>OBRA!Q300</f>
        <v>0</v>
      </c>
      <c r="P301" s="92">
        <f>OBRA!P300</f>
        <v>0</v>
      </c>
      <c r="Q301" s="92"/>
      <c r="R301" s="94">
        <f>OBRA!R300</f>
        <v>0</v>
      </c>
      <c r="S301" s="95">
        <f>OBRA!S300</f>
        <v>0</v>
      </c>
      <c r="T301" s="97"/>
      <c r="U301" s="785" t="s">
        <v>1431</v>
      </c>
      <c r="V301" s="343"/>
      <c r="W301" s="95"/>
      <c r="X301" s="954">
        <f>OBRA!AP300</f>
        <v>0</v>
      </c>
      <c r="Y301" s="343"/>
      <c r="Z301" s="343"/>
      <c r="AA301" s="94"/>
      <c r="AB301" s="511">
        <f>OBRA!BT300</f>
        <v>0</v>
      </c>
      <c r="AC301" s="570"/>
    </row>
    <row r="302" spans="1:38" s="110" customFormat="1" ht="15" hidden="1" customHeight="1">
      <c r="A302" s="87" t="s">
        <v>2239</v>
      </c>
      <c r="B302" s="946" t="str">
        <f>GRAL!B303</f>
        <v>2015-2018</v>
      </c>
      <c r="C302" s="88">
        <f>OBRA!I301</f>
        <v>2018</v>
      </c>
      <c r="D302" s="103">
        <f>OBRA!K301</f>
        <v>0</v>
      </c>
      <c r="E302" s="526"/>
      <c r="F302" s="392"/>
      <c r="G302" s="102"/>
      <c r="H302" s="392"/>
      <c r="I302" s="159" t="str">
        <f>OBRA!U301</f>
        <v>-</v>
      </c>
      <c r="J302" s="160">
        <f>OBRA!V301</f>
        <v>0</v>
      </c>
      <c r="K302" s="340" t="str">
        <f>OBRA!L301</f>
        <v>DOP/AD/008/2018</v>
      </c>
      <c r="L302" s="203" t="str">
        <f>OBRA!M301</f>
        <v>CANCELADA</v>
      </c>
      <c r="M302" s="112">
        <f>OBRA!N301</f>
        <v>0</v>
      </c>
      <c r="N302" s="132"/>
      <c r="O302" s="93">
        <f>OBRA!Q301</f>
        <v>0</v>
      </c>
      <c r="P302" s="92">
        <f>OBRA!P301</f>
        <v>0</v>
      </c>
      <c r="Q302" s="92"/>
      <c r="R302" s="94">
        <f>OBRA!R301</f>
        <v>0</v>
      </c>
      <c r="S302" s="95">
        <f>OBRA!S301</f>
        <v>0</v>
      </c>
      <c r="T302" s="97"/>
      <c r="U302" s="785" t="s">
        <v>1431</v>
      </c>
      <c r="V302" s="343"/>
      <c r="W302" s="95"/>
      <c r="X302" s="954">
        <f>OBRA!AP301</f>
        <v>0</v>
      </c>
      <c r="Y302" s="343"/>
      <c r="Z302" s="343"/>
      <c r="AA302" s="94"/>
      <c r="AB302" s="511">
        <f>OBRA!BT301</f>
        <v>0</v>
      </c>
      <c r="AC302" s="570"/>
    </row>
    <row r="303" spans="1:38" s="110" customFormat="1" ht="15" hidden="1" customHeight="1">
      <c r="A303" s="87" t="s">
        <v>2239</v>
      </c>
      <c r="B303" s="946" t="str">
        <f>GRAL!B304</f>
        <v>2015-2018</v>
      </c>
      <c r="C303" s="88">
        <f>OBRA!I302</f>
        <v>2018</v>
      </c>
      <c r="D303" s="103">
        <f>OBRA!K302</f>
        <v>0</v>
      </c>
      <c r="E303" s="526"/>
      <c r="F303" s="392"/>
      <c r="G303" s="102"/>
      <c r="H303" s="392"/>
      <c r="I303" s="159" t="str">
        <f>OBRA!U302</f>
        <v>-</v>
      </c>
      <c r="J303" s="160">
        <f>OBRA!V302</f>
        <v>0</v>
      </c>
      <c r="K303" s="340" t="str">
        <f>OBRA!L302</f>
        <v>DOP/AD/009/2018</v>
      </c>
      <c r="L303" s="203" t="str">
        <f>OBRA!M302</f>
        <v>CANCELADA</v>
      </c>
      <c r="M303" s="112">
        <f>OBRA!N302</f>
        <v>0</v>
      </c>
      <c r="N303" s="132"/>
      <c r="O303" s="93">
        <f>OBRA!Q302</f>
        <v>0</v>
      </c>
      <c r="P303" s="92">
        <f>OBRA!P302</f>
        <v>0</v>
      </c>
      <c r="Q303" s="92"/>
      <c r="R303" s="94">
        <f>OBRA!R302</f>
        <v>0</v>
      </c>
      <c r="S303" s="95">
        <f>OBRA!S302</f>
        <v>0</v>
      </c>
      <c r="T303" s="97"/>
      <c r="U303" s="785" t="s">
        <v>1431</v>
      </c>
      <c r="V303" s="343"/>
      <c r="W303" s="95"/>
      <c r="X303" s="954">
        <f>OBRA!AP302</f>
        <v>0</v>
      </c>
      <c r="Y303" s="343"/>
      <c r="Z303" s="343"/>
      <c r="AA303" s="94"/>
      <c r="AB303" s="511">
        <f>OBRA!BT302</f>
        <v>0</v>
      </c>
      <c r="AC303" s="570"/>
    </row>
    <row r="304" spans="1:38" ht="15" hidden="1" customHeight="1">
      <c r="A304" s="23" t="s">
        <v>2239</v>
      </c>
      <c r="B304" s="933" t="str">
        <f>GRAL!B305</f>
        <v>2015-2018</v>
      </c>
      <c r="C304" s="17">
        <f>OBRA!I303</f>
        <v>2018</v>
      </c>
      <c r="D304" s="18" t="str">
        <f>OBRA!K303</f>
        <v>RAMO 33</v>
      </c>
      <c r="E304" s="525"/>
      <c r="F304" s="390"/>
      <c r="G304" s="1"/>
      <c r="H304" s="390"/>
      <c r="I304" s="56" t="str">
        <f>OBRA!U303</f>
        <v>N/A</v>
      </c>
      <c r="J304" s="57" t="str">
        <f>OBRA!V303</f>
        <v>ING. J. GUADALUPE IBARRA RAMIREZ</v>
      </c>
      <c r="K304" s="35"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2">
        <f>OBRA!S303</f>
        <v>43262</v>
      </c>
      <c r="T304" s="55"/>
      <c r="U304" s="415" t="s">
        <v>1431</v>
      </c>
      <c r="V304" s="341"/>
      <c r="W304" s="12"/>
      <c r="X304" s="307">
        <f>OBRA!AP303</f>
        <v>0</v>
      </c>
      <c r="Y304" s="341"/>
      <c r="Z304" s="341"/>
      <c r="AA304" s="5"/>
      <c r="AB304" s="351">
        <f>OBRA!BT303</f>
        <v>0</v>
      </c>
      <c r="AC304" s="569"/>
      <c r="AE304"/>
      <c r="AF304"/>
      <c r="AG304"/>
      <c r="AH304"/>
      <c r="AI304"/>
      <c r="AJ304"/>
      <c r="AK304"/>
      <c r="AL304"/>
    </row>
    <row r="305" spans="1:38" ht="15" hidden="1" customHeight="1">
      <c r="A305" s="23" t="s">
        <v>2239</v>
      </c>
      <c r="B305" s="933" t="str">
        <f>GRAL!B306</f>
        <v>2015-2018</v>
      </c>
      <c r="C305" s="17">
        <f>OBRA!I304</f>
        <v>2018</v>
      </c>
      <c r="D305" s="18" t="str">
        <f>OBRA!K304</f>
        <v>Fondo de proyectos para el Desarrollo Regional</v>
      </c>
      <c r="E305" s="525"/>
      <c r="F305" s="390"/>
      <c r="G305" s="1"/>
      <c r="H305" s="390"/>
      <c r="I305" s="56" t="str">
        <f>OBRA!U304</f>
        <v>N/A</v>
      </c>
      <c r="J305" s="57" t="str">
        <f>OBRA!V304</f>
        <v>ING. J. GUADALUPE IBARRA RAMIREZ</v>
      </c>
      <c r="K305" s="35"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2">
        <f>OBRA!S304</f>
        <v>43322</v>
      </c>
      <c r="T305" s="55"/>
      <c r="U305" s="415" t="s">
        <v>1431</v>
      </c>
      <c r="V305" s="341"/>
      <c r="W305" s="12"/>
      <c r="X305" s="307">
        <f>OBRA!AP304</f>
        <v>0</v>
      </c>
      <c r="Y305" s="341"/>
      <c r="Z305" s="341"/>
      <c r="AA305" s="5"/>
      <c r="AB305" s="351">
        <f>OBRA!BT304</f>
        <v>0</v>
      </c>
      <c r="AC305" s="569"/>
      <c r="AE305"/>
      <c r="AF305"/>
      <c r="AG305"/>
      <c r="AH305"/>
      <c r="AI305"/>
      <c r="AJ305"/>
      <c r="AK305"/>
      <c r="AL305"/>
    </row>
    <row r="306" spans="1:38" ht="15" hidden="1" customHeight="1">
      <c r="A306" s="23" t="s">
        <v>2239</v>
      </c>
      <c r="B306" s="933" t="str">
        <f>GRAL!B307</f>
        <v>2015-2018</v>
      </c>
      <c r="C306" s="17">
        <f>OBRA!I305</f>
        <v>2018</v>
      </c>
      <c r="D306" s="18" t="str">
        <f>OBRA!K305</f>
        <v>CUENTA CORRIENTE</v>
      </c>
      <c r="E306" s="525"/>
      <c r="F306" s="390"/>
      <c r="G306" s="1"/>
      <c r="H306" s="390"/>
      <c r="I306" s="56" t="str">
        <f>OBRA!U305</f>
        <v>N/A</v>
      </c>
      <c r="J306" s="57" t="str">
        <f>OBRA!V305</f>
        <v>ING. J. GUADALUPE IBARRA RAMIREZ</v>
      </c>
      <c r="K306" s="35"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2">
        <f>OBRA!S305</f>
        <v>43318</v>
      </c>
      <c r="T306" s="55"/>
      <c r="U306" s="415" t="s">
        <v>1431</v>
      </c>
      <c r="V306" s="341"/>
      <c r="W306" s="12"/>
      <c r="X306" s="307">
        <f>OBRA!AP305</f>
        <v>0</v>
      </c>
      <c r="Y306" s="341"/>
      <c r="Z306" s="341"/>
      <c r="AA306" s="5"/>
      <c r="AB306" s="351">
        <f>OBRA!BT305</f>
        <v>0</v>
      </c>
      <c r="AC306" s="569"/>
      <c r="AE306"/>
      <c r="AF306"/>
      <c r="AG306"/>
      <c r="AH306"/>
      <c r="AI306"/>
      <c r="AJ306"/>
      <c r="AK306"/>
      <c r="AL306"/>
    </row>
    <row r="307" spans="1:38" ht="15" hidden="1" customHeight="1">
      <c r="A307" s="23" t="s">
        <v>2239</v>
      </c>
      <c r="B307" s="933" t="str">
        <f>GRAL!B308</f>
        <v>2015-2018</v>
      </c>
      <c r="C307" s="17">
        <f>OBRA!I306</f>
        <v>2018</v>
      </c>
      <c r="D307" s="18" t="str">
        <f>OBRA!K306</f>
        <v>CUENTA CORRIENTE</v>
      </c>
      <c r="E307" s="525"/>
      <c r="F307" s="390"/>
      <c r="G307" s="1"/>
      <c r="H307" s="390"/>
      <c r="I307" s="56" t="str">
        <f>OBRA!U306</f>
        <v>N/A</v>
      </c>
      <c r="J307" s="57" t="str">
        <f>OBRA!V306</f>
        <v>ING. J. GUADALUPE IBARRA RAMIREZ</v>
      </c>
      <c r="K307" s="35"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2">
        <f>OBRA!S306</f>
        <v>43318</v>
      </c>
      <c r="T307" s="55"/>
      <c r="U307" s="415" t="s">
        <v>1431</v>
      </c>
      <c r="V307" s="341"/>
      <c r="W307" s="12"/>
      <c r="X307" s="307">
        <f>OBRA!AP306</f>
        <v>0</v>
      </c>
      <c r="Y307" s="341"/>
      <c r="Z307" s="341"/>
      <c r="AA307" s="5"/>
      <c r="AB307" s="351">
        <f>OBRA!BT306</f>
        <v>0</v>
      </c>
      <c r="AC307" s="569"/>
      <c r="AE307"/>
      <c r="AF307"/>
      <c r="AG307"/>
      <c r="AH307"/>
      <c r="AI307"/>
      <c r="AJ307"/>
      <c r="AK307"/>
      <c r="AL307"/>
    </row>
    <row r="308" spans="1:38" ht="15" hidden="1" customHeight="1">
      <c r="A308" s="23" t="s">
        <v>2239</v>
      </c>
      <c r="B308" s="933" t="str">
        <f>GRAL!B309</f>
        <v>2015-2018</v>
      </c>
      <c r="C308" s="17">
        <f>OBRA!I307</f>
        <v>2018</v>
      </c>
      <c r="D308" s="18" t="str">
        <f>OBRA!K307</f>
        <v>RAMO 33</v>
      </c>
      <c r="E308" s="525"/>
      <c r="F308" s="390"/>
      <c r="G308" s="1"/>
      <c r="H308" s="390"/>
      <c r="I308" s="56" t="str">
        <f>OBRA!U307</f>
        <v>N/A</v>
      </c>
      <c r="J308" s="57" t="str">
        <f>OBRA!V307</f>
        <v>ARQ. CESAR ANTONIO ALONSO JIMENEZ</v>
      </c>
      <c r="K308" s="35"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2">
        <f>OBRA!S307</f>
        <v>43294</v>
      </c>
      <c r="T308" s="55"/>
      <c r="U308" s="415" t="s">
        <v>1431</v>
      </c>
      <c r="V308" s="341"/>
      <c r="W308" s="12"/>
      <c r="X308" s="307">
        <f>OBRA!AP307</f>
        <v>0</v>
      </c>
      <c r="Y308" s="341"/>
      <c r="Z308" s="341"/>
      <c r="AA308" s="5"/>
      <c r="AB308" s="351">
        <f>OBRA!BT307</f>
        <v>0</v>
      </c>
      <c r="AC308" s="569"/>
      <c r="AE308"/>
      <c r="AF308"/>
      <c r="AG308"/>
      <c r="AH308"/>
      <c r="AI308"/>
      <c r="AJ308"/>
      <c r="AK308"/>
      <c r="AL308"/>
    </row>
    <row r="309" spans="1:38" s="110" customFormat="1" ht="15" hidden="1" customHeight="1">
      <c r="A309" s="87" t="s">
        <v>2239</v>
      </c>
      <c r="B309" s="946" t="str">
        <f>GRAL!B310</f>
        <v>2015-2018</v>
      </c>
      <c r="C309" s="88">
        <f>OBRA!I308</f>
        <v>2018</v>
      </c>
      <c r="D309" s="103" t="str">
        <f>OBRA!K308</f>
        <v>RAMO 33</v>
      </c>
      <c r="E309" s="526"/>
      <c r="F309" s="392"/>
      <c r="G309" s="102"/>
      <c r="H309" s="392"/>
      <c r="I309" s="159" t="str">
        <f>OBRA!U308</f>
        <v>-</v>
      </c>
      <c r="J309" s="160" t="str">
        <f>OBRA!V308</f>
        <v>-</v>
      </c>
      <c r="K309" s="340" t="str">
        <f>OBRA!L308</f>
        <v>DOP/AD/015/2018</v>
      </c>
      <c r="L309" s="203" t="str">
        <f>OBRA!M308</f>
        <v>CANCELADA</v>
      </c>
      <c r="M309" s="112" t="str">
        <f>OBRA!N308</f>
        <v>FABRICACION DE BANQUETAS EN CALLE "EL HUASOYO" EN LA LOCALIDAD DE CHANTEPEC, DEL MUNICIPIO DE JOCOTEPEC, JALISCO</v>
      </c>
      <c r="N309" s="132"/>
      <c r="O309" s="93">
        <f>OBRA!Q308</f>
        <v>43276</v>
      </c>
      <c r="P309" s="92">
        <f>OBRA!P308</f>
        <v>88593.05</v>
      </c>
      <c r="Q309" s="92"/>
      <c r="R309" s="94">
        <f>OBRA!R308</f>
        <v>43276</v>
      </c>
      <c r="S309" s="95">
        <f>OBRA!S308</f>
        <v>43288</v>
      </c>
      <c r="T309" s="97"/>
      <c r="U309" s="785" t="s">
        <v>1431</v>
      </c>
      <c r="V309" s="343"/>
      <c r="W309" s="95"/>
      <c r="X309" s="954">
        <f>OBRA!AP308</f>
        <v>0</v>
      </c>
      <c r="Y309" s="343"/>
      <c r="Z309" s="343"/>
      <c r="AA309" s="94"/>
      <c r="AB309" s="511">
        <f>OBRA!BT308</f>
        <v>0</v>
      </c>
      <c r="AC309" s="570"/>
    </row>
    <row r="310" spans="1:38" ht="15" hidden="1" customHeight="1">
      <c r="A310" s="23" t="s">
        <v>2239</v>
      </c>
      <c r="B310" s="933" t="str">
        <f>GRAL!B311</f>
        <v>2015-2018</v>
      </c>
      <c r="C310" s="17">
        <f>OBRA!I309</f>
        <v>2018</v>
      </c>
      <c r="D310" s="18" t="str">
        <f>OBRA!K309</f>
        <v>Fondo de proyectos para el Desarrollo Regional</v>
      </c>
      <c r="E310" s="525"/>
      <c r="F310" s="390"/>
      <c r="G310" s="1"/>
      <c r="H310" s="390"/>
      <c r="I310" s="56" t="str">
        <f>OBRA!U309</f>
        <v>N/A</v>
      </c>
      <c r="J310" s="57" t="str">
        <f>OBRA!V309</f>
        <v>ING. J. GUADALUPE IBARRA RAMIREZ</v>
      </c>
      <c r="K310" s="35"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2">
        <f>OBRA!S309</f>
        <v>43311</v>
      </c>
      <c r="T310" s="55"/>
      <c r="U310" s="415" t="s">
        <v>1431</v>
      </c>
      <c r="V310" s="341"/>
      <c r="W310" s="12"/>
      <c r="X310" s="307">
        <f>OBRA!AP309</f>
        <v>0</v>
      </c>
      <c r="Y310" s="341"/>
      <c r="Z310" s="341"/>
      <c r="AA310" s="5"/>
      <c r="AB310" s="351" t="str">
        <f>OBRA!BT309</f>
        <v>FOTOS FIN</v>
      </c>
      <c r="AC310" s="569"/>
      <c r="AE310"/>
      <c r="AF310"/>
      <c r="AG310"/>
      <c r="AH310"/>
      <c r="AI310"/>
      <c r="AJ310"/>
      <c r="AK310"/>
      <c r="AL310"/>
    </row>
    <row r="311" spans="1:38" ht="15" hidden="1" customHeight="1">
      <c r="A311" s="23" t="s">
        <v>2239</v>
      </c>
      <c r="B311" s="933" t="str">
        <f>GRAL!B312</f>
        <v>2015-2018</v>
      </c>
      <c r="C311" s="17">
        <f>OBRA!I310</f>
        <v>2018</v>
      </c>
      <c r="D311" s="18" t="str">
        <f>OBRA!K310</f>
        <v>Fondo de proyectos para el Desarrollo Regional</v>
      </c>
      <c r="E311" s="525"/>
      <c r="F311" s="390"/>
      <c r="G311" s="1"/>
      <c r="H311" s="390"/>
      <c r="I311" s="56" t="str">
        <f>OBRA!U310</f>
        <v>N/A</v>
      </c>
      <c r="J311" s="57" t="str">
        <f>OBRA!V310</f>
        <v>ING. JUAN MANUEL GARCIA ESCOTO</v>
      </c>
      <c r="K311" s="35"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2">
        <f>OBRA!S310</f>
        <v>43329</v>
      </c>
      <c r="T311" s="55"/>
      <c r="U311" s="415" t="s">
        <v>1431</v>
      </c>
      <c r="V311" s="341"/>
      <c r="W311" s="12"/>
      <c r="X311" s="307">
        <f>OBRA!AP310</f>
        <v>0</v>
      </c>
      <c r="Y311" s="341"/>
      <c r="Z311" s="341"/>
      <c r="AA311" s="5"/>
      <c r="AB311" s="351" t="str">
        <f>OBRA!BT310</f>
        <v>FOTOS FIN</v>
      </c>
      <c r="AC311" s="569"/>
      <c r="AE311"/>
      <c r="AF311"/>
      <c r="AG311"/>
      <c r="AH311"/>
      <c r="AI311"/>
      <c r="AJ311"/>
      <c r="AK311"/>
      <c r="AL311"/>
    </row>
    <row r="312" spans="1:38" ht="15" hidden="1" customHeight="1">
      <c r="A312" s="23" t="s">
        <v>2239</v>
      </c>
      <c r="B312" s="933" t="str">
        <f>GRAL!B313</f>
        <v>2015-2018</v>
      </c>
      <c r="C312" s="17">
        <f>OBRA!I311</f>
        <v>2018</v>
      </c>
      <c r="D312" s="18" t="str">
        <f>OBRA!K311</f>
        <v>RAMO 33</v>
      </c>
      <c r="E312" s="525"/>
      <c r="F312" s="390"/>
      <c r="G312" s="1"/>
      <c r="H312" s="390"/>
      <c r="I312" s="56" t="str">
        <f>OBRA!U311</f>
        <v>N/A</v>
      </c>
      <c r="J312" s="57" t="str">
        <f>OBRA!V311</f>
        <v>-</v>
      </c>
      <c r="K312" s="35"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2">
        <f>OBRA!S311</f>
        <v>43357</v>
      </c>
      <c r="T312" s="55"/>
      <c r="U312" s="415" t="s">
        <v>1431</v>
      </c>
      <c r="V312" s="341"/>
      <c r="W312" s="12"/>
      <c r="X312" s="307">
        <f>OBRA!AP311</f>
        <v>0</v>
      </c>
      <c r="Y312" s="341"/>
      <c r="Z312" s="341"/>
      <c r="AA312" s="5"/>
      <c r="AB312" s="351">
        <f>OBRA!BT311</f>
        <v>0</v>
      </c>
      <c r="AC312" s="569"/>
      <c r="AE312"/>
      <c r="AF312"/>
      <c r="AG312"/>
      <c r="AH312"/>
      <c r="AI312"/>
      <c r="AJ312"/>
      <c r="AK312"/>
      <c r="AL312"/>
    </row>
    <row r="313" spans="1:38" s="110" customFormat="1" ht="15" hidden="1" customHeight="1">
      <c r="A313" s="87" t="s">
        <v>2239</v>
      </c>
      <c r="B313" s="946" t="str">
        <f>GRAL!B314</f>
        <v>2015-2018</v>
      </c>
      <c r="C313" s="88">
        <f>OBRA!I312</f>
        <v>2018</v>
      </c>
      <c r="D313" s="103">
        <f>OBRA!K312</f>
        <v>0</v>
      </c>
      <c r="E313" s="526"/>
      <c r="F313" s="392"/>
      <c r="G313" s="102"/>
      <c r="H313" s="392"/>
      <c r="I313" s="159" t="str">
        <f>OBRA!U312</f>
        <v>N/A</v>
      </c>
      <c r="J313" s="160" t="str">
        <f>OBRA!V312</f>
        <v>-</v>
      </c>
      <c r="K313" s="340" t="str">
        <f>OBRA!L312</f>
        <v>DOP/AD/019/2018</v>
      </c>
      <c r="L313" s="203" t="str">
        <f>OBRA!M312</f>
        <v>CANCELADA</v>
      </c>
      <c r="M313" s="112">
        <f>OBRA!N312</f>
        <v>0</v>
      </c>
      <c r="N313" s="132"/>
      <c r="O313" s="93">
        <f>OBRA!Q312</f>
        <v>0</v>
      </c>
      <c r="P313" s="92">
        <f>OBRA!P312</f>
        <v>0</v>
      </c>
      <c r="Q313" s="92"/>
      <c r="R313" s="94">
        <f>OBRA!R312</f>
        <v>0</v>
      </c>
      <c r="S313" s="95">
        <f>OBRA!S312</f>
        <v>0</v>
      </c>
      <c r="T313" s="97"/>
      <c r="U313" s="785" t="s">
        <v>1431</v>
      </c>
      <c r="V313" s="343"/>
      <c r="W313" s="95"/>
      <c r="X313" s="954">
        <f>OBRA!AP312</f>
        <v>0</v>
      </c>
      <c r="Y313" s="343"/>
      <c r="Z313" s="343"/>
      <c r="AA313" s="94"/>
      <c r="AB313" s="511">
        <f>OBRA!BT312</f>
        <v>0</v>
      </c>
      <c r="AC313" s="570"/>
    </row>
    <row r="314" spans="1:38" ht="30" hidden="1" customHeight="1">
      <c r="A314" s="23" t="s">
        <v>2239</v>
      </c>
      <c r="B314" s="933" t="str">
        <f>GRAL!B315</f>
        <v>2015-2018</v>
      </c>
      <c r="C314" s="17">
        <f>OBRA!I313</f>
        <v>2018</v>
      </c>
      <c r="D314" s="18" t="str">
        <f>OBRA!K313</f>
        <v>CUENTA CORRIENTE</v>
      </c>
      <c r="E314" s="525"/>
      <c r="F314" s="390"/>
      <c r="G314" s="1"/>
      <c r="H314" s="390"/>
      <c r="I314" s="56" t="str">
        <f>OBRA!U313</f>
        <v>N/A</v>
      </c>
      <c r="J314" s="57" t="str">
        <f>OBRA!V313</f>
        <v>-</v>
      </c>
      <c r="K314" s="35"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2">
        <f>OBRA!S313</f>
        <v>43365</v>
      </c>
      <c r="T314" s="55"/>
      <c r="U314" s="415" t="s">
        <v>1431</v>
      </c>
      <c r="V314" s="341"/>
      <c r="W314" s="12"/>
      <c r="X314" s="307">
        <f>OBRA!AP313</f>
        <v>0</v>
      </c>
      <c r="Y314" s="341"/>
      <c r="Z314" s="341"/>
      <c r="AA314" s="5"/>
      <c r="AB314" s="351">
        <f>OBRA!BT313</f>
        <v>0</v>
      </c>
      <c r="AC314" s="569"/>
      <c r="AE314"/>
      <c r="AF314"/>
      <c r="AG314"/>
      <c r="AH314"/>
      <c r="AI314"/>
      <c r="AJ314"/>
      <c r="AK314"/>
      <c r="AL314"/>
    </row>
    <row r="315" spans="1:38" ht="138.75" hidden="1" customHeight="1">
      <c r="A315" s="23" t="s">
        <v>2239</v>
      </c>
      <c r="B315" s="933" t="str">
        <f>GRAL!B316</f>
        <v>2015-2018</v>
      </c>
      <c r="C315" s="17">
        <f>OBRA!I314</f>
        <v>2018</v>
      </c>
      <c r="D315" s="18" t="str">
        <f>OBRA!K314</f>
        <v>RAMO 33</v>
      </c>
      <c r="E315" s="525" t="s">
        <v>1431</v>
      </c>
      <c r="F315" s="557"/>
      <c r="G315" s="1015"/>
      <c r="H315" s="557"/>
      <c r="I315" s="339" t="str">
        <f>OBRA!U314</f>
        <v>C. NORMA GORETY DOMINGUEZ CALVARIO</v>
      </c>
      <c r="J315" s="57" t="str">
        <f>OBRA!V314</f>
        <v>ING. JUAN MANUEL GARCIA ESCOTO</v>
      </c>
      <c r="K315" s="35"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54"/>
      <c r="O315" s="6">
        <f>OBRA!Q314</f>
        <v>43137</v>
      </c>
      <c r="P315" s="4">
        <f>OBRA!P314</f>
        <v>844622.8</v>
      </c>
      <c r="Q315" s="4"/>
      <c r="R315" s="5">
        <f>OBRA!R314</f>
        <v>43137</v>
      </c>
      <c r="S315" s="12">
        <f>OBRA!S314</f>
        <v>43168</v>
      </c>
      <c r="T315" s="55"/>
      <c r="U315" s="216" t="s">
        <v>1431</v>
      </c>
      <c r="V315" s="654"/>
      <c r="W315" s="1443"/>
      <c r="X315" s="376">
        <f>OBRA!AP314</f>
        <v>168924.56</v>
      </c>
      <c r="Y315" s="341"/>
      <c r="Z315" s="341"/>
      <c r="AA315" s="5"/>
      <c r="AB315" s="351">
        <f>OBRA!BT314</f>
        <v>0</v>
      </c>
      <c r="AC315" s="569" t="s">
        <v>551</v>
      </c>
      <c r="AE315" s="1"/>
      <c r="AF315" s="1" t="s">
        <v>2282</v>
      </c>
      <c r="AG315" s="1" t="s">
        <v>2282</v>
      </c>
      <c r="AH315" s="1" t="s">
        <v>2282</v>
      </c>
      <c r="AI315" s="1"/>
      <c r="AJ315" s="1" t="s">
        <v>2282</v>
      </c>
      <c r="AK315" s="1" t="s">
        <v>2282</v>
      </c>
      <c r="AL315" s="1"/>
    </row>
    <row r="316" spans="1:38" ht="15" hidden="1" customHeight="1">
      <c r="A316" s="23" t="s">
        <v>2239</v>
      </c>
      <c r="B316" s="933" t="str">
        <f>GRAL!B317</f>
        <v>2015-2018</v>
      </c>
      <c r="C316" s="17">
        <f>OBRA!I315</f>
        <v>2018</v>
      </c>
      <c r="D316" s="18" t="str">
        <f>OBRA!K315</f>
        <v>RAMO 33</v>
      </c>
      <c r="E316" s="525"/>
      <c r="F316" s="390"/>
      <c r="G316" s="1"/>
      <c r="H316" s="390"/>
      <c r="I316" s="56" t="str">
        <f>OBRA!U315</f>
        <v xml:space="preserve">DRABSA CONSTRUCTORA S.A. DE C.V. </v>
      </c>
      <c r="J316" s="57" t="str">
        <f>OBRA!V315</f>
        <v>ING. JUAN MANUEL GARCIA ESCOTO</v>
      </c>
      <c r="K316" s="35"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54"/>
      <c r="O316" s="6">
        <f>OBRA!Q315</f>
        <v>43208</v>
      </c>
      <c r="P316" s="4">
        <f>OBRA!P315</f>
        <v>1341538.44</v>
      </c>
      <c r="Q316" s="4"/>
      <c r="R316" s="5">
        <f>OBRA!R315</f>
        <v>43209</v>
      </c>
      <c r="S316" s="12">
        <f>OBRA!S315</f>
        <v>43239</v>
      </c>
      <c r="T316" s="55"/>
      <c r="U316" s="415" t="s">
        <v>1431</v>
      </c>
      <c r="V316" s="341"/>
      <c r="W316" s="12"/>
      <c r="X316" s="307">
        <f>OBRA!AP315</f>
        <v>469538.44999999995</v>
      </c>
      <c r="Y316" s="341"/>
      <c r="Z316" s="341"/>
      <c r="AA316" s="5"/>
      <c r="AB316" s="351">
        <f>OBRA!BT315</f>
        <v>0</v>
      </c>
      <c r="AC316" s="569"/>
      <c r="AE316"/>
      <c r="AF316"/>
      <c r="AG316"/>
      <c r="AH316"/>
      <c r="AI316"/>
      <c r="AJ316"/>
      <c r="AK316"/>
      <c r="AL316"/>
    </row>
    <row r="317" spans="1:38" ht="15" hidden="1" customHeight="1">
      <c r="A317" s="23" t="s">
        <v>2239</v>
      </c>
      <c r="B317" s="933" t="str">
        <f>GRAL!B318</f>
        <v>2015-2018</v>
      </c>
      <c r="C317" s="17">
        <f>OBRA!I316</f>
        <v>2018</v>
      </c>
      <c r="D317" s="18" t="str">
        <f>OBRA!K316</f>
        <v>RAMO 33</v>
      </c>
      <c r="E317" s="525"/>
      <c r="F317" s="390"/>
      <c r="G317" s="1"/>
      <c r="H317" s="390"/>
      <c r="I317" s="56" t="str">
        <f>OBRA!U316</f>
        <v xml:space="preserve">DRABSA CONSTRUCTORA S.A. DE C.V. </v>
      </c>
      <c r="J317" s="57" t="str">
        <f>OBRA!V316</f>
        <v>ING. JUAN MANUEL GARCIA ESCOTO</v>
      </c>
      <c r="K317" s="35"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54"/>
      <c r="O317" s="6">
        <f>OBRA!Q316</f>
        <v>43208</v>
      </c>
      <c r="P317" s="4">
        <f>OBRA!P316</f>
        <v>1303478.02</v>
      </c>
      <c r="Q317" s="4"/>
      <c r="R317" s="5">
        <f>OBRA!R316</f>
        <v>43208</v>
      </c>
      <c r="S317" s="12">
        <f>OBRA!S316</f>
        <v>43239</v>
      </c>
      <c r="T317" s="55"/>
      <c r="U317" s="415" t="s">
        <v>1431</v>
      </c>
      <c r="V317" s="341"/>
      <c r="W317" s="12"/>
      <c r="X317" s="307">
        <f>OBRA!AP316</f>
        <v>130347.8</v>
      </c>
      <c r="Y317" s="341"/>
      <c r="Z317" s="341"/>
      <c r="AA317" s="5"/>
      <c r="AB317" s="351">
        <f>OBRA!BT316</f>
        <v>0</v>
      </c>
      <c r="AC317" s="569"/>
      <c r="AE317"/>
      <c r="AF317"/>
      <c r="AG317"/>
      <c r="AH317"/>
      <c r="AI317"/>
      <c r="AJ317"/>
      <c r="AK317"/>
      <c r="AL317"/>
    </row>
    <row r="318" spans="1:38" ht="91.5" hidden="1" customHeight="1">
      <c r="A318" s="23" t="s">
        <v>2239</v>
      </c>
      <c r="B318" s="933" t="str">
        <f>GRAL!B319</f>
        <v>2015-2018</v>
      </c>
      <c r="C318" s="17">
        <f>OBRA!I317</f>
        <v>2018</v>
      </c>
      <c r="D318" s="18" t="str">
        <f>OBRA!K317</f>
        <v>CUENTA CORRIENTE</v>
      </c>
      <c r="E318" s="695" t="s">
        <v>1431</v>
      </c>
      <c r="F318" s="557"/>
      <c r="G318" s="1012"/>
      <c r="H318" s="557"/>
      <c r="I318" s="56" t="str">
        <f>OBRA!U317</f>
        <v>JOSE LUIS RANGEL GALVEZ</v>
      </c>
      <c r="J318" s="57" t="str">
        <f>OBRA!V317</f>
        <v>ARQ. CESAR ANTONIO ALONSO JIMENEZ</v>
      </c>
      <c r="K318" s="35" t="str">
        <f>OBRA!L317</f>
        <v>GMJ 004C OP/2018</v>
      </c>
      <c r="L318" s="2" t="str">
        <f>OBRA!M317</f>
        <v>ADJUDICACIÓN DIRECTA</v>
      </c>
      <c r="M318" s="3" t="str">
        <f>OBRA!N317</f>
        <v>CONSTRUCCION DE AMPLIACIÓN DEL PANTEON 2DA ETAPA EN LA CABECERA MUNICIPAL, DEL MUNICIPIO DE JOCOTEPEC, JALISCO</v>
      </c>
      <c r="N318" s="749"/>
      <c r="O318" s="6">
        <f>OBRA!Q317</f>
        <v>43224</v>
      </c>
      <c r="P318" s="4">
        <f>OBRA!P317</f>
        <v>500000</v>
      </c>
      <c r="Q318" s="4"/>
      <c r="R318" s="5">
        <f>OBRA!R317</f>
        <v>43228</v>
      </c>
      <c r="S318" s="12">
        <f>OBRA!S317</f>
        <v>43321</v>
      </c>
      <c r="T318" s="55"/>
      <c r="U318" s="415" t="s">
        <v>1431</v>
      </c>
      <c r="V318" s="591"/>
      <c r="W318" s="479"/>
      <c r="X318" s="307">
        <f>OBRA!AP317</f>
        <v>125000</v>
      </c>
      <c r="Y318" s="341"/>
      <c r="Z318" s="341"/>
      <c r="AA318" s="5"/>
      <c r="AB318" s="351">
        <f>OBRA!BT317</f>
        <v>0</v>
      </c>
      <c r="AC318" s="569"/>
      <c r="AE318"/>
      <c r="AF318"/>
      <c r="AG318"/>
      <c r="AH318"/>
      <c r="AI318"/>
      <c r="AJ318"/>
      <c r="AK318"/>
      <c r="AL318"/>
    </row>
    <row r="319" spans="1:38" ht="141.75" hidden="1" customHeight="1">
      <c r="A319" s="23" t="s">
        <v>2239</v>
      </c>
      <c r="B319" s="933" t="str">
        <f>GRAL!B320</f>
        <v>2015-2018</v>
      </c>
      <c r="C319" s="17">
        <f>OBRA!I318</f>
        <v>2018</v>
      </c>
      <c r="D319" s="18" t="str">
        <f>OBRA!K318</f>
        <v>RAMO 33</v>
      </c>
      <c r="E319" s="695" t="s">
        <v>1431</v>
      </c>
      <c r="F319" s="557"/>
      <c r="G319" s="1012"/>
      <c r="H319" s="557"/>
      <c r="I319" s="339" t="str">
        <f>OBRA!U318</f>
        <v xml:space="preserve">GRUPO DESARROLLADOR INMOBILIARIO CEMERAMA S.A. DE C.V. </v>
      </c>
      <c r="J319" s="172" t="str">
        <f>OBRA!V318</f>
        <v>LIC. SALVADOR CONTRERAS OLGUÍN</v>
      </c>
      <c r="K319" s="180" t="str">
        <f>OBRA!L318</f>
        <v>GMJ 005C OP/2018</v>
      </c>
      <c r="L319" s="202" t="str">
        <f>OBRA!M318</f>
        <v>ADJUDICACIÓN DIRECTA</v>
      </c>
      <c r="M319" s="328" t="str">
        <f>OBRA!N318</f>
        <v>AMPLIACION DE RED DE AGUA POTABLE DE 2 I/2" A 4" EN LA LATERAL DE CARRETERA CHAPALA-JOCOTEPEC, ENTRE LA CALLE ITURBIDE A CALLE NARCIZO MENDOZA EN LA LOCALIDAD DE SAN JUAN COSALA, DEL MUNICIPIO DE JOCOTEPEC, JALISCO</v>
      </c>
      <c r="N319" s="554"/>
      <c r="O319" s="69">
        <f>OBRA!Q318</f>
        <v>43221</v>
      </c>
      <c r="P319" s="85">
        <f>OBRA!P318</f>
        <v>688990.42</v>
      </c>
      <c r="Q319" s="85"/>
      <c r="R319" s="255">
        <f>OBRA!R318</f>
        <v>43224</v>
      </c>
      <c r="S319" s="245">
        <f>OBRA!S318</f>
        <v>43285</v>
      </c>
      <c r="T319" s="758"/>
      <c r="U319" s="216" t="s">
        <v>1431</v>
      </c>
      <c r="V319" s="654"/>
      <c r="W319" s="1443"/>
      <c r="X319" s="307">
        <f>OBRA!AP318</f>
        <v>68899.039999999994</v>
      </c>
      <c r="Y319" s="341"/>
      <c r="Z319" s="341"/>
      <c r="AA319" s="5"/>
      <c r="AB319" s="351">
        <f>OBRA!BT318</f>
        <v>0</v>
      </c>
      <c r="AC319" s="569"/>
      <c r="AE319" s="1"/>
      <c r="AF319" s="1"/>
      <c r="AG319" s="1"/>
      <c r="AH319" s="1"/>
      <c r="AI319" s="1"/>
      <c r="AJ319" s="1"/>
      <c r="AK319" s="1"/>
      <c r="AL319" s="1"/>
    </row>
    <row r="320" spans="1:38" ht="134.25" hidden="1" customHeight="1">
      <c r="A320" s="23" t="s">
        <v>2239</v>
      </c>
      <c r="B320" s="933" t="str">
        <f>GRAL!B321</f>
        <v>2015-2018</v>
      </c>
      <c r="C320" s="17">
        <f>OBRA!I319</f>
        <v>2018</v>
      </c>
      <c r="D320" s="18" t="str">
        <f>OBRA!K319</f>
        <v>RAMO 33</v>
      </c>
      <c r="E320" s="695" t="s">
        <v>1431</v>
      </c>
      <c r="F320" s="557"/>
      <c r="G320" s="1012"/>
      <c r="H320" s="557"/>
      <c r="I320" s="339" t="str">
        <f>OBRA!U319</f>
        <v>ING. MACIEL MOZQUEDA GONZALEZ</v>
      </c>
      <c r="J320" s="172" t="str">
        <f>OBRA!V319</f>
        <v>ARQ. CESAR ANTONIO ALONSO JIMENEZ</v>
      </c>
      <c r="K320" s="35"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54"/>
      <c r="O320" s="6">
        <f>OBRA!Q319</f>
        <v>43255</v>
      </c>
      <c r="P320" s="4">
        <f>OBRA!P319</f>
        <v>343705.8</v>
      </c>
      <c r="Q320" s="4"/>
      <c r="R320" s="5">
        <f>OBRA!R319</f>
        <v>43257</v>
      </c>
      <c r="S320" s="12">
        <f>OBRA!S319</f>
        <v>43322</v>
      </c>
      <c r="T320" s="55"/>
      <c r="U320" s="216" t="s">
        <v>1431</v>
      </c>
      <c r="V320" s="654"/>
      <c r="W320" s="1443"/>
      <c r="X320" s="376">
        <f>OBRA!AP319</f>
        <v>68741.16</v>
      </c>
      <c r="Y320" s="341"/>
      <c r="Z320" s="341"/>
      <c r="AA320" s="5"/>
      <c r="AB320" s="351">
        <f>OBRA!BT319</f>
        <v>0</v>
      </c>
      <c r="AC320" s="569" t="s">
        <v>551</v>
      </c>
      <c r="AE320"/>
      <c r="AF320"/>
      <c r="AG320"/>
      <c r="AH320"/>
      <c r="AI320"/>
      <c r="AJ320"/>
      <c r="AK320"/>
      <c r="AL320"/>
    </row>
    <row r="321" spans="1:38" s="110" customFormat="1" ht="15" hidden="1" customHeight="1">
      <c r="A321" s="87" t="s">
        <v>2239</v>
      </c>
      <c r="B321" s="946" t="str">
        <f>GRAL!B322</f>
        <v>2015-2018</v>
      </c>
      <c r="C321" s="88">
        <f>OBRA!I320</f>
        <v>2018</v>
      </c>
      <c r="D321" s="103">
        <f>OBRA!K320</f>
        <v>0</v>
      </c>
      <c r="E321" s="526"/>
      <c r="F321" s="392"/>
      <c r="G321" s="102"/>
      <c r="H321" s="392"/>
      <c r="I321" s="159" t="str">
        <f>OBRA!U320</f>
        <v>-</v>
      </c>
      <c r="J321" s="160" t="str">
        <f>OBRA!V320</f>
        <v>-</v>
      </c>
      <c r="K321" s="340" t="str">
        <f>OBRA!L320</f>
        <v>GMJ 007C OP/2018</v>
      </c>
      <c r="L321" s="203" t="str">
        <f>OBRA!M320</f>
        <v>CANCELADA</v>
      </c>
      <c r="M321" s="112">
        <f>OBRA!N320</f>
        <v>0</v>
      </c>
      <c r="N321" s="938"/>
      <c r="O321" s="93">
        <f>OBRA!Q320</f>
        <v>0</v>
      </c>
      <c r="P321" s="92">
        <f>OBRA!P320</f>
        <v>0</v>
      </c>
      <c r="Q321" s="92"/>
      <c r="R321" s="94">
        <f>OBRA!R320</f>
        <v>0</v>
      </c>
      <c r="S321" s="95">
        <f>OBRA!S320</f>
        <v>0</v>
      </c>
      <c r="T321" s="97"/>
      <c r="U321" s="785" t="s">
        <v>1431</v>
      </c>
      <c r="V321" s="343"/>
      <c r="W321" s="95"/>
      <c r="X321" s="954">
        <f>OBRA!AP320</f>
        <v>0</v>
      </c>
      <c r="Y321" s="343"/>
      <c r="Z321" s="343"/>
      <c r="AA321" s="94"/>
      <c r="AB321" s="511">
        <f>OBRA!BT320</f>
        <v>0</v>
      </c>
      <c r="AC321" s="570"/>
    </row>
    <row r="322" spans="1:38" ht="145.5" hidden="1" customHeight="1">
      <c r="A322" s="23" t="s">
        <v>2239</v>
      </c>
      <c r="B322" s="933" t="str">
        <f>GRAL!B323</f>
        <v>2015-2018</v>
      </c>
      <c r="C322" s="17">
        <f>OBRA!I321</f>
        <v>2018</v>
      </c>
      <c r="D322" s="18" t="str">
        <f>OBRA!K321</f>
        <v>RAMO 33</v>
      </c>
      <c r="E322" s="525" t="s">
        <v>1431</v>
      </c>
      <c r="F322" s="557"/>
      <c r="G322" s="1012"/>
      <c r="H322" s="557"/>
      <c r="I322" s="339" t="str">
        <f>OBRA!U321</f>
        <v xml:space="preserve">GRUPO DESARROLLADOR INMOBILIARIO CEMERAMA S.A. DE C.V. </v>
      </c>
      <c r="J322" s="172" t="str">
        <f>OBRA!V321</f>
        <v>LIC. SALVADOR CONTRERAS OLGUÍN</v>
      </c>
      <c r="K322" s="35"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54"/>
      <c r="O322" s="6">
        <f>OBRA!Q321</f>
        <v>43222</v>
      </c>
      <c r="P322" s="4">
        <f>OBRA!P321</f>
        <v>142361.85</v>
      </c>
      <c r="Q322" s="4"/>
      <c r="R322" s="5">
        <f>OBRA!R321</f>
        <v>43224</v>
      </c>
      <c r="S322" s="12">
        <f>OBRA!S321</f>
        <v>43255</v>
      </c>
      <c r="T322" s="55"/>
      <c r="U322" s="415" t="s">
        <v>1431</v>
      </c>
      <c r="V322" s="591"/>
      <c r="W322" s="1443"/>
      <c r="X322" s="376">
        <f>OBRA!AP321</f>
        <v>393883.2</v>
      </c>
      <c r="Y322" s="341"/>
      <c r="Z322" s="341"/>
      <c r="AA322" s="5"/>
      <c r="AB322" s="351">
        <f>OBRA!BT321</f>
        <v>0</v>
      </c>
      <c r="AC322" s="569"/>
      <c r="AE322" s="1"/>
      <c r="AF322" s="1" t="s">
        <v>2282</v>
      </c>
      <c r="AG322" s="1" t="s">
        <v>2282</v>
      </c>
      <c r="AH322" s="1" t="s">
        <v>2282</v>
      </c>
      <c r="AI322" s="1"/>
      <c r="AJ322" s="1" t="s">
        <v>2282</v>
      </c>
      <c r="AK322" s="1" t="s">
        <v>2282</v>
      </c>
      <c r="AL322" s="1"/>
    </row>
    <row r="323" spans="1:38" ht="160.5" hidden="1" customHeight="1">
      <c r="A323" s="23" t="s">
        <v>2239</v>
      </c>
      <c r="B323" s="933" t="str">
        <f>GRAL!B324</f>
        <v>2015-2018</v>
      </c>
      <c r="C323" s="17">
        <f>OBRA!I322</f>
        <v>2018</v>
      </c>
      <c r="D323" s="18" t="str">
        <f>OBRA!K322</f>
        <v>FONDEREG</v>
      </c>
      <c r="E323" s="750" t="s">
        <v>2011</v>
      </c>
      <c r="F323" s="557"/>
      <c r="G323" s="1012"/>
      <c r="H323" s="557"/>
      <c r="I323" s="339" t="str">
        <f>OBRA!U322</f>
        <v>ING. JOSE VALENTIN ZARATE RIVERA</v>
      </c>
      <c r="J323" s="172" t="str">
        <f>OBRA!V322</f>
        <v>ING. JUAN MANUEL GARCIA ESCOTO</v>
      </c>
      <c r="K323" s="35"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749"/>
      <c r="O323" s="6">
        <f>OBRA!Q322</f>
        <v>43253</v>
      </c>
      <c r="P323" s="4">
        <f>OBRA!P322</f>
        <v>526676.22</v>
      </c>
      <c r="Q323" s="4"/>
      <c r="R323" s="5">
        <f>OBRA!R322</f>
        <v>43261</v>
      </c>
      <c r="S323" s="245">
        <f>OBRA!S322</f>
        <v>43322</v>
      </c>
      <c r="T323" s="388"/>
      <c r="U323" s="552" t="s">
        <v>2302</v>
      </c>
      <c r="V323" s="1444"/>
      <c r="W323" s="1443"/>
      <c r="X323" s="376">
        <f>OBRA!AP322</f>
        <v>105335.24</v>
      </c>
      <c r="Y323" s="341"/>
      <c r="Z323" s="341"/>
      <c r="AA323" s="5"/>
      <c r="AB323" s="351">
        <f>OBRA!BT322</f>
        <v>0</v>
      </c>
      <c r="AC323" s="569" t="s">
        <v>551</v>
      </c>
      <c r="AE323"/>
      <c r="AF323"/>
      <c r="AG323"/>
      <c r="AH323"/>
      <c r="AI323"/>
      <c r="AJ323"/>
      <c r="AK323"/>
      <c r="AL323"/>
    </row>
    <row r="324" spans="1:38" ht="113.25" hidden="1" customHeight="1">
      <c r="A324" s="23" t="s">
        <v>2239</v>
      </c>
      <c r="B324" s="933" t="str">
        <f>GRAL!B325</f>
        <v>2015-2018</v>
      </c>
      <c r="C324" s="17">
        <f>OBRA!I323</f>
        <v>2018</v>
      </c>
      <c r="D324" s="18" t="str">
        <f>OBRA!K323</f>
        <v>RAMO 33</v>
      </c>
      <c r="E324" s="525" t="s">
        <v>1431</v>
      </c>
      <c r="F324" s="557"/>
      <c r="G324" s="1012"/>
      <c r="H324" s="557"/>
      <c r="I324" s="339" t="str">
        <f>OBRA!U323</f>
        <v>LIC. CARLOS MANUEL PELAYO CERVERA</v>
      </c>
      <c r="J324" s="172" t="str">
        <f>OBRA!V323</f>
        <v>ARQ. CESAR ANTONIO ALONSO JIMENEZ</v>
      </c>
      <c r="K324" s="35" t="str">
        <f>OBRA!L323</f>
        <v>GMJ 010C OP/2018</v>
      </c>
      <c r="L324" s="2" t="str">
        <f>OBRA!M323</f>
        <v>ADJUDICACIÓN DIRECTA</v>
      </c>
      <c r="M324" s="3" t="str">
        <f>OBRA!N323</f>
        <v>REHABILITACION DE RED DE AGUA POTABLE EN LA CALLE EMILIANO ZAPATA, EN LA LOCALIDAD DE ZAPOTITAN DE HIDALGO DEL MUNICIPIO DE JOCOTEPEC, JALISCO</v>
      </c>
      <c r="N324" s="554"/>
      <c r="O324" s="6">
        <f>OBRA!Q323</f>
        <v>43242</v>
      </c>
      <c r="P324" s="4">
        <f>OBRA!P323</f>
        <v>177478.77</v>
      </c>
      <c r="Q324" s="4"/>
      <c r="R324" s="5">
        <f>OBRA!R323</f>
        <v>43243</v>
      </c>
      <c r="S324" s="12">
        <f>OBRA!S323</f>
        <v>43283</v>
      </c>
      <c r="T324" s="55"/>
      <c r="U324" s="216">
        <v>1</v>
      </c>
      <c r="V324" s="654"/>
      <c r="W324" s="1443"/>
      <c r="X324" s="307">
        <f>OBRA!AP323</f>
        <v>0</v>
      </c>
      <c r="Y324" s="341"/>
      <c r="Z324" s="341"/>
      <c r="AA324" s="5"/>
      <c r="AB324" s="351">
        <f>OBRA!BT323</f>
        <v>0</v>
      </c>
      <c r="AC324" s="569"/>
      <c r="AE324"/>
      <c r="AF324"/>
      <c r="AG324"/>
      <c r="AH324"/>
      <c r="AI324"/>
      <c r="AJ324"/>
      <c r="AK324"/>
      <c r="AL324"/>
    </row>
    <row r="325" spans="1:38" ht="107.25" hidden="1" customHeight="1">
      <c r="A325" s="23" t="s">
        <v>2239</v>
      </c>
      <c r="B325" s="933" t="str">
        <f>GRAL!B326</f>
        <v>2015-2018</v>
      </c>
      <c r="C325" s="17">
        <f>OBRA!I324</f>
        <v>2018</v>
      </c>
      <c r="D325" s="18" t="str">
        <f>OBRA!K324</f>
        <v>RAMO 33</v>
      </c>
      <c r="E325" s="695" t="s">
        <v>1431</v>
      </c>
      <c r="F325" s="557"/>
      <c r="G325" s="1012"/>
      <c r="H325" s="557"/>
      <c r="I325" s="339" t="str">
        <f>OBRA!U324</f>
        <v>LIC. CARLOS MANUEL PELAYO CERVERA</v>
      </c>
      <c r="J325" s="172" t="str">
        <f>OBRA!V324</f>
        <v>ARQ. CESAR ANTONIO ALONSO JIMENEZ</v>
      </c>
      <c r="K325" s="180" t="str">
        <f>OBRA!L324</f>
        <v>GMJ 011C OP/2018</v>
      </c>
      <c r="L325" s="202" t="str">
        <f>OBRA!M324</f>
        <v>ADJUDICACIÓN DIRECTA</v>
      </c>
      <c r="M325" s="328" t="str">
        <f>OBRA!N324</f>
        <v>REHABILITACION DE LINEA DE DRENAJE EN LA CALLE EMILIANO ZAPATA, EN LA LOCALIDAD DE ZAPOTITAN DE HIDALGO DEL MUNICIPIO DE JOCOTEPEC, JALISCO</v>
      </c>
      <c r="N325" s="554"/>
      <c r="O325" s="69">
        <f>OBRA!Q324</f>
        <v>43242</v>
      </c>
      <c r="P325" s="85">
        <f>OBRA!P324</f>
        <v>247048.85</v>
      </c>
      <c r="Q325" s="85"/>
      <c r="R325" s="255">
        <f>OBRA!R324</f>
        <v>43243</v>
      </c>
      <c r="S325" s="245">
        <f>OBRA!S324</f>
        <v>43283</v>
      </c>
      <c r="T325" s="758"/>
      <c r="U325" s="216" t="s">
        <v>1431</v>
      </c>
      <c r="V325" s="654"/>
      <c r="W325" s="1443"/>
      <c r="X325" s="307">
        <f>OBRA!AP324</f>
        <v>24704.880000000001</v>
      </c>
      <c r="Y325" s="341"/>
      <c r="Z325" s="341"/>
      <c r="AA325" s="5"/>
      <c r="AB325" s="351">
        <f>OBRA!BT324</f>
        <v>0</v>
      </c>
      <c r="AC325" s="569"/>
      <c r="AE325"/>
      <c r="AF325"/>
      <c r="AG325"/>
      <c r="AH325"/>
      <c r="AI325"/>
      <c r="AJ325"/>
      <c r="AK325"/>
      <c r="AL325"/>
    </row>
    <row r="326" spans="1:38" ht="171.75" hidden="1" customHeight="1">
      <c r="A326" s="23" t="s">
        <v>2239</v>
      </c>
      <c r="B326" s="933" t="str">
        <f>GRAL!B327</f>
        <v>2015-2018</v>
      </c>
      <c r="C326" s="17">
        <f>OBRA!I325</f>
        <v>2018</v>
      </c>
      <c r="D326" s="18" t="str">
        <f>OBRA!K325</f>
        <v>FONDEREG</v>
      </c>
      <c r="E326" s="811" t="s">
        <v>2051</v>
      </c>
      <c r="F326" s="557"/>
      <c r="G326" s="1012"/>
      <c r="H326" s="557"/>
      <c r="I326" s="339" t="str">
        <f>OBRA!U325</f>
        <v>BIRMEK CONSTRUCCIONES S.A. DE C.V.</v>
      </c>
      <c r="J326" s="172" t="str">
        <f>OBRA!V325</f>
        <v>ING. RIGOBERTO OLMEDO RAMOS</v>
      </c>
      <c r="K326" s="180" t="str">
        <f>OBRA!L325</f>
        <v>GMJ 012C OP/2018</v>
      </c>
      <c r="L326" s="202" t="str">
        <f>OBRA!M325</f>
        <v>ADJUDICACIÓN DIRECTA</v>
      </c>
      <c r="M326" s="328" t="str">
        <f>OBRA!N325</f>
        <v>CONSTRUCCION DE ALUMBRADO PUBLICO EN  LA CARRETERA JOCOTEPEC-CHAPALA DE LA CALLE LIBERTAD (NEXTIPAC), HASTA CALLE JUAREZ (CHANTEPEC), 1RA ETAPA EN EL INGRESO ORIENTE, A LA CABECERA MUNICIPAL, DEL MUNICIPIO DE  JOCOTEPEC, JALISCO,</v>
      </c>
      <c r="N326" s="510"/>
      <c r="O326" s="69">
        <f>OBRA!Q325</f>
        <v>43304</v>
      </c>
      <c r="P326" s="85">
        <f>OBRA!P325</f>
        <v>724057.5</v>
      </c>
      <c r="Q326" s="85"/>
      <c r="R326" s="255">
        <f>OBRA!R325</f>
        <v>43306</v>
      </c>
      <c r="S326" s="245">
        <f>OBRA!S325</f>
        <v>43342</v>
      </c>
      <c r="T326" s="388"/>
      <c r="U326" s="552" t="s">
        <v>2305</v>
      </c>
      <c r="V326" s="1444"/>
      <c r="W326" s="1443"/>
      <c r="X326" s="376">
        <f>OBRA!AP325</f>
        <v>144810.44</v>
      </c>
      <c r="Y326" s="341"/>
      <c r="Z326" s="341"/>
      <c r="AA326" s="5"/>
      <c r="AB326" s="351">
        <f>OBRA!BT325</f>
        <v>0</v>
      </c>
      <c r="AC326" s="569" t="s">
        <v>551</v>
      </c>
      <c r="AE326"/>
      <c r="AF326"/>
      <c r="AG326"/>
      <c r="AH326"/>
      <c r="AI326"/>
      <c r="AJ326"/>
      <c r="AK326"/>
      <c r="AL326"/>
    </row>
    <row r="327" spans="1:38" ht="15" hidden="1" customHeight="1">
      <c r="A327" s="23" t="s">
        <v>2239</v>
      </c>
      <c r="B327" s="933" t="str">
        <f>GRAL!B328</f>
        <v>2015-2018</v>
      </c>
      <c r="C327" s="17">
        <f>OBRA!I326</f>
        <v>2018</v>
      </c>
      <c r="D327" s="18" t="str">
        <f>OBRA!K326</f>
        <v>FONDEREG</v>
      </c>
      <c r="E327" s="525"/>
      <c r="F327" s="390"/>
      <c r="G327" s="1"/>
      <c r="H327" s="390"/>
      <c r="I327" s="56" t="str">
        <f>OBRA!U326</f>
        <v>ING. SERGIO CABRERA</v>
      </c>
      <c r="J327" s="57" t="str">
        <f>OBRA!V326</f>
        <v>ING. JUAN MANUEL GARCIA ESCOTO</v>
      </c>
      <c r="K327" s="35"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2">
        <f>OBRA!S326</f>
        <v>43288</v>
      </c>
      <c r="T327" s="55"/>
      <c r="U327" s="415" t="s">
        <v>1431</v>
      </c>
      <c r="V327" s="341"/>
      <c r="W327" s="12"/>
      <c r="X327" s="307">
        <f>OBRA!AP326</f>
        <v>988893.95</v>
      </c>
      <c r="Y327" s="341"/>
      <c r="Z327" s="341"/>
      <c r="AA327" s="5"/>
      <c r="AB327" s="351">
        <f>OBRA!BT326</f>
        <v>0</v>
      </c>
      <c r="AC327" s="569"/>
      <c r="AE327"/>
      <c r="AF327"/>
      <c r="AG327"/>
      <c r="AH327"/>
      <c r="AI327"/>
      <c r="AJ327"/>
      <c r="AK327"/>
      <c r="AL327"/>
    </row>
    <row r="328" spans="1:38" s="110" customFormat="1" ht="15" hidden="1" customHeight="1">
      <c r="A328" s="87" t="s">
        <v>2239</v>
      </c>
      <c r="B328" s="946" t="str">
        <f>GRAL!B329</f>
        <v>2015-2018</v>
      </c>
      <c r="C328" s="88">
        <f>OBRA!I327</f>
        <v>2018</v>
      </c>
      <c r="D328" s="103" t="str">
        <f>OBRA!K327</f>
        <v>Fondo de proyectos para el Desarrollo Regional</v>
      </c>
      <c r="E328" s="526"/>
      <c r="F328" s="392"/>
      <c r="G328" s="102"/>
      <c r="H328" s="392"/>
      <c r="I328" s="159" t="str">
        <f>OBRA!U327</f>
        <v>ING. SERGIO CABRERA</v>
      </c>
      <c r="J328" s="160" t="str">
        <f>OBRA!V327</f>
        <v>ING. J. GUADALUPE IBARRA RAMIREZ</v>
      </c>
      <c r="K328" s="340" t="str">
        <f>OBRA!L327</f>
        <v>GMJ 014C OP/2018</v>
      </c>
      <c r="L328" s="203" t="str">
        <f>OBRA!M327</f>
        <v>CANCELADA</v>
      </c>
      <c r="M328" s="112" t="str">
        <f>OBRA!N327</f>
        <v>CONSTRUCCION DE EMPEDRADO AHOGADO EN CEMENTO, CONSTRUCCION DE HUELLAS DE CONCRETO Y CONSTRUCCION DE GUARNICIÓN DE LA CALLE CUAUHTEMOC, EN LA LOCALIDAD DE POTRERILLOS DEL MUNICIPIO DE JOCOTEPEC, JALISCO.</v>
      </c>
      <c r="N328" s="132"/>
      <c r="O328" s="93">
        <f>OBRA!Q327</f>
        <v>43251</v>
      </c>
      <c r="P328" s="92">
        <f>OBRA!P327</f>
        <v>989000</v>
      </c>
      <c r="Q328" s="92"/>
      <c r="R328" s="94">
        <f>OBRA!R327</f>
        <v>43252</v>
      </c>
      <c r="S328" s="95">
        <f>OBRA!S327</f>
        <v>43301</v>
      </c>
      <c r="T328" s="97"/>
      <c r="U328" s="785" t="s">
        <v>1431</v>
      </c>
      <c r="V328" s="343"/>
      <c r="W328" s="95"/>
      <c r="X328" s="954">
        <f>OBRA!AP327</f>
        <v>346150</v>
      </c>
      <c r="Y328" s="343"/>
      <c r="Z328" s="343"/>
      <c r="AA328" s="94"/>
      <c r="AB328" s="511">
        <f>OBRA!BT327</f>
        <v>0</v>
      </c>
      <c r="AC328" s="570"/>
    </row>
    <row r="329" spans="1:38" ht="132" hidden="1" customHeight="1">
      <c r="A329" s="23" t="s">
        <v>2239</v>
      </c>
      <c r="B329" s="933" t="str">
        <f>GRAL!B330</f>
        <v>2015-2018</v>
      </c>
      <c r="C329" s="17">
        <f>OBRA!I328</f>
        <v>2018</v>
      </c>
      <c r="D329" s="18" t="str">
        <f>OBRA!K328</f>
        <v>RAMO 33</v>
      </c>
      <c r="E329" s="525" t="s">
        <v>1431</v>
      </c>
      <c r="F329" s="557"/>
      <c r="G329" s="1012"/>
      <c r="H329" s="557"/>
      <c r="I329" s="339" t="str">
        <f>OBRA!U328</f>
        <v>ING. MACIEL MOZQUEDA GONZALEZ</v>
      </c>
      <c r="J329" s="57" t="str">
        <f>OBRA!V328</f>
        <v>ARQ. CESAR ANTONIO ALONSO JIMENEZ</v>
      </c>
      <c r="K329" s="35"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510"/>
      <c r="O329" s="6">
        <f>OBRA!Q328</f>
        <v>43255</v>
      </c>
      <c r="P329" s="4">
        <f>OBRA!P328</f>
        <v>398019.86</v>
      </c>
      <c r="Q329" s="4"/>
      <c r="R329" s="5">
        <f>OBRA!R328</f>
        <v>43257</v>
      </c>
      <c r="S329" s="12">
        <f>OBRA!S328</f>
        <v>43322</v>
      </c>
      <c r="T329" s="55"/>
      <c r="U329" s="216" t="s">
        <v>1431</v>
      </c>
      <c r="V329" s="654"/>
      <c r="W329" s="1443"/>
      <c r="X329" s="376">
        <f>OBRA!AP328</f>
        <v>78541.47</v>
      </c>
      <c r="Y329" s="341"/>
      <c r="Z329" s="341"/>
      <c r="AA329" s="5"/>
      <c r="AB329" s="351">
        <f>OBRA!BT328</f>
        <v>0</v>
      </c>
      <c r="AC329" s="569" t="s">
        <v>551</v>
      </c>
      <c r="AE329"/>
      <c r="AF329"/>
      <c r="AG329"/>
      <c r="AH329"/>
      <c r="AI329"/>
      <c r="AJ329"/>
      <c r="AK329"/>
      <c r="AL329"/>
    </row>
    <row r="330" spans="1:38" ht="125.25" hidden="1" customHeight="1">
      <c r="A330" s="23" t="s">
        <v>2239</v>
      </c>
      <c r="B330" s="933" t="str">
        <f>GRAL!B331</f>
        <v>2015-2018</v>
      </c>
      <c r="C330" s="17">
        <f>OBRA!I329</f>
        <v>2018</v>
      </c>
      <c r="D330" s="18" t="str">
        <f>OBRA!K329</f>
        <v>CUENTA CORRIENTE</v>
      </c>
      <c r="E330" s="525" t="s">
        <v>1431</v>
      </c>
      <c r="F330" s="557"/>
      <c r="G330" s="1012"/>
      <c r="H330" s="557"/>
      <c r="I330" s="339" t="str">
        <f>OBRA!U329</f>
        <v>C. NORMA GORETY DOMINGUEZ CALVARIO</v>
      </c>
      <c r="J330" s="172" t="str">
        <f>OBRA!V329</f>
        <v>ING. JUAN MANUEL GARCIA ESCOTO</v>
      </c>
      <c r="K330" s="180" t="str">
        <f>OBRA!L329</f>
        <v>GMJ 016C OP/2018</v>
      </c>
      <c r="L330" s="202" t="str">
        <f>OBRA!M329</f>
        <v>ADJUDICACIÓN DIRECTA</v>
      </c>
      <c r="M330" s="328" t="str">
        <f>OBRA!N329</f>
        <v>OBRAS COMPLEMENTARIAS PARA LA CONSTRUCCION DE LA SUPERFICIE DE RODAMIENTO DE LA CALLE MORELOS PONIENTE ENTRE ZARAGOZA Y PANTEON, EN LA CABECERA MUNICIPAL</v>
      </c>
      <c r="N330" s="510"/>
      <c r="O330" s="69">
        <f>OBRA!Q329</f>
        <v>43102</v>
      </c>
      <c r="P330" s="85">
        <f>OBRA!P329</f>
        <v>816694.91</v>
      </c>
      <c r="Q330" s="85"/>
      <c r="R330" s="255">
        <f>OBRA!R329</f>
        <v>43104</v>
      </c>
      <c r="S330" s="245">
        <f>OBRA!S329</f>
        <v>43120</v>
      </c>
      <c r="T330" s="758"/>
      <c r="U330" s="216" t="s">
        <v>1431</v>
      </c>
      <c r="V330" s="654"/>
      <c r="W330" s="1443"/>
      <c r="X330" s="376">
        <f>OBRA!AP329</f>
        <v>162698.40000000002</v>
      </c>
      <c r="Y330" s="341"/>
      <c r="Z330" s="341"/>
      <c r="AA330" s="5"/>
      <c r="AB330" s="351">
        <f>OBRA!BT329</f>
        <v>0</v>
      </c>
      <c r="AC330" s="569" t="s">
        <v>551</v>
      </c>
      <c r="AE330"/>
      <c r="AF330"/>
      <c r="AG330"/>
      <c r="AH330"/>
      <c r="AI330"/>
      <c r="AJ330"/>
      <c r="AK330"/>
      <c r="AL330"/>
    </row>
    <row r="331" spans="1:38" ht="117.75" hidden="1" customHeight="1">
      <c r="A331" s="23" t="s">
        <v>2239</v>
      </c>
      <c r="B331" s="933" t="str">
        <f>GRAL!B332</f>
        <v>2015-2018</v>
      </c>
      <c r="C331" s="17">
        <f>OBRA!I330</f>
        <v>2018</v>
      </c>
      <c r="D331" s="18" t="str">
        <f>OBRA!K330</f>
        <v>CUENTA CORRIENTE</v>
      </c>
      <c r="E331" s="695" t="s">
        <v>1431</v>
      </c>
      <c r="F331" s="557"/>
      <c r="G331" s="1012"/>
      <c r="H331" s="557"/>
      <c r="I331" s="339" t="str">
        <f>OBRA!U330</f>
        <v>C. JOSÉ MIGUEL GARCIA VALLE</v>
      </c>
      <c r="J331" s="172" t="str">
        <f>OBRA!V330</f>
        <v>ING. JUAN MANUEL GARCIA ESCOTO</v>
      </c>
      <c r="K331" s="180" t="str">
        <f>OBRA!L330</f>
        <v>GMJ 017C OP/2018</v>
      </c>
      <c r="L331" s="202" t="str">
        <f>OBRA!M330</f>
        <v>ADJUDICACIÓN DIRECTA</v>
      </c>
      <c r="M331" s="328" t="str">
        <f>OBRA!N330</f>
        <v>CONSTRUCCION DE MACHUELOS Y BANQUETAS EN LA CALLE MORELOS DE ZARAGOZA AL PANTEON EN LA CABECERA MUNICIPAL, DEL MUNICIPIO DE JOCOTEPEC, JALISCO</v>
      </c>
      <c r="N331" s="510"/>
      <c r="O331" s="69">
        <f>OBRA!Q330</f>
        <v>43116</v>
      </c>
      <c r="P331" s="85">
        <f>OBRA!P330</f>
        <v>1079507.02</v>
      </c>
      <c r="Q331" s="85"/>
      <c r="R331" s="255">
        <f>OBRA!R330</f>
        <v>43117</v>
      </c>
      <c r="S331" s="245">
        <f>OBRA!S330</f>
        <v>43155</v>
      </c>
      <c r="T331" s="758"/>
      <c r="U331" s="216" t="s">
        <v>1431</v>
      </c>
      <c r="V331" s="654"/>
      <c r="W331" s="1443"/>
      <c r="X331" s="376">
        <f>OBRA!AP330</f>
        <v>215901.01</v>
      </c>
      <c r="Y331" s="341"/>
      <c r="Z331" s="341"/>
      <c r="AA331" s="5"/>
      <c r="AB331" s="351">
        <f>OBRA!BT330</f>
        <v>0</v>
      </c>
      <c r="AC331" s="569" t="s">
        <v>551</v>
      </c>
      <c r="AE331"/>
      <c r="AF331"/>
      <c r="AG331"/>
      <c r="AH331"/>
      <c r="AI331"/>
      <c r="AJ331"/>
      <c r="AK331"/>
      <c r="AL331"/>
    </row>
    <row r="332" spans="1:38" ht="108" hidden="1" customHeight="1">
      <c r="A332" s="23" t="s">
        <v>2239</v>
      </c>
      <c r="B332" s="933" t="str">
        <f>GRAL!B333</f>
        <v>2015-2018</v>
      </c>
      <c r="C332" s="17">
        <f>OBRA!I331</f>
        <v>2018</v>
      </c>
      <c r="D332" s="18" t="str">
        <f>OBRA!K331</f>
        <v>CUENTA CORRIENTE</v>
      </c>
      <c r="E332" s="695" t="s">
        <v>1431</v>
      </c>
      <c r="F332" s="557"/>
      <c r="G332" s="1012"/>
      <c r="H332" s="557"/>
      <c r="I332" s="56" t="str">
        <f>OBRA!U331</f>
        <v>C. NORMA GORETY DOMINGUEZ CALVARIO</v>
      </c>
      <c r="J332" s="57" t="str">
        <f>OBRA!V331</f>
        <v>ING. JUAN MANUEL GARCIA ESCOTO</v>
      </c>
      <c r="K332" s="35" t="str">
        <f>OBRA!L331</f>
        <v>GMJ 018C OP/2018</v>
      </c>
      <c r="L332" s="2" t="str">
        <f>OBRA!M331</f>
        <v>ADJUDICACIÓN DIRECTA</v>
      </c>
      <c r="M332" s="3" t="str">
        <f>OBRA!N331</f>
        <v>REHABILITACION DE IMAGEN URBANA EN CALLE MORELOS PONIENTE ENTRE ZARAGOZA Y PANTEON, EN LA CABECERA MUNICIPAL DEL MUNICIPIO DE JOCOTEPEC, JALISCO</v>
      </c>
      <c r="N332" s="508"/>
      <c r="O332" s="6">
        <f>OBRA!Q331</f>
        <v>43123</v>
      </c>
      <c r="P332" s="4">
        <f>OBRA!P331</f>
        <v>550277.97</v>
      </c>
      <c r="Q332" s="4"/>
      <c r="R332" s="5">
        <f>OBRA!R331</f>
        <v>43157</v>
      </c>
      <c r="S332" s="12">
        <f>OBRA!S331</f>
        <v>43169</v>
      </c>
      <c r="T332" s="55"/>
      <c r="U332" s="216" t="s">
        <v>1431</v>
      </c>
      <c r="V332" s="654"/>
      <c r="W332" s="1443"/>
      <c r="X332" s="376">
        <f>OBRA!AP331</f>
        <v>96019.58</v>
      </c>
      <c r="Y332" s="341"/>
      <c r="Z332" s="341"/>
      <c r="AA332" s="5"/>
      <c r="AB332" s="351">
        <f>OBRA!BT331</f>
        <v>0</v>
      </c>
      <c r="AC332" s="569" t="s">
        <v>551</v>
      </c>
      <c r="AE332"/>
      <c r="AF332"/>
      <c r="AG332"/>
      <c r="AH332"/>
      <c r="AI332"/>
      <c r="AJ332"/>
      <c r="AK332"/>
      <c r="AL332"/>
    </row>
    <row r="333" spans="1:38" ht="165.75" hidden="1" customHeight="1">
      <c r="A333" s="23" t="s">
        <v>2239</v>
      </c>
      <c r="B333" s="933" t="str">
        <f>GRAL!B334</f>
        <v>2015-2018</v>
      </c>
      <c r="C333" s="17">
        <f>OBRA!I332</f>
        <v>2018</v>
      </c>
      <c r="D333" s="18" t="str">
        <f>OBRA!K332</f>
        <v>RAMO 33</v>
      </c>
      <c r="E333" s="695" t="s">
        <v>1431</v>
      </c>
      <c r="F333" s="557"/>
      <c r="G333" s="1012"/>
      <c r="H333" s="1439"/>
      <c r="I333" s="339" t="str">
        <f>OBRA!U332</f>
        <v>C. NORMA GORETY DOMINGUEZ CALVARIO</v>
      </c>
      <c r="J333" s="172" t="str">
        <f>OBRA!V332</f>
        <v>ING. JUAN MANUEL GARCIA ESCOTO</v>
      </c>
      <c r="K333" s="180" t="str">
        <f>OBRA!L332</f>
        <v>GMJ 019C OP/2018</v>
      </c>
      <c r="L333" s="202" t="str">
        <f>OBRA!M332</f>
        <v>ADJUDICACIÓN DIRECTA</v>
      </c>
      <c r="M333" s="328" t="str">
        <f>OBRA!N332</f>
        <v>REHABILITACION DE LINEA DE AGUA POTABLE EN CALLE MORELOS PONIENTE ENTRE ZARAGOZA Y PANTEON CON REPOSICION DE SUPERFICIE DE RODAMIENTO, (OBRAS COMPLEMENTARIAS) EN LA CABECERA MUNICIPAL, DEL MUNICIPIO DE JOCOTEPEC, JALISCO</v>
      </c>
      <c r="N333" s="510"/>
      <c r="O333" s="69">
        <f>OBRA!Q332</f>
        <v>43105</v>
      </c>
      <c r="P333" s="85">
        <f>OBRA!P332</f>
        <v>35653.230000000003</v>
      </c>
      <c r="Q333" s="85"/>
      <c r="R333" s="255">
        <f>OBRA!R332</f>
        <v>43108</v>
      </c>
      <c r="S333" s="245">
        <f>OBRA!S332</f>
        <v>43120</v>
      </c>
      <c r="T333" s="758"/>
      <c r="U333" s="216" t="s">
        <v>1431</v>
      </c>
      <c r="V333" s="654"/>
      <c r="W333" s="1443"/>
      <c r="X333" s="376">
        <f>OBRA!AP332</f>
        <v>7130.64</v>
      </c>
      <c r="Y333" s="341"/>
      <c r="Z333" s="341"/>
      <c r="AA333" s="5"/>
      <c r="AB333" s="351">
        <f>OBRA!BT332</f>
        <v>0</v>
      </c>
      <c r="AC333" s="569" t="s">
        <v>551</v>
      </c>
      <c r="AE333"/>
      <c r="AF333"/>
      <c r="AG333"/>
      <c r="AH333"/>
      <c r="AI333"/>
      <c r="AJ333"/>
      <c r="AK333"/>
      <c r="AL333"/>
    </row>
    <row r="334" spans="1:38" ht="140.25" hidden="1" customHeight="1">
      <c r="A334" s="23" t="s">
        <v>2239</v>
      </c>
      <c r="B334" s="933" t="str">
        <f>GRAL!B335</f>
        <v>2015-2018</v>
      </c>
      <c r="C334" s="17">
        <f>OBRA!I333</f>
        <v>2018</v>
      </c>
      <c r="D334" s="18" t="str">
        <f>OBRA!K333</f>
        <v>RAMO 33</v>
      </c>
      <c r="E334" s="525" t="s">
        <v>1431</v>
      </c>
      <c r="F334" s="557"/>
      <c r="G334" s="1012"/>
      <c r="H334" s="557"/>
      <c r="I334" s="339" t="str">
        <f>OBRA!U333</f>
        <v>C. JOSÉ MIGUEL GARCIA VALLE</v>
      </c>
      <c r="J334" s="172" t="str">
        <f>OBRA!V333</f>
        <v>ARQ. JAIME CONDE GOMEZ</v>
      </c>
      <c r="K334" s="180" t="str">
        <f>OBRA!L333</f>
        <v>GMJ 020C OP/2018</v>
      </c>
      <c r="L334" s="202" t="str">
        <f>OBRA!M333</f>
        <v>ADJUDICACIÓN DIRECTA</v>
      </c>
      <c r="M334" s="328" t="str">
        <f>OBRA!N333</f>
        <v>REHABILITACION DE LINEA DE ABASTECIMIENTO DE AGUA POTABLE DE 8" EN LA CALLE VICENTE GUERRERO ENTRE CARRETERA E HIDALGO EN LA LOCALIDAD DE SAN JUAN COSALA DEL MUNICIPIO DE JOCOTEPEC, JALISCO</v>
      </c>
      <c r="N334" s="510"/>
      <c r="O334" s="69">
        <f>OBRA!Q333</f>
        <v>43258</v>
      </c>
      <c r="P334" s="85">
        <f>OBRA!P333</f>
        <v>142196.43</v>
      </c>
      <c r="Q334" s="85"/>
      <c r="R334" s="255">
        <f>OBRA!R333</f>
        <v>43258</v>
      </c>
      <c r="S334" s="245">
        <f>OBRA!S333</f>
        <v>43287</v>
      </c>
      <c r="T334" s="758"/>
      <c r="U334" s="216" t="s">
        <v>1431</v>
      </c>
      <c r="V334" s="654"/>
      <c r="W334" s="1443"/>
      <c r="X334" s="376">
        <f>OBRA!AP333</f>
        <v>28439.279999999999</v>
      </c>
      <c r="Y334" s="341"/>
      <c r="Z334" s="341"/>
      <c r="AA334" s="5"/>
      <c r="AB334" s="351">
        <f>OBRA!BT333</f>
        <v>0</v>
      </c>
      <c r="AC334" s="569" t="s">
        <v>551</v>
      </c>
      <c r="AE334"/>
      <c r="AF334"/>
      <c r="AG334"/>
      <c r="AH334"/>
      <c r="AI334"/>
      <c r="AJ334"/>
      <c r="AK334"/>
      <c r="AL334"/>
    </row>
    <row r="335" spans="1:38" ht="110.25" hidden="1" customHeight="1">
      <c r="A335" s="23" t="s">
        <v>2239</v>
      </c>
      <c r="B335" s="933" t="str">
        <f>GRAL!B336</f>
        <v>2015-2018</v>
      </c>
      <c r="C335" s="17">
        <f>OBRA!I334</f>
        <v>2018</v>
      </c>
      <c r="D335" s="18" t="str">
        <f>OBRA!K334</f>
        <v>RAMO 33</v>
      </c>
      <c r="E335" s="695" t="s">
        <v>1431</v>
      </c>
      <c r="F335" s="557"/>
      <c r="G335" s="1012"/>
      <c r="H335" s="557"/>
      <c r="I335" s="56" t="str">
        <f>OBRA!U334</f>
        <v>C. JOSÉ MIGUEL GARCIA VALLE</v>
      </c>
      <c r="J335" s="57" t="str">
        <f>OBRA!V334</f>
        <v>LIC. SALVADOR CONTRERAS OLGUÍN</v>
      </c>
      <c r="K335" s="35" t="str">
        <f>OBRA!L334</f>
        <v>GMJ 021C OP/2018</v>
      </c>
      <c r="L335" s="2" t="str">
        <f>OBRA!M334</f>
        <v>ADJUDICACIÓN DIRECTA</v>
      </c>
      <c r="M335" s="328" t="str">
        <f>OBRA!N334</f>
        <v>REHABILITACION DE LINEA DE AGUA POTABLE EN CALLE INDEPENDENCIA EN LA LOCALIDAD DE SAN JUAN COSALA DEL MUNICIPIO DE JOCOTEPEC, JALISCO.</v>
      </c>
      <c r="N335" s="510"/>
      <c r="O335" s="6">
        <f>OBRA!Q334</f>
        <v>43258</v>
      </c>
      <c r="P335" s="4">
        <f>OBRA!P334</f>
        <v>32872.07</v>
      </c>
      <c r="Q335" s="4"/>
      <c r="R335" s="5">
        <f>OBRA!R334</f>
        <v>43262</v>
      </c>
      <c r="S335" s="12">
        <f>OBRA!S334</f>
        <v>43267</v>
      </c>
      <c r="T335" s="55"/>
      <c r="U335" s="415" t="s">
        <v>1431</v>
      </c>
      <c r="V335" s="557"/>
      <c r="W335" s="557"/>
      <c r="X335" s="989">
        <f>OBRA!AP334</f>
        <v>6574.41</v>
      </c>
      <c r="Y335" s="341"/>
      <c r="Z335" s="341"/>
      <c r="AA335" s="5"/>
      <c r="AB335" s="351">
        <f>OBRA!BT334</f>
        <v>0</v>
      </c>
      <c r="AC335" s="569"/>
      <c r="AE335"/>
      <c r="AF335"/>
      <c r="AG335"/>
      <c r="AH335"/>
      <c r="AI335"/>
      <c r="AJ335"/>
      <c r="AK335"/>
      <c r="AL335"/>
    </row>
    <row r="336" spans="1:38" ht="150" hidden="1" customHeight="1">
      <c r="A336" s="23" t="s">
        <v>2239</v>
      </c>
      <c r="B336" s="933" t="str">
        <f>GRAL!B337</f>
        <v>2015-2018</v>
      </c>
      <c r="C336" s="17">
        <f>OBRA!I335</f>
        <v>2018</v>
      </c>
      <c r="D336" s="18" t="str">
        <f>OBRA!K335</f>
        <v>CUENTA CORRIENTE</v>
      </c>
      <c r="E336" s="525" t="s">
        <v>1431</v>
      </c>
      <c r="F336" s="171"/>
      <c r="G336" s="1012"/>
      <c r="H336" s="171"/>
      <c r="I336" s="56" t="str">
        <f>OBRA!U335</f>
        <v xml:space="preserve">GRUPO DESARROLLADOR INMOBILIARIO CEMERAMA S.A. DE C.V. </v>
      </c>
      <c r="J336" s="172" t="str">
        <f>OBRA!V335</f>
        <v>ING. JUAN MANUEL GARCIA ESCOTO</v>
      </c>
      <c r="K336" s="35"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510"/>
      <c r="O336" s="6">
        <f>OBRA!Q335</f>
        <v>43274</v>
      </c>
      <c r="P336" s="4">
        <f>OBRA!P335</f>
        <v>243028.37</v>
      </c>
      <c r="Q336" s="4"/>
      <c r="R336" s="5">
        <f>OBRA!R335</f>
        <v>43274</v>
      </c>
      <c r="S336" s="12">
        <f>OBRA!S335</f>
        <v>43304</v>
      </c>
      <c r="T336" s="55"/>
      <c r="U336" s="415" t="s">
        <v>1431</v>
      </c>
      <c r="V336" s="591"/>
      <c r="W336" s="1443"/>
      <c r="X336" s="376">
        <f>OBRA!AP335</f>
        <v>48605.66</v>
      </c>
      <c r="Y336" s="341"/>
      <c r="Z336" s="341"/>
      <c r="AA336" s="5"/>
      <c r="AB336" s="351">
        <f>OBRA!BT335</f>
        <v>0</v>
      </c>
      <c r="AC336" s="569"/>
      <c r="AE336"/>
      <c r="AF336"/>
      <c r="AG336"/>
      <c r="AH336"/>
      <c r="AI336"/>
      <c r="AJ336"/>
      <c r="AK336"/>
      <c r="AL336"/>
    </row>
    <row r="337" spans="1:38" ht="198.75" hidden="1" customHeight="1">
      <c r="A337" s="23" t="s">
        <v>2239</v>
      </c>
      <c r="B337" s="933" t="str">
        <f>GRAL!B338</f>
        <v>2015-2018</v>
      </c>
      <c r="C337" s="17">
        <f>OBRA!I336</f>
        <v>2018</v>
      </c>
      <c r="D337" s="18" t="str">
        <f>OBRA!K336</f>
        <v>CUENTA CORRIENTE</v>
      </c>
      <c r="E337" s="695" t="s">
        <v>1431</v>
      </c>
      <c r="F337" s="557"/>
      <c r="G337" s="1012"/>
      <c r="H337" s="171"/>
      <c r="I337" s="56" t="str">
        <f>OBRA!U336</f>
        <v xml:space="preserve">DRABSA CONSTRUCTORA S.A. DE C.V. </v>
      </c>
      <c r="J337" s="172" t="str">
        <f>OBRA!V336</f>
        <v>ING. JUAN MANUEL GARCIA ESCOTO</v>
      </c>
      <c r="K337" s="35"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OBRA!Q336</f>
        <v>43300</v>
      </c>
      <c r="P337" s="4">
        <f>OBRA!P336</f>
        <v>1099823.45</v>
      </c>
      <c r="Q337" s="4"/>
      <c r="R337" s="5">
        <f>OBRA!R336</f>
        <v>43300</v>
      </c>
      <c r="S337" s="12">
        <f>OBRA!S336</f>
        <v>43364</v>
      </c>
      <c r="T337" s="55"/>
      <c r="U337" s="216" t="s">
        <v>1431</v>
      </c>
      <c r="V337" s="654"/>
      <c r="W337" s="1443"/>
      <c r="X337" s="376">
        <f>OBRA!AP336</f>
        <v>384938.19999999995</v>
      </c>
      <c r="Y337" s="341"/>
      <c r="Z337" s="341"/>
      <c r="AA337" s="5"/>
      <c r="AB337" s="351">
        <f>OBRA!BT336</f>
        <v>0</v>
      </c>
      <c r="AC337" s="569"/>
      <c r="AE337"/>
      <c r="AF337"/>
      <c r="AG337"/>
      <c r="AH337"/>
      <c r="AI337"/>
      <c r="AJ337"/>
      <c r="AK337"/>
      <c r="AL337"/>
    </row>
    <row r="338" spans="1:38" ht="15" hidden="1" customHeight="1">
      <c r="A338" s="23" t="s">
        <v>2239</v>
      </c>
      <c r="B338" s="933" t="str">
        <f>GRAL!B339</f>
        <v>2015-2018</v>
      </c>
      <c r="C338" s="17">
        <f>OBRA!I337</f>
        <v>2018</v>
      </c>
      <c r="D338" s="18" t="str">
        <f>OBRA!K337</f>
        <v>FOCOCI</v>
      </c>
      <c r="E338" s="525"/>
      <c r="F338" s="390"/>
      <c r="G338" s="1"/>
      <c r="H338" s="390"/>
      <c r="I338" s="56" t="str">
        <f>OBRA!U337</f>
        <v>DRABSA CONSTRUCTORA S.A. DE C.V.</v>
      </c>
      <c r="J338" s="57" t="str">
        <f>OBRA!V337</f>
        <v>ING. RIGOBERTO OLMEDO RAMOS</v>
      </c>
      <c r="K338" s="20"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2">
        <f>OBRA!S337</f>
        <v>43373</v>
      </c>
      <c r="T338" s="55"/>
      <c r="U338" s="415" t="s">
        <v>1431</v>
      </c>
      <c r="V338" s="341"/>
      <c r="W338" s="12"/>
      <c r="X338" s="306">
        <f>OBRA!AP337</f>
        <v>1029000</v>
      </c>
      <c r="Y338" s="341"/>
      <c r="Z338" s="341"/>
      <c r="AA338" s="5"/>
      <c r="AB338" s="351">
        <f>OBRA!BT337</f>
        <v>0</v>
      </c>
      <c r="AC338" s="569"/>
      <c r="AE338"/>
      <c r="AF338"/>
      <c r="AG338"/>
      <c r="AH338"/>
      <c r="AI338"/>
      <c r="AJ338"/>
      <c r="AK338"/>
      <c r="AL338"/>
    </row>
    <row r="339" spans="1:38" ht="84" hidden="1" customHeight="1">
      <c r="A339" s="23" t="s">
        <v>2239</v>
      </c>
      <c r="B339" s="933" t="str">
        <f>GRAL!B340</f>
        <v>2015-2018</v>
      </c>
      <c r="C339" s="17">
        <f>OBRA!I338</f>
        <v>2018</v>
      </c>
      <c r="D339" s="18" t="str">
        <f>OBRA!K338</f>
        <v>RAMO 33</v>
      </c>
      <c r="E339" s="695" t="s">
        <v>1431</v>
      </c>
      <c r="F339" s="557"/>
      <c r="G339" s="1012"/>
      <c r="H339" s="557"/>
      <c r="I339" s="56" t="str">
        <f>OBRA!U338</f>
        <v>BIRMEK CONSTRUCCIONES S.A. DE C.V.</v>
      </c>
      <c r="J339" s="57" t="str">
        <f>OBRA!V338</f>
        <v>ING. LUIS RIGOBERTO OLMEDO NAVARRO</v>
      </c>
      <c r="K339" s="35" t="str">
        <f>OBRA!L338</f>
        <v>GMJ 025C OP/2018</v>
      </c>
      <c r="L339" s="2" t="str">
        <f>OBRA!M338</f>
        <v>ADJUDICACIÓN DIRECTA</v>
      </c>
      <c r="M339" s="328" t="str">
        <f>OBRA!N338</f>
        <v>ELECTRIFICACION DE POZO DE PROFUNDO EL DOMINGUILLO EN LA LOCALIDAD DE SAN JUAN COSALA, DEL MUNICIPIO DE JOCOTEPEC, JALISCO</v>
      </c>
      <c r="N339" s="510"/>
      <c r="O339" s="6">
        <f>OBRA!Q338</f>
        <v>43326</v>
      </c>
      <c r="P339" s="4">
        <f>OBRA!P338</f>
        <v>452456.16</v>
      </c>
      <c r="Q339" s="4"/>
      <c r="R339" s="5">
        <f>OBRA!R338</f>
        <v>43326</v>
      </c>
      <c r="S339" s="12">
        <f>OBRA!S338</f>
        <v>43357</v>
      </c>
      <c r="T339" s="55"/>
      <c r="U339" s="415" t="s">
        <v>1431</v>
      </c>
      <c r="V339" s="996"/>
      <c r="W339" s="1445"/>
      <c r="X339" s="989">
        <f>OBRA!AP338</f>
        <v>90491.24</v>
      </c>
      <c r="Y339" s="341"/>
      <c r="Z339" s="341"/>
      <c r="AA339" s="5"/>
      <c r="AB339" s="351">
        <f>OBRA!BT338</f>
        <v>0</v>
      </c>
      <c r="AC339" s="569" t="s">
        <v>551</v>
      </c>
      <c r="AE339"/>
      <c r="AF339"/>
      <c r="AG339"/>
      <c r="AH339"/>
      <c r="AI339"/>
      <c r="AJ339"/>
      <c r="AK339"/>
      <c r="AL339"/>
    </row>
    <row r="340" spans="1:38" ht="82.5" hidden="1" customHeight="1">
      <c r="A340" s="23" t="s">
        <v>2239</v>
      </c>
      <c r="B340" s="933" t="str">
        <f>GRAL!B341</f>
        <v>2015-2018</v>
      </c>
      <c r="C340" s="17">
        <f>OBRA!I339</f>
        <v>2018</v>
      </c>
      <c r="D340" s="18" t="str">
        <f>OBRA!K339</f>
        <v>RAMO 33</v>
      </c>
      <c r="E340" s="525" t="s">
        <v>1431</v>
      </c>
      <c r="F340" s="557"/>
      <c r="G340" s="1012"/>
      <c r="H340" s="557"/>
      <c r="I340" s="339" t="str">
        <f>OBRA!U339</f>
        <v xml:space="preserve">OBRAS Y EQUIPAMIENTOS HIDRAULICOS S.A. DE C.V. </v>
      </c>
      <c r="J340" s="172" t="str">
        <f>OBRA!V339</f>
        <v>ING. LUIS RIGOBERTO OLMEDO NAVARRO</v>
      </c>
      <c r="K340" s="35" t="str">
        <f>OBRA!L339</f>
        <v>GMJ 026C OP/2018</v>
      </c>
      <c r="L340" s="2" t="str">
        <f>OBRA!M339</f>
        <v>ADJUDICACIÓN DIRECTA</v>
      </c>
      <c r="M340" s="328" t="str">
        <f>OBRA!N339</f>
        <v>EQUIPAMIENTO  DE POZO PROFUNDO EL DOMINGUILLO EN LA LOCALIDAD DE SAN JUAN COSALA, DEL MUNICIPIO DE JOCOTEPEC, JALISCO</v>
      </c>
      <c r="N340" s="510"/>
      <c r="O340" s="6">
        <f>OBRA!Q339</f>
        <v>43326</v>
      </c>
      <c r="P340" s="4">
        <f>OBRA!P339</f>
        <v>412725.64</v>
      </c>
      <c r="Q340" s="4"/>
      <c r="R340" s="5">
        <f>OBRA!R339</f>
        <v>43326</v>
      </c>
      <c r="S340" s="12">
        <f>OBRA!S339</f>
        <v>43357</v>
      </c>
      <c r="T340" s="55"/>
      <c r="U340" s="415" t="s">
        <v>1431</v>
      </c>
      <c r="V340" s="996"/>
      <c r="W340" s="1445"/>
      <c r="X340" s="989">
        <f>OBRA!AP339</f>
        <v>41242.559999999998</v>
      </c>
      <c r="Y340" s="341"/>
      <c r="Z340" s="341"/>
      <c r="AA340" s="5"/>
      <c r="AB340" s="351">
        <f>OBRA!BT339</f>
        <v>0</v>
      </c>
      <c r="AC340" s="569" t="s">
        <v>551</v>
      </c>
      <c r="AE340"/>
      <c r="AF340"/>
      <c r="AG340"/>
      <c r="AH340"/>
      <c r="AI340"/>
      <c r="AJ340"/>
      <c r="AK340"/>
      <c r="AL340"/>
    </row>
    <row r="341" spans="1:38" ht="144" hidden="1" customHeight="1">
      <c r="A341" s="23" t="s">
        <v>2239</v>
      </c>
      <c r="B341" s="933" t="str">
        <f>GRAL!B342</f>
        <v>2015-2018</v>
      </c>
      <c r="C341" s="17">
        <f>OBRA!I340</f>
        <v>2018</v>
      </c>
      <c r="D341" s="18" t="str">
        <f>OBRA!K340</f>
        <v>RAMO 33</v>
      </c>
      <c r="E341" s="525" t="s">
        <v>1431</v>
      </c>
      <c r="F341" s="557"/>
      <c r="G341" s="1012"/>
      <c r="H341" s="557"/>
      <c r="I341" s="339" t="str">
        <f>OBRA!U340</f>
        <v>BRAILOGA CONSTRUCTORES S.A. DE C.V.</v>
      </c>
      <c r="J341" s="57" t="str">
        <f>OBRA!V340</f>
        <v>ARQ. CESAR ANTONIO ALONSO JIMENEZ</v>
      </c>
      <c r="K341" s="35" t="str">
        <f>OBRA!L340</f>
        <v>GMJ 027C OP/2018</v>
      </c>
      <c r="L341" s="2" t="str">
        <f>OBRA!M340</f>
        <v>ADJUDICACIÓN DIRECTA</v>
      </c>
      <c r="M341" s="328" t="str">
        <f>OBRA!N340</f>
        <v>REHABILITACION DE LINEA DE DRENAJE EN CALLE XOCHILT DE CARRETERA A C. CUAUHTEMOC, PRIMERA ETAPA CON REPOSICION DE SUPERFICIE DE RODAMIENO EN LA LOCALIDAD DE CHANTEPEC, DEL MUNICIPIO DE JOCOTEPEC, JALISCO</v>
      </c>
      <c r="N341" s="510"/>
      <c r="O341" s="6">
        <f>OBRA!Q340</f>
        <v>43326</v>
      </c>
      <c r="P341" s="4">
        <f>OBRA!P340</f>
        <v>732027.5</v>
      </c>
      <c r="Q341" s="4"/>
      <c r="R341" s="5">
        <f>OBRA!R340</f>
        <v>43326</v>
      </c>
      <c r="S341" s="12">
        <f>OBRA!S340</f>
        <v>43348</v>
      </c>
      <c r="T341" s="55"/>
      <c r="U341" s="415" t="s">
        <v>1431</v>
      </c>
      <c r="V341" s="996"/>
      <c r="W341" s="1440"/>
      <c r="X341" s="376">
        <f>OBRA!AP340</f>
        <v>327920.73</v>
      </c>
      <c r="Y341" s="341"/>
      <c r="Z341" s="341"/>
      <c r="AA341" s="5"/>
      <c r="AB341" s="351">
        <f>OBRA!BT340</f>
        <v>0</v>
      </c>
      <c r="AC341" s="569" t="s">
        <v>551</v>
      </c>
      <c r="AE341"/>
      <c r="AF341"/>
      <c r="AG341"/>
      <c r="AH341"/>
      <c r="AI341"/>
      <c r="AJ341"/>
      <c r="AK341"/>
      <c r="AL341"/>
    </row>
    <row r="342" spans="1:38" ht="105.75" hidden="1" customHeight="1">
      <c r="A342" s="23" t="s">
        <v>2239</v>
      </c>
      <c r="B342" s="933" t="str">
        <f>GRAL!B343</f>
        <v>2015-2018</v>
      </c>
      <c r="C342" s="17">
        <f>OBRA!I341</f>
        <v>2018</v>
      </c>
      <c r="D342" s="18" t="str">
        <f>OBRA!K341</f>
        <v>RAMO 33</v>
      </c>
      <c r="E342" s="695" t="s">
        <v>1431</v>
      </c>
      <c r="F342" s="557"/>
      <c r="G342" s="1012"/>
      <c r="H342" s="557"/>
      <c r="I342" s="339" t="str">
        <f>OBRA!U341</f>
        <v xml:space="preserve">GRUPO DESARROLLADOR INMOBILIARIO CEMERAMA S.A. DE C.V. </v>
      </c>
      <c r="J342" s="172" t="str">
        <f>OBRA!V341</f>
        <v>LIC. SALVADOR CONTRERAS OLGUÍN</v>
      </c>
      <c r="K342" s="35" t="str">
        <f>OBRA!L341</f>
        <v>GMJ 028C OP/2018</v>
      </c>
      <c r="L342" s="202" t="str">
        <f>OBRA!M341</f>
        <v>ADJUDICACIÓN DIRECTA</v>
      </c>
      <c r="M342" s="328" t="str">
        <f>OBRA!N341</f>
        <v>CONSTRUCCION DE CASETA DE CONTROL Y CLORACIÓN EN EL POZO EL DOMINGUILLO EN LA LOCALIDAD DE SAN JUAN COSALA, DEL MUNICIPIO DE JOCOTEPEC, JALISCO</v>
      </c>
      <c r="N342" s="510"/>
      <c r="O342" s="69">
        <f>OBRA!Q341</f>
        <v>43326</v>
      </c>
      <c r="P342" s="85">
        <f>OBRA!P341</f>
        <v>87399.62</v>
      </c>
      <c r="Q342" s="85"/>
      <c r="R342" s="255">
        <f>OBRA!R341</f>
        <v>43333</v>
      </c>
      <c r="S342" s="245">
        <f>OBRA!S341</f>
        <v>43358</v>
      </c>
      <c r="T342" s="758"/>
      <c r="U342" s="216" t="s">
        <v>1431</v>
      </c>
      <c r="V342" s="557"/>
      <c r="W342" s="1441"/>
      <c r="X342" s="376">
        <f>OBRA!AP341</f>
        <v>17479.919999999998</v>
      </c>
      <c r="Y342" s="341"/>
      <c r="Z342" s="341"/>
      <c r="AA342" s="5"/>
      <c r="AB342" s="351">
        <f>OBRA!BT341</f>
        <v>0</v>
      </c>
      <c r="AC342" s="569" t="s">
        <v>551</v>
      </c>
      <c r="AE342"/>
      <c r="AF342"/>
      <c r="AG342"/>
      <c r="AH342"/>
      <c r="AI342"/>
      <c r="AJ342"/>
      <c r="AK342"/>
      <c r="AL342"/>
    </row>
    <row r="343" spans="1:38" ht="162.75" hidden="1" customHeight="1">
      <c r="A343" s="23" t="s">
        <v>2239</v>
      </c>
      <c r="B343" s="933" t="str">
        <f>GRAL!B344</f>
        <v>2015-2018</v>
      </c>
      <c r="C343" s="17">
        <f>OBRA!I342</f>
        <v>2018</v>
      </c>
      <c r="D343" s="18" t="str">
        <f>OBRA!K342</f>
        <v>RAMO 33</v>
      </c>
      <c r="E343" s="525" t="s">
        <v>1431</v>
      </c>
      <c r="F343" s="557"/>
      <c r="G343" s="1012"/>
      <c r="H343" s="557"/>
      <c r="I343" s="339" t="str">
        <f>OBRA!U342</f>
        <v>BRAILOGA CONSTRUCTORES S.A. DE C.V.</v>
      </c>
      <c r="J343" s="57" t="str">
        <f>OBRA!V342</f>
        <v>ARQ. CESAR ANTONIO ALONSO JIMENEZ</v>
      </c>
      <c r="K343" s="35" t="str">
        <f>OBRA!L342</f>
        <v>GMJ 029C OP/2018</v>
      </c>
      <c r="L343" s="2" t="str">
        <f>OBRA!M342</f>
        <v>ADJUDICACIÓN DIRECTA</v>
      </c>
      <c r="M343" s="328" t="str">
        <f>OBRA!N342</f>
        <v>REHABILITACION DE LINEA DE ABASTECIMIENTO DE AGUA POTABLE DE 4" EN CALLE XOCHILT DE CARRETERA A C. CUAUHTEMOC, PRIMERA ETAPA CON REPOSICION DE SUPERFICIE DE RODAMIENTO EN LA LOCALIDAD DE CHANTEPEC, DEL MUNICIPIO DE JOCOTEPEC, JALISCO</v>
      </c>
      <c r="N343" s="510"/>
      <c r="O343" s="6">
        <f>OBRA!Q342</f>
        <v>43346</v>
      </c>
      <c r="P343" s="4">
        <f>OBRA!P342</f>
        <v>458709.95</v>
      </c>
      <c r="Q343" s="4"/>
      <c r="R343" s="5">
        <f>OBRA!R342</f>
        <v>43349</v>
      </c>
      <c r="S343" s="12">
        <f>OBRA!S342</f>
        <v>43367</v>
      </c>
      <c r="T343" s="55"/>
      <c r="U343" s="415" t="s">
        <v>1431</v>
      </c>
      <c r="V343" s="996"/>
      <c r="W343" s="1440"/>
      <c r="X343" s="376">
        <f>OBRA!AP342</f>
        <v>207461.57</v>
      </c>
      <c r="Y343" s="341"/>
      <c r="Z343" s="341"/>
      <c r="AA343" s="5"/>
      <c r="AB343" s="351">
        <f>OBRA!BT342</f>
        <v>0</v>
      </c>
      <c r="AC343" s="569" t="s">
        <v>551</v>
      </c>
      <c r="AE343"/>
      <c r="AF343"/>
      <c r="AG343"/>
      <c r="AH343"/>
      <c r="AI343"/>
      <c r="AJ343"/>
      <c r="AK343"/>
      <c r="AL343"/>
    </row>
    <row r="344" spans="1:38" ht="151.5" hidden="1" customHeight="1">
      <c r="A344" s="23" t="s">
        <v>2239</v>
      </c>
      <c r="B344" s="933" t="str">
        <f>GRAL!B345</f>
        <v>2015-2018</v>
      </c>
      <c r="C344" s="17">
        <f>OBRA!I343</f>
        <v>2018</v>
      </c>
      <c r="D344" s="18" t="str">
        <f>OBRA!K343</f>
        <v>RAMO 33</v>
      </c>
      <c r="E344" s="525" t="s">
        <v>1431</v>
      </c>
      <c r="F344" s="557"/>
      <c r="G344" s="1012"/>
      <c r="H344" s="557"/>
      <c r="I344" s="339" t="str">
        <f>OBRA!U343</f>
        <v>C. JOSÉ MIGUEL GARCIA VALLE</v>
      </c>
      <c r="J344" s="57" t="str">
        <f>OBRA!V343</f>
        <v>ARQ. CESAR ANTONIO ALONSO JIMENEZ</v>
      </c>
      <c r="K344" s="35" t="str">
        <f>OBRA!L343</f>
        <v>GMJ 030C OP/2018</v>
      </c>
      <c r="L344" s="2" t="str">
        <f>OBRA!M343</f>
        <v>ADJUDICACIÓN DIRECTA</v>
      </c>
      <c r="M344" s="328" t="str">
        <f>OBRA!N343</f>
        <v>REHABILITACION DE LINEA DE AGUA POTABLE EN CALLE XOCHILT DE CARRETERA A CALLE CUAUHTEMOC, PRIMERA ETAPA CON REPOSICION DE SUPERFICIE DE RODAMIENTO LA LOCALIDAD DE CHANTEPEC, DEL MUNICIPIO DE JOCOTPEC, JALISCO</v>
      </c>
      <c r="N344" s="510"/>
      <c r="O344" s="6">
        <f>OBRA!Q343</f>
        <v>43326</v>
      </c>
      <c r="P344" s="4">
        <f>OBRA!P343</f>
        <v>615855.56999999995</v>
      </c>
      <c r="Q344" s="4"/>
      <c r="R344" s="5">
        <f>OBRA!R343</f>
        <v>43326</v>
      </c>
      <c r="S344" s="12">
        <f>OBRA!S343</f>
        <v>43348</v>
      </c>
      <c r="T344" s="55"/>
      <c r="U344" s="415" t="s">
        <v>1431</v>
      </c>
      <c r="V344" s="996"/>
      <c r="W344" s="1445"/>
      <c r="X344" s="989">
        <f>OBRA!AP343</f>
        <v>277684.53000000003</v>
      </c>
      <c r="Y344" s="341"/>
      <c r="Z344" s="341"/>
      <c r="AA344" s="5"/>
      <c r="AB344" s="351">
        <f>OBRA!BT343</f>
        <v>0</v>
      </c>
      <c r="AC344" s="569" t="s">
        <v>551</v>
      </c>
      <c r="AE344"/>
      <c r="AF344"/>
      <c r="AG344"/>
      <c r="AH344"/>
      <c r="AI344"/>
      <c r="AJ344"/>
      <c r="AK344"/>
      <c r="AL344"/>
    </row>
    <row r="345" spans="1:38" ht="153.75" hidden="1" customHeight="1">
      <c r="A345" s="23" t="s">
        <v>2239</v>
      </c>
      <c r="B345" s="933" t="str">
        <f>GRAL!B346</f>
        <v>2015-2018</v>
      </c>
      <c r="C345" s="17">
        <f>OBRA!I344</f>
        <v>2018</v>
      </c>
      <c r="D345" s="18" t="str">
        <f>OBRA!K344</f>
        <v>RAMO 33</v>
      </c>
      <c r="E345" s="525" t="s">
        <v>1431</v>
      </c>
      <c r="F345" s="557"/>
      <c r="G345" s="1012"/>
      <c r="H345" s="171"/>
      <c r="I345" s="56" t="str">
        <f>OBRA!U344</f>
        <v>C. NORMA GORETY DOMINGUEZ CALVARIO</v>
      </c>
      <c r="J345" s="57" t="str">
        <f>OBRA!V344</f>
        <v>ING. JUAN MANUEL GARCIA ESCOTO</v>
      </c>
      <c r="K345" s="35" t="str">
        <f>OBRA!L344</f>
        <v>GMJ 031C OP/2018</v>
      </c>
      <c r="L345" s="2" t="str">
        <f>OBRA!M344</f>
        <v>ADJUDICACIÓN DIRECTA</v>
      </c>
      <c r="M345" s="328" t="str">
        <f>OBRA!N344</f>
        <v>REHABILITACION DE LINEA DE AGUA POTABLE EN CALLE CHURUBUSCO ENTRE CHAPULTEPEC Y CERRADA CON REPOSICION DE EMPEDRADO EXISTENTE EN LA LOCALIDAD DE LA LOMA DEL MUNICIPIO DE JOCOTEPEC, JALISCO</v>
      </c>
      <c r="N345" s="510"/>
      <c r="O345" s="6">
        <f>OBRA!Q344</f>
        <v>43320</v>
      </c>
      <c r="P345" s="4">
        <f>OBRA!P344</f>
        <v>413195.74</v>
      </c>
      <c r="Q345" s="4"/>
      <c r="R345" s="5">
        <f>OBRA!R344</f>
        <v>43322</v>
      </c>
      <c r="S345" s="12">
        <f>OBRA!S344</f>
        <v>43341</v>
      </c>
      <c r="T345" s="55"/>
      <c r="U345" s="415" t="s">
        <v>1431</v>
      </c>
      <c r="V345" s="996"/>
      <c r="W345" s="1440"/>
      <c r="X345" s="376">
        <f>OBRA!AP344</f>
        <v>82552.760000000009</v>
      </c>
      <c r="Y345" s="341"/>
      <c r="Z345" s="341"/>
      <c r="AA345" s="5"/>
      <c r="AB345" s="351">
        <f>OBRA!BT344</f>
        <v>0</v>
      </c>
      <c r="AC345" s="569"/>
      <c r="AE345"/>
      <c r="AF345"/>
      <c r="AG345"/>
      <c r="AH345"/>
      <c r="AI345"/>
      <c r="AJ345"/>
      <c r="AK345"/>
      <c r="AL345"/>
    </row>
    <row r="346" spans="1:38" ht="120" hidden="1" customHeight="1">
      <c r="A346" s="23" t="s">
        <v>2239</v>
      </c>
      <c r="B346" s="933" t="str">
        <f>GRAL!B347</f>
        <v>2015-2018</v>
      </c>
      <c r="C346" s="17">
        <f>OBRA!I345</f>
        <v>2018</v>
      </c>
      <c r="D346" s="18" t="str">
        <f>OBRA!K345</f>
        <v>RAMO 33</v>
      </c>
      <c r="E346" s="525" t="s">
        <v>1431</v>
      </c>
      <c r="F346" s="171"/>
      <c r="G346" s="1012"/>
      <c r="H346" s="171"/>
      <c r="I346" s="56" t="str">
        <f>OBRA!U345</f>
        <v>ING. SERGIO CABRERA</v>
      </c>
      <c r="J346" s="172" t="str">
        <f>OBRA!V345</f>
        <v>ING. JUAN MANUEL GARCIA ESCOTO</v>
      </c>
      <c r="K346" s="35" t="str">
        <f>OBRA!L345</f>
        <v>GMJ 032C OP/2018</v>
      </c>
      <c r="L346" s="2" t="str">
        <f>OBRA!M345</f>
        <v>ADJUDICACIÓN DIRECTA</v>
      </c>
      <c r="M346" s="3" t="str">
        <f>OBRA!N345</f>
        <v>CONSTRUCCION DE LINEA DE DRENAJE DE 125 ML QUE VA A CONECTAR POR LA PARTE ORIENTE AL FRACCIONAMIENTO PASEO DEL CARDENAL EN SAN JUAN COSALA</v>
      </c>
      <c r="N346" s="510"/>
      <c r="O346" s="6">
        <f>OBRA!Q345</f>
        <v>43329</v>
      </c>
      <c r="P346" s="4">
        <f>OBRA!P345</f>
        <v>229200</v>
      </c>
      <c r="Q346" s="4"/>
      <c r="R346" s="5">
        <f>OBRA!R345</f>
        <v>43332</v>
      </c>
      <c r="S346" s="12">
        <f>OBRA!S345</f>
        <v>43353</v>
      </c>
      <c r="T346" s="55"/>
      <c r="U346" s="415" t="s">
        <v>1431</v>
      </c>
      <c r="V346" s="996"/>
      <c r="W346" s="1440"/>
      <c r="X346" s="307">
        <f>OBRA!AP345</f>
        <v>57300</v>
      </c>
      <c r="Y346" s="341"/>
      <c r="Z346" s="341"/>
      <c r="AA346" s="5"/>
      <c r="AB346" s="351">
        <f>OBRA!BT345</f>
        <v>0</v>
      </c>
      <c r="AC346" s="569"/>
      <c r="AE346"/>
      <c r="AF346"/>
      <c r="AG346"/>
      <c r="AH346"/>
      <c r="AI346"/>
      <c r="AJ346"/>
      <c r="AK346"/>
      <c r="AL346"/>
    </row>
    <row r="347" spans="1:38" ht="15" hidden="1" customHeight="1">
      <c r="A347" s="23" t="s">
        <v>2239</v>
      </c>
      <c r="B347" s="933" t="str">
        <f>GRAL!B348</f>
        <v>2018-2021</v>
      </c>
      <c r="C347" s="17">
        <f>OBRA!I346</f>
        <v>2018</v>
      </c>
      <c r="D347" s="18" t="str">
        <f>OBRA!K346</f>
        <v>RAMO 33</v>
      </c>
      <c r="E347" s="525"/>
      <c r="F347" s="390"/>
      <c r="G347" s="1"/>
      <c r="H347" s="390"/>
      <c r="I347" s="56" t="str">
        <f>OBRA!U346</f>
        <v>N/A</v>
      </c>
      <c r="J347" s="57" t="str">
        <f>OBRA!V346</f>
        <v>ARQ. JAIME CONDE GOMEZ</v>
      </c>
      <c r="K347" s="20"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2">
        <f>OBRA!S346</f>
        <v>43456</v>
      </c>
      <c r="T347" s="55"/>
      <c r="U347" s="415" t="s">
        <v>1431</v>
      </c>
      <c r="V347" s="341"/>
      <c r="W347" s="12"/>
      <c r="X347" s="306">
        <f>OBRA!AP346</f>
        <v>0</v>
      </c>
      <c r="Y347" s="341"/>
      <c r="Z347" s="341"/>
      <c r="AA347" s="5"/>
      <c r="AB347" s="351">
        <f>OBRA!BT346</f>
        <v>0</v>
      </c>
      <c r="AC347" s="569"/>
      <c r="AE347"/>
      <c r="AF347"/>
      <c r="AG347"/>
      <c r="AH347"/>
      <c r="AI347"/>
      <c r="AJ347"/>
      <c r="AK347"/>
      <c r="AL347"/>
    </row>
    <row r="348" spans="1:38" ht="15" hidden="1" customHeight="1">
      <c r="A348" s="23" t="s">
        <v>2239</v>
      </c>
      <c r="B348" s="933" t="str">
        <f>GRAL!B349</f>
        <v>2018-2021</v>
      </c>
      <c r="C348" s="17">
        <f>OBRA!I347</f>
        <v>2018</v>
      </c>
      <c r="D348" s="18" t="str">
        <f>OBRA!K347</f>
        <v>RAMO 33</v>
      </c>
      <c r="E348" s="525"/>
      <c r="F348" s="390"/>
      <c r="G348" s="1"/>
      <c r="H348" s="390"/>
      <c r="I348" s="56" t="str">
        <f>OBRA!U347</f>
        <v>N/A</v>
      </c>
      <c r="J348" s="57" t="str">
        <f>OBRA!V347</f>
        <v>ARQ. JAIME CONDE GOMEZ</v>
      </c>
      <c r="K348" s="20"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2">
        <f>OBRA!S347</f>
        <v>43456</v>
      </c>
      <c r="T348" s="55"/>
      <c r="U348" s="415" t="s">
        <v>1431</v>
      </c>
      <c r="V348" s="341"/>
      <c r="W348" s="12"/>
      <c r="X348" s="306">
        <f>OBRA!AP347</f>
        <v>0</v>
      </c>
      <c r="Y348" s="341"/>
      <c r="Z348" s="341"/>
      <c r="AA348" s="5"/>
      <c r="AB348" s="351">
        <f>OBRA!BT347</f>
        <v>0</v>
      </c>
      <c r="AC348" s="569"/>
      <c r="AE348"/>
      <c r="AF348"/>
      <c r="AG348"/>
      <c r="AH348"/>
      <c r="AI348"/>
      <c r="AJ348"/>
      <c r="AK348"/>
      <c r="AL348"/>
    </row>
    <row r="349" spans="1:38" ht="15" hidden="1" customHeight="1">
      <c r="A349" s="23" t="s">
        <v>2239</v>
      </c>
      <c r="B349" s="933" t="str">
        <f>GRAL!B350</f>
        <v>2018-2021</v>
      </c>
      <c r="C349" s="17">
        <f>OBRA!I348</f>
        <v>2018</v>
      </c>
      <c r="D349" s="18" t="str">
        <f>OBRA!K348</f>
        <v>RAMO 33</v>
      </c>
      <c r="E349" s="525"/>
      <c r="F349" s="390"/>
      <c r="G349" s="1"/>
      <c r="H349" s="390"/>
      <c r="I349" s="56" t="str">
        <f>OBRA!U348</f>
        <v>N/A</v>
      </c>
      <c r="J349" s="57" t="str">
        <f>OBRA!V348</f>
        <v>ARQ. JAIME CONDE GOMEZ</v>
      </c>
      <c r="K349" s="20"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2">
        <f>OBRA!S348</f>
        <v>43465</v>
      </c>
      <c r="T349" s="55"/>
      <c r="U349" s="415" t="s">
        <v>1431</v>
      </c>
      <c r="V349" s="341"/>
      <c r="W349" s="12"/>
      <c r="X349" s="306">
        <f>OBRA!AP348</f>
        <v>0</v>
      </c>
      <c r="Y349" s="341"/>
      <c r="Z349" s="341"/>
      <c r="AA349" s="5"/>
      <c r="AB349" s="351">
        <f>OBRA!BT348</f>
        <v>0</v>
      </c>
      <c r="AC349" s="569"/>
      <c r="AE349"/>
      <c r="AF349"/>
      <c r="AG349"/>
      <c r="AH349"/>
      <c r="AI349"/>
      <c r="AJ349"/>
      <c r="AK349"/>
      <c r="AL349"/>
    </row>
    <row r="350" spans="1:38" ht="15" hidden="1" customHeight="1">
      <c r="A350" s="23" t="s">
        <v>2239</v>
      </c>
      <c r="B350" s="933" t="str">
        <f>GRAL!B351</f>
        <v>2018-2021</v>
      </c>
      <c r="C350" s="17">
        <f>OBRA!I349</f>
        <v>2018</v>
      </c>
      <c r="D350" s="18" t="str">
        <f>OBRA!K349</f>
        <v>RAMO 33</v>
      </c>
      <c r="E350" s="525"/>
      <c r="F350" s="390"/>
      <c r="G350" s="1"/>
      <c r="H350" s="390"/>
      <c r="I350" s="56" t="str">
        <f>OBRA!U349</f>
        <v>N/A</v>
      </c>
      <c r="J350" s="57" t="str">
        <f>OBRA!V349</f>
        <v>ARQ. JAIME CONDE GOMEZ</v>
      </c>
      <c r="K350" s="20"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2">
        <f>OBRA!S349</f>
        <v>43465</v>
      </c>
      <c r="T350" s="55"/>
      <c r="U350" s="415" t="s">
        <v>1431</v>
      </c>
      <c r="V350" s="341"/>
      <c r="W350" s="12"/>
      <c r="X350" s="306">
        <f>OBRA!AP349</f>
        <v>0</v>
      </c>
      <c r="Y350" s="341"/>
      <c r="Z350" s="341"/>
      <c r="AA350" s="5"/>
      <c r="AB350" s="351">
        <f>OBRA!BT349</f>
        <v>0</v>
      </c>
      <c r="AC350" s="569"/>
      <c r="AE350"/>
      <c r="AF350"/>
      <c r="AG350"/>
      <c r="AH350"/>
      <c r="AI350"/>
      <c r="AJ350"/>
      <c r="AK350"/>
      <c r="AL350"/>
    </row>
    <row r="351" spans="1:38" ht="15" hidden="1" customHeight="1">
      <c r="A351" s="23" t="s">
        <v>2239</v>
      </c>
      <c r="B351" s="933" t="str">
        <f>GRAL!B352</f>
        <v>2018-2021</v>
      </c>
      <c r="C351" s="17">
        <f>OBRA!I350</f>
        <v>2019</v>
      </c>
      <c r="D351" s="18" t="str">
        <f>OBRA!K350</f>
        <v>C.E.A.</v>
      </c>
      <c r="E351" s="525"/>
      <c r="F351" s="390"/>
      <c r="G351" s="1"/>
      <c r="H351" s="390"/>
      <c r="I351" s="56" t="str">
        <f>OBRA!U350</f>
        <v>N/A</v>
      </c>
      <c r="J351" s="57" t="str">
        <f>OBRA!V350</f>
        <v>ING. JUAN MANUEL GARCIA ESCOTO</v>
      </c>
      <c r="K351" s="20"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2">
        <f>OBRA!S350</f>
        <v>43812</v>
      </c>
      <c r="T351" s="55"/>
      <c r="U351" s="415" t="s">
        <v>1431</v>
      </c>
      <c r="V351" s="341"/>
      <c r="W351" s="12"/>
      <c r="X351" s="306">
        <f>OBRA!AP350</f>
        <v>0</v>
      </c>
      <c r="Y351" s="341"/>
      <c r="Z351" s="341"/>
      <c r="AA351" s="5"/>
      <c r="AB351" s="351">
        <f>OBRA!BT350</f>
        <v>0</v>
      </c>
      <c r="AC351" s="569"/>
      <c r="AE351"/>
      <c r="AF351"/>
      <c r="AG351"/>
      <c r="AH351"/>
      <c r="AI351"/>
      <c r="AJ351"/>
      <c r="AK351"/>
      <c r="AL351"/>
    </row>
    <row r="352" spans="1:38" ht="15" hidden="1" customHeight="1">
      <c r="A352" s="23" t="s">
        <v>2239</v>
      </c>
      <c r="B352" s="933" t="str">
        <f>GRAL!B353</f>
        <v>2018-2021</v>
      </c>
      <c r="C352" s="17">
        <f>OBRA!I351</f>
        <v>2019</v>
      </c>
      <c r="D352" s="18" t="str">
        <f>OBRA!K351</f>
        <v>P.I.D.</v>
      </c>
      <c r="E352" s="525"/>
      <c r="F352" s="390"/>
      <c r="G352" s="1"/>
      <c r="H352" s="390"/>
      <c r="I352" s="56" t="str">
        <f>OBRA!U351</f>
        <v>N/A</v>
      </c>
      <c r="J352" s="57" t="str">
        <f>OBRA!V351</f>
        <v>-</v>
      </c>
      <c r="K352" s="20"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2">
        <f>OBRA!S351</f>
        <v>43830</v>
      </c>
      <c r="T352" s="55"/>
      <c r="U352" s="415" t="s">
        <v>1431</v>
      </c>
      <c r="V352" s="341"/>
      <c r="W352" s="12"/>
      <c r="X352" s="306">
        <f>OBRA!AP351</f>
        <v>0</v>
      </c>
      <c r="Y352" s="341"/>
      <c r="Z352" s="341"/>
      <c r="AA352" s="5"/>
      <c r="AB352" s="351">
        <f>OBRA!BT351</f>
        <v>0</v>
      </c>
      <c r="AC352" s="569"/>
      <c r="AE352"/>
      <c r="AF352"/>
      <c r="AG352"/>
      <c r="AH352"/>
      <c r="AI352"/>
      <c r="AJ352"/>
      <c r="AK352"/>
      <c r="AL352"/>
    </row>
    <row r="353" spans="1:38" ht="15" hidden="1" customHeight="1">
      <c r="A353" s="23" t="s">
        <v>2239</v>
      </c>
      <c r="B353" s="933" t="str">
        <f>GRAL!B354</f>
        <v>2018-2021</v>
      </c>
      <c r="C353" s="17">
        <f>OBRA!I352</f>
        <v>2019</v>
      </c>
      <c r="D353" s="18" t="str">
        <f>OBRA!K352</f>
        <v>RASTRO DIGNO / CTA-CTE</v>
      </c>
      <c r="E353" s="525"/>
      <c r="F353" s="390"/>
      <c r="G353" s="1"/>
      <c r="H353" s="390"/>
      <c r="I353" s="56" t="str">
        <f>OBRA!U352</f>
        <v>N/A</v>
      </c>
      <c r="J353" s="57" t="str">
        <f>OBRA!V352</f>
        <v>ARQ. JAIME CONDE GOMEZ</v>
      </c>
      <c r="K353" s="20"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2">
        <f>OBRA!S352</f>
        <v>43830</v>
      </c>
      <c r="T353" s="55"/>
      <c r="U353" s="415" t="s">
        <v>1431</v>
      </c>
      <c r="V353" s="341"/>
      <c r="W353" s="12"/>
      <c r="X353" s="306">
        <f>OBRA!AP352</f>
        <v>0</v>
      </c>
      <c r="Y353" s="341"/>
      <c r="Z353" s="341"/>
      <c r="AA353" s="5"/>
      <c r="AB353" s="351">
        <f>OBRA!BT352</f>
        <v>0</v>
      </c>
      <c r="AC353" s="569"/>
      <c r="AE353"/>
      <c r="AF353"/>
      <c r="AG353"/>
      <c r="AH353"/>
      <c r="AI353"/>
      <c r="AJ353"/>
      <c r="AK353"/>
      <c r="AL353"/>
    </row>
    <row r="354" spans="1:38" ht="15" hidden="1" customHeight="1">
      <c r="A354" s="23" t="s">
        <v>2239</v>
      </c>
      <c r="B354" s="933" t="str">
        <f>GRAL!B355</f>
        <v>2018-2021</v>
      </c>
      <c r="C354" s="17">
        <f>OBRA!I353</f>
        <v>2019</v>
      </c>
      <c r="D354" s="18" t="str">
        <f>OBRA!K353</f>
        <v>CUENTA CORRIENTE</v>
      </c>
      <c r="E354" s="525"/>
      <c r="F354" s="390"/>
      <c r="G354" s="1"/>
      <c r="H354" s="390"/>
      <c r="I354" s="56" t="str">
        <f>OBRA!U353</f>
        <v>N/A</v>
      </c>
      <c r="J354" s="57" t="str">
        <f>OBRA!V353</f>
        <v>ING. RIGOBERTO OLMEDO RAMOS</v>
      </c>
      <c r="K354" s="20"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2">
        <f>OBRA!S353</f>
        <v>43555</v>
      </c>
      <c r="T354" s="55"/>
      <c r="U354" s="415" t="s">
        <v>1431</v>
      </c>
      <c r="V354" s="341"/>
      <c r="W354" s="12"/>
      <c r="X354" s="306">
        <f>OBRA!AP353</f>
        <v>0</v>
      </c>
      <c r="Y354" s="341"/>
      <c r="Z354" s="341"/>
      <c r="AA354" s="5"/>
      <c r="AB354" s="351">
        <f>OBRA!BT353</f>
        <v>0</v>
      </c>
      <c r="AC354" s="569"/>
      <c r="AE354"/>
      <c r="AF354"/>
      <c r="AG354"/>
      <c r="AH354"/>
      <c r="AI354"/>
      <c r="AJ354"/>
      <c r="AK354"/>
      <c r="AL354"/>
    </row>
    <row r="355" spans="1:38" s="110" customFormat="1" ht="15" hidden="1" customHeight="1">
      <c r="A355" s="87" t="s">
        <v>2239</v>
      </c>
      <c r="B355" s="946" t="str">
        <f>GRAL!B356</f>
        <v>2018-2021</v>
      </c>
      <c r="C355" s="88">
        <f>OBRA!I354</f>
        <v>2019</v>
      </c>
      <c r="D355" s="103" t="str">
        <f>OBRA!K354</f>
        <v>CUENTA CORRIENTE</v>
      </c>
      <c r="E355" s="526"/>
      <c r="F355" s="392"/>
      <c r="G355" s="102"/>
      <c r="H355" s="392"/>
      <c r="I355" s="159" t="str">
        <f>OBRA!U354</f>
        <v>-</v>
      </c>
      <c r="J355" s="160" t="str">
        <f>OBRA!V354</f>
        <v>LIC. SALVADOR CONTRERAS OLGUÍN</v>
      </c>
      <c r="K355" s="90" t="str">
        <f>OBRA!L354</f>
        <v>DOP/AD/002/2019</v>
      </c>
      <c r="L355" s="91" t="str">
        <f>OBRA!M354</f>
        <v>CANCELADA</v>
      </c>
      <c r="M355" s="132" t="str">
        <f>OBRA!N354</f>
        <v>"CONSERVACIÓN Y MANTENIMIENTO DE HUELLAS DE ADOQUÍN EN CALLE MATAMOROS SUR DE C. DONATO GUERRA A HOSPITAL DE URGENCIAS" EN LA CABECERA MUNICIPAL DE JOCOTEPEPC, JALISCO"</v>
      </c>
      <c r="N355" s="132"/>
      <c r="O355" s="93" t="str">
        <f>OBRA!Q354</f>
        <v>-</v>
      </c>
      <c r="P355" s="92">
        <f>OBRA!P354</f>
        <v>75251.929999999993</v>
      </c>
      <c r="Q355" s="92"/>
      <c r="R355" s="94" t="str">
        <f>OBRA!R354</f>
        <v>-</v>
      </c>
      <c r="S355" s="95" t="str">
        <f>OBRA!S354</f>
        <v>-</v>
      </c>
      <c r="T355" s="97"/>
      <c r="U355" s="785" t="s">
        <v>1431</v>
      </c>
      <c r="V355" s="343"/>
      <c r="W355" s="95"/>
      <c r="X355" s="311">
        <f>OBRA!AP354</f>
        <v>0</v>
      </c>
      <c r="Y355" s="343"/>
      <c r="Z355" s="343"/>
      <c r="AA355" s="94"/>
      <c r="AB355" s="511" t="str">
        <f>OBRA!BT354</f>
        <v>-</v>
      </c>
      <c r="AC355" s="570"/>
    </row>
    <row r="356" spans="1:38" s="110" customFormat="1" ht="15" hidden="1" customHeight="1">
      <c r="A356" s="87" t="s">
        <v>2239</v>
      </c>
      <c r="B356" s="946" t="str">
        <f>GRAL!B357</f>
        <v>2018-2021</v>
      </c>
      <c r="C356" s="88">
        <f>OBRA!I355</f>
        <v>2019</v>
      </c>
      <c r="D356" s="103" t="str">
        <f>OBRA!K355</f>
        <v>CUENTA CORRIENTE</v>
      </c>
      <c r="E356" s="526"/>
      <c r="F356" s="392"/>
      <c r="G356" s="102"/>
      <c r="H356" s="392"/>
      <c r="I356" s="159" t="str">
        <f>OBRA!U355</f>
        <v>-</v>
      </c>
      <c r="J356" s="160" t="str">
        <f>OBRA!V355</f>
        <v>LIC. SALVADOR CONTRERAS OLGUÍN</v>
      </c>
      <c r="K356" s="90" t="str">
        <f>OBRA!L355</f>
        <v>DOP/AD/003/2019</v>
      </c>
      <c r="L356" s="91" t="str">
        <f>OBRA!M355</f>
        <v>CANCELADA</v>
      </c>
      <c r="M356" s="132" t="str">
        <f>OBRA!N355</f>
        <v>CONSERVACIÓN Y MANTENIMIENTO INCLUYENTE DE BANQUETA Y ACCESO HOSPITAL DE URGENCIAS" EN LA CABECERA MUNICIPAL DE JOCOTEPEC, JALISCO</v>
      </c>
      <c r="N356" s="132"/>
      <c r="O356" s="93" t="str">
        <f>OBRA!Q355</f>
        <v>-</v>
      </c>
      <c r="P356" s="92">
        <f>OBRA!P355</f>
        <v>140710.85999999999</v>
      </c>
      <c r="Q356" s="92"/>
      <c r="R356" s="94" t="str">
        <f>OBRA!R355</f>
        <v>-</v>
      </c>
      <c r="S356" s="95" t="str">
        <f>OBRA!S355</f>
        <v>-</v>
      </c>
      <c r="T356" s="97"/>
      <c r="U356" s="785" t="s">
        <v>1431</v>
      </c>
      <c r="V356" s="343"/>
      <c r="W356" s="95"/>
      <c r="X356" s="311">
        <f>OBRA!AP355</f>
        <v>0</v>
      </c>
      <c r="Y356" s="343"/>
      <c r="Z356" s="343"/>
      <c r="AA356" s="94"/>
      <c r="AB356" s="511" t="str">
        <f>OBRA!BT355</f>
        <v>-</v>
      </c>
      <c r="AC356" s="570"/>
    </row>
    <row r="357" spans="1:38" ht="15" hidden="1" customHeight="1">
      <c r="A357" s="23" t="s">
        <v>2239</v>
      </c>
      <c r="B357" s="933" t="str">
        <f>GRAL!B358</f>
        <v>2018-2021</v>
      </c>
      <c r="C357" s="17">
        <f>OBRA!I356</f>
        <v>2019</v>
      </c>
      <c r="D357" s="18" t="str">
        <f>OBRA!K356</f>
        <v>CUENTA CORRIENTE</v>
      </c>
      <c r="E357" s="525"/>
      <c r="F357" s="390"/>
      <c r="G357" s="1"/>
      <c r="H357" s="390"/>
      <c r="I357" s="56" t="str">
        <f>OBRA!U356</f>
        <v>N/A</v>
      </c>
      <c r="J357" s="57" t="str">
        <f>OBRA!V356</f>
        <v>LIC. SALVADOR CONTRERAS OLGUÍN</v>
      </c>
      <c r="K357" s="20"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2">
        <f>OBRA!S356</f>
        <v>43623</v>
      </c>
      <c r="T357" s="55"/>
      <c r="U357" s="415" t="s">
        <v>1431</v>
      </c>
      <c r="V357" s="341"/>
      <c r="W357" s="12"/>
      <c r="X357" s="306">
        <f>OBRA!AP356</f>
        <v>0</v>
      </c>
      <c r="Y357" s="341"/>
      <c r="Z357" s="341"/>
      <c r="AA357" s="5"/>
      <c r="AB357" s="351">
        <f>OBRA!BT356</f>
        <v>0</v>
      </c>
      <c r="AC357" s="569"/>
      <c r="AE357"/>
      <c r="AF357"/>
      <c r="AG357"/>
      <c r="AH357"/>
      <c r="AI357"/>
      <c r="AJ357"/>
      <c r="AK357"/>
      <c r="AL357"/>
    </row>
    <row r="358" spans="1:38" ht="15" hidden="1" customHeight="1">
      <c r="A358" s="23" t="s">
        <v>2239</v>
      </c>
      <c r="B358" s="933" t="str">
        <f>GRAL!B359</f>
        <v>2018-2021</v>
      </c>
      <c r="C358" s="17">
        <f>OBRA!I357</f>
        <v>2019</v>
      </c>
      <c r="D358" s="18" t="str">
        <f>OBRA!K357</f>
        <v>CUENTA CORRIENTE</v>
      </c>
      <c r="E358" s="525"/>
      <c r="F358" s="390"/>
      <c r="G358" s="1"/>
      <c r="H358" s="390"/>
      <c r="I358" s="56" t="str">
        <f>OBRA!U357</f>
        <v>N/A</v>
      </c>
      <c r="J358" s="57" t="str">
        <f>OBRA!V357</f>
        <v>LIC. SALVADOR CONTRERAS OLGUÍN</v>
      </c>
      <c r="K358" s="20"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2">
        <f>OBRA!S357</f>
        <v>43623</v>
      </c>
      <c r="T358" s="55"/>
      <c r="U358" s="415" t="s">
        <v>1431</v>
      </c>
      <c r="V358" s="341"/>
      <c r="W358" s="12"/>
      <c r="X358" s="306">
        <f>OBRA!AP357</f>
        <v>0</v>
      </c>
      <c r="Y358" s="341"/>
      <c r="Z358" s="341"/>
      <c r="AA358" s="5"/>
      <c r="AB358" s="351">
        <f>OBRA!BT357</f>
        <v>0</v>
      </c>
      <c r="AC358" s="569"/>
      <c r="AE358"/>
      <c r="AF358"/>
      <c r="AG358"/>
      <c r="AH358"/>
      <c r="AI358"/>
      <c r="AJ358"/>
      <c r="AK358"/>
      <c r="AL358"/>
    </row>
    <row r="359" spans="1:38" ht="15" hidden="1" customHeight="1">
      <c r="A359" s="23" t="s">
        <v>2239</v>
      </c>
      <c r="B359" s="933" t="str">
        <f>GRAL!B360</f>
        <v>2018-2021</v>
      </c>
      <c r="C359" s="17">
        <f>OBRA!I358</f>
        <v>2019</v>
      </c>
      <c r="D359" s="18" t="str">
        <f>OBRA!K358</f>
        <v>CUENTA CORRIENTE</v>
      </c>
      <c r="E359" s="525"/>
      <c r="F359" s="390"/>
      <c r="G359" s="1"/>
      <c r="H359" s="390"/>
      <c r="I359" s="56" t="str">
        <f>OBRA!U358</f>
        <v>N/A</v>
      </c>
      <c r="J359" s="57" t="str">
        <f>OBRA!V358</f>
        <v>LIC. SALVADOR CONTRERAS OLGUÍN</v>
      </c>
      <c r="K359" s="20"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2">
        <f>OBRA!S358</f>
        <v>43623</v>
      </c>
      <c r="T359" s="55"/>
      <c r="U359" s="415" t="s">
        <v>1431</v>
      </c>
      <c r="V359" s="341"/>
      <c r="W359" s="12"/>
      <c r="X359" s="306">
        <f>OBRA!AP358</f>
        <v>0</v>
      </c>
      <c r="Y359" s="341"/>
      <c r="Z359" s="341"/>
      <c r="AA359" s="5"/>
      <c r="AB359" s="351">
        <f>OBRA!BT358</f>
        <v>0</v>
      </c>
      <c r="AC359" s="569"/>
      <c r="AE359"/>
      <c r="AF359"/>
      <c r="AG359"/>
      <c r="AH359"/>
      <c r="AI359"/>
      <c r="AJ359"/>
      <c r="AK359"/>
      <c r="AL359"/>
    </row>
    <row r="360" spans="1:38" ht="15" hidden="1" customHeight="1">
      <c r="A360" s="23" t="s">
        <v>2239</v>
      </c>
      <c r="B360" s="933" t="str">
        <f>GRAL!B361</f>
        <v>2018-2021</v>
      </c>
      <c r="C360" s="17">
        <f>OBRA!I359</f>
        <v>2019</v>
      </c>
      <c r="D360" s="18" t="str">
        <f>OBRA!K359</f>
        <v>CUENTA CORRIENTE</v>
      </c>
      <c r="E360" s="525"/>
      <c r="F360" s="390"/>
      <c r="G360" s="1"/>
      <c r="H360" s="390"/>
      <c r="I360" s="56" t="str">
        <f>OBRA!U359</f>
        <v>N/A</v>
      </c>
      <c r="J360" s="57" t="str">
        <f>OBRA!V359</f>
        <v>ING. LUIS RIGOBERTO OLMEDO NAVARRO</v>
      </c>
      <c r="K360" s="20"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2">
        <f>OBRA!S359</f>
        <v>43830</v>
      </c>
      <c r="T360" s="55"/>
      <c r="U360" s="415" t="s">
        <v>1431</v>
      </c>
      <c r="V360" s="341"/>
      <c r="W360" s="12"/>
      <c r="X360" s="306">
        <f>OBRA!AP359</f>
        <v>0</v>
      </c>
      <c r="Y360" s="341"/>
      <c r="Z360" s="341"/>
      <c r="AA360" s="5"/>
      <c r="AB360" s="351">
        <f>OBRA!BT359</f>
        <v>0</v>
      </c>
      <c r="AC360" s="569"/>
      <c r="AE360"/>
      <c r="AF360"/>
      <c r="AG360"/>
      <c r="AH360"/>
      <c r="AI360"/>
      <c r="AJ360"/>
      <c r="AK360"/>
      <c r="AL360"/>
    </row>
    <row r="361" spans="1:38" ht="15" hidden="1" customHeight="1">
      <c r="A361" s="23" t="s">
        <v>2239</v>
      </c>
      <c r="B361" s="933" t="str">
        <f>GRAL!B362</f>
        <v>2018-2021</v>
      </c>
      <c r="C361" s="17">
        <f>OBRA!I360</f>
        <v>2019</v>
      </c>
      <c r="D361" s="18" t="str">
        <f>OBRA!K360</f>
        <v>CEA / CUENTA CORRIENTE</v>
      </c>
      <c r="E361" s="525"/>
      <c r="F361" s="390"/>
      <c r="G361" s="1"/>
      <c r="H361" s="390"/>
      <c r="I361" s="56" t="str">
        <f>OBRA!U360</f>
        <v>N/A</v>
      </c>
      <c r="J361" s="57" t="str">
        <f>OBRA!V360</f>
        <v>ING. JUAN MANUEL GARCIA ESCOTO</v>
      </c>
      <c r="K361" s="20"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2">
        <f>OBRA!S360</f>
        <v>43830</v>
      </c>
      <c r="T361" s="55"/>
      <c r="U361" s="415" t="s">
        <v>1431</v>
      </c>
      <c r="V361" s="341"/>
      <c r="W361" s="12"/>
      <c r="X361" s="306">
        <f>OBRA!AP360</f>
        <v>0</v>
      </c>
      <c r="Y361" s="341"/>
      <c r="Z361" s="341"/>
      <c r="AA361" s="5"/>
      <c r="AB361" s="351">
        <f>OBRA!BT360</f>
        <v>0</v>
      </c>
      <c r="AC361" s="569"/>
      <c r="AE361"/>
      <c r="AF361"/>
      <c r="AG361"/>
      <c r="AH361"/>
      <c r="AI361"/>
      <c r="AJ361"/>
      <c r="AK361"/>
      <c r="AL361"/>
    </row>
    <row r="362" spans="1:38" ht="15" hidden="1" customHeight="1">
      <c r="A362" s="23" t="s">
        <v>2239</v>
      </c>
      <c r="B362" s="933" t="str">
        <f>GRAL!B363</f>
        <v>2018-2021</v>
      </c>
      <c r="C362" s="17">
        <f>OBRA!I361</f>
        <v>2019</v>
      </c>
      <c r="D362" s="18" t="str">
        <f>OBRA!K361</f>
        <v>CUENTA CORRIENTE</v>
      </c>
      <c r="E362" s="525"/>
      <c r="F362" s="390"/>
      <c r="G362" s="1"/>
      <c r="H362" s="390"/>
      <c r="I362" s="56" t="str">
        <f>OBRA!U361</f>
        <v>N/A</v>
      </c>
      <c r="J362" s="57" t="str">
        <f>OBRA!V361</f>
        <v>ING. JUAN MANUEL GARCIA ESCOTO</v>
      </c>
      <c r="K362" s="20"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2">
        <f>OBRA!S361</f>
        <v>43830</v>
      </c>
      <c r="T362" s="55"/>
      <c r="U362" s="415" t="s">
        <v>1431</v>
      </c>
      <c r="V362" s="341"/>
      <c r="W362" s="12"/>
      <c r="X362" s="306">
        <f>OBRA!AP361</f>
        <v>0</v>
      </c>
      <c r="Y362" s="341"/>
      <c r="Z362" s="341"/>
      <c r="AA362" s="5"/>
      <c r="AB362" s="351">
        <f>OBRA!BT361</f>
        <v>0</v>
      </c>
      <c r="AC362" s="569"/>
      <c r="AE362"/>
      <c r="AF362"/>
      <c r="AG362"/>
      <c r="AH362"/>
      <c r="AI362"/>
      <c r="AJ362"/>
      <c r="AK362"/>
      <c r="AL362"/>
    </row>
    <row r="363" spans="1:38" ht="15" hidden="1" customHeight="1">
      <c r="A363" s="23" t="s">
        <v>2239</v>
      </c>
      <c r="B363" s="933" t="str">
        <f>GRAL!B364</f>
        <v>2018-2021</v>
      </c>
      <c r="C363" s="17">
        <f>OBRA!I362</f>
        <v>2019</v>
      </c>
      <c r="D363" s="18" t="str">
        <f>OBRA!K362</f>
        <v>CUENTA CORRIENTE</v>
      </c>
      <c r="E363" s="525"/>
      <c r="F363" s="390"/>
      <c r="G363" s="1"/>
      <c r="H363" s="390"/>
      <c r="I363" s="56" t="str">
        <f>OBRA!U362</f>
        <v>N/A</v>
      </c>
      <c r="J363" s="57" t="str">
        <f>OBRA!V362</f>
        <v>ING. J. GUADALUPE IBARRA RAMIREZ</v>
      </c>
      <c r="K363" s="20"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2">
        <f>OBRA!S362</f>
        <v>43798</v>
      </c>
      <c r="T363" s="55"/>
      <c r="U363" s="415" t="s">
        <v>1431</v>
      </c>
      <c r="V363" s="341"/>
      <c r="W363" s="12"/>
      <c r="X363" s="306">
        <f>OBRA!AP362</f>
        <v>0</v>
      </c>
      <c r="Y363" s="341"/>
      <c r="Z363" s="341"/>
      <c r="AA363" s="5"/>
      <c r="AB363" s="351">
        <f>OBRA!BT362</f>
        <v>0</v>
      </c>
      <c r="AC363" s="569"/>
      <c r="AE363"/>
      <c r="AF363"/>
      <c r="AG363"/>
      <c r="AH363"/>
      <c r="AI363"/>
      <c r="AJ363"/>
      <c r="AK363"/>
      <c r="AL363"/>
    </row>
    <row r="364" spans="1:38" ht="15" hidden="1" customHeight="1">
      <c r="A364" s="23" t="s">
        <v>2239</v>
      </c>
      <c r="B364" s="933" t="str">
        <f>GRAL!B365</f>
        <v>2018-2021</v>
      </c>
      <c r="C364" s="17">
        <f>OBRA!I363</f>
        <v>2019</v>
      </c>
      <c r="D364" s="18" t="str">
        <f>OBRA!K363</f>
        <v>RAMO 33</v>
      </c>
      <c r="E364" s="525"/>
      <c r="F364" s="390"/>
      <c r="G364" s="1"/>
      <c r="H364" s="390"/>
      <c r="I364" s="56" t="str">
        <f>OBRA!U363</f>
        <v>N/A</v>
      </c>
      <c r="J364" s="57" t="str">
        <f>OBRA!V363</f>
        <v>ING. J. GUADALUPE IBARRA RAMIREZ</v>
      </c>
      <c r="K364" s="20"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2">
        <f>OBRA!S363</f>
        <v>43814</v>
      </c>
      <c r="T364" s="55"/>
      <c r="U364" s="415" t="s">
        <v>1431</v>
      </c>
      <c r="V364" s="341"/>
      <c r="W364" s="12"/>
      <c r="X364" s="306">
        <f>OBRA!AP363</f>
        <v>0</v>
      </c>
      <c r="Y364" s="341"/>
      <c r="Z364" s="341"/>
      <c r="AA364" s="5"/>
      <c r="AB364" s="351">
        <f>OBRA!BT363</f>
        <v>0</v>
      </c>
      <c r="AC364" s="569"/>
      <c r="AE364"/>
      <c r="AF364"/>
      <c r="AG364"/>
      <c r="AH364"/>
      <c r="AI364"/>
      <c r="AJ364"/>
      <c r="AK364"/>
      <c r="AL364"/>
    </row>
    <row r="365" spans="1:38" ht="15" hidden="1" customHeight="1">
      <c r="A365" s="23" t="s">
        <v>2239</v>
      </c>
      <c r="B365" s="933" t="str">
        <f>GRAL!B366</f>
        <v>2018-2021</v>
      </c>
      <c r="C365" s="17">
        <f>OBRA!I364</f>
        <v>2019</v>
      </c>
      <c r="D365" s="18" t="str">
        <f>OBRA!K364</f>
        <v>RAMO 33</v>
      </c>
      <c r="E365" s="525"/>
      <c r="F365" s="390"/>
      <c r="G365" s="1"/>
      <c r="H365" s="390"/>
      <c r="I365" s="56" t="str">
        <f>OBRA!U364</f>
        <v>N/A</v>
      </c>
      <c r="J365" s="57" t="str">
        <f>OBRA!V364</f>
        <v>ING. J. GUADALUPE IBARRA RAMIREZ</v>
      </c>
      <c r="K365" s="20"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2">
        <f>OBRA!S364</f>
        <v>43814</v>
      </c>
      <c r="T365" s="55"/>
      <c r="U365" s="415" t="s">
        <v>1431</v>
      </c>
      <c r="V365" s="341"/>
      <c r="W365" s="12"/>
      <c r="X365" s="306">
        <f>OBRA!AP364</f>
        <v>0</v>
      </c>
      <c r="Y365" s="341"/>
      <c r="Z365" s="341"/>
      <c r="AA365" s="5"/>
      <c r="AB365" s="351">
        <f>OBRA!BT364</f>
        <v>0</v>
      </c>
      <c r="AC365" s="569"/>
      <c r="AE365"/>
      <c r="AF365"/>
      <c r="AG365"/>
      <c r="AH365"/>
      <c r="AI365"/>
      <c r="AJ365"/>
      <c r="AK365"/>
      <c r="AL365"/>
    </row>
    <row r="366" spans="1:38" ht="15" hidden="1" customHeight="1">
      <c r="A366" s="23" t="s">
        <v>2239</v>
      </c>
      <c r="B366" s="933" t="str">
        <f>GRAL!B367</f>
        <v>2018-2021</v>
      </c>
      <c r="C366" s="17">
        <f>OBRA!I365</f>
        <v>2019</v>
      </c>
      <c r="D366" s="18" t="str">
        <f>OBRA!K365</f>
        <v>RAMO 33</v>
      </c>
      <c r="E366" s="525"/>
      <c r="F366" s="390"/>
      <c r="G366" s="1"/>
      <c r="H366" s="390"/>
      <c r="I366" s="56" t="str">
        <f>OBRA!U365</f>
        <v>N/A</v>
      </c>
      <c r="J366" s="57" t="str">
        <f>OBRA!V365</f>
        <v>ING. J. GUADALUPE IBARRA RAMIREZ</v>
      </c>
      <c r="K366" s="20"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2">
        <f>OBRA!S365</f>
        <v>43798</v>
      </c>
      <c r="T366" s="55"/>
      <c r="U366" s="415" t="s">
        <v>1431</v>
      </c>
      <c r="V366" s="341"/>
      <c r="W366" s="12"/>
      <c r="X366" s="306">
        <f>OBRA!AP365</f>
        <v>0</v>
      </c>
      <c r="Y366" s="341"/>
      <c r="Z366" s="341"/>
      <c r="AA366" s="5"/>
      <c r="AB366" s="351">
        <f>OBRA!BT365</f>
        <v>0</v>
      </c>
      <c r="AC366" s="569"/>
      <c r="AE366"/>
      <c r="AF366"/>
      <c r="AG366"/>
      <c r="AH366"/>
      <c r="AI366"/>
      <c r="AJ366"/>
      <c r="AK366"/>
      <c r="AL366"/>
    </row>
    <row r="367" spans="1:38" ht="15" hidden="1" customHeight="1">
      <c r="A367" s="23" t="s">
        <v>2239</v>
      </c>
      <c r="B367" s="933" t="str">
        <f>GRAL!B368</f>
        <v>2018-2021</v>
      </c>
      <c r="C367" s="17">
        <f>OBRA!I366</f>
        <v>2019</v>
      </c>
      <c r="D367" s="18" t="str">
        <f>OBRA!K366</f>
        <v>RAMO 33</v>
      </c>
      <c r="E367" s="525"/>
      <c r="F367" s="390"/>
      <c r="G367" s="1"/>
      <c r="H367" s="390"/>
      <c r="I367" s="56" t="str">
        <f>OBRA!U366</f>
        <v>N/A</v>
      </c>
      <c r="J367" s="57" t="str">
        <f>OBRA!V366</f>
        <v>ING. J. GUADALUPE IBARRA RAMIREZ</v>
      </c>
      <c r="K367" s="20"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2">
        <f>OBRA!S366</f>
        <v>43798</v>
      </c>
      <c r="T367" s="55"/>
      <c r="U367" s="415" t="s">
        <v>1431</v>
      </c>
      <c r="V367" s="341"/>
      <c r="W367" s="12"/>
      <c r="X367" s="306">
        <f>OBRA!AP366</f>
        <v>0</v>
      </c>
      <c r="Y367" s="341"/>
      <c r="Z367" s="341"/>
      <c r="AA367" s="5"/>
      <c r="AB367" s="351">
        <f>OBRA!BT366</f>
        <v>0</v>
      </c>
      <c r="AC367" s="569"/>
      <c r="AE367"/>
      <c r="AF367"/>
      <c r="AG367"/>
      <c r="AH367"/>
      <c r="AI367"/>
      <c r="AJ367"/>
      <c r="AK367"/>
      <c r="AL367"/>
    </row>
    <row r="368" spans="1:38" ht="15" hidden="1" customHeight="1">
      <c r="A368" s="23" t="s">
        <v>2239</v>
      </c>
      <c r="B368" s="933" t="str">
        <f>GRAL!B369</f>
        <v>2018-2021</v>
      </c>
      <c r="C368" s="17">
        <f>OBRA!I367</f>
        <v>2019</v>
      </c>
      <c r="D368" s="18" t="str">
        <f>OBRA!K367</f>
        <v>RAMO 33</v>
      </c>
      <c r="E368" s="525"/>
      <c r="F368" s="390"/>
      <c r="G368" s="1"/>
      <c r="H368" s="390"/>
      <c r="I368" s="56" t="str">
        <f>OBRA!U367</f>
        <v>N/A</v>
      </c>
      <c r="J368" s="57" t="str">
        <f>OBRA!V367</f>
        <v>ING. J. GUADALUPE IBARRA RAMIREZ</v>
      </c>
      <c r="K368" s="20"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2">
        <f>OBRA!S367</f>
        <v>43798</v>
      </c>
      <c r="T368" s="55"/>
      <c r="U368" s="415" t="s">
        <v>1431</v>
      </c>
      <c r="V368" s="341"/>
      <c r="W368" s="12"/>
      <c r="X368" s="306">
        <f>OBRA!AP367</f>
        <v>0</v>
      </c>
      <c r="Y368" s="341"/>
      <c r="Z368" s="341"/>
      <c r="AA368" s="5"/>
      <c r="AB368" s="351">
        <f>OBRA!BT367</f>
        <v>0</v>
      </c>
      <c r="AC368" s="569"/>
      <c r="AE368"/>
      <c r="AF368"/>
      <c r="AG368"/>
      <c r="AH368"/>
      <c r="AI368"/>
      <c r="AJ368"/>
      <c r="AK368"/>
      <c r="AL368"/>
    </row>
    <row r="369" spans="1:38" s="110" customFormat="1" ht="15" hidden="1" customHeight="1">
      <c r="A369" s="87" t="s">
        <v>2239</v>
      </c>
      <c r="B369" s="946" t="str">
        <f>GRAL!B370</f>
        <v>2018-2021</v>
      </c>
      <c r="C369" s="88">
        <f>OBRA!I368</f>
        <v>2019</v>
      </c>
      <c r="D369" s="103">
        <f>OBRA!K368</f>
        <v>0</v>
      </c>
      <c r="E369" s="526"/>
      <c r="F369" s="392"/>
      <c r="G369" s="102"/>
      <c r="H369" s="392"/>
      <c r="I369" s="159" t="str">
        <f>OBRA!U368</f>
        <v>-</v>
      </c>
      <c r="J369" s="160">
        <f>OBRA!V368</f>
        <v>0</v>
      </c>
      <c r="K369" s="90" t="str">
        <f>OBRA!L368</f>
        <v>DOP/AD/016/2019</v>
      </c>
      <c r="L369" s="91" t="str">
        <f>OBRA!M368</f>
        <v>CANCELADA</v>
      </c>
      <c r="M369" s="132">
        <f>OBRA!N368</f>
        <v>0</v>
      </c>
      <c r="N369" s="132"/>
      <c r="O369" s="93">
        <f>OBRA!Q368</f>
        <v>0</v>
      </c>
      <c r="P369" s="92">
        <f>OBRA!P368</f>
        <v>0</v>
      </c>
      <c r="Q369" s="92"/>
      <c r="R369" s="94">
        <f>OBRA!R368</f>
        <v>0</v>
      </c>
      <c r="S369" s="95">
        <f>OBRA!S368</f>
        <v>0</v>
      </c>
      <c r="T369" s="97"/>
      <c r="U369" s="785" t="s">
        <v>1431</v>
      </c>
      <c r="V369" s="343"/>
      <c r="W369" s="95"/>
      <c r="X369" s="311">
        <f>OBRA!AP368</f>
        <v>0</v>
      </c>
      <c r="Y369" s="343"/>
      <c r="Z369" s="343"/>
      <c r="AA369" s="94"/>
      <c r="AB369" s="511">
        <f>OBRA!BT368</f>
        <v>0</v>
      </c>
      <c r="AC369" s="570"/>
    </row>
    <row r="370" spans="1:38" ht="15" hidden="1" customHeight="1">
      <c r="A370" s="23" t="s">
        <v>2239</v>
      </c>
      <c r="B370" s="933" t="str">
        <f>GRAL!B371</f>
        <v>2018-2021</v>
      </c>
      <c r="C370" s="17">
        <f>OBRA!I369</f>
        <v>2019</v>
      </c>
      <c r="D370" s="18" t="str">
        <f>OBRA!K369</f>
        <v>P.I.D.</v>
      </c>
      <c r="E370" s="525"/>
      <c r="F370" s="390"/>
      <c r="G370" s="1"/>
      <c r="H370" s="390"/>
      <c r="I370" s="56" t="str">
        <f>OBRA!U369</f>
        <v>N/A</v>
      </c>
      <c r="J370" s="57" t="str">
        <f>OBRA!V369</f>
        <v>ARQ. CESAR ANTONIO ALONSO JIMENEZ</v>
      </c>
      <c r="K370" s="20"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2">
        <f>OBRA!S369</f>
        <v>43814</v>
      </c>
      <c r="T370" s="55"/>
      <c r="U370" s="415" t="s">
        <v>1431</v>
      </c>
      <c r="V370" s="341"/>
      <c r="W370" s="12"/>
      <c r="X370" s="306">
        <f>OBRA!AP369</f>
        <v>0</v>
      </c>
      <c r="Y370" s="341"/>
      <c r="Z370" s="341"/>
      <c r="AA370" s="5"/>
      <c r="AB370" s="351">
        <f>OBRA!BT369</f>
        <v>0</v>
      </c>
      <c r="AC370" s="569"/>
      <c r="AE370"/>
      <c r="AF370"/>
      <c r="AG370"/>
      <c r="AH370"/>
      <c r="AI370"/>
      <c r="AJ370"/>
      <c r="AK370"/>
      <c r="AL370"/>
    </row>
    <row r="371" spans="1:38" ht="15" hidden="1" customHeight="1">
      <c r="A371" s="23" t="s">
        <v>2239</v>
      </c>
      <c r="B371" s="933" t="str">
        <f>GRAL!B372</f>
        <v>2018-2021</v>
      </c>
      <c r="C371" s="17">
        <f>OBRA!I370</f>
        <v>2019</v>
      </c>
      <c r="D371" s="18" t="str">
        <f>OBRA!K370</f>
        <v>RAMO 33</v>
      </c>
      <c r="E371" s="525"/>
      <c r="F371" s="390"/>
      <c r="G371" s="1"/>
      <c r="H371" s="390"/>
      <c r="I371" s="56" t="str">
        <f>OBRA!U370</f>
        <v>N/A</v>
      </c>
      <c r="J371" s="57" t="str">
        <f>OBRA!V370</f>
        <v>ING. J. GUADALUPE IBARRA RAMIREZ</v>
      </c>
      <c r="K371" s="20"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2">
        <f>OBRA!S370</f>
        <v>43814</v>
      </c>
      <c r="T371" s="55"/>
      <c r="U371" s="415" t="s">
        <v>1431</v>
      </c>
      <c r="V371" s="341"/>
      <c r="W371" s="12"/>
      <c r="X371" s="306">
        <f>OBRA!AP370</f>
        <v>0</v>
      </c>
      <c r="Y371" s="341"/>
      <c r="Z371" s="341"/>
      <c r="AA371" s="5"/>
      <c r="AB371" s="351">
        <f>OBRA!BT370</f>
        <v>0</v>
      </c>
      <c r="AC371" s="569"/>
      <c r="AE371"/>
      <c r="AF371"/>
      <c r="AG371"/>
      <c r="AH371"/>
      <c r="AI371"/>
      <c r="AJ371"/>
      <c r="AK371"/>
      <c r="AL371"/>
    </row>
    <row r="372" spans="1:38" s="110" customFormat="1" ht="15" hidden="1" customHeight="1">
      <c r="A372" s="87" t="s">
        <v>2239</v>
      </c>
      <c r="B372" s="946" t="str">
        <f>GRAL!B373</f>
        <v>2018-2021</v>
      </c>
      <c r="C372" s="88">
        <f>OBRA!I371</f>
        <v>2019</v>
      </c>
      <c r="D372" s="103">
        <f>OBRA!K371</f>
        <v>0</v>
      </c>
      <c r="E372" s="526"/>
      <c r="F372" s="392"/>
      <c r="G372" s="102"/>
      <c r="H372" s="392"/>
      <c r="I372" s="159" t="str">
        <f>OBRA!U371</f>
        <v>-</v>
      </c>
      <c r="J372" s="160">
        <f>OBRA!V371</f>
        <v>0</v>
      </c>
      <c r="K372" s="90" t="str">
        <f>OBRA!L371</f>
        <v>DOP/AD/019/2019</v>
      </c>
      <c r="L372" s="91" t="str">
        <f>OBRA!M371</f>
        <v>CANCELADA</v>
      </c>
      <c r="M372" s="132">
        <f>OBRA!N371</f>
        <v>0</v>
      </c>
      <c r="N372" s="132"/>
      <c r="O372" s="93">
        <f>OBRA!Q371</f>
        <v>0</v>
      </c>
      <c r="P372" s="92">
        <f>OBRA!P371</f>
        <v>0</v>
      </c>
      <c r="Q372" s="92"/>
      <c r="R372" s="94">
        <f>OBRA!R371</f>
        <v>0</v>
      </c>
      <c r="S372" s="95">
        <f>OBRA!S371</f>
        <v>0</v>
      </c>
      <c r="T372" s="97"/>
      <c r="U372" s="785" t="s">
        <v>1431</v>
      </c>
      <c r="V372" s="343"/>
      <c r="W372" s="95"/>
      <c r="X372" s="311">
        <f>OBRA!AP371</f>
        <v>0</v>
      </c>
      <c r="Y372" s="343"/>
      <c r="Z372" s="343"/>
      <c r="AA372" s="94"/>
      <c r="AB372" s="511">
        <f>OBRA!BT371</f>
        <v>0</v>
      </c>
      <c r="AC372" s="570"/>
    </row>
    <row r="373" spans="1:38" ht="15" hidden="1" customHeight="1">
      <c r="A373" s="23" t="s">
        <v>2239</v>
      </c>
      <c r="B373" s="933" t="str">
        <f>GRAL!B374</f>
        <v>2018-2021</v>
      </c>
      <c r="C373" s="17">
        <f>OBRA!I372</f>
        <v>2019</v>
      </c>
      <c r="D373" s="18" t="str">
        <f>OBRA!K372</f>
        <v>RAMO 33</v>
      </c>
      <c r="E373" s="525"/>
      <c r="F373" s="390"/>
      <c r="G373" s="1"/>
      <c r="H373" s="390"/>
      <c r="I373" s="56" t="str">
        <f>OBRA!U372</f>
        <v>N/A</v>
      </c>
      <c r="J373" s="57" t="str">
        <f>OBRA!V372</f>
        <v>ING. JUAN MANUEL GARCIA ESCOTO</v>
      </c>
      <c r="K373" s="20"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2">
        <f>OBRA!S372</f>
        <v>43814</v>
      </c>
      <c r="T373" s="55"/>
      <c r="U373" s="415" t="s">
        <v>1431</v>
      </c>
      <c r="V373" s="341"/>
      <c r="W373" s="12"/>
      <c r="X373" s="306">
        <f>OBRA!AP372</f>
        <v>0</v>
      </c>
      <c r="Y373" s="341"/>
      <c r="Z373" s="341"/>
      <c r="AA373" s="5"/>
      <c r="AB373" s="351">
        <f>OBRA!BT372</f>
        <v>0</v>
      </c>
      <c r="AC373" s="569"/>
      <c r="AE373"/>
      <c r="AF373"/>
      <c r="AG373"/>
      <c r="AH373"/>
      <c r="AI373"/>
      <c r="AJ373"/>
      <c r="AK373"/>
      <c r="AL373"/>
    </row>
    <row r="374" spans="1:38" ht="15" hidden="1" customHeight="1">
      <c r="A374" s="23" t="s">
        <v>2239</v>
      </c>
      <c r="B374" s="933" t="str">
        <f>GRAL!B375</f>
        <v>2018-2021</v>
      </c>
      <c r="C374" s="17">
        <f>OBRA!I373</f>
        <v>2019</v>
      </c>
      <c r="D374" s="18" t="str">
        <f>OBRA!K373</f>
        <v>P.I.D.</v>
      </c>
      <c r="E374" s="525"/>
      <c r="F374" s="390"/>
      <c r="G374" s="1"/>
      <c r="H374" s="390"/>
      <c r="I374" s="56" t="str">
        <f>OBRA!U373</f>
        <v>N/A</v>
      </c>
      <c r="J374" s="57">
        <f>OBRA!V373</f>
        <v>0</v>
      </c>
      <c r="K374" s="20"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2">
        <f>OBRA!S373</f>
        <v>0</v>
      </c>
      <c r="T374" s="55"/>
      <c r="U374" s="415" t="s">
        <v>1431</v>
      </c>
      <c r="V374" s="341"/>
      <c r="W374" s="12"/>
      <c r="X374" s="306">
        <f>OBRA!AP373</f>
        <v>0</v>
      </c>
      <c r="Y374" s="341"/>
      <c r="Z374" s="341"/>
      <c r="AA374" s="5"/>
      <c r="AB374" s="351">
        <f>OBRA!BT373</f>
        <v>0</v>
      </c>
      <c r="AC374" s="569"/>
      <c r="AE374"/>
      <c r="AF374"/>
      <c r="AG374"/>
      <c r="AH374"/>
      <c r="AI374"/>
      <c r="AJ374"/>
      <c r="AK374"/>
      <c r="AL374"/>
    </row>
    <row r="375" spans="1:38" ht="15" hidden="1" customHeight="1">
      <c r="A375" s="23" t="s">
        <v>2239</v>
      </c>
      <c r="B375" s="933" t="str">
        <f>GRAL!B376</f>
        <v>2018-2021</v>
      </c>
      <c r="C375" s="17">
        <f>OBRA!I374</f>
        <v>2019</v>
      </c>
      <c r="D375" s="18" t="str">
        <f>OBRA!K374</f>
        <v>RAMO 33</v>
      </c>
      <c r="E375" s="525"/>
      <c r="F375" s="390"/>
      <c r="G375" s="1"/>
      <c r="H375" s="390"/>
      <c r="I375" s="56" t="str">
        <f>OBRA!U374</f>
        <v>N/A</v>
      </c>
      <c r="J375" s="57" t="str">
        <f>OBRA!V374</f>
        <v>ING. J. GUADALUPE IBARRA RAMIREZ</v>
      </c>
      <c r="K375" s="20"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2">
        <f>OBRA!S374</f>
        <v>43830</v>
      </c>
      <c r="T375" s="55"/>
      <c r="U375" s="415" t="s">
        <v>1431</v>
      </c>
      <c r="V375" s="341"/>
      <c r="W375" s="12"/>
      <c r="X375" s="306">
        <f>OBRA!AP374</f>
        <v>0</v>
      </c>
      <c r="Y375" s="341"/>
      <c r="Z375" s="341"/>
      <c r="AA375" s="5"/>
      <c r="AB375" s="351">
        <f>OBRA!BT374</f>
        <v>0</v>
      </c>
      <c r="AC375" s="569"/>
      <c r="AE375"/>
      <c r="AF375"/>
      <c r="AG375"/>
      <c r="AH375"/>
      <c r="AI375"/>
      <c r="AJ375"/>
      <c r="AK375"/>
      <c r="AL375"/>
    </row>
    <row r="376" spans="1:38" ht="15" hidden="1" customHeight="1">
      <c r="A376" s="23" t="s">
        <v>2239</v>
      </c>
      <c r="B376" s="933" t="str">
        <f>GRAL!B377</f>
        <v>2018-2021</v>
      </c>
      <c r="C376" s="17">
        <f>OBRA!I375</f>
        <v>2019</v>
      </c>
      <c r="D376" s="18">
        <f>OBRA!K375</f>
        <v>0</v>
      </c>
      <c r="E376" s="525"/>
      <c r="F376" s="390"/>
      <c r="G376" s="1"/>
      <c r="H376" s="390"/>
      <c r="I376" s="56" t="str">
        <f>OBRA!U375</f>
        <v>N/A</v>
      </c>
      <c r="J376" s="57">
        <f>OBRA!V375</f>
        <v>0</v>
      </c>
      <c r="K376" s="20" t="str">
        <f>OBRA!L375</f>
        <v>DOP/AD/023/2019</v>
      </c>
      <c r="L376" s="2" t="str">
        <f>OBRA!M375</f>
        <v>CANCELADA</v>
      </c>
      <c r="M376" s="3">
        <f>OBRA!N375</f>
        <v>0</v>
      </c>
      <c r="N376" s="3"/>
      <c r="O376" s="6">
        <f>OBRA!Q375</f>
        <v>0</v>
      </c>
      <c r="P376" s="4">
        <f>OBRA!P375</f>
        <v>0</v>
      </c>
      <c r="Q376" s="4"/>
      <c r="R376" s="5">
        <f>OBRA!R375</f>
        <v>0</v>
      </c>
      <c r="S376" s="12">
        <f>OBRA!S375</f>
        <v>0</v>
      </c>
      <c r="T376" s="55"/>
      <c r="U376" s="415" t="s">
        <v>1431</v>
      </c>
      <c r="V376" s="341"/>
      <c r="W376" s="12"/>
      <c r="X376" s="306">
        <f>OBRA!AP375</f>
        <v>0</v>
      </c>
      <c r="Y376" s="341"/>
      <c r="Z376" s="341"/>
      <c r="AA376" s="5"/>
      <c r="AB376" s="351">
        <f>OBRA!BT375</f>
        <v>0</v>
      </c>
      <c r="AC376" s="569"/>
      <c r="AE376"/>
      <c r="AF376"/>
      <c r="AG376"/>
      <c r="AH376"/>
      <c r="AI376"/>
      <c r="AJ376"/>
      <c r="AK376"/>
      <c r="AL376"/>
    </row>
    <row r="377" spans="1:38" ht="15" hidden="1" customHeight="1">
      <c r="A377" s="23" t="s">
        <v>2239</v>
      </c>
      <c r="B377" s="933" t="str">
        <f>GRAL!B378</f>
        <v>2018-2021</v>
      </c>
      <c r="C377" s="17">
        <f>OBRA!I376</f>
        <v>2019</v>
      </c>
      <c r="D377" s="18" t="str">
        <f>OBRA!K376</f>
        <v>RAMO 33</v>
      </c>
      <c r="E377" s="525"/>
      <c r="F377" s="390"/>
      <c r="G377" s="1"/>
      <c r="H377" s="390"/>
      <c r="I377" s="56" t="str">
        <f>OBRA!U376</f>
        <v>N/A</v>
      </c>
      <c r="J377" s="57" t="str">
        <f>OBRA!V376</f>
        <v>LIC. SALVADOR CONTRERAS OLGUÍN</v>
      </c>
      <c r="K377" s="20"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2">
        <f>OBRA!S376</f>
        <v>43830</v>
      </c>
      <c r="T377" s="55"/>
      <c r="U377" s="415" t="s">
        <v>1431</v>
      </c>
      <c r="V377" s="341"/>
      <c r="W377" s="12"/>
      <c r="X377" s="306">
        <f>OBRA!AP376</f>
        <v>0</v>
      </c>
      <c r="Y377" s="341"/>
      <c r="Z377" s="341"/>
      <c r="AA377" s="5"/>
      <c r="AB377" s="351">
        <f>OBRA!BT376</f>
        <v>0</v>
      </c>
      <c r="AC377" s="569"/>
      <c r="AE377"/>
      <c r="AF377"/>
      <c r="AG377"/>
      <c r="AH377"/>
      <c r="AI377"/>
      <c r="AJ377"/>
      <c r="AK377"/>
      <c r="AL377"/>
    </row>
    <row r="378" spans="1:38" ht="15" hidden="1" customHeight="1">
      <c r="A378" s="23" t="s">
        <v>2239</v>
      </c>
      <c r="B378" s="933" t="str">
        <f>GRAL!B379</f>
        <v>2018-2021</v>
      </c>
      <c r="C378" s="17">
        <f>OBRA!I377</f>
        <v>2019</v>
      </c>
      <c r="D378" s="18">
        <f>OBRA!K377</f>
        <v>0</v>
      </c>
      <c r="E378" s="525"/>
      <c r="F378" s="390"/>
      <c r="G378" s="1"/>
      <c r="H378" s="390"/>
      <c r="I378" s="56" t="str">
        <f>OBRA!U377</f>
        <v>-</v>
      </c>
      <c r="J378" s="57">
        <f>OBRA!V377</f>
        <v>0</v>
      </c>
      <c r="K378" s="20" t="str">
        <f>OBRA!L377</f>
        <v>DOP/AD/025/2019</v>
      </c>
      <c r="L378" s="2" t="str">
        <f>OBRA!M377</f>
        <v>CANCELADA</v>
      </c>
      <c r="M378" s="3">
        <f>OBRA!N377</f>
        <v>0</v>
      </c>
      <c r="N378" s="3"/>
      <c r="O378" s="6">
        <f>OBRA!Q377</f>
        <v>0</v>
      </c>
      <c r="P378" s="4">
        <f>OBRA!P377</f>
        <v>0</v>
      </c>
      <c r="Q378" s="4"/>
      <c r="R378" s="5">
        <f>OBRA!R377</f>
        <v>0</v>
      </c>
      <c r="S378" s="12">
        <f>OBRA!S377</f>
        <v>0</v>
      </c>
      <c r="T378" s="55"/>
      <c r="U378" s="415" t="s">
        <v>1431</v>
      </c>
      <c r="V378" s="341"/>
      <c r="W378" s="12"/>
      <c r="X378" s="306">
        <f>OBRA!AP377</f>
        <v>0</v>
      </c>
      <c r="Y378" s="341"/>
      <c r="Z378" s="341"/>
      <c r="AA378" s="5"/>
      <c r="AB378" s="351">
        <f>OBRA!BT377</f>
        <v>0</v>
      </c>
      <c r="AC378" s="569"/>
      <c r="AE378"/>
      <c r="AF378"/>
      <c r="AG378"/>
      <c r="AH378"/>
      <c r="AI378"/>
      <c r="AJ378"/>
      <c r="AK378"/>
      <c r="AL378"/>
    </row>
    <row r="379" spans="1:38" ht="107.25" hidden="1" customHeight="1">
      <c r="A379" s="23" t="s">
        <v>45</v>
      </c>
      <c r="B379" s="933" t="str">
        <f>GRAL!B380</f>
        <v>2018-2021</v>
      </c>
      <c r="C379" s="17">
        <f>OBRA!I378</f>
        <v>2019</v>
      </c>
      <c r="D379" s="19" t="str">
        <f>OBRA!K378</f>
        <v>RASTRO DIGNO / CTA-CTE</v>
      </c>
      <c r="E379" s="1374"/>
      <c r="F379" s="1300"/>
      <c r="G379" s="239"/>
      <c r="H379" s="1300"/>
      <c r="I379" s="56" t="str">
        <f>OBRA!U378</f>
        <v>BIOESTERES DE MÉXICO S.A. DE C.V.</v>
      </c>
      <c r="J379" s="57" t="str">
        <f>OBRA!V378</f>
        <v>ARQ. JAIME CONDE GOMEZ</v>
      </c>
      <c r="K379" s="35" t="str">
        <f>OBRA!L378</f>
        <v>RASTRO DIGNO 2019</v>
      </c>
      <c r="L379" s="2" t="str">
        <f>OBRA!M378</f>
        <v>ADQUISICIÓN</v>
      </c>
      <c r="M379" s="3" t="str">
        <f>OBRA!N378</f>
        <v>ADQUISICIÓN DE: "UN REACTOR ANAEROBIO UASB-IC, PARA EL SISTEMA DE AGUAS RESIDUALES DEL RASTRO MUNICIPAL" DE LA CABECERA MUNICIPAL DE JOCOTEPEC, JALISCO.</v>
      </c>
      <c r="N379" s="554" t="s">
        <v>3534</v>
      </c>
      <c r="O379" s="6">
        <f>OBRA!Q378</f>
        <v>43776</v>
      </c>
      <c r="P379" s="4">
        <f>OBRA!P378</f>
        <v>1688681.79</v>
      </c>
      <c r="Q379" s="4"/>
      <c r="R379" s="5">
        <f>OBRA!R378</f>
        <v>43783</v>
      </c>
      <c r="S379" s="12">
        <f>OBRA!S378</f>
        <v>43814</v>
      </c>
      <c r="T379" s="227" t="s">
        <v>3859</v>
      </c>
      <c r="U379" s="415" t="s">
        <v>1431</v>
      </c>
      <c r="V379" s="341" t="s">
        <v>1431</v>
      </c>
      <c r="W379" s="12" t="s">
        <v>1431</v>
      </c>
      <c r="X379" s="1409">
        <f>OBRA!AP378</f>
        <v>0</v>
      </c>
      <c r="Y379" s="341"/>
      <c r="Z379" s="341"/>
      <c r="AA379" s="5"/>
      <c r="AB379" s="351">
        <f>OBRA!BT378</f>
        <v>0</v>
      </c>
      <c r="AC379" s="569"/>
      <c r="AE379"/>
      <c r="AF379"/>
      <c r="AG379"/>
      <c r="AH379"/>
      <c r="AI379"/>
      <c r="AJ379"/>
      <c r="AK379"/>
      <c r="AL379"/>
    </row>
    <row r="380" spans="1:38" ht="75" hidden="1" customHeight="1">
      <c r="A380" s="23" t="s">
        <v>45</v>
      </c>
      <c r="B380" s="933" t="str">
        <f>GRAL!B381</f>
        <v>2018-2021</v>
      </c>
      <c r="C380" s="17">
        <f>OBRA!I379</f>
        <v>2019</v>
      </c>
      <c r="D380" s="18" t="str">
        <f>OBRA!K379</f>
        <v>P.I.D.</v>
      </c>
      <c r="E380" s="1374"/>
      <c r="F380" s="1300"/>
      <c r="G380" s="239"/>
      <c r="H380" s="1300"/>
      <c r="I380" s="56" t="str">
        <f>OBRA!U379</f>
        <v>C. JESÚS RAMÍREZ JIMÉNEZ</v>
      </c>
      <c r="J380" s="57" t="str">
        <f>OBRA!V379</f>
        <v>LIC. SALVADOR CONTRERAS OLGUÍN</v>
      </c>
      <c r="K380" s="35" t="str">
        <f>OBRA!L379</f>
        <v>PID/2019 - NEXTIPAC</v>
      </c>
      <c r="L380" s="2" t="str">
        <f>OBRA!M379</f>
        <v>ADQUISICIÓN</v>
      </c>
      <c r="M380" s="3" t="str">
        <f>OBRA!N379</f>
        <v>ADQUISICIÓN DE: UN MUELLE FLOTANTE Y ESTACIÓN DE RECICLADO, PARA LA LOCALIDAD DE NEXTIPAC.</v>
      </c>
      <c r="N380" s="554" t="s">
        <v>3534</v>
      </c>
      <c r="O380" s="6">
        <f>OBRA!Q379</f>
        <v>43759</v>
      </c>
      <c r="P380" s="4">
        <f>OBRA!P379</f>
        <v>256520.08</v>
      </c>
      <c r="Q380" s="4"/>
      <c r="R380" s="5" t="str">
        <f>OBRA!R379</f>
        <v>-</v>
      </c>
      <c r="S380" s="12" t="str">
        <f>OBRA!S379</f>
        <v>-</v>
      </c>
      <c r="T380" s="1601" t="s">
        <v>3860</v>
      </c>
      <c r="U380" s="415" t="s">
        <v>1431</v>
      </c>
      <c r="V380" s="341" t="s">
        <v>1431</v>
      </c>
      <c r="W380" s="12" t="s">
        <v>1431</v>
      </c>
      <c r="X380" s="1409">
        <f>OBRA!AP379</f>
        <v>0</v>
      </c>
      <c r="Y380" s="341"/>
      <c r="Z380" s="341"/>
      <c r="AA380" s="5"/>
      <c r="AB380" s="351">
        <f>OBRA!BT379</f>
        <v>0</v>
      </c>
      <c r="AC380" s="569"/>
      <c r="AE380"/>
      <c r="AF380"/>
      <c r="AG380"/>
      <c r="AH380"/>
      <c r="AI380"/>
      <c r="AJ380"/>
      <c r="AK380"/>
      <c r="AL380"/>
    </row>
    <row r="381" spans="1:38" ht="84.75" hidden="1" customHeight="1">
      <c r="A381" s="23" t="s">
        <v>45</v>
      </c>
      <c r="B381" s="933" t="str">
        <f>GRAL!B382</f>
        <v>2018-2021</v>
      </c>
      <c r="C381" s="17">
        <f>OBRA!I380</f>
        <v>2019</v>
      </c>
      <c r="D381" s="18" t="str">
        <f>OBRA!K380</f>
        <v>P.I.D.</v>
      </c>
      <c r="E381" s="1374"/>
      <c r="F381" s="1300"/>
      <c r="G381" s="239"/>
      <c r="H381" s="1300"/>
      <c r="I381" s="56" t="str">
        <f>OBRA!U380</f>
        <v>C. JESÚS RAMÍREZ JIMÉNEZ</v>
      </c>
      <c r="J381" s="57" t="str">
        <f>OBRA!V380</f>
        <v>ARQ. CESAR ANTONIO ALONSO JIMENEZ</v>
      </c>
      <c r="K381" s="20" t="str">
        <f>OBRA!L380</f>
        <v>PID/2019 - SJC</v>
      </c>
      <c r="L381" s="2" t="str">
        <f>OBRA!M380</f>
        <v>ADQUISICIÓN</v>
      </c>
      <c r="M381" s="3" t="str">
        <f>OBRA!N380</f>
        <v>ADQUISICIÓN DE: UN MUELLE FLOTANTE Y ESTACIÓN DE RECICLADO, PARA LA LOCALIDAD DE SAN JUAN CÓSALA.</v>
      </c>
      <c r="N381" s="554" t="s">
        <v>3534</v>
      </c>
      <c r="O381" s="6">
        <f>OBRA!Q380</f>
        <v>43759</v>
      </c>
      <c r="P381" s="4">
        <f>OBRA!P380</f>
        <v>256520.08</v>
      </c>
      <c r="Q381" s="4"/>
      <c r="R381" s="5" t="str">
        <f>OBRA!R380</f>
        <v>-</v>
      </c>
      <c r="S381" s="12" t="str">
        <f>OBRA!S380</f>
        <v>-</v>
      </c>
      <c r="T381" s="1601" t="s">
        <v>3860</v>
      </c>
      <c r="U381" s="415" t="s">
        <v>1431</v>
      </c>
      <c r="V381" s="341" t="s">
        <v>1431</v>
      </c>
      <c r="W381" s="12" t="s">
        <v>1431</v>
      </c>
      <c r="X381" s="1409">
        <f>OBRA!AP380</f>
        <v>0</v>
      </c>
      <c r="Y381" s="341"/>
      <c r="Z381" s="341"/>
      <c r="AA381" s="5"/>
      <c r="AB381" s="351">
        <f>OBRA!BT380</f>
        <v>0</v>
      </c>
      <c r="AC381" s="569"/>
      <c r="AE381"/>
      <c r="AF381"/>
      <c r="AG381"/>
      <c r="AH381"/>
      <c r="AI381"/>
      <c r="AJ381"/>
      <c r="AK381"/>
      <c r="AL381"/>
    </row>
    <row r="382" spans="1:38" ht="87" hidden="1" customHeight="1">
      <c r="A382" s="23" t="s">
        <v>45</v>
      </c>
      <c r="B382" s="933" t="str">
        <f>GRAL!B383</f>
        <v>2018-2021</v>
      </c>
      <c r="C382" s="17">
        <f>OBRA!I381</f>
        <v>2019</v>
      </c>
      <c r="D382" s="18" t="str">
        <f>OBRA!K381</f>
        <v>CUENTA CORRIENTE</v>
      </c>
      <c r="E382" s="525" t="s">
        <v>1431</v>
      </c>
      <c r="F382" s="1300"/>
      <c r="G382" s="239"/>
      <c r="H382" s="1300"/>
      <c r="I382" s="56" t="str">
        <f>OBRA!U381</f>
        <v>C. VICENTE NAVARRO RUIZ</v>
      </c>
      <c r="J382" s="57" t="str">
        <f>OBRA!V381</f>
        <v>-</v>
      </c>
      <c r="K382" s="20" t="str">
        <f>OBRA!L381</f>
        <v>CTA-CTE/2019</v>
      </c>
      <c r="L382" s="2" t="str">
        <f>OBRA!M381</f>
        <v>ARRENDAMIENTO</v>
      </c>
      <c r="M382" s="3" t="str">
        <f>OBRA!N381</f>
        <v>ARRENTAMIENTO DEL: INMUEBLE UBICADO EN CALLE HIDALGO Nº 12, EN LA LOCALIDAD DEL MOLINO, PERTENECIENTE AL MUNICIPIO DE JOCOTEPEC, JALISCO.</v>
      </c>
      <c r="N382" s="597"/>
      <c r="O382" s="6">
        <f>OBRA!Q381</f>
        <v>43699</v>
      </c>
      <c r="P382" s="4">
        <f>OBRA!P381</f>
        <v>4800</v>
      </c>
      <c r="Q382" s="4"/>
      <c r="R382" s="5">
        <f>OBRA!R381</f>
        <v>43699</v>
      </c>
      <c r="S382" s="12">
        <f>OBRA!S381</f>
        <v>43821</v>
      </c>
      <c r="T382" s="227" t="s">
        <v>3859</v>
      </c>
      <c r="U382" s="415" t="s">
        <v>1431</v>
      </c>
      <c r="V382" s="341" t="s">
        <v>1431</v>
      </c>
      <c r="W382" s="12" t="s">
        <v>1431</v>
      </c>
      <c r="X382" s="1409">
        <f>OBRA!AP381</f>
        <v>0</v>
      </c>
      <c r="Y382" s="341"/>
      <c r="Z382" s="341"/>
      <c r="AA382" s="5"/>
      <c r="AB382" s="351">
        <f>OBRA!BT381</f>
        <v>0</v>
      </c>
      <c r="AC382" s="569"/>
      <c r="AE382"/>
      <c r="AF382"/>
      <c r="AG382"/>
      <c r="AH382"/>
      <c r="AI382"/>
      <c r="AJ382"/>
      <c r="AK382"/>
      <c r="AL382"/>
    </row>
    <row r="383" spans="1:38" ht="96" hidden="1" customHeight="1">
      <c r="A383" s="23" t="s">
        <v>45</v>
      </c>
      <c r="B383" s="933" t="str">
        <f>GRAL!B384</f>
        <v>2018-2021</v>
      </c>
      <c r="C383" s="17">
        <f>OBRA!I382</f>
        <v>2019</v>
      </c>
      <c r="D383" s="18" t="str">
        <f>OBRA!K382</f>
        <v>RAMO 33</v>
      </c>
      <c r="E383" s="525" t="s">
        <v>1431</v>
      </c>
      <c r="F383" s="1541" t="s">
        <v>1431</v>
      </c>
      <c r="G383" s="239"/>
      <c r="H383" s="1541" t="s">
        <v>1431</v>
      </c>
      <c r="I383" s="56" t="str">
        <f>OBRA!U382</f>
        <v>CONSTRUCTORA PIMONT S.A. DE C.V.</v>
      </c>
      <c r="J383" s="57" t="str">
        <f>OBRA!V382</f>
        <v>-</v>
      </c>
      <c r="K383" s="35"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510" t="s">
        <v>3769</v>
      </c>
      <c r="O383" s="6">
        <f>OBRA!Q382</f>
        <v>43637</v>
      </c>
      <c r="P383" s="4">
        <f>OBRA!P382</f>
        <v>250096</v>
      </c>
      <c r="Q383" s="4"/>
      <c r="R383" s="5">
        <f>OBRA!R382</f>
        <v>43640</v>
      </c>
      <c r="S383" s="12">
        <f>OBRA!S382</f>
        <v>43830</v>
      </c>
      <c r="T383" s="1601" t="s">
        <v>3860</v>
      </c>
      <c r="U383" s="415" t="s">
        <v>1431</v>
      </c>
      <c r="V383" s="344" t="s">
        <v>1431</v>
      </c>
      <c r="W383" s="12" t="s">
        <v>1431</v>
      </c>
      <c r="X383" s="1409">
        <f>OBRA!AP382</f>
        <v>0</v>
      </c>
      <c r="Y383" s="341"/>
      <c r="Z383" s="341"/>
      <c r="AA383" s="5"/>
      <c r="AB383" s="351">
        <f>OBRA!BT382</f>
        <v>0</v>
      </c>
      <c r="AC383" s="569"/>
      <c r="AE383"/>
      <c r="AF383"/>
      <c r="AG383"/>
      <c r="AH383"/>
      <c r="AI383"/>
      <c r="AJ383"/>
      <c r="AK383"/>
      <c r="AL383"/>
    </row>
    <row r="384" spans="1:38" ht="186.75" hidden="1" customHeight="1">
      <c r="A384" s="23" t="s">
        <v>2239</v>
      </c>
      <c r="B384" s="933" t="str">
        <f>GRAL!B385</f>
        <v>2018-2021</v>
      </c>
      <c r="C384" s="17">
        <f>OBRA!I383</f>
        <v>2019</v>
      </c>
      <c r="D384" s="18" t="str">
        <f>OBRA!K383</f>
        <v>RAMO 33</v>
      </c>
      <c r="E384" s="525" t="s">
        <v>1431</v>
      </c>
      <c r="F384" s="996"/>
      <c r="G384" s="1012"/>
      <c r="H384" s="1440"/>
      <c r="I384" s="56" t="str">
        <f>OBRA!U383</f>
        <v>CONSTRUCTORA PIMONT S.A. DE C.V.</v>
      </c>
      <c r="J384" s="57" t="str">
        <f>OBRA!V383</f>
        <v>ING. J. GUADALUPE IBARRA RAMIREZ</v>
      </c>
      <c r="K384" s="35"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3535</v>
      </c>
      <c r="O384" s="6">
        <f>OBRA!Q383</f>
        <v>43529</v>
      </c>
      <c r="P384" s="4">
        <f>OBRA!P383</f>
        <v>731445.69</v>
      </c>
      <c r="Q384" s="4"/>
      <c r="R384" s="5">
        <f>OBRA!R383</f>
        <v>43530</v>
      </c>
      <c r="S384" s="12">
        <f>OBRA!S383</f>
        <v>43616</v>
      </c>
      <c r="T384" s="55"/>
      <c r="U384" s="415" t="s">
        <v>1431</v>
      </c>
      <c r="V384" s="996"/>
      <c r="W384" s="1440"/>
      <c r="X384" s="1153">
        <f>OBRA!AP383</f>
        <v>146289.12</v>
      </c>
      <c r="Y384" s="341"/>
      <c r="Z384" s="341"/>
      <c r="AA384" s="5"/>
      <c r="AB384" s="351">
        <f>OBRA!BT383</f>
        <v>0</v>
      </c>
      <c r="AC384" s="569" t="s">
        <v>551</v>
      </c>
      <c r="AE384"/>
      <c r="AF384"/>
      <c r="AG384"/>
      <c r="AH384"/>
      <c r="AI384"/>
      <c r="AJ384"/>
      <c r="AK384"/>
      <c r="AL384"/>
    </row>
    <row r="385" spans="1:38" ht="98.25" hidden="1" customHeight="1">
      <c r="A385" s="23" t="s">
        <v>2239</v>
      </c>
      <c r="B385" s="933" t="str">
        <f>GRAL!B386</f>
        <v>2018-2021</v>
      </c>
      <c r="C385" s="17">
        <f>OBRA!I384</f>
        <v>2019</v>
      </c>
      <c r="D385" s="18" t="str">
        <f>OBRA!K384</f>
        <v>CUENTA CORRIENTE</v>
      </c>
      <c r="E385" s="525" t="s">
        <v>1431</v>
      </c>
      <c r="F385" s="996"/>
      <c r="G385" s="1012"/>
      <c r="H385" s="1440"/>
      <c r="I385" s="56" t="str">
        <f>OBRA!U384</f>
        <v>CONSTRUCTORA PIMONT S.A. DE C.V.</v>
      </c>
      <c r="J385" s="57" t="str">
        <f>OBRA!V384</f>
        <v>LIC. SALVADOR CONTRERAS OLGUÍN</v>
      </c>
      <c r="K385" s="35" t="str">
        <f>OBRA!L384</f>
        <v>GMJ 002 C-OP/2019</v>
      </c>
      <c r="L385" s="2" t="str">
        <f>OBRA!M384</f>
        <v>ADJUDICACIÓN DIRECTA</v>
      </c>
      <c r="M385" s="3" t="str">
        <f>OBRA!N384</f>
        <v>"CONSERVACIÓN Y MANTENIMIENTO INCLUYENTE DE BANQUETA Y ACCESO A HOSPITAL DE URGENCIAS EN LA CABECERA MUNICIPAL DE JOCOTEPEC, JALISCO"</v>
      </c>
      <c r="N385" s="510" t="s">
        <v>3535</v>
      </c>
      <c r="O385" s="6">
        <f>OBRA!Q384</f>
        <v>43592</v>
      </c>
      <c r="P385" s="4">
        <f>OBRA!P384</f>
        <v>140710.85999999999</v>
      </c>
      <c r="Q385" s="4"/>
      <c r="R385" s="5">
        <f>OBRA!R384</f>
        <v>43593</v>
      </c>
      <c r="S385" s="12">
        <f>OBRA!S384</f>
        <v>43624</v>
      </c>
      <c r="T385" s="55"/>
      <c r="U385" s="415" t="s">
        <v>1431</v>
      </c>
      <c r="V385" s="996"/>
      <c r="W385" s="1440"/>
      <c r="X385" s="1153">
        <f>OBRA!AP384</f>
        <v>118142.16</v>
      </c>
      <c r="Y385" s="341"/>
      <c r="Z385" s="341"/>
      <c r="AA385" s="5"/>
      <c r="AB385" s="351">
        <f>OBRA!BT384</f>
        <v>0</v>
      </c>
      <c r="AC385" s="569" t="s">
        <v>551</v>
      </c>
      <c r="AE385"/>
      <c r="AF385"/>
      <c r="AG385"/>
      <c r="AH385"/>
      <c r="AI385"/>
      <c r="AJ385"/>
      <c r="AK385"/>
      <c r="AL385"/>
    </row>
    <row r="386" spans="1:38" s="197" customFormat="1" ht="99.95" hidden="1" customHeight="1">
      <c r="A386" s="335" t="s">
        <v>2239</v>
      </c>
      <c r="B386" s="1056" t="str">
        <f>GRAL!B387</f>
        <v>2018-2021</v>
      </c>
      <c r="C386" s="327">
        <f>OBRA!I385</f>
        <v>2019</v>
      </c>
      <c r="D386" s="532" t="str">
        <f>OBRA!K385</f>
        <v>RAMO 33</v>
      </c>
      <c r="E386" s="695" t="s">
        <v>1431</v>
      </c>
      <c r="F386" s="996"/>
      <c r="G386" s="1012"/>
      <c r="H386" s="1440"/>
      <c r="I386" s="339" t="str">
        <f>OBRA!U385</f>
        <v>ARQUITECTURA INGENIERÍA MENDPAD S.A. DE C.V.</v>
      </c>
      <c r="J386" s="172" t="str">
        <f>OBRA!V385</f>
        <v>LIC. SALVADOR CONTRERAS OLGUÍN</v>
      </c>
      <c r="K386" s="180" t="str">
        <f>OBRA!L385</f>
        <v>GMJ 003 C-OP/2019</v>
      </c>
      <c r="L386" s="202" t="str">
        <f>OBRA!M385</f>
        <v>CANCELADA</v>
      </c>
      <c r="M386" s="328" t="str">
        <f>OBRA!N385</f>
        <v>"REHABILITACIÓN DE LÍNEAS HIDROSANITARIAS EN LA CALLE PRIVADA MORELOS DELEGACIÓN DE SAN JUAN COSALA MUNICIPIO DE JOCOTEPEC, JALISCO".</v>
      </c>
      <c r="N386" s="510" t="s">
        <v>3535</v>
      </c>
      <c r="O386" s="69">
        <f>OBRA!Q385</f>
        <v>43609</v>
      </c>
      <c r="P386" s="85">
        <f>OBRA!P385</f>
        <v>400650.13</v>
      </c>
      <c r="Q386" s="85"/>
      <c r="R386" s="255">
        <f>OBRA!R385</f>
        <v>43612</v>
      </c>
      <c r="S386" s="245">
        <f>OBRA!S385</f>
        <v>43629</v>
      </c>
      <c r="T386" s="758"/>
      <c r="U386" s="216" t="s">
        <v>1431</v>
      </c>
      <c r="V386" s="996"/>
      <c r="W386" s="1440"/>
      <c r="X386" s="1154">
        <f>OBRA!AP385</f>
        <v>80130.02</v>
      </c>
      <c r="Y386" s="344"/>
      <c r="Z386" s="344"/>
      <c r="AA386" s="255"/>
      <c r="AB386" s="1057">
        <f>OBRA!BT385</f>
        <v>0</v>
      </c>
      <c r="AC386" s="1058" t="s">
        <v>551</v>
      </c>
    </row>
    <row r="387" spans="1:38" ht="99.95" hidden="1" customHeight="1">
      <c r="A387" s="23" t="s">
        <v>2239</v>
      </c>
      <c r="B387" s="933" t="str">
        <f>GRAL!B388</f>
        <v>2018-2021</v>
      </c>
      <c r="C387" s="17">
        <f>OBRA!I386</f>
        <v>2019</v>
      </c>
      <c r="D387" s="18" t="str">
        <f>OBRA!K386</f>
        <v>RAMO 33</v>
      </c>
      <c r="E387" s="525" t="s">
        <v>1431</v>
      </c>
      <c r="F387" s="996"/>
      <c r="G387" s="1012"/>
      <c r="H387" s="1440"/>
      <c r="I387" s="56" t="str">
        <f>OBRA!U386</f>
        <v>CONSTRUCTORA PIMONT S.A. DE C.V.</v>
      </c>
      <c r="J387" s="57" t="str">
        <f>OBRA!V386</f>
        <v>LIC. SALVADOR CONTRERAS OLGUÍN</v>
      </c>
      <c r="K387" s="35" t="str">
        <f>OBRA!L386</f>
        <v>GMJ 004 C-OP/2019</v>
      </c>
      <c r="L387" s="2" t="str">
        <f>OBRA!M386</f>
        <v>ADJUDICACIÓN DIRECTA</v>
      </c>
      <c r="M387" s="3" t="str">
        <f>OBRA!N386</f>
        <v>"CONSTRUCCIÓN DE BANQUETAS EN CALLE CUAUHTÉMOC, DELEGACIÓN DEL CHANTE, MUNICIPIO DE JOCOTEPEC, JALISCO</v>
      </c>
      <c r="N387" s="510" t="s">
        <v>3535</v>
      </c>
      <c r="O387" s="6">
        <f>OBRA!Q386</f>
        <v>43609</v>
      </c>
      <c r="P387" s="4">
        <f>OBRA!P386</f>
        <v>149018.54</v>
      </c>
      <c r="Q387" s="4"/>
      <c r="R387" s="5">
        <f>OBRA!R386</f>
        <v>43612</v>
      </c>
      <c r="S387" s="12">
        <f>OBRA!S386</f>
        <v>43626</v>
      </c>
      <c r="T387" s="55"/>
      <c r="U387" s="415" t="s">
        <v>1431</v>
      </c>
      <c r="V387" s="996"/>
      <c r="W387" s="1440"/>
      <c r="X387" s="1154">
        <f>OBRA!AP386</f>
        <v>29803.7</v>
      </c>
      <c r="Y387" s="341"/>
      <c r="Z387" s="341"/>
      <c r="AA387" s="5"/>
      <c r="AB387" s="351">
        <f>OBRA!BT386</f>
        <v>0</v>
      </c>
      <c r="AC387" s="569" t="s">
        <v>551</v>
      </c>
      <c r="AE387"/>
      <c r="AF387"/>
      <c r="AG387"/>
      <c r="AH387"/>
      <c r="AI387"/>
      <c r="AJ387"/>
      <c r="AK387"/>
      <c r="AL387"/>
    </row>
    <row r="388" spans="1:38" ht="143.25" hidden="1" customHeight="1">
      <c r="A388" s="23" t="s">
        <v>2239</v>
      </c>
      <c r="B388" s="933" t="str">
        <f>GRAL!B389</f>
        <v>2018-2021</v>
      </c>
      <c r="C388" s="17">
        <f>OBRA!I387</f>
        <v>2019</v>
      </c>
      <c r="D388" s="18" t="str">
        <f>OBRA!K387</f>
        <v>RAMO 33</v>
      </c>
      <c r="E388" s="525" t="s">
        <v>1431</v>
      </c>
      <c r="F388" s="996"/>
      <c r="G388" s="1012"/>
      <c r="H388" s="1440"/>
      <c r="I388" s="56" t="str">
        <f>OBRA!U387</f>
        <v>SIFRAL INGENIERIA S.A. DE C.V.</v>
      </c>
      <c r="J388" s="57" t="str">
        <f>OBRA!V387</f>
        <v>ING. J. GUADALUPE IBARRA RAMIREZ</v>
      </c>
      <c r="K388" s="35"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510" t="s">
        <v>3535</v>
      </c>
      <c r="O388" s="6">
        <f>OBRA!Q387</f>
        <v>43606</v>
      </c>
      <c r="P388" s="4">
        <f>OBRA!P387</f>
        <v>603785.16</v>
      </c>
      <c r="Q388" s="4"/>
      <c r="R388" s="5">
        <f>OBRA!R387</f>
        <v>43608</v>
      </c>
      <c r="S388" s="12">
        <f>OBRA!S387</f>
        <v>43677</v>
      </c>
      <c r="T388" s="55"/>
      <c r="U388" s="216" t="s">
        <v>1431</v>
      </c>
      <c r="V388" s="654"/>
      <c r="W388" s="1443"/>
      <c r="X388" s="1157">
        <f>OBRA!AP387</f>
        <v>271444.19</v>
      </c>
      <c r="Y388" s="341"/>
      <c r="Z388" s="341"/>
      <c r="AA388" s="5"/>
      <c r="AB388" s="351">
        <f>OBRA!BT387</f>
        <v>0</v>
      </c>
      <c r="AC388" s="569" t="s">
        <v>551</v>
      </c>
      <c r="AE388"/>
      <c r="AF388"/>
      <c r="AG388"/>
      <c r="AH388"/>
      <c r="AI388"/>
      <c r="AJ388"/>
      <c r="AK388"/>
      <c r="AL388"/>
    </row>
    <row r="389" spans="1:38" ht="144.75" hidden="1" customHeight="1">
      <c r="A389" s="23" t="s">
        <v>2239</v>
      </c>
      <c r="B389" s="933" t="str">
        <f>GRAL!B390</f>
        <v>2018-2021</v>
      </c>
      <c r="C389" s="17">
        <f>OBRA!I388</f>
        <v>2019</v>
      </c>
      <c r="D389" s="18" t="str">
        <f>OBRA!K388</f>
        <v>RAMO 33</v>
      </c>
      <c r="E389" s="525" t="s">
        <v>1431</v>
      </c>
      <c r="F389" s="996"/>
      <c r="G389" s="1012"/>
      <c r="H389" s="1440"/>
      <c r="I389" s="56" t="str">
        <f>OBRA!U388</f>
        <v>SIFRAL INGENIERIA S.A. DE C.V.</v>
      </c>
      <c r="J389" s="57" t="str">
        <f>OBRA!V388</f>
        <v>ING. J. GUADALUPE IBARRA RAMIREZ</v>
      </c>
      <c r="K389" s="35"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510" t="s">
        <v>3535</v>
      </c>
      <c r="O389" s="6">
        <f>OBRA!Q388</f>
        <v>43606</v>
      </c>
      <c r="P389" s="4">
        <f>OBRA!P388</f>
        <v>619003.23</v>
      </c>
      <c r="Q389" s="4"/>
      <c r="R389" s="5">
        <f>OBRA!R388</f>
        <v>43608</v>
      </c>
      <c r="S389" s="12">
        <f>OBRA!S388</f>
        <v>43677</v>
      </c>
      <c r="T389" s="55"/>
      <c r="U389" s="216" t="s">
        <v>1431</v>
      </c>
      <c r="V389" s="654"/>
      <c r="W389" s="1443"/>
      <c r="X389" s="1157">
        <f>OBRA!AP388</f>
        <v>278285.78000000003</v>
      </c>
      <c r="Y389" s="341"/>
      <c r="Z389" s="341"/>
      <c r="AA389" s="5"/>
      <c r="AB389" s="351">
        <f>OBRA!BT388</f>
        <v>0</v>
      </c>
      <c r="AC389" s="569" t="s">
        <v>551</v>
      </c>
      <c r="AE389"/>
      <c r="AF389"/>
      <c r="AG389"/>
      <c r="AH389"/>
      <c r="AI389"/>
      <c r="AJ389"/>
      <c r="AK389"/>
      <c r="AL389"/>
    </row>
    <row r="390" spans="1:38" ht="113.25" hidden="1" customHeight="1">
      <c r="A390" s="23" t="s">
        <v>2239</v>
      </c>
      <c r="B390" s="933" t="str">
        <f>GRAL!B391</f>
        <v>2018-2021</v>
      </c>
      <c r="C390" s="17">
        <f>OBRA!I389</f>
        <v>2019</v>
      </c>
      <c r="D390" s="18" t="str">
        <f>OBRA!K389</f>
        <v>RAMO 33</v>
      </c>
      <c r="E390" s="525" t="s">
        <v>1431</v>
      </c>
      <c r="F390" s="996"/>
      <c r="G390" s="1012"/>
      <c r="H390" s="1440"/>
      <c r="I390" s="56" t="str">
        <f>OBRA!U389</f>
        <v>ING. OCTAVIO AUGUSTO GONZALEZ TREJO</v>
      </c>
      <c r="J390" s="57" t="str">
        <f>OBRA!V389</f>
        <v>LIC. SALVADOR CONTRERAS OLGUÍN</v>
      </c>
      <c r="K390" s="35" t="str">
        <f>OBRA!L389</f>
        <v>GMJ 007 C-OP/2019</v>
      </c>
      <c r="L390" s="2" t="str">
        <f>OBRA!M389</f>
        <v>CANCELADA</v>
      </c>
      <c r="M390" s="3" t="str">
        <f>OBRA!N389</f>
        <v>"CONSTRUCCIÓN DE EMPEDRADO AHOGADO EN HUELLAS DE CONCRETO MR-42 EN CALLE CARDENAL NORTE", EN LA LOCALIDAD DE SAN JUAN COSALA, MUNICIPIO DE JOCOTEPEC, JALISCO.</v>
      </c>
      <c r="N390" s="510" t="s">
        <v>3535</v>
      </c>
      <c r="O390" s="6">
        <f>OBRA!Q389</f>
        <v>43606</v>
      </c>
      <c r="P390" s="4">
        <f>OBRA!P389</f>
        <v>949742.46</v>
      </c>
      <c r="Q390" s="4"/>
      <c r="R390" s="5">
        <f>OBRA!R389</f>
        <v>43612</v>
      </c>
      <c r="S390" s="12">
        <f>OBRA!S389</f>
        <v>43643</v>
      </c>
      <c r="T390" s="55"/>
      <c r="U390" s="415" t="s">
        <v>1431</v>
      </c>
      <c r="V390" s="996"/>
      <c r="W390" s="1440"/>
      <c r="X390" s="1154">
        <f>OBRA!AP389</f>
        <v>427384.1</v>
      </c>
      <c r="Y390" s="341"/>
      <c r="Z390" s="341"/>
      <c r="AA390" s="5"/>
      <c r="AB390" s="351">
        <f>OBRA!BT389</f>
        <v>0</v>
      </c>
      <c r="AC390" s="569" t="s">
        <v>551</v>
      </c>
      <c r="AE390"/>
      <c r="AF390"/>
      <c r="AG390"/>
      <c r="AH390"/>
      <c r="AI390"/>
      <c r="AJ390"/>
      <c r="AK390"/>
      <c r="AL390"/>
    </row>
    <row r="391" spans="1:38" ht="93" hidden="1" customHeight="1">
      <c r="A391" s="23" t="s">
        <v>2239</v>
      </c>
      <c r="B391" s="933" t="str">
        <f>GRAL!B392</f>
        <v>2018-2021</v>
      </c>
      <c r="C391" s="17">
        <f>OBRA!I390</f>
        <v>2019</v>
      </c>
      <c r="D391" s="18" t="str">
        <f>OBRA!K390</f>
        <v>CUENTA CORRIENTE</v>
      </c>
      <c r="E391" s="525" t="s">
        <v>1431</v>
      </c>
      <c r="F391" s="996"/>
      <c r="G391" s="1012"/>
      <c r="H391" s="1440"/>
      <c r="I391" s="56" t="str">
        <f>OBRA!U390</f>
        <v>ING. OCTAVIO AUGUSTO GONZALEZ TREJO</v>
      </c>
      <c r="J391" s="57" t="str">
        <f>OBRA!V390</f>
        <v>ING. RIGOBERTO OLMEDO RAMOS</v>
      </c>
      <c r="K391" s="35" t="str">
        <f>OBRA!L390</f>
        <v>GMJ 008 C-OP/2019</v>
      </c>
      <c r="L391" s="2" t="str">
        <f>OBRA!M390</f>
        <v>ADJUDICACIÓN DIRECTA</v>
      </c>
      <c r="M391" s="3" t="str">
        <f>OBRA!N390</f>
        <v>"CONSTRUCCION DE DEPOSITO PARA ALMACENAMIENTO DE AGUA POTABLE", EN LA LOCALIDAD DE HUEJOTITAN, MUNICIPIO DE JOCOTEPEC, JALISCO.</v>
      </c>
      <c r="N391" s="510" t="s">
        <v>3535</v>
      </c>
      <c r="O391" s="6">
        <f>OBRA!Q390</f>
        <v>43606</v>
      </c>
      <c r="P391" s="4">
        <f>OBRA!P390</f>
        <v>643537.42000000004</v>
      </c>
      <c r="Q391" s="4"/>
      <c r="R391" s="5">
        <f>OBRA!R390</f>
        <v>43614</v>
      </c>
      <c r="S391" s="12">
        <f>OBRA!S390</f>
        <v>43675</v>
      </c>
      <c r="T391" s="55"/>
      <c r="U391" s="216" t="s">
        <v>1431</v>
      </c>
      <c r="V391" s="654"/>
      <c r="W391" s="1443"/>
      <c r="X391" s="1157">
        <f>OBRA!AP390</f>
        <v>289591.83999999997</v>
      </c>
      <c r="Y391" s="341"/>
      <c r="Z391" s="341"/>
      <c r="AA391" s="5"/>
      <c r="AB391" s="351">
        <f>OBRA!BT390</f>
        <v>0</v>
      </c>
      <c r="AC391" s="569" t="s">
        <v>551</v>
      </c>
      <c r="AE391"/>
      <c r="AF391"/>
      <c r="AG391"/>
      <c r="AH391"/>
      <c r="AI391"/>
      <c r="AJ391"/>
      <c r="AK391"/>
      <c r="AL391"/>
    </row>
    <row r="392" spans="1:38" ht="109.5" hidden="1" customHeight="1">
      <c r="A392" s="23" t="s">
        <v>2239</v>
      </c>
      <c r="B392" s="933" t="str">
        <f>GRAL!B393</f>
        <v>2018-2021</v>
      </c>
      <c r="C392" s="17">
        <f>OBRA!I391</f>
        <v>2019</v>
      </c>
      <c r="D392" s="18" t="str">
        <f>OBRA!K391</f>
        <v>CUENTA CORRIENTE</v>
      </c>
      <c r="E392" s="525" t="s">
        <v>1431</v>
      </c>
      <c r="F392" s="1439"/>
      <c r="G392" s="1015"/>
      <c r="H392" s="1439"/>
      <c r="I392" s="56" t="str">
        <f>OBRA!U391</f>
        <v>ING. OCTAVIO AUGUSTO GONZALEZ TREJO</v>
      </c>
      <c r="J392" s="172" t="str">
        <f>OBRA!V391</f>
        <v>ING. JUAN MANUEL GARCIA ESCOTO</v>
      </c>
      <c r="K392" s="35" t="str">
        <f>OBRA!L391</f>
        <v>GMJ 009 C-OP/2019</v>
      </c>
      <c r="L392" s="2" t="str">
        <f>OBRA!M391</f>
        <v>ADJUDICACIÓN DIRECTA</v>
      </c>
      <c r="M392" s="3" t="str">
        <f>OBRA!N391</f>
        <v>CONSTRUCCIÓN DE PLATAFORMA Y CAMINO DE ACCESO AL PREDIO DEL DEPOSITO DE AGUA EN ZONA NORTE DE LA CABECERA MUNICIPAL DE JOCOTEPEC, JALISCO.</v>
      </c>
      <c r="N392" s="510" t="s">
        <v>3535</v>
      </c>
      <c r="O392" s="69">
        <f>OBRA!Q391</f>
        <v>43607</v>
      </c>
      <c r="P392" s="4">
        <f>OBRA!P391</f>
        <v>413006.4</v>
      </c>
      <c r="Q392" s="4"/>
      <c r="R392" s="5">
        <f>OBRA!R391</f>
        <v>43619</v>
      </c>
      <c r="S392" s="12">
        <f>OBRA!S391</f>
        <v>43645</v>
      </c>
      <c r="T392" s="55"/>
      <c r="U392" s="415" t="s">
        <v>1431</v>
      </c>
      <c r="V392" s="654"/>
      <c r="W392" s="1443"/>
      <c r="X392" s="1190">
        <f>OBRA!AP391</f>
        <v>82601.279999999999</v>
      </c>
      <c r="Y392" s="341"/>
      <c r="Z392" s="341"/>
      <c r="AA392" s="5"/>
      <c r="AB392" s="351">
        <f>OBRA!BT391</f>
        <v>0</v>
      </c>
      <c r="AC392" s="569" t="s">
        <v>551</v>
      </c>
      <c r="AE392"/>
      <c r="AF392"/>
      <c r="AG392"/>
      <c r="AH392"/>
      <c r="AI392"/>
      <c r="AJ392"/>
      <c r="AK392"/>
      <c r="AL392"/>
    </row>
    <row r="393" spans="1:38" ht="108.75" hidden="1" customHeight="1">
      <c r="A393" s="23" t="s">
        <v>2239</v>
      </c>
      <c r="B393" s="933" t="str">
        <f>GRAL!B394</f>
        <v>2018-2021</v>
      </c>
      <c r="C393" s="17">
        <f>OBRA!I392</f>
        <v>2019</v>
      </c>
      <c r="D393" s="18" t="str">
        <f>OBRA!K392</f>
        <v>CUENTA CORRIENTE</v>
      </c>
      <c r="E393" s="525" t="s">
        <v>1431</v>
      </c>
      <c r="F393" s="1128"/>
      <c r="G393" s="1015"/>
      <c r="H393" s="1128"/>
      <c r="I393" s="56" t="str">
        <f>OBRA!U392</f>
        <v>CONSTRUCTORA PIMONT S.A. DE C.V.</v>
      </c>
      <c r="J393" s="172" t="str">
        <f>OBRA!V392</f>
        <v>ING. J. GUADALUPE IBARRA RAMIREZ</v>
      </c>
      <c r="K393" s="35" t="str">
        <f>OBRA!L392</f>
        <v>GMJ 010 C-OP/2019</v>
      </c>
      <c r="L393" s="2" t="str">
        <f>OBRA!M392</f>
        <v>ADJUDICACIÓN DIRECTA</v>
      </c>
      <c r="M393" s="3" t="str">
        <f>OBRA!N392</f>
        <v>"CONSTRUCCIÓN DE DEPOSITO PARA ALMACENAMIENTO DE AGUA POTABLE", EN LA ZONA NORTE DE LA CABECERA MUNICIPAL DE JOCOTEPEC, JALISCO.</v>
      </c>
      <c r="N393" s="510" t="s">
        <v>3535</v>
      </c>
      <c r="O393" s="69">
        <f>OBRA!Q392</f>
        <v>43637</v>
      </c>
      <c r="P393" s="4">
        <f>OBRA!P392</f>
        <v>1649201.51</v>
      </c>
      <c r="Q393" s="4"/>
      <c r="R393" s="5">
        <f>OBRA!R392</f>
        <v>43640</v>
      </c>
      <c r="S393" s="12">
        <f>OBRA!S392</f>
        <v>43707</v>
      </c>
      <c r="T393" s="55"/>
      <c r="U393" s="415" t="s">
        <v>1431</v>
      </c>
      <c r="V393" s="1446"/>
      <c r="W393" s="1440"/>
      <c r="X393" s="1157">
        <f>OBRA!AP392</f>
        <v>164920.15</v>
      </c>
      <c r="Y393" s="341"/>
      <c r="Z393" s="341"/>
      <c r="AA393" s="5"/>
      <c r="AB393" s="351">
        <f>OBRA!BT392</f>
        <v>0</v>
      </c>
      <c r="AC393" s="569" t="s">
        <v>551</v>
      </c>
      <c r="AE393"/>
      <c r="AF393"/>
      <c r="AG393"/>
      <c r="AH393"/>
      <c r="AI393"/>
      <c r="AJ393"/>
      <c r="AK393"/>
      <c r="AL393"/>
    </row>
    <row r="394" spans="1:38" ht="112.5" hidden="1" customHeight="1">
      <c r="A394" s="23" t="s">
        <v>2239</v>
      </c>
      <c r="B394" s="933" t="str">
        <f>GRAL!B395</f>
        <v>2018-2021</v>
      </c>
      <c r="C394" s="17">
        <f>OBRA!I393</f>
        <v>2019</v>
      </c>
      <c r="D394" s="18" t="str">
        <f>OBRA!K393</f>
        <v>CUENTA CORRIENTE</v>
      </c>
      <c r="E394" s="695" t="s">
        <v>1431</v>
      </c>
      <c r="F394" s="1439"/>
      <c r="G394" s="1015"/>
      <c r="H394" s="1439"/>
      <c r="I394" s="339" t="str">
        <f>OBRA!U393</f>
        <v xml:space="preserve">CONSTRUCTORA Y EDIFICACIONES REMI Y ASOCIADOS S.A. DE C.V. </v>
      </c>
      <c r="J394" s="57" t="str">
        <f>OBRA!V393</f>
        <v>ING. RIGOBERTO OLMEDO RAMOS</v>
      </c>
      <c r="K394" s="35" t="str">
        <f>OBRA!L393</f>
        <v>GMJ 011 C-OP/2019</v>
      </c>
      <c r="L394" s="2" t="str">
        <f>OBRA!M393</f>
        <v>ADJUDICACIÓN DIRECTA</v>
      </c>
      <c r="M394" s="3" t="str">
        <f>OBRA!N393</f>
        <v>"CONSTRUCCIÓN DE DEPOSITO PARA ALMACENAMIENTO DE AGUA POTABLE", EN LA LOCALIDAD DE SAN CRISTOBAL ZAPOTITLAN, MUNICIPIO DE JOCOTEPEC, JALISCO.</v>
      </c>
      <c r="N394" s="510" t="s">
        <v>3536</v>
      </c>
      <c r="O394" s="6">
        <f>OBRA!Q393</f>
        <v>43705</v>
      </c>
      <c r="P394" s="4">
        <f>OBRA!P393</f>
        <v>643537.42000000004</v>
      </c>
      <c r="Q394" s="4"/>
      <c r="R394" s="5">
        <f>OBRA!R393</f>
        <v>43710</v>
      </c>
      <c r="S394" s="12">
        <f>OBRA!S393</f>
        <v>43785</v>
      </c>
      <c r="T394" s="55"/>
      <c r="U394" s="415" t="s">
        <v>1431</v>
      </c>
      <c r="V394" s="1446"/>
      <c r="W394" s="1440"/>
      <c r="X394" s="1157">
        <f>OBRA!AP393</f>
        <v>225238.09999999998</v>
      </c>
      <c r="Y394" s="341"/>
      <c r="Z394" s="341"/>
      <c r="AA394" s="5"/>
      <c r="AB394" s="351">
        <f>OBRA!BT393</f>
        <v>0</v>
      </c>
      <c r="AC394" s="569" t="s">
        <v>551</v>
      </c>
      <c r="AE394"/>
      <c r="AF394"/>
      <c r="AG394"/>
      <c r="AH394"/>
      <c r="AI394"/>
      <c r="AJ394"/>
      <c r="AK394"/>
      <c r="AL394"/>
    </row>
    <row r="395" spans="1:38" s="110" customFormat="1" ht="16.5" hidden="1" customHeight="1">
      <c r="A395" s="87" t="s">
        <v>2239</v>
      </c>
      <c r="B395" s="946" t="str">
        <f>GRAL!B396</f>
        <v>2018-2021</v>
      </c>
      <c r="C395" s="88">
        <f>OBRA!I394</f>
        <v>2019</v>
      </c>
      <c r="D395" s="103">
        <f>OBRA!K394</f>
        <v>0</v>
      </c>
      <c r="E395" s="526"/>
      <c r="F395" s="392"/>
      <c r="G395" s="102"/>
      <c r="H395" s="392"/>
      <c r="I395" s="159">
        <f>OBRA!U394</f>
        <v>0</v>
      </c>
      <c r="J395" s="160">
        <f>OBRA!V394</f>
        <v>0</v>
      </c>
      <c r="K395" s="96" t="str">
        <f>OBRA!L394</f>
        <v>GMJ 012 C-OP/2019</v>
      </c>
      <c r="L395" s="91" t="str">
        <f>OBRA!M394</f>
        <v>CANCELADA</v>
      </c>
      <c r="M395" s="132">
        <f>OBRA!N394</f>
        <v>0</v>
      </c>
      <c r="N395" s="937"/>
      <c r="O395" s="93">
        <f>OBRA!Q394</f>
        <v>0</v>
      </c>
      <c r="P395" s="92">
        <f>OBRA!P394</f>
        <v>0</v>
      </c>
      <c r="Q395" s="92"/>
      <c r="R395" s="94">
        <f>OBRA!R394</f>
        <v>0</v>
      </c>
      <c r="S395" s="95">
        <f>OBRA!S394</f>
        <v>0</v>
      </c>
      <c r="T395" s="97"/>
      <c r="U395" s="785" t="s">
        <v>1431</v>
      </c>
      <c r="V395" s="343"/>
      <c r="W395" s="95"/>
      <c r="X395" s="311">
        <f>OBRA!AP394</f>
        <v>0</v>
      </c>
      <c r="Y395" s="343"/>
      <c r="Z395" s="343"/>
      <c r="AA395" s="94"/>
      <c r="AB395" s="511">
        <f>OBRA!BT394</f>
        <v>0</v>
      </c>
      <c r="AC395" s="570"/>
    </row>
    <row r="396" spans="1:38" ht="103.5" hidden="1" customHeight="1">
      <c r="A396" s="23" t="s">
        <v>2239</v>
      </c>
      <c r="B396" s="933" t="str">
        <f>GRAL!B397</f>
        <v>2018-2021</v>
      </c>
      <c r="C396" s="17">
        <f>OBRA!I395</f>
        <v>2019</v>
      </c>
      <c r="D396" s="18" t="str">
        <f>OBRA!K395</f>
        <v>RAMO 33</v>
      </c>
      <c r="E396" s="525" t="s">
        <v>1431</v>
      </c>
      <c r="F396" s="996"/>
      <c r="G396" s="1012"/>
      <c r="H396" s="1440"/>
      <c r="I396" s="56" t="str">
        <f>OBRA!U395</f>
        <v>CONSTRUCTORA PIMONT S.A. DE C.V.</v>
      </c>
      <c r="J396" s="57" t="str">
        <f>OBRA!V395</f>
        <v>LIC. SALVADOR CONTRERAS OLGUÍN</v>
      </c>
      <c r="K396" s="35" t="str">
        <f>OBRA!L395</f>
        <v>GMJ 013 C-OP/2019</v>
      </c>
      <c r="L396" s="2" t="str">
        <f>OBRA!M395</f>
        <v>ADJUDICACIÓN DIRECTA</v>
      </c>
      <c r="M396" s="3" t="str">
        <f>OBRA!N395</f>
        <v>"CONSTRUCCIÓN DE EMPEDRADO ECOLOGICO EN LA CALLE PRIVADA MORELOS, DELEGACIÓN DE CHANTE, MUNICIPIO DE JOCOTEPEC, JALISCO".</v>
      </c>
      <c r="N396" s="510" t="s">
        <v>3536</v>
      </c>
      <c r="O396" s="6">
        <f>OBRA!Q395</f>
        <v>43626</v>
      </c>
      <c r="P396" s="4">
        <f>OBRA!P395</f>
        <v>75313.95</v>
      </c>
      <c r="Q396" s="4"/>
      <c r="R396" s="5">
        <f>OBRA!R395</f>
        <v>43627</v>
      </c>
      <c r="S396" s="12">
        <f>OBRA!S395</f>
        <v>43637</v>
      </c>
      <c r="T396" s="55"/>
      <c r="U396" s="415" t="s">
        <v>1431</v>
      </c>
      <c r="V396" s="996"/>
      <c r="W396" s="1440"/>
      <c r="X396" s="1154">
        <f>OBRA!AP395</f>
        <v>15062.78</v>
      </c>
      <c r="Y396" s="341"/>
      <c r="Z396" s="341"/>
      <c r="AA396" s="5"/>
      <c r="AB396" s="351">
        <f>OBRA!BT395</f>
        <v>0</v>
      </c>
      <c r="AC396" s="569" t="s">
        <v>551</v>
      </c>
      <c r="AE396"/>
      <c r="AF396"/>
      <c r="AG396"/>
      <c r="AH396"/>
      <c r="AI396"/>
      <c r="AJ396"/>
      <c r="AK396"/>
      <c r="AL396"/>
    </row>
    <row r="397" spans="1:38" ht="91.5" hidden="1" customHeight="1">
      <c r="A397" s="23" t="s">
        <v>2239</v>
      </c>
      <c r="B397" s="933" t="str">
        <f>GRAL!B398</f>
        <v>2018-2021</v>
      </c>
      <c r="C397" s="17">
        <f>OBRA!I396</f>
        <v>2019</v>
      </c>
      <c r="D397" s="18" t="str">
        <f>OBRA!K396</f>
        <v>RAMO 33</v>
      </c>
      <c r="E397" s="525" t="s">
        <v>1431</v>
      </c>
      <c r="F397" s="996"/>
      <c r="G397" s="1012"/>
      <c r="H397" s="1440"/>
      <c r="I397" s="56" t="str">
        <f>OBRA!U396</f>
        <v>INGENIERÍA ARQUITECTURA MENDPAD S.A. DE C.V.</v>
      </c>
      <c r="J397" s="57" t="str">
        <f>OBRA!V396</f>
        <v>LIC. SALVADOR CONTRERAS OLGUÍN</v>
      </c>
      <c r="K397" s="35" t="str">
        <f>OBRA!L396</f>
        <v>GMJ 014 C-OP/2019</v>
      </c>
      <c r="L397" s="2" t="str">
        <f>OBRA!M396</f>
        <v>ADJUDICACIÓN DIRECTA</v>
      </c>
      <c r="M397" s="3" t="str">
        <f>OBRA!N396</f>
        <v>"CONSTRUCCIÓN DE BANQUETAS EN CALLE CUAUHTÉMOC, 2ª ETAPA, DELEGACIÓN DEL CHANTE, MUNICIPIO DE JOCOTEPEC, JALISCO</v>
      </c>
      <c r="N397" s="510" t="s">
        <v>3536</v>
      </c>
      <c r="O397" s="6">
        <f>OBRA!Q396</f>
        <v>43670</v>
      </c>
      <c r="P397" s="4">
        <f>OBRA!P396</f>
        <v>179219.86</v>
      </c>
      <c r="Q397" s="4"/>
      <c r="R397" s="5">
        <f>OBRA!R396</f>
        <v>43671</v>
      </c>
      <c r="S397" s="12">
        <f>OBRA!S396</f>
        <v>43687</v>
      </c>
      <c r="T397" s="55"/>
      <c r="U397" s="415" t="s">
        <v>1431</v>
      </c>
      <c r="V397" s="996"/>
      <c r="W397" s="1440"/>
      <c r="X397" s="1155">
        <f>OBRA!AP396</f>
        <v>17921.98</v>
      </c>
      <c r="Y397" s="341"/>
      <c r="Z397" s="341"/>
      <c r="AA397" s="5"/>
      <c r="AB397" s="351">
        <f>OBRA!BT396</f>
        <v>0</v>
      </c>
      <c r="AC397" s="569"/>
      <c r="AE397"/>
      <c r="AF397"/>
      <c r="AG397"/>
      <c r="AH397"/>
      <c r="AI397"/>
      <c r="AJ397"/>
      <c r="AK397"/>
      <c r="AL397"/>
    </row>
    <row r="398" spans="1:38" ht="111.75" hidden="1" customHeight="1">
      <c r="A398" s="23" t="s">
        <v>2239</v>
      </c>
      <c r="B398" s="933" t="str">
        <f>GRAL!B399</f>
        <v>2018-2021</v>
      </c>
      <c r="C398" s="17">
        <f>OBRA!I397</f>
        <v>2019</v>
      </c>
      <c r="D398" s="18" t="str">
        <f>OBRA!K397</f>
        <v>RAMO 33</v>
      </c>
      <c r="E398" s="525" t="s">
        <v>1431</v>
      </c>
      <c r="F398" s="996"/>
      <c r="G398" s="1012"/>
      <c r="H398" s="1440"/>
      <c r="I398" s="56" t="str">
        <f>OBRA!U397</f>
        <v>GALJACK ARQUITECTOS  Y CONSTRUCCIONES S.A. DE C.V.</v>
      </c>
      <c r="J398" s="57" t="str">
        <f>OBRA!V397</f>
        <v>LIC. SALVADOR CONTRERAS OLGUÍN</v>
      </c>
      <c r="K398" s="35" t="str">
        <f>OBRA!L397</f>
        <v>GMJ 015 C-OP/2019</v>
      </c>
      <c r="L398" s="2" t="str">
        <f>OBRA!M397</f>
        <v>ADJUDICACIÓN DIRECTA</v>
      </c>
      <c r="M398" s="3" t="str">
        <f>OBRA!N397</f>
        <v>REHABILITACIÓN DE LINEA DE AGUA POTABLE EN LA CALLE PRIVADA CARDENAL DE CARDENAL A CERRADA, EN LA DELEGACIÓN DE SAN JUAN COSALA, JOCOTEPEC, JALISCO.</v>
      </c>
      <c r="N398" s="510" t="s">
        <v>3536</v>
      </c>
      <c r="O398" s="6">
        <f>OBRA!Q397</f>
        <v>43694</v>
      </c>
      <c r="P398" s="4">
        <f>OBRA!P397</f>
        <v>77778.12</v>
      </c>
      <c r="Q398" s="4"/>
      <c r="R398" s="5">
        <f>OBRA!R397</f>
        <v>43703</v>
      </c>
      <c r="S398" s="12">
        <f>OBRA!S397</f>
        <v>43742</v>
      </c>
      <c r="T398" s="55"/>
      <c r="U398" s="415" t="s">
        <v>1431</v>
      </c>
      <c r="V398" s="654"/>
      <c r="W398" s="1430"/>
      <c r="X398" s="1190">
        <f>OBRA!AP397</f>
        <v>35000.15</v>
      </c>
      <c r="Y398" s="341"/>
      <c r="Z398" s="341"/>
      <c r="AA398" s="5"/>
      <c r="AB398" s="351">
        <f>OBRA!BT397</f>
        <v>0</v>
      </c>
      <c r="AC398" s="569" t="s">
        <v>551</v>
      </c>
      <c r="AE398"/>
      <c r="AF398"/>
      <c r="AG398"/>
      <c r="AH398"/>
      <c r="AI398"/>
      <c r="AJ398"/>
      <c r="AK398"/>
      <c r="AL398"/>
    </row>
    <row r="399" spans="1:38" ht="126" hidden="1" customHeight="1">
      <c r="A399" s="23" t="s">
        <v>2239</v>
      </c>
      <c r="B399" s="933" t="str">
        <f>GRAL!B400</f>
        <v>2018-2021</v>
      </c>
      <c r="C399" s="17">
        <f>OBRA!I398</f>
        <v>2019</v>
      </c>
      <c r="D399" s="18" t="str">
        <f>OBRA!K398</f>
        <v>RAMO 33</v>
      </c>
      <c r="E399" s="525" t="s">
        <v>1431</v>
      </c>
      <c r="F399" s="996"/>
      <c r="G399" s="1012"/>
      <c r="H399" s="1440"/>
      <c r="I399" s="56" t="str">
        <f>OBRA!U398</f>
        <v>GALJACK ARQUITECTOS S.A. DE C.V.</v>
      </c>
      <c r="J399" s="57" t="str">
        <f>OBRA!V398</f>
        <v>LIC. SALVADOR CONTRERAS OLGUÍN</v>
      </c>
      <c r="K399" s="35"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510" t="s">
        <v>3536</v>
      </c>
      <c r="O399" s="6">
        <f>OBRA!Q398</f>
        <v>43694</v>
      </c>
      <c r="P399" s="4">
        <f>OBRA!P398</f>
        <v>108744.95</v>
      </c>
      <c r="Q399" s="4"/>
      <c r="R399" s="5">
        <f>OBRA!R398</f>
        <v>43703</v>
      </c>
      <c r="S399" s="12">
        <f>OBRA!S398</f>
        <v>43742</v>
      </c>
      <c r="T399" s="55"/>
      <c r="U399" s="415" t="s">
        <v>1431</v>
      </c>
      <c r="V399" s="996"/>
      <c r="W399" s="1440"/>
      <c r="X399" s="1157">
        <f>OBRA!AP398</f>
        <v>48935.22</v>
      </c>
      <c r="Y399" s="341"/>
      <c r="Z399" s="341"/>
      <c r="AA399" s="5"/>
      <c r="AB399" s="351">
        <f>OBRA!BT398</f>
        <v>0</v>
      </c>
      <c r="AC399" s="569" t="s">
        <v>551</v>
      </c>
      <c r="AE399"/>
      <c r="AF399"/>
      <c r="AG399"/>
      <c r="AH399"/>
      <c r="AI399"/>
      <c r="AJ399"/>
      <c r="AK399"/>
      <c r="AL399"/>
    </row>
    <row r="400" spans="1:38" ht="133.5" hidden="1" customHeight="1">
      <c r="A400" s="23" t="s">
        <v>2239</v>
      </c>
      <c r="B400" s="933" t="str">
        <f>GRAL!B401</f>
        <v>2018-2021</v>
      </c>
      <c r="C400" s="17">
        <f>OBRA!I399</f>
        <v>2019</v>
      </c>
      <c r="D400" s="18" t="str">
        <f>OBRA!K399</f>
        <v>RAMO 33</v>
      </c>
      <c r="E400" s="525" t="s">
        <v>1431</v>
      </c>
      <c r="F400" s="1439"/>
      <c r="G400" s="1015"/>
      <c r="H400" s="1439"/>
      <c r="I400" s="56" t="str">
        <f>OBRA!U399</f>
        <v>ALSERCON SA DE CV</v>
      </c>
      <c r="J400" s="57" t="str">
        <f>OBRA!V399</f>
        <v>ING. J. GUADALUPE IBARRA RAMIREZ</v>
      </c>
      <c r="K400" s="35"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510" t="s">
        <v>3536</v>
      </c>
      <c r="O400" s="6">
        <f>OBRA!Q399</f>
        <v>43707</v>
      </c>
      <c r="P400" s="4">
        <f>OBRA!P399</f>
        <v>983216.32</v>
      </c>
      <c r="Q400" s="4"/>
      <c r="R400" s="5">
        <f>OBRA!R399</f>
        <v>43710</v>
      </c>
      <c r="S400" s="12">
        <f>OBRA!S399</f>
        <v>43785</v>
      </c>
      <c r="T400" s="55"/>
      <c r="U400" s="415" t="s">
        <v>1431</v>
      </c>
      <c r="V400" s="996"/>
      <c r="W400" s="1443"/>
      <c r="X400" s="1157">
        <f>OBRA!AP399</f>
        <v>442447.33999999997</v>
      </c>
      <c r="Y400" s="341"/>
      <c r="Z400" s="341"/>
      <c r="AA400" s="5"/>
      <c r="AB400" s="351">
        <f>OBRA!BT399</f>
        <v>0</v>
      </c>
      <c r="AC400" s="569" t="s">
        <v>551</v>
      </c>
      <c r="AE400"/>
      <c r="AF400"/>
      <c r="AG400"/>
      <c r="AH400"/>
      <c r="AI400"/>
      <c r="AJ400"/>
      <c r="AK400"/>
      <c r="AL400"/>
    </row>
    <row r="401" spans="1:38" ht="141.75" hidden="1" customHeight="1">
      <c r="A401" s="23" t="s">
        <v>2239</v>
      </c>
      <c r="B401" s="933" t="str">
        <f>GRAL!B402</f>
        <v>2018-2021</v>
      </c>
      <c r="C401" s="17">
        <f>OBRA!I400</f>
        <v>2019</v>
      </c>
      <c r="D401" s="18" t="str">
        <f>OBRA!K400</f>
        <v>RAMO 33</v>
      </c>
      <c r="E401" s="525" t="s">
        <v>1431</v>
      </c>
      <c r="F401" s="1439"/>
      <c r="G401" s="1015"/>
      <c r="H401" s="1439"/>
      <c r="I401" s="339" t="str">
        <f>OBRA!U400</f>
        <v>ALSERCON SA DE CV</v>
      </c>
      <c r="J401" s="57" t="str">
        <f>OBRA!V400</f>
        <v>ING. J. GUADALUPE IBARRA RAMIREZ</v>
      </c>
      <c r="K401" s="35"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510" t="s">
        <v>3536</v>
      </c>
      <c r="O401" s="69">
        <f>OBRA!Q400</f>
        <v>43707</v>
      </c>
      <c r="P401" s="85">
        <f>OBRA!P400</f>
        <v>872749.01</v>
      </c>
      <c r="Q401" s="85"/>
      <c r="R401" s="255">
        <f>OBRA!R400</f>
        <v>43710</v>
      </c>
      <c r="S401" s="245">
        <f>OBRA!S400</f>
        <v>43785</v>
      </c>
      <c r="T401" s="758"/>
      <c r="U401" s="216" t="s">
        <v>1431</v>
      </c>
      <c r="V401" s="654"/>
      <c r="W401" s="1443"/>
      <c r="X401" s="1157">
        <f>OBRA!AP400</f>
        <v>392737.05000000005</v>
      </c>
      <c r="Y401" s="341"/>
      <c r="Z401" s="341"/>
      <c r="AA401" s="5"/>
      <c r="AB401" s="351">
        <f>OBRA!BT400</f>
        <v>0</v>
      </c>
      <c r="AC401" s="569" t="s">
        <v>551</v>
      </c>
      <c r="AE401"/>
      <c r="AF401"/>
      <c r="AG401"/>
      <c r="AH401"/>
      <c r="AI401"/>
      <c r="AJ401"/>
      <c r="AK401"/>
      <c r="AL401"/>
    </row>
    <row r="402" spans="1:38" ht="117.75" hidden="1" customHeight="1">
      <c r="A402" s="23" t="s">
        <v>2239</v>
      </c>
      <c r="B402" s="933" t="str">
        <f>GRAL!B403</f>
        <v>2018-2021</v>
      </c>
      <c r="C402" s="17">
        <f>OBRA!I401</f>
        <v>2019</v>
      </c>
      <c r="D402" s="18" t="str">
        <f>OBRA!K401</f>
        <v>RAMO 33</v>
      </c>
      <c r="E402" s="525" t="s">
        <v>1431</v>
      </c>
      <c r="F402" s="1439"/>
      <c r="G402" s="1015"/>
      <c r="H402" s="1439"/>
      <c r="I402" s="339" t="str">
        <f>OBRA!U401</f>
        <v>INGENIERÍA ARQUITECTURA MENDPAD S.A. DE C.V.</v>
      </c>
      <c r="J402" s="57" t="str">
        <f>OBRA!V401</f>
        <v>LIC. SALVADOR CONTRERAS OLGUÍN</v>
      </c>
      <c r="K402" s="35"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510" t="s">
        <v>3536</v>
      </c>
      <c r="O402" s="6">
        <f>OBRA!Q401</f>
        <v>43707</v>
      </c>
      <c r="P402" s="4">
        <f>OBRA!P401</f>
        <v>99707.9</v>
      </c>
      <c r="Q402" s="4"/>
      <c r="R402" s="5">
        <f>OBRA!R401</f>
        <v>43710</v>
      </c>
      <c r="S402" s="12">
        <f>OBRA!S401</f>
        <v>43731</v>
      </c>
      <c r="T402" s="55"/>
      <c r="U402" s="216" t="s">
        <v>1431</v>
      </c>
      <c r="V402" s="654"/>
      <c r="W402" s="1443"/>
      <c r="X402" s="1157">
        <f>OBRA!AP401</f>
        <v>43579.32</v>
      </c>
      <c r="Y402" s="341"/>
      <c r="Z402" s="341"/>
      <c r="AA402" s="5"/>
      <c r="AB402" s="351">
        <f>OBRA!BT401</f>
        <v>0</v>
      </c>
      <c r="AC402" s="569" t="s">
        <v>551</v>
      </c>
      <c r="AE402"/>
      <c r="AF402"/>
      <c r="AG402"/>
      <c r="AH402"/>
      <c r="AI402"/>
      <c r="AJ402"/>
      <c r="AK402"/>
      <c r="AL402"/>
    </row>
    <row r="403" spans="1:38" ht="117.75" hidden="1" customHeight="1">
      <c r="A403" s="23" t="s">
        <v>2239</v>
      </c>
      <c r="B403" s="933" t="str">
        <f>GRAL!B404</f>
        <v>2018-2021</v>
      </c>
      <c r="C403" s="17">
        <f>OBRA!I402</f>
        <v>2019</v>
      </c>
      <c r="D403" s="18" t="str">
        <f>OBRA!K402</f>
        <v>RAMO 33</v>
      </c>
      <c r="E403" s="525" t="s">
        <v>1431</v>
      </c>
      <c r="F403" s="1439"/>
      <c r="G403" s="1015"/>
      <c r="H403" s="1439"/>
      <c r="I403" s="339" t="str">
        <f>OBRA!U402</f>
        <v>INGENIERÍA ARQUITECTURA MENDPAD S.A. DE C.V.</v>
      </c>
      <c r="J403" s="57" t="str">
        <f>OBRA!V402</f>
        <v>LIC. SALVADOR CONTRERAS OLGUÍN</v>
      </c>
      <c r="K403" s="35" t="str">
        <f>OBRA!L402</f>
        <v>GMJ 019 C-OP/2019</v>
      </c>
      <c r="L403" s="2" t="str">
        <f>OBRA!M402</f>
        <v>ADJUDICACIÓN DIRECTA</v>
      </c>
      <c r="M403" s="3" t="str">
        <f>OBRA!N402</f>
        <v>"REHABILITACIÓN DE RED DE AGUA POTABLE EN PRIVADA ZARAGOZA DE CALLE ZARAGOZA A CERRADA DELEGACIÓN DE SAN JUAN COSALA MUNICIPIO DE JOCOTEPEC, JALISCO".</v>
      </c>
      <c r="N403" s="510" t="s">
        <v>3536</v>
      </c>
      <c r="O403" s="6">
        <f>OBRA!Q402</f>
        <v>43707</v>
      </c>
      <c r="P403" s="4">
        <f>OBRA!P402</f>
        <v>118188.71</v>
      </c>
      <c r="Q403" s="4"/>
      <c r="R403" s="5">
        <f>OBRA!R402</f>
        <v>43710</v>
      </c>
      <c r="S403" s="12">
        <f>OBRA!S402</f>
        <v>43731</v>
      </c>
      <c r="T403" s="55"/>
      <c r="U403" s="216" t="s">
        <v>1431</v>
      </c>
      <c r="V403" s="654"/>
      <c r="W403" s="1443"/>
      <c r="X403" s="1157">
        <f>OBRA!AP402</f>
        <v>43579.32</v>
      </c>
      <c r="Y403" s="341"/>
      <c r="Z403" s="341"/>
      <c r="AA403" s="5"/>
      <c r="AB403" s="351">
        <f>OBRA!BT402</f>
        <v>0</v>
      </c>
      <c r="AC403" s="569" t="s">
        <v>551</v>
      </c>
      <c r="AE403"/>
      <c r="AF403"/>
      <c r="AG403"/>
      <c r="AH403"/>
      <c r="AI403"/>
      <c r="AJ403"/>
      <c r="AK403"/>
      <c r="AL403"/>
    </row>
    <row r="404" spans="1:38" ht="108.75" hidden="1" customHeight="1">
      <c r="A404" s="23" t="s">
        <v>2239</v>
      </c>
      <c r="B404" s="933" t="str">
        <f>GRAL!B405</f>
        <v>2018-2021</v>
      </c>
      <c r="C404" s="17">
        <f>OBRA!I403</f>
        <v>2019</v>
      </c>
      <c r="D404" s="18" t="str">
        <f>OBRA!K403</f>
        <v>RAMO 33</v>
      </c>
      <c r="E404" s="525" t="s">
        <v>1431</v>
      </c>
      <c r="F404" s="996"/>
      <c r="G404" s="1012"/>
      <c r="H404" s="1440"/>
      <c r="I404" s="56" t="str">
        <f>OBRA!U403</f>
        <v>INGENIERÍA ARQUITECTURA MENDPAD S.A. DE C.V.</v>
      </c>
      <c r="J404" s="57" t="str">
        <f>OBRA!V403</f>
        <v>LIC. SALVADOR CONTRERAS OLGUÍN</v>
      </c>
      <c r="K404" s="35" t="str">
        <f>OBRA!L403</f>
        <v>GMJ 020 C-OP/2019</v>
      </c>
      <c r="L404" s="2" t="str">
        <f>OBRA!M403</f>
        <v>ADJUDICACIÓN DIRECTA</v>
      </c>
      <c r="M404" s="3" t="str">
        <f>OBRA!N403</f>
        <v>"CONSTRUCCIÓN DE RED DE AGUA POTABLE EN CALLE PRIVADA GUADALUPE VICTORIA DELEGACIÓN DE SAN JUAN COSALA MUNICIPIO DE JOCOTEPEC, JALISCO"</v>
      </c>
      <c r="N404" s="510" t="s">
        <v>3536</v>
      </c>
      <c r="O404" s="6">
        <f>OBRA!Q403</f>
        <v>43740</v>
      </c>
      <c r="P404" s="4">
        <f>OBRA!P403</f>
        <v>104942</v>
      </c>
      <c r="Q404" s="4"/>
      <c r="R404" s="5">
        <f>OBRA!R403</f>
        <v>43741</v>
      </c>
      <c r="S404" s="12">
        <f>OBRA!S403</f>
        <v>43768</v>
      </c>
      <c r="T404" s="55"/>
      <c r="U404" s="415" t="s">
        <v>1431</v>
      </c>
      <c r="V404" s="996"/>
      <c r="W404" s="1440"/>
      <c r="X404" s="1153">
        <f>OBRA!AP403</f>
        <v>20988.400000000001</v>
      </c>
      <c r="Y404" s="341"/>
      <c r="Z404" s="341"/>
      <c r="AA404" s="5"/>
      <c r="AB404" s="351">
        <f>OBRA!BT403</f>
        <v>0</v>
      </c>
      <c r="AC404" s="569" t="s">
        <v>551</v>
      </c>
      <c r="AE404"/>
      <c r="AF404"/>
      <c r="AG404"/>
      <c r="AH404"/>
      <c r="AI404"/>
      <c r="AJ404"/>
      <c r="AK404"/>
      <c r="AL404"/>
    </row>
    <row r="405" spans="1:38" ht="106.5" hidden="1" customHeight="1">
      <c r="A405" s="23" t="s">
        <v>2239</v>
      </c>
      <c r="B405" s="933" t="str">
        <f>GRAL!B406</f>
        <v>2018-2021</v>
      </c>
      <c r="C405" s="17">
        <f>OBRA!I404</f>
        <v>2019</v>
      </c>
      <c r="D405" s="18" t="str">
        <f>OBRA!K404</f>
        <v>RAMO 33</v>
      </c>
      <c r="E405" s="525" t="s">
        <v>1431</v>
      </c>
      <c r="F405" s="996"/>
      <c r="G405" s="1012"/>
      <c r="H405" s="1440"/>
      <c r="I405" s="56" t="str">
        <f>OBRA!U404</f>
        <v>INGENIERÍA ARQUITECTURA MENDPAD S.A. DE C.V.</v>
      </c>
      <c r="J405" s="57" t="str">
        <f>OBRA!V404</f>
        <v>LIC. SALVADOR CONTRERAS OLGUÍN</v>
      </c>
      <c r="K405" s="35" t="str">
        <f>OBRA!L404</f>
        <v>GMJ 021 C-OP/2019</v>
      </c>
      <c r="L405" s="2" t="str">
        <f>OBRA!M404</f>
        <v>ADJUDICACIÓN DIRECTA</v>
      </c>
      <c r="M405" s="3" t="str">
        <f>OBRA!N404</f>
        <v>"CONSTRUCCIÓN DE LÍNEA DE DRENAJE SANITARIO EN CALLE PRIVADA GUADALUPE VICTORIA DELELGACIÓN DE SAN JUAN COSALA MUNICIPIO DE JOCOTEPEC, JALISCO".</v>
      </c>
      <c r="N405" s="510" t="s">
        <v>3537</v>
      </c>
      <c r="O405" s="6">
        <f>OBRA!Q404</f>
        <v>43740</v>
      </c>
      <c r="P405" s="4">
        <f>OBRA!P404</f>
        <v>124713.47</v>
      </c>
      <c r="Q405" s="4"/>
      <c r="R405" s="5">
        <f>OBRA!R404</f>
        <v>43741</v>
      </c>
      <c r="S405" s="12">
        <f>OBRA!S404</f>
        <v>43768</v>
      </c>
      <c r="T405" s="55"/>
      <c r="U405" s="415" t="s">
        <v>1431</v>
      </c>
      <c r="V405" s="996"/>
      <c r="W405" s="1440"/>
      <c r="X405" s="1153">
        <f>OBRA!AP404</f>
        <v>52536.350000000006</v>
      </c>
      <c r="Y405" s="341"/>
      <c r="Z405" s="341"/>
      <c r="AA405" s="5"/>
      <c r="AB405" s="351">
        <f>OBRA!BT404</f>
        <v>0</v>
      </c>
      <c r="AC405" s="569" t="s">
        <v>551</v>
      </c>
      <c r="AE405"/>
      <c r="AF405"/>
      <c r="AG405"/>
      <c r="AH405"/>
      <c r="AI405"/>
      <c r="AJ405"/>
      <c r="AK405"/>
      <c r="AL405"/>
    </row>
    <row r="406" spans="1:38" s="110" customFormat="1" ht="30" hidden="1" customHeight="1">
      <c r="A406" s="87" t="s">
        <v>2239</v>
      </c>
      <c r="B406" s="946" t="str">
        <f>GRAL!B407</f>
        <v>2018-2021</v>
      </c>
      <c r="C406" s="88">
        <f>OBRA!I405</f>
        <v>2019</v>
      </c>
      <c r="D406" s="89" t="str">
        <f>OBRA!K405</f>
        <v>RASTRO DIGNO / CTA-CTE</v>
      </c>
      <c r="E406" s="526"/>
      <c r="F406" s="392"/>
      <c r="G406" s="102"/>
      <c r="H406" s="392"/>
      <c r="I406" s="159" t="str">
        <f>OBRA!U405</f>
        <v>C. PAUL ANTONIO VENEGAS GARCÍA</v>
      </c>
      <c r="J406" s="160" t="str">
        <f>OBRA!V405</f>
        <v>ARQ. JAIME CONDE GOMEZ</v>
      </c>
      <c r="K406" s="96" t="str">
        <f>OBRA!L405</f>
        <v>GMJ 022 C-OP/2019</v>
      </c>
      <c r="L406" s="91" t="str">
        <f>OBRA!M405</f>
        <v>CANCELADA</v>
      </c>
      <c r="M406" s="132" t="str">
        <f>OBRA!N405</f>
        <v xml:space="preserve">"CONSTRUCCIÓN DE PLANTA DE TRATAMIENTO INCLUYENDO OBRA CIVIL Y EQUIPAMIENTO EN EL RASTRO MUNICIPAL", EN LA CABECERA MUNICIPAL DE JOCOTEPEC, JALISCO </v>
      </c>
      <c r="N406" s="132"/>
      <c r="O406" s="93">
        <f>OBRA!Q405</f>
        <v>43709</v>
      </c>
      <c r="P406" s="92">
        <f>OBRA!P405</f>
        <v>1688433.48</v>
      </c>
      <c r="Q406" s="92"/>
      <c r="R406" s="94">
        <f>OBRA!R405</f>
        <v>43710</v>
      </c>
      <c r="S406" s="95">
        <f>OBRA!S405</f>
        <v>43785</v>
      </c>
      <c r="T406" s="97"/>
      <c r="U406" s="785"/>
      <c r="V406" s="343"/>
      <c r="W406" s="95"/>
      <c r="X406" s="1164">
        <f>OBRA!AP405</f>
        <v>0</v>
      </c>
      <c r="Y406" s="343"/>
      <c r="Z406" s="343"/>
      <c r="AA406" s="94"/>
      <c r="AB406" s="511">
        <f>OBRA!BT405</f>
        <v>0</v>
      </c>
      <c r="AC406" s="570"/>
    </row>
    <row r="407" spans="1:38" ht="100.5" hidden="1" customHeight="1">
      <c r="A407" s="23" t="s">
        <v>2239</v>
      </c>
      <c r="B407" s="933" t="str">
        <f>GRAL!B408</f>
        <v>2018-2021</v>
      </c>
      <c r="C407" s="17">
        <f>OBRA!I406</f>
        <v>2019</v>
      </c>
      <c r="D407" s="19" t="str">
        <f>OBRA!K406</f>
        <v>RASTRO DIGNO / CTA-CTE</v>
      </c>
      <c r="E407" s="1193" t="s">
        <v>2110</v>
      </c>
      <c r="F407" s="1439"/>
      <c r="G407" s="1015"/>
      <c r="H407" s="1439"/>
      <c r="I407" s="339" t="str">
        <f>OBRA!U406</f>
        <v>SDT CONSTRUCTORA S.A. DE C.V.</v>
      </c>
      <c r="J407" s="57" t="str">
        <f>OBRA!V406</f>
        <v>ARQ. JAIME CONDE GOMEZ</v>
      </c>
      <c r="K407" s="35" t="str">
        <f>OBRA!L406</f>
        <v>GMJ 023 C-OP/2019</v>
      </c>
      <c r="L407" s="2" t="str">
        <f>OBRA!M406</f>
        <v>ADJUDICACIÓN DIRECTA</v>
      </c>
      <c r="M407" s="3" t="str">
        <f>OBRA!N406</f>
        <v>“CONSTRUCCIÓN DE ÁREA DE CORRALES MÓDULO 1 PRIMERA ETAPA EN EL RASTRO MUNICIPAL”, EN LA CABECERA MUNICIPAL, DE JOCOTEPEC, JALISCO.</v>
      </c>
      <c r="N407" s="510" t="s">
        <v>3537</v>
      </c>
      <c r="O407" s="6">
        <f>OBRA!Q406</f>
        <v>43755</v>
      </c>
      <c r="P407" s="4">
        <f>OBRA!P406</f>
        <v>1393906.05</v>
      </c>
      <c r="Q407" s="4"/>
      <c r="R407" s="5">
        <f>OBRA!R406</f>
        <v>43759</v>
      </c>
      <c r="S407" s="12">
        <f>OBRA!S406</f>
        <v>43830</v>
      </c>
      <c r="T407" s="55"/>
      <c r="U407" s="223"/>
      <c r="V407" s="654"/>
      <c r="W407" s="1443"/>
      <c r="X407" s="1157">
        <f>OBRA!AP406</f>
        <v>627257.56000000006</v>
      </c>
      <c r="Y407" s="341"/>
      <c r="Z407" s="341"/>
      <c r="AA407" s="5"/>
      <c r="AB407" s="351">
        <f>OBRA!BT406</f>
        <v>0</v>
      </c>
      <c r="AC407" s="569"/>
      <c r="AE407"/>
      <c r="AF407"/>
      <c r="AG407"/>
      <c r="AH407"/>
      <c r="AI407"/>
      <c r="AJ407"/>
      <c r="AK407"/>
      <c r="AL407"/>
    </row>
    <row r="408" spans="1:38" ht="141.75" hidden="1" customHeight="1">
      <c r="A408" s="23" t="s">
        <v>2239</v>
      </c>
      <c r="B408" s="933" t="str">
        <f>GRAL!B409</f>
        <v>2018-2021</v>
      </c>
      <c r="C408" s="17">
        <f>OBRA!I407</f>
        <v>2019</v>
      </c>
      <c r="D408" s="19" t="str">
        <f>OBRA!K407</f>
        <v>RASTRO DIGNO / CTA-CTE</v>
      </c>
      <c r="E408" s="1193" t="s">
        <v>2110</v>
      </c>
      <c r="F408" s="1439"/>
      <c r="G408" s="1015"/>
      <c r="H408" s="1439"/>
      <c r="I408" s="339" t="str">
        <f>OBRA!U407</f>
        <v>DACO, DESARROLLOS ARQUITECTÓNICOS Y CONSTRUCCIÓN OBRA CIVIL S.A. DE C.V.</v>
      </c>
      <c r="J408" s="57" t="str">
        <f>OBRA!V407</f>
        <v>ARQ. JAIME CONDE GOMEZ</v>
      </c>
      <c r="K408" s="35" t="str">
        <f>OBRA!L407</f>
        <v>GMJ 024 C-OP/2019</v>
      </c>
      <c r="L408" s="2" t="str">
        <f>OBRA!M407</f>
        <v>ADJUDICACIÓN DIRECTA</v>
      </c>
      <c r="M408" s="3" t="str">
        <f>OBRA!N407</f>
        <v>“REHABILITACIÓN DE ÁREA DE MATANZA EN ESTRUCTURA Y TECHUMBRE PRIMERA ETAPA EN EL RASTRO MUNICIPAL”, EN LA CABECERA MUNICIPAL, DE JOCOTEPEC, JALISCO.</v>
      </c>
      <c r="N408" s="510" t="s">
        <v>3537</v>
      </c>
      <c r="O408" s="6">
        <f>OBRA!Q407</f>
        <v>43755</v>
      </c>
      <c r="P408" s="4">
        <f>OBRA!P407</f>
        <v>1414229.08</v>
      </c>
      <c r="Q408" s="4"/>
      <c r="R408" s="5">
        <f>OBRA!R407</f>
        <v>43759</v>
      </c>
      <c r="S408" s="12">
        <f>OBRA!S407</f>
        <v>43830</v>
      </c>
      <c r="T408" s="55"/>
      <c r="U408" s="223"/>
      <c r="V408" s="654"/>
      <c r="W408" s="1443"/>
      <c r="X408" s="1157">
        <f>OBRA!AP407</f>
        <v>636403.09000000008</v>
      </c>
      <c r="Y408" s="341"/>
      <c r="Z408" s="341"/>
      <c r="AA408" s="5"/>
      <c r="AB408" s="351">
        <f>OBRA!BT407</f>
        <v>0</v>
      </c>
      <c r="AC408" s="569"/>
      <c r="AE408"/>
      <c r="AF408"/>
      <c r="AG408"/>
      <c r="AH408"/>
      <c r="AI408"/>
      <c r="AJ408"/>
      <c r="AK408"/>
      <c r="AL408"/>
    </row>
    <row r="409" spans="1:38" ht="95.25" hidden="1" customHeight="1">
      <c r="A409" s="23" t="s">
        <v>2239</v>
      </c>
      <c r="B409" s="933" t="str">
        <f>GRAL!B410</f>
        <v>2018-2021</v>
      </c>
      <c r="C409" s="17">
        <f>OBRA!I408</f>
        <v>2019</v>
      </c>
      <c r="D409" s="18" t="str">
        <f>OBRA!K408</f>
        <v>RAMO 33</v>
      </c>
      <c r="E409" s="525" t="s">
        <v>1431</v>
      </c>
      <c r="F409" s="1128"/>
      <c r="G409" s="1015"/>
      <c r="H409" s="1439"/>
      <c r="I409" s="56" t="str">
        <f>OBRA!U408</f>
        <v>AV ATELIER DE ARQUITECTURA S.A. DE C.V.</v>
      </c>
      <c r="J409" s="57" t="str">
        <f>OBRA!V408</f>
        <v>LIC. SALVADOR CONTRERAS OLGUÍN</v>
      </c>
      <c r="K409" s="35" t="str">
        <f>OBRA!L408</f>
        <v>GMJ 025 C-OP/2019</v>
      </c>
      <c r="L409" s="2" t="str">
        <f>OBRA!M408</f>
        <v>ADJUDICACIÓN DIRECTA</v>
      </c>
      <c r="M409" s="3" t="str">
        <f>OBRA!N408</f>
        <v>"REHABILITACIÓN DE RED DE DRENAJE SANITARIO EN CALLE OTOÑO ENTRE CALLE NIÑOS HEROES Y ZARAGOZA" EN LA CABECERA MUNICIPAL DE JOCOTEPEC, JALISCO</v>
      </c>
      <c r="N409" s="510" t="s">
        <v>3537</v>
      </c>
      <c r="O409" s="6">
        <f>OBRA!Q408</f>
        <v>43755</v>
      </c>
      <c r="P409" s="4">
        <f>OBRA!P408</f>
        <v>198328.91</v>
      </c>
      <c r="Q409" s="4"/>
      <c r="R409" s="5">
        <f>OBRA!R408</f>
        <v>43759</v>
      </c>
      <c r="S409" s="12">
        <f>OBRA!S408</f>
        <v>43809</v>
      </c>
      <c r="T409" s="55"/>
      <c r="U409" s="216" t="s">
        <v>1431</v>
      </c>
      <c r="V409" s="654"/>
      <c r="W409" s="1443"/>
      <c r="X409" s="1157">
        <f>OBRA!AP408</f>
        <v>38382.93</v>
      </c>
      <c r="Y409" s="341"/>
      <c r="Z409" s="341"/>
      <c r="AA409" s="5"/>
      <c r="AB409" s="351">
        <f>OBRA!BT408</f>
        <v>0</v>
      </c>
      <c r="AC409" s="569" t="s">
        <v>551</v>
      </c>
      <c r="AE409"/>
      <c r="AF409"/>
      <c r="AG409"/>
      <c r="AH409"/>
      <c r="AI409"/>
      <c r="AJ409"/>
      <c r="AK409"/>
      <c r="AL409"/>
    </row>
    <row r="410" spans="1:38" ht="96" hidden="1" customHeight="1">
      <c r="A410" s="23" t="s">
        <v>2239</v>
      </c>
      <c r="B410" s="933" t="str">
        <f>GRAL!B411</f>
        <v>2018-2021</v>
      </c>
      <c r="C410" s="17">
        <f>OBRA!I409</f>
        <v>2019</v>
      </c>
      <c r="D410" s="18" t="str">
        <f>OBRA!K409</f>
        <v>RAMO 33</v>
      </c>
      <c r="E410" s="525" t="s">
        <v>1431</v>
      </c>
      <c r="F410" s="1128"/>
      <c r="G410" s="996"/>
      <c r="H410" s="1439"/>
      <c r="I410" s="56" t="str">
        <f>OBRA!U409</f>
        <v>AV ATELIER DE ARQUITECTURA S.A. DE C.V.</v>
      </c>
      <c r="J410" s="57" t="str">
        <f>OBRA!V409</f>
        <v>LIC. SALVADOR CONTRERAS OLGUÍN</v>
      </c>
      <c r="K410" s="35" t="str">
        <f>OBRA!L409</f>
        <v>GMJ 026 C-OP/2019</v>
      </c>
      <c r="L410" s="2" t="str">
        <f>OBRA!M409</f>
        <v>ADJUDICACIÓN DIRECTA</v>
      </c>
      <c r="M410" s="3" t="str">
        <f>OBRA!N409</f>
        <v>"REHABILITACIÓN DE RED DE AGUA POTABLE EN CALLE OTOÑO ENTRE CALLE NIÑOS HEROES Y ZARAGOZA" EN LA CABECERA MUNICIPAL DE JOCOTEPEC, JALISCO</v>
      </c>
      <c r="N410" s="510" t="s">
        <v>3537</v>
      </c>
      <c r="O410" s="6">
        <f>OBRA!Q409</f>
        <v>43755</v>
      </c>
      <c r="P410" s="4">
        <f>OBRA!P409</f>
        <v>135637.59</v>
      </c>
      <c r="Q410" s="4"/>
      <c r="R410" s="5">
        <f>OBRA!R409</f>
        <v>43759</v>
      </c>
      <c r="S410" s="12">
        <f>OBRA!S409</f>
        <v>43809</v>
      </c>
      <c r="T410" s="55"/>
      <c r="U410" s="216" t="s">
        <v>1431</v>
      </c>
      <c r="V410" s="654"/>
      <c r="W410" s="1443"/>
      <c r="X410" s="1157">
        <f>OBRA!AP409</f>
        <v>27591.190000000002</v>
      </c>
      <c r="Y410" s="341"/>
      <c r="Z410" s="341"/>
      <c r="AA410" s="5"/>
      <c r="AB410" s="351">
        <f>OBRA!BT409</f>
        <v>0</v>
      </c>
      <c r="AC410" s="569" t="s">
        <v>551</v>
      </c>
      <c r="AE410"/>
      <c r="AF410"/>
      <c r="AG410"/>
      <c r="AH410"/>
      <c r="AI410"/>
      <c r="AJ410"/>
      <c r="AK410"/>
      <c r="AL410"/>
    </row>
    <row r="411" spans="1:38" ht="126" hidden="1" customHeight="1">
      <c r="A411" s="23" t="s">
        <v>2239</v>
      </c>
      <c r="B411" s="933" t="str">
        <f>GRAL!B412</f>
        <v>2018-2021</v>
      </c>
      <c r="C411" s="17">
        <f>OBRA!I410</f>
        <v>2019</v>
      </c>
      <c r="D411" s="18" t="str">
        <f>OBRA!K410</f>
        <v>RAMO 33</v>
      </c>
      <c r="E411" s="525" t="s">
        <v>1431</v>
      </c>
      <c r="F411" s="1439"/>
      <c r="G411" s="1015"/>
      <c r="H411" s="1439"/>
      <c r="I411" s="56" t="str">
        <f>OBRA!U410</f>
        <v>AV ATELIER DE ARQUITECTURA S.A. DE C.V.</v>
      </c>
      <c r="J411" s="172" t="str">
        <f>OBRA!V410</f>
        <v>LIC. SALVADOR CONTRERAS OLGUÍN</v>
      </c>
      <c r="K411" s="35"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510" t="s">
        <v>3537</v>
      </c>
      <c r="O411" s="6">
        <f>OBRA!Q410</f>
        <v>43755</v>
      </c>
      <c r="P411" s="4">
        <f>OBRA!P410</f>
        <v>883708.77</v>
      </c>
      <c r="Q411" s="4"/>
      <c r="R411" s="5">
        <f>OBRA!R410</f>
        <v>43759</v>
      </c>
      <c r="S411" s="12">
        <f>OBRA!S410</f>
        <v>43809</v>
      </c>
      <c r="T411" s="55"/>
      <c r="U411" s="216" t="s">
        <v>1431</v>
      </c>
      <c r="V411" s="654"/>
      <c r="W411" s="1443"/>
      <c r="X411" s="1157">
        <f>OBRA!AP410</f>
        <v>170988.1</v>
      </c>
      <c r="Y411" s="341"/>
      <c r="Z411" s="341"/>
      <c r="AA411" s="5"/>
      <c r="AB411" s="1057">
        <f>OBRA!BT410</f>
        <v>0</v>
      </c>
      <c r="AC411" s="569" t="s">
        <v>551</v>
      </c>
      <c r="AE411"/>
      <c r="AF411"/>
      <c r="AG411"/>
      <c r="AH411"/>
      <c r="AI411"/>
      <c r="AJ411"/>
      <c r="AK411"/>
      <c r="AL411"/>
    </row>
    <row r="412" spans="1:38" ht="113.25" hidden="1" customHeight="1">
      <c r="A412" s="23" t="s">
        <v>2239</v>
      </c>
      <c r="B412" s="933" t="str">
        <f>GRAL!B413</f>
        <v>2018-2021</v>
      </c>
      <c r="C412" s="17">
        <f>OBRA!I411</f>
        <v>2019</v>
      </c>
      <c r="D412" s="18" t="str">
        <f>OBRA!K411</f>
        <v>RAMO 33</v>
      </c>
      <c r="E412" s="525" t="s">
        <v>1431</v>
      </c>
      <c r="F412" s="1439"/>
      <c r="G412" s="1430"/>
      <c r="H412" s="1439"/>
      <c r="I412" s="56" t="str">
        <f>OBRA!U411</f>
        <v>GRUPO CONSTRUCTOR HORUS, S.A. DE C.V.</v>
      </c>
      <c r="J412" s="172" t="str">
        <f>OBRA!V411</f>
        <v>ING. J. GUADALUPE IBARRA RAMIREZ</v>
      </c>
      <c r="K412" s="35"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510" t="s">
        <v>3537</v>
      </c>
      <c r="O412" s="6">
        <f>OBRA!Q411</f>
        <v>43754</v>
      </c>
      <c r="P412" s="4">
        <f>OBRA!P411</f>
        <v>269609.8</v>
      </c>
      <c r="Q412" s="4"/>
      <c r="R412" s="5">
        <f>OBRA!R411</f>
        <v>43755</v>
      </c>
      <c r="S412" s="12">
        <f>OBRA!S411</f>
        <v>43799</v>
      </c>
      <c r="T412" s="55"/>
      <c r="U412" s="415" t="s">
        <v>1431</v>
      </c>
      <c r="V412" s="654"/>
      <c r="W412" s="1430"/>
      <c r="X412" s="1190">
        <f>OBRA!AP411</f>
        <v>56556.3</v>
      </c>
      <c r="Y412" s="341"/>
      <c r="Z412" s="341"/>
      <c r="AA412" s="5"/>
      <c r="AB412" s="1057">
        <f>OBRA!BT411</f>
        <v>0</v>
      </c>
      <c r="AC412" s="569" t="s">
        <v>551</v>
      </c>
      <c r="AE412"/>
      <c r="AF412"/>
      <c r="AG412"/>
      <c r="AH412"/>
      <c r="AI412"/>
      <c r="AJ412"/>
      <c r="AK412"/>
      <c r="AL412"/>
    </row>
    <row r="413" spans="1:38" ht="121.5" hidden="1" customHeight="1">
      <c r="A413" s="23" t="s">
        <v>2239</v>
      </c>
      <c r="B413" s="933" t="str">
        <f>GRAL!B414</f>
        <v>2018-2021</v>
      </c>
      <c r="C413" s="17">
        <f>OBRA!I412</f>
        <v>2019</v>
      </c>
      <c r="D413" s="18" t="str">
        <f>OBRA!K412</f>
        <v>RAMO 33</v>
      </c>
      <c r="E413" s="525" t="s">
        <v>1431</v>
      </c>
      <c r="F413" s="1439"/>
      <c r="G413" s="1015"/>
      <c r="H413" s="557"/>
      <c r="I413" s="56" t="str">
        <f>OBRA!U412</f>
        <v>GRUPO CONSTRUCTOR HORUS, S.A. DE C.V.</v>
      </c>
      <c r="J413" s="172" t="str">
        <f>OBRA!V412</f>
        <v>ING. J. GUADALUPE IBARRA RAMIREZ</v>
      </c>
      <c r="K413" s="35"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510" t="s">
        <v>3537</v>
      </c>
      <c r="O413" s="6">
        <f>OBRA!Q412</f>
        <v>43754</v>
      </c>
      <c r="P413" s="4">
        <f>OBRA!P412</f>
        <v>104875.19</v>
      </c>
      <c r="Q413" s="4"/>
      <c r="R413" s="5">
        <f>OBRA!R412</f>
        <v>43762</v>
      </c>
      <c r="S413" s="12">
        <f>OBRA!S412</f>
        <v>43799</v>
      </c>
      <c r="T413" s="55"/>
      <c r="U413" s="216" t="s">
        <v>1431</v>
      </c>
      <c r="V413" s="654"/>
      <c r="W413" s="1443"/>
      <c r="X413" s="1157">
        <f>OBRA!AP412</f>
        <v>20970.04</v>
      </c>
      <c r="Y413" s="341"/>
      <c r="Z413" s="341"/>
      <c r="AA413" s="5"/>
      <c r="AB413" s="1057">
        <f>OBRA!BT412</f>
        <v>0</v>
      </c>
      <c r="AC413" s="569" t="s">
        <v>551</v>
      </c>
      <c r="AE413"/>
      <c r="AF413"/>
      <c r="AG413"/>
      <c r="AH413"/>
      <c r="AI413"/>
      <c r="AJ413"/>
      <c r="AK413"/>
      <c r="AL413"/>
    </row>
    <row r="414" spans="1:38" ht="117.75" hidden="1" customHeight="1">
      <c r="A414" s="23" t="s">
        <v>2239</v>
      </c>
      <c r="B414" s="933" t="str">
        <f>GRAL!B415</f>
        <v>2018-2021</v>
      </c>
      <c r="C414" s="17">
        <f>OBRA!I413</f>
        <v>2019</v>
      </c>
      <c r="D414" s="18" t="str">
        <f>OBRA!K413</f>
        <v>RAMO 33</v>
      </c>
      <c r="E414" s="525" t="s">
        <v>1431</v>
      </c>
      <c r="F414" s="1439"/>
      <c r="G414" s="1015"/>
      <c r="H414" s="1439"/>
      <c r="I414" s="56" t="str">
        <f>OBRA!U413</f>
        <v>GRUPO CONSTRUCTOR HORUS, S.A. DE C.V.</v>
      </c>
      <c r="J414" s="172" t="str">
        <f>OBRA!V413</f>
        <v>ING. J. GUADALUPE IBARRA RAMIREZ</v>
      </c>
      <c r="K414" s="35"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510" t="s">
        <v>3537</v>
      </c>
      <c r="O414" s="6">
        <f>OBRA!Q413</f>
        <v>43754</v>
      </c>
      <c r="P414" s="4">
        <f>OBRA!P413</f>
        <v>702979.49</v>
      </c>
      <c r="Q414" s="4"/>
      <c r="R414" s="5">
        <f>OBRA!R413</f>
        <v>43762</v>
      </c>
      <c r="S414" s="12">
        <f>OBRA!S413</f>
        <v>43799</v>
      </c>
      <c r="T414" s="55"/>
      <c r="U414" s="216" t="s">
        <v>1431</v>
      </c>
      <c r="V414" s="654"/>
      <c r="W414" s="1443"/>
      <c r="X414" s="1157">
        <f>OBRA!AP413</f>
        <v>144872.22</v>
      </c>
      <c r="Y414" s="341"/>
      <c r="Z414" s="341"/>
      <c r="AA414" s="5"/>
      <c r="AB414" s="1057">
        <f>OBRA!BT413</f>
        <v>0</v>
      </c>
      <c r="AC414" s="569" t="s">
        <v>551</v>
      </c>
      <c r="AE414"/>
      <c r="AF414"/>
      <c r="AG414"/>
      <c r="AH414"/>
      <c r="AI414"/>
      <c r="AJ414"/>
      <c r="AK414"/>
      <c r="AL414"/>
    </row>
    <row r="415" spans="1:38" ht="90" hidden="1" customHeight="1">
      <c r="A415" s="23" t="s">
        <v>2239</v>
      </c>
      <c r="B415" s="933" t="str">
        <f>GRAL!B416</f>
        <v>2018-2021</v>
      </c>
      <c r="C415" s="17">
        <f>OBRA!I414</f>
        <v>2019</v>
      </c>
      <c r="D415" s="18" t="str">
        <f>OBRA!K414</f>
        <v>RAMO 33</v>
      </c>
      <c r="E415" s="525" t="s">
        <v>1431</v>
      </c>
      <c r="F415" s="1128"/>
      <c r="G415" s="1015"/>
      <c r="H415" s="1439"/>
      <c r="I415" s="56" t="str">
        <f>OBRA!U414</f>
        <v>CONSTRUCTORA PIMONT S.A. DE C.V.</v>
      </c>
      <c r="J415" s="57" t="str">
        <f>OBRA!V414</f>
        <v>LIC. SALVADOR CONTRERAS OLGUÍN</v>
      </c>
      <c r="K415" s="35" t="str">
        <f>OBRA!L414</f>
        <v>GMJ 031 C-OP/2019</v>
      </c>
      <c r="L415" s="2" t="str">
        <f>OBRA!M414</f>
        <v>ADJUDICACIÓN DIRECTA</v>
      </c>
      <c r="M415" s="3" t="str">
        <f>OBRA!N414</f>
        <v>"CONSTRUCCIÓN DE BANQUETAS EN CALLE MORELOS DELEGACIÓN DE CHANTEPEC MUNICIPIO DE JOCOTEPEC, JALISCO".</v>
      </c>
      <c r="N415" s="510" t="s">
        <v>3538</v>
      </c>
      <c r="O415" s="6">
        <f>OBRA!Q414</f>
        <v>43754</v>
      </c>
      <c r="P415" s="4">
        <f>OBRA!P414</f>
        <v>311860.06</v>
      </c>
      <c r="Q415" s="4"/>
      <c r="R415" s="5">
        <f>OBRA!R414</f>
        <v>43759</v>
      </c>
      <c r="S415" s="12">
        <f>OBRA!S414</f>
        <v>43790</v>
      </c>
      <c r="T415" s="55"/>
      <c r="U415" s="216" t="s">
        <v>1431</v>
      </c>
      <c r="V415" s="654"/>
      <c r="W415" s="1443"/>
      <c r="X415" s="1157">
        <f>OBRA!AP414</f>
        <v>62372</v>
      </c>
      <c r="Y415" s="341"/>
      <c r="Z415" s="341"/>
      <c r="AA415" s="5"/>
      <c r="AB415" s="351">
        <f>OBRA!BT414</f>
        <v>0</v>
      </c>
      <c r="AC415" s="569" t="s">
        <v>551</v>
      </c>
      <c r="AE415"/>
      <c r="AF415"/>
      <c r="AG415"/>
      <c r="AH415"/>
      <c r="AI415"/>
      <c r="AJ415"/>
      <c r="AK415"/>
      <c r="AL415"/>
    </row>
    <row r="416" spans="1:38" s="110" customFormat="1" ht="15" hidden="1" customHeight="1">
      <c r="A416" s="87" t="s">
        <v>2239</v>
      </c>
      <c r="B416" s="946" t="str">
        <f>GRAL!B417</f>
        <v>2018-2021</v>
      </c>
      <c r="C416" s="88">
        <f>OBRA!I415</f>
        <v>2019</v>
      </c>
      <c r="D416" s="103">
        <f>OBRA!K415</f>
        <v>0</v>
      </c>
      <c r="E416" s="526" t="s">
        <v>1431</v>
      </c>
      <c r="F416" s="392"/>
      <c r="G416" s="102"/>
      <c r="H416" s="392"/>
      <c r="I416" s="159">
        <f>OBRA!U415</f>
        <v>0</v>
      </c>
      <c r="J416" s="160">
        <f>OBRA!V415</f>
        <v>0</v>
      </c>
      <c r="K416" s="96" t="str">
        <f>OBRA!L415</f>
        <v>GMJ 032 C-OP/2019</v>
      </c>
      <c r="L416" s="91" t="str">
        <f>OBRA!M415</f>
        <v>CANCELADA</v>
      </c>
      <c r="M416" s="132">
        <f>OBRA!N415</f>
        <v>0</v>
      </c>
      <c r="N416" s="132"/>
      <c r="O416" s="93">
        <f>OBRA!Q415</f>
        <v>0</v>
      </c>
      <c r="P416" s="92">
        <f>OBRA!P415</f>
        <v>0</v>
      </c>
      <c r="Q416" s="92"/>
      <c r="R416" s="94">
        <f>OBRA!R415</f>
        <v>0</v>
      </c>
      <c r="S416" s="95">
        <f>OBRA!S415</f>
        <v>0</v>
      </c>
      <c r="T416" s="97"/>
      <c r="U416" s="785" t="s">
        <v>1431</v>
      </c>
      <c r="V416" s="343"/>
      <c r="W416" s="95"/>
      <c r="X416" s="311">
        <f>OBRA!AP415</f>
        <v>0</v>
      </c>
      <c r="Y416" s="343"/>
      <c r="Z416" s="343"/>
      <c r="AA416" s="94"/>
      <c r="AB416" s="511">
        <f>OBRA!BT415</f>
        <v>0</v>
      </c>
      <c r="AC416" s="570"/>
    </row>
    <row r="417" spans="1:38" s="110" customFormat="1" ht="15" hidden="1" customHeight="1">
      <c r="A417" s="87" t="s">
        <v>2239</v>
      </c>
      <c r="B417" s="946" t="str">
        <f>GRAL!B418</f>
        <v>2018-2021</v>
      </c>
      <c r="C417" s="88">
        <f>OBRA!I416</f>
        <v>2019</v>
      </c>
      <c r="D417" s="103">
        <f>OBRA!K416</f>
        <v>0</v>
      </c>
      <c r="E417" s="526" t="s">
        <v>1431</v>
      </c>
      <c r="F417" s="392"/>
      <c r="G417" s="102"/>
      <c r="H417" s="392"/>
      <c r="I417" s="159">
        <f>OBRA!U416</f>
        <v>0</v>
      </c>
      <c r="J417" s="160">
        <f>OBRA!V416</f>
        <v>0</v>
      </c>
      <c r="K417" s="96" t="str">
        <f>OBRA!L416</f>
        <v>GMJ 033 C-OP/2019</v>
      </c>
      <c r="L417" s="91" t="str">
        <f>OBRA!M416</f>
        <v>CANCELADA</v>
      </c>
      <c r="M417" s="132">
        <f>OBRA!N416</f>
        <v>0</v>
      </c>
      <c r="N417" s="132"/>
      <c r="O417" s="93">
        <f>OBRA!Q416</f>
        <v>0</v>
      </c>
      <c r="P417" s="92">
        <f>OBRA!P416</f>
        <v>0</v>
      </c>
      <c r="Q417" s="92"/>
      <c r="R417" s="94">
        <f>OBRA!R416</f>
        <v>0</v>
      </c>
      <c r="S417" s="95">
        <f>OBRA!S416</f>
        <v>0</v>
      </c>
      <c r="T417" s="97"/>
      <c r="U417" s="785" t="s">
        <v>1431</v>
      </c>
      <c r="V417" s="343"/>
      <c r="W417" s="95"/>
      <c r="X417" s="311">
        <f>OBRA!AP416</f>
        <v>0</v>
      </c>
      <c r="Y417" s="343"/>
      <c r="Z417" s="343"/>
      <c r="AA417" s="94"/>
      <c r="AB417" s="511">
        <f>OBRA!BT416</f>
        <v>0</v>
      </c>
      <c r="AC417" s="570"/>
    </row>
    <row r="418" spans="1:38" ht="129" hidden="1" customHeight="1">
      <c r="A418" s="23" t="s">
        <v>2239</v>
      </c>
      <c r="B418" s="933" t="str">
        <f>GRAL!B419</f>
        <v>2018-2021</v>
      </c>
      <c r="C418" s="17">
        <f>OBRA!I417</f>
        <v>2019</v>
      </c>
      <c r="D418" s="18" t="str">
        <f>OBRA!K417</f>
        <v>RAMO 33</v>
      </c>
      <c r="E418" s="525" t="s">
        <v>1431</v>
      </c>
      <c r="F418" s="631"/>
      <c r="G418" s="1015"/>
      <c r="H418" s="631"/>
      <c r="I418" s="56" t="str">
        <f>OBRA!U417</f>
        <v>INGENIERÍA ARQUITECTURA MENDPAD S.A. DE C.V.</v>
      </c>
      <c r="J418" s="57" t="str">
        <f>OBRA!V417</f>
        <v>LIC. SALVADOR CONTRERAS OLGUÍN</v>
      </c>
      <c r="K418" s="35"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510" t="s">
        <v>3538</v>
      </c>
      <c r="O418" s="6">
        <f>OBRA!Q417</f>
        <v>43754</v>
      </c>
      <c r="P418" s="4">
        <f>OBRA!P417</f>
        <v>82700.09</v>
      </c>
      <c r="Q418" s="4"/>
      <c r="R418" s="5">
        <f>OBRA!R417</f>
        <v>43755</v>
      </c>
      <c r="S418" s="12">
        <f>OBRA!S417</f>
        <v>43767</v>
      </c>
      <c r="T418" s="55"/>
      <c r="U418" s="216" t="s">
        <v>1431</v>
      </c>
      <c r="V418" s="654"/>
      <c r="W418" s="1443"/>
      <c r="X418" s="1153">
        <f>OBRA!AP417</f>
        <v>48335.01</v>
      </c>
      <c r="Y418" s="341"/>
      <c r="Z418" s="341"/>
      <c r="AA418" s="5"/>
      <c r="AB418" s="351">
        <f>OBRA!BT417</f>
        <v>0</v>
      </c>
      <c r="AC418" s="569" t="s">
        <v>551</v>
      </c>
      <c r="AE418"/>
      <c r="AF418"/>
      <c r="AG418"/>
      <c r="AH418"/>
      <c r="AI418"/>
      <c r="AJ418"/>
      <c r="AK418"/>
      <c r="AL418"/>
    </row>
    <row r="419" spans="1:38" ht="109.5" hidden="1" customHeight="1">
      <c r="A419" s="23" t="s">
        <v>2239</v>
      </c>
      <c r="B419" s="933" t="str">
        <f>GRAL!B420</f>
        <v>2018-2021</v>
      </c>
      <c r="C419" s="17">
        <f>OBRA!I418</f>
        <v>2019</v>
      </c>
      <c r="D419" s="18" t="str">
        <f>OBRA!K418</f>
        <v>RAMO 33</v>
      </c>
      <c r="E419" s="525" t="s">
        <v>1431</v>
      </c>
      <c r="F419" s="631"/>
      <c r="G419" s="1015"/>
      <c r="H419" s="631"/>
      <c r="I419" s="56" t="str">
        <f>OBRA!U418</f>
        <v>INGENIERÍA ARQUITECTURA MENDPAD S.A. DE C.V.</v>
      </c>
      <c r="J419" s="172" t="str">
        <f>OBRA!V418</f>
        <v>LIC. SALVADOR CONTRERAS OLGUÍN</v>
      </c>
      <c r="K419" s="35" t="str">
        <f>OBRA!L418</f>
        <v>GMJ 035 C-OP/2019</v>
      </c>
      <c r="L419" s="2" t="str">
        <f>OBRA!M418</f>
        <v>ADJUDICACIÓN DIRECTA</v>
      </c>
      <c r="M419" s="3" t="str">
        <f>OBRA!N418</f>
        <v>"REHABILITACIÓN DE LÍNEA DE DRENAJE EN CALLE VERANO ENTRE CALLES NIÑOS HÉROES Y LÓPEZ RAYÓN CABECERA MUNICIPAL DE JOCOTEPEC, JALISCO".</v>
      </c>
      <c r="N419" s="510" t="s">
        <v>3538</v>
      </c>
      <c r="O419" s="6">
        <f>OBRA!Q418</f>
        <v>43794</v>
      </c>
      <c r="P419" s="4">
        <f>OBRA!P418</f>
        <v>118488.2</v>
      </c>
      <c r="Q419" s="4"/>
      <c r="R419" s="5">
        <f>OBRA!R418</f>
        <v>43795</v>
      </c>
      <c r="S419" s="12">
        <f>OBRA!S418</f>
        <v>43813</v>
      </c>
      <c r="T419" s="55"/>
      <c r="U419" s="216" t="s">
        <v>1431</v>
      </c>
      <c r="V419" s="654"/>
      <c r="W419" s="1443"/>
      <c r="X419" s="1157">
        <f>OBRA!AP418</f>
        <v>23697.64</v>
      </c>
      <c r="Y419" s="341"/>
      <c r="Z419" s="341"/>
      <c r="AA419" s="5"/>
      <c r="AB419" s="351">
        <f>OBRA!BT418</f>
        <v>0</v>
      </c>
      <c r="AC419" s="569" t="s">
        <v>551</v>
      </c>
      <c r="AE419"/>
      <c r="AF419"/>
      <c r="AG419"/>
      <c r="AH419"/>
      <c r="AI419"/>
      <c r="AJ419"/>
      <c r="AK419"/>
      <c r="AL419"/>
    </row>
    <row r="420" spans="1:38" ht="123.75" hidden="1" customHeight="1">
      <c r="A420" s="23" t="s">
        <v>2239</v>
      </c>
      <c r="B420" s="933" t="str">
        <f>GRAL!B421</f>
        <v>2018-2021</v>
      </c>
      <c r="C420" s="17">
        <f>OBRA!I419</f>
        <v>2019</v>
      </c>
      <c r="D420" s="18" t="str">
        <f>OBRA!K419</f>
        <v>RAMO 33</v>
      </c>
      <c r="E420" s="525" t="s">
        <v>1431</v>
      </c>
      <c r="F420" s="1439"/>
      <c r="G420" s="1015"/>
      <c r="H420" s="1439"/>
      <c r="I420" s="56" t="str">
        <f>OBRA!U419</f>
        <v>INGENIERÍA ARQUITECTURA MENDPAD S.A. DE C.V.</v>
      </c>
      <c r="J420" s="172" t="str">
        <f>OBRA!V419</f>
        <v>LIC. SALVADOR CONTRERAS OLGUÍN</v>
      </c>
      <c r="K420" s="35" t="str">
        <f>OBRA!L419</f>
        <v>GMJ 036 C-OP/2019</v>
      </c>
      <c r="L420" s="2" t="str">
        <f>OBRA!M419</f>
        <v>ADJUDICACIÓN DIRECTA</v>
      </c>
      <c r="M420" s="3" t="str">
        <f>OBRA!N419</f>
        <v>"CONSTRUCCIÓN DE EMPEDRADO AHOGADO EN CEMENTO EN CALLE VERANO ENTRE NIÑOS HÉROES Y EMPEDRADO EXISTENTE CABECERA MUNICIPAL DE JOCOTEPEC, JALISCO".</v>
      </c>
      <c r="N420" s="510" t="s">
        <v>3538</v>
      </c>
      <c r="O420" s="6">
        <f>OBRA!Q419</f>
        <v>43794</v>
      </c>
      <c r="P420" s="4">
        <f>OBRA!P419</f>
        <v>267068.21999999997</v>
      </c>
      <c r="Q420" s="4"/>
      <c r="R420" s="5">
        <f>OBRA!R419</f>
        <v>43801</v>
      </c>
      <c r="S420" s="12">
        <f>OBRA!S419</f>
        <v>43830</v>
      </c>
      <c r="T420" s="55"/>
      <c r="U420" s="216" t="s">
        <v>1431</v>
      </c>
      <c r="V420" s="654"/>
      <c r="W420" s="1443"/>
      <c r="X420" s="1157">
        <f>OBRA!AP419</f>
        <v>53413.64</v>
      </c>
      <c r="Y420" s="341"/>
      <c r="Z420" s="341"/>
      <c r="AA420" s="5"/>
      <c r="AB420" s="351">
        <f>OBRA!BT419</f>
        <v>0</v>
      </c>
      <c r="AC420" s="569" t="s">
        <v>551</v>
      </c>
      <c r="AE420"/>
      <c r="AF420"/>
      <c r="AG420"/>
      <c r="AH420"/>
      <c r="AI420"/>
      <c r="AJ420"/>
      <c r="AK420"/>
      <c r="AL420"/>
    </row>
    <row r="421" spans="1:38" ht="93" hidden="1" customHeight="1">
      <c r="A421" s="23" t="s">
        <v>2239</v>
      </c>
      <c r="B421" s="933" t="str">
        <f>GRAL!B423</f>
        <v>2018-2021</v>
      </c>
      <c r="C421" s="17">
        <f>OBRA!I421</f>
        <v>2019</v>
      </c>
      <c r="D421" s="18" t="str">
        <f>OBRA!K421</f>
        <v>P.I.D.</v>
      </c>
      <c r="E421" s="525" t="s">
        <v>1431</v>
      </c>
      <c r="F421" s="1439"/>
      <c r="G421" s="1015"/>
      <c r="H421" s="1439"/>
      <c r="I421" s="56" t="str">
        <f>OBRA!U421</f>
        <v>CONSTRUCTORA PIMONT S.A. DE C.V.</v>
      </c>
      <c r="J421" s="172" t="str">
        <f>OBRA!V421</f>
        <v>LIC. SALVADOR CONTRERAS OLGUÍN</v>
      </c>
      <c r="K421" s="35" t="str">
        <f>OBRA!L421</f>
        <v>GMJ 038 C-OP/2019</v>
      </c>
      <c r="L421" s="2" t="str">
        <f>OBRA!M421</f>
        <v>ADJUDICACIÓN DIRECTA</v>
      </c>
      <c r="M421" s="3" t="str">
        <f>OBRA!N421</f>
        <v>"CONSTRUCCIÓN DE PUERTO INOCUO DE DESEMBARQUE (P.I.D.) EN LA AGENCIA DE NEXTIPAC MUNICIPIO DE JOCOTEPEC, JALISCO.</v>
      </c>
      <c r="N421" s="510" t="s">
        <v>3538</v>
      </c>
      <c r="O421" s="6">
        <f>OBRA!Q421</f>
        <v>43783</v>
      </c>
      <c r="P421" s="4">
        <f>OBRA!P421</f>
        <v>875313.77</v>
      </c>
      <c r="Q421" s="4"/>
      <c r="R421" s="5">
        <f>OBRA!R421</f>
        <v>43784</v>
      </c>
      <c r="S421" s="12">
        <f>OBRA!S421</f>
        <v>43829</v>
      </c>
      <c r="T421" s="55"/>
      <c r="U421" s="415" t="s">
        <v>1431</v>
      </c>
      <c r="V421" s="654"/>
      <c r="W421" s="1443"/>
      <c r="X421" s="1157">
        <f>OBRA!AP421</f>
        <v>175062.74</v>
      </c>
      <c r="Y421" s="341"/>
      <c r="Z421" s="341"/>
      <c r="AA421" s="5"/>
      <c r="AB421" s="351">
        <f>OBRA!BT421</f>
        <v>0</v>
      </c>
      <c r="AC421" s="569" t="s">
        <v>551</v>
      </c>
      <c r="AE421"/>
      <c r="AF421"/>
      <c r="AG421"/>
      <c r="AH421"/>
      <c r="AI421"/>
      <c r="AJ421"/>
      <c r="AK421"/>
      <c r="AL421"/>
    </row>
    <row r="422" spans="1:38" ht="45" hidden="1" customHeight="1">
      <c r="A422" s="23" t="str">
        <f>GRAL!G424</f>
        <v>SERVICIO</v>
      </c>
      <c r="B422" s="933" t="str">
        <f>GRAL!B424</f>
        <v>2018-2021</v>
      </c>
      <c r="C422" s="17">
        <f>OBRA!I422</f>
        <v>2020</v>
      </c>
      <c r="D422" s="18" t="str">
        <f>OBRA!K422</f>
        <v>CEAJ / CUENTA CORRIENTE</v>
      </c>
      <c r="E422" s="525"/>
      <c r="F422" s="390"/>
      <c r="G422" s="1"/>
      <c r="H422" s="390"/>
      <c r="I422" s="56" t="str">
        <f>OBRA!U422</f>
        <v>N/A</v>
      </c>
      <c r="J422" s="57" t="str">
        <f>OBRA!V422</f>
        <v>N/A</v>
      </c>
      <c r="K422" s="35"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2" t="str">
        <f>OBRA!S422</f>
        <v>-</v>
      </c>
      <c r="T422" s="55"/>
      <c r="U422" s="415" t="s">
        <v>1431</v>
      </c>
      <c r="V422" s="341"/>
      <c r="W422" s="12"/>
      <c r="X422" s="1153">
        <f>OBRA!AP422</f>
        <v>0</v>
      </c>
      <c r="Y422" s="341"/>
      <c r="Z422" s="341"/>
      <c r="AA422" s="5"/>
      <c r="AB422" s="351">
        <f>OBRA!BT422</f>
        <v>0</v>
      </c>
      <c r="AC422" s="569"/>
      <c r="AE422"/>
      <c r="AF422"/>
      <c r="AG422"/>
      <c r="AH422"/>
      <c r="AI422"/>
      <c r="AJ422"/>
      <c r="AK422"/>
      <c r="AL422"/>
    </row>
    <row r="423" spans="1:38" ht="45" hidden="1" customHeight="1">
      <c r="A423" s="23" t="str">
        <f>GRAL!G425</f>
        <v>SERVICIO</v>
      </c>
      <c r="B423" s="933" t="str">
        <f>GRAL!B425</f>
        <v>2018-2021</v>
      </c>
      <c r="C423" s="17">
        <f>OBRA!I423</f>
        <v>2020</v>
      </c>
      <c r="D423" s="18" t="str">
        <f>OBRA!K423</f>
        <v>RESCATE AL PATRIMONIO</v>
      </c>
      <c r="E423" s="525"/>
      <c r="F423" s="390"/>
      <c r="G423" s="1"/>
      <c r="H423" s="390"/>
      <c r="I423" s="56" t="str">
        <f>OBRA!U423</f>
        <v>N/A</v>
      </c>
      <c r="J423" s="57" t="str">
        <f>OBRA!V423</f>
        <v>N/A</v>
      </c>
      <c r="K423" s="35"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2" t="str">
        <f>OBRA!S423</f>
        <v>-</v>
      </c>
      <c r="T423" s="55"/>
      <c r="U423" s="415" t="s">
        <v>1431</v>
      </c>
      <c r="V423" s="341"/>
      <c r="W423" s="12"/>
      <c r="X423" s="1153">
        <f>OBRA!AP423</f>
        <v>0</v>
      </c>
      <c r="Y423" s="341"/>
      <c r="Z423" s="341"/>
      <c r="AA423" s="5"/>
      <c r="AB423" s="351">
        <f>OBRA!BT423</f>
        <v>0</v>
      </c>
      <c r="AC423" s="569"/>
      <c r="AE423"/>
      <c r="AF423"/>
      <c r="AG423"/>
      <c r="AH423"/>
      <c r="AI423"/>
      <c r="AJ423"/>
      <c r="AK423"/>
      <c r="AL423"/>
    </row>
    <row r="424" spans="1:38" s="110" customFormat="1" ht="45" hidden="1" customHeight="1">
      <c r="A424" s="87" t="str">
        <f>GRAL!G426</f>
        <v>SERVICIO</v>
      </c>
      <c r="B424" s="946" t="str">
        <f>GRAL!B426</f>
        <v>2018-2021</v>
      </c>
      <c r="C424" s="88">
        <f>OBRA!I424</f>
        <v>2020</v>
      </c>
      <c r="D424" s="103" t="str">
        <f>OBRA!K424</f>
        <v>FOCOCI</v>
      </c>
      <c r="E424" s="526"/>
      <c r="F424" s="392"/>
      <c r="G424" s="102"/>
      <c r="H424" s="392"/>
      <c r="I424" s="159" t="str">
        <f>OBRA!U424</f>
        <v>N/A</v>
      </c>
      <c r="J424" s="160" t="str">
        <f>OBRA!V424</f>
        <v>N/A</v>
      </c>
      <c r="K424" s="96" t="str">
        <f>OBRA!L424</f>
        <v>FOCOCI 2020</v>
      </c>
      <c r="L424" s="91" t="str">
        <f>OBRA!M424</f>
        <v>CONVENIO</v>
      </c>
      <c r="M424" s="132" t="str">
        <f>OBRA!N424</f>
        <v>CONSTRUCCIÓN Y EQUIPAMIENTO DE PLAZA PRINCIPAL EN CHANTEPEC, MUNICIPIO DE JOCOTEPEC, JALISCO / INTERVENCIÓN Y RESTAURACIÓN DE MERCADO MUNICIPAL MORELOS, MUNICIPO DE JOCOTEPEC, JALISCO.</v>
      </c>
      <c r="N424" s="132"/>
      <c r="O424" s="93">
        <f>OBRA!Q424</f>
        <v>44054</v>
      </c>
      <c r="P424" s="92">
        <f>OBRA!P424</f>
        <v>20000000</v>
      </c>
      <c r="Q424" s="92"/>
      <c r="R424" s="94" t="str">
        <f>OBRA!R424</f>
        <v>-</v>
      </c>
      <c r="S424" s="95" t="str">
        <f>OBRA!S424</f>
        <v>-</v>
      </c>
      <c r="T424" s="97"/>
      <c r="U424" s="785" t="s">
        <v>1431</v>
      </c>
      <c r="V424" s="343"/>
      <c r="W424" s="95"/>
      <c r="X424" s="1671">
        <f>OBRA!AP424</f>
        <v>0</v>
      </c>
      <c r="Y424" s="343"/>
      <c r="Z424" s="343"/>
      <c r="AA424" s="94"/>
      <c r="AB424" s="511">
        <f>OBRA!BT424</f>
        <v>0</v>
      </c>
      <c r="AC424" s="570"/>
    </row>
    <row r="425" spans="1:38" ht="45" hidden="1" customHeight="1">
      <c r="A425" s="23" t="str">
        <f>GRAL!G427</f>
        <v>SERVICIO</v>
      </c>
      <c r="B425" s="933" t="str">
        <f>GRAL!B427</f>
        <v>2018-2021</v>
      </c>
      <c r="C425" s="17">
        <f>OBRA!I425</f>
        <v>2020</v>
      </c>
      <c r="D425" s="18" t="str">
        <f>OBRA!K425</f>
        <v xml:space="preserve">RASTRO DIGNO </v>
      </c>
      <c r="E425" s="525"/>
      <c r="F425" s="390"/>
      <c r="G425" s="1"/>
      <c r="H425" s="390"/>
      <c r="I425" s="56" t="str">
        <f>OBRA!U425</f>
        <v>N/A</v>
      </c>
      <c r="J425" s="57" t="str">
        <f>OBRA!V425</f>
        <v>N/A</v>
      </c>
      <c r="K425" s="35"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2" t="str">
        <f>OBRA!S425</f>
        <v>-</v>
      </c>
      <c r="T425" s="55"/>
      <c r="U425" s="415" t="s">
        <v>1431</v>
      </c>
      <c r="V425" s="341"/>
      <c r="W425" s="12"/>
      <c r="X425" s="1153">
        <f>OBRA!AP425</f>
        <v>0</v>
      </c>
      <c r="Y425" s="341"/>
      <c r="Z425" s="341"/>
      <c r="AA425" s="5"/>
      <c r="AB425" s="351">
        <f>OBRA!BT425</f>
        <v>0</v>
      </c>
      <c r="AC425" s="569"/>
      <c r="AE425"/>
      <c r="AF425"/>
      <c r="AG425"/>
      <c r="AH425"/>
      <c r="AI425"/>
      <c r="AJ425"/>
      <c r="AK425"/>
      <c r="AL425"/>
    </row>
    <row r="426" spans="1:38" ht="45" hidden="1" customHeight="1">
      <c r="A426" s="23" t="str">
        <f>GRAL!G428</f>
        <v>SERVICIO</v>
      </c>
      <c r="B426" s="933" t="str">
        <f>GRAL!B428</f>
        <v>2018-2021</v>
      </c>
      <c r="C426" s="17">
        <f>OBRA!I426</f>
        <v>2020</v>
      </c>
      <c r="D426" s="18" t="str">
        <f>OBRA!K426</f>
        <v>EMP P/LA REACTIVACIÓN ECONÓMICA EN MPIOS</v>
      </c>
      <c r="E426" s="525"/>
      <c r="F426" s="390"/>
      <c r="G426" s="1"/>
      <c r="H426" s="390"/>
      <c r="I426" s="56" t="str">
        <f>OBRA!U426</f>
        <v>N/A</v>
      </c>
      <c r="J426" s="57" t="str">
        <f>OBRA!V426</f>
        <v>N/A</v>
      </c>
      <c r="K426" s="35"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2" t="str">
        <f>OBRA!S426</f>
        <v>-</v>
      </c>
      <c r="T426" s="55"/>
      <c r="U426" s="415" t="s">
        <v>1431</v>
      </c>
      <c r="V426" s="341"/>
      <c r="W426" s="12"/>
      <c r="X426" s="1153">
        <f>OBRA!AP426</f>
        <v>0</v>
      </c>
      <c r="Y426" s="341"/>
      <c r="Z426" s="341"/>
      <c r="AA426" s="5"/>
      <c r="AB426" s="351">
        <f>OBRA!BT426</f>
        <v>0</v>
      </c>
      <c r="AC426" s="569"/>
      <c r="AE426"/>
      <c r="AF426"/>
      <c r="AG426"/>
      <c r="AH426"/>
      <c r="AI426"/>
      <c r="AJ426"/>
      <c r="AK426"/>
      <c r="AL426"/>
    </row>
    <row r="427" spans="1:38" ht="45" hidden="1" customHeight="1">
      <c r="A427" s="23" t="str">
        <f>GRAL!G429</f>
        <v>SERVICIO</v>
      </c>
      <c r="B427" s="933" t="str">
        <f>GRAL!B429</f>
        <v>2018-2021</v>
      </c>
      <c r="C427" s="17">
        <f>OBRA!I427</f>
        <v>2020</v>
      </c>
      <c r="D427" s="18" t="str">
        <f>OBRA!K427</f>
        <v>CUENTA CORRIENTE</v>
      </c>
      <c r="E427" s="525"/>
      <c r="F427" s="390"/>
      <c r="G427" s="1"/>
      <c r="H427" s="390"/>
      <c r="I427" s="56" t="str">
        <f>OBRA!U427</f>
        <v>N/A</v>
      </c>
      <c r="J427" s="57" t="str">
        <f>OBRA!V427</f>
        <v>ING. JUAN MANUEL GARCIA ESCOTO</v>
      </c>
      <c r="K427" s="35"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2">
        <f>OBRA!S427</f>
        <v>43982</v>
      </c>
      <c r="T427" s="55"/>
      <c r="U427" s="415" t="s">
        <v>1431</v>
      </c>
      <c r="V427" s="341"/>
      <c r="W427" s="12"/>
      <c r="X427" s="1153">
        <f>OBRA!AP427</f>
        <v>0</v>
      </c>
      <c r="Y427" s="341"/>
      <c r="Z427" s="341"/>
      <c r="AA427" s="5"/>
      <c r="AB427" s="351">
        <f>OBRA!BT427</f>
        <v>0</v>
      </c>
      <c r="AC427" s="569"/>
      <c r="AE427"/>
      <c r="AF427"/>
      <c r="AG427"/>
      <c r="AH427"/>
      <c r="AI427"/>
      <c r="AJ427"/>
      <c r="AK427"/>
      <c r="AL427"/>
    </row>
    <row r="428" spans="1:38" ht="45" hidden="1" customHeight="1">
      <c r="A428" s="23" t="str">
        <f>GRAL!G430</f>
        <v>SERVICIO</v>
      </c>
      <c r="B428" s="933" t="str">
        <f>GRAL!B430</f>
        <v>2018-2021</v>
      </c>
      <c r="C428" s="17">
        <f>OBRA!I428</f>
        <v>2020</v>
      </c>
      <c r="D428" s="18" t="str">
        <f>OBRA!K428</f>
        <v>CUENTA CORRIENTE</v>
      </c>
      <c r="E428" s="525"/>
      <c r="F428" s="390"/>
      <c r="G428" s="1"/>
      <c r="H428" s="390"/>
      <c r="I428" s="56" t="str">
        <f>OBRA!U428</f>
        <v>N/A</v>
      </c>
      <c r="J428" s="57" t="str">
        <f>OBRA!V428</f>
        <v>HACIENDA MPAL</v>
      </c>
      <c r="K428" s="35"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2">
        <f>OBRA!S428</f>
        <v>44043</v>
      </c>
      <c r="T428" s="55"/>
      <c r="U428" s="415" t="s">
        <v>1431</v>
      </c>
      <c r="V428" s="341"/>
      <c r="W428" s="12"/>
      <c r="X428" s="1153">
        <f>OBRA!AP428</f>
        <v>0</v>
      </c>
      <c r="Y428" s="341"/>
      <c r="Z428" s="341"/>
      <c r="AA428" s="5"/>
      <c r="AB428" s="351">
        <f>OBRA!BT428</f>
        <v>0</v>
      </c>
      <c r="AC428" s="569"/>
      <c r="AE428"/>
      <c r="AF428"/>
      <c r="AG428"/>
      <c r="AH428"/>
      <c r="AI428"/>
      <c r="AJ428"/>
      <c r="AK428"/>
      <c r="AL428"/>
    </row>
    <row r="429" spans="1:38" ht="45" hidden="1" customHeight="1">
      <c r="A429" s="23" t="str">
        <f>GRAL!G431</f>
        <v>SERVICIO</v>
      </c>
      <c r="B429" s="933" t="str">
        <f>GRAL!B431</f>
        <v>2018-2021</v>
      </c>
      <c r="C429" s="17">
        <f>OBRA!I429</f>
        <v>2020</v>
      </c>
      <c r="D429" s="18" t="str">
        <f>OBRA!K429</f>
        <v>CEAJ / CUENTA CORRIENTE</v>
      </c>
      <c r="E429" s="525"/>
      <c r="F429" s="390"/>
      <c r="G429" s="1"/>
      <c r="H429" s="390"/>
      <c r="I429" s="56" t="str">
        <f>OBRA!U429</f>
        <v>N/A</v>
      </c>
      <c r="J429" s="57" t="str">
        <f>OBRA!V429</f>
        <v>ARQ. JAIME CONDE GOMEZ</v>
      </c>
      <c r="K429" s="35"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2">
        <f>OBRA!S429</f>
        <v>44098</v>
      </c>
      <c r="T429" s="55"/>
      <c r="U429" s="415" t="s">
        <v>1431</v>
      </c>
      <c r="V429" s="341"/>
      <c r="W429" s="12"/>
      <c r="X429" s="1153">
        <f>OBRA!AP429</f>
        <v>0</v>
      </c>
      <c r="Y429" s="341"/>
      <c r="Z429" s="341"/>
      <c r="AA429" s="5"/>
      <c r="AB429" s="351">
        <f>OBRA!BT429</f>
        <v>0</v>
      </c>
      <c r="AC429" s="569"/>
      <c r="AE429"/>
      <c r="AF429"/>
      <c r="AG429"/>
      <c r="AH429"/>
      <c r="AI429"/>
      <c r="AJ429"/>
      <c r="AK429"/>
      <c r="AL429"/>
    </row>
    <row r="430" spans="1:38" ht="45" hidden="1" customHeight="1">
      <c r="A430" s="23" t="str">
        <f>GRAL!G432</f>
        <v>SERVICIO</v>
      </c>
      <c r="B430" s="933" t="str">
        <f>GRAL!B432</f>
        <v>2018-2021</v>
      </c>
      <c r="C430" s="17">
        <f>OBRA!I430</f>
        <v>2020</v>
      </c>
      <c r="D430" s="18" t="str">
        <f>OBRA!K430</f>
        <v>CUENTA CORRIENTE</v>
      </c>
      <c r="E430" s="525"/>
      <c r="F430" s="390"/>
      <c r="G430" s="1"/>
      <c r="H430" s="390"/>
      <c r="I430" s="56" t="str">
        <f>OBRA!U430</f>
        <v>N/A</v>
      </c>
      <c r="J430" s="57" t="str">
        <f>OBRA!V430</f>
        <v>TESORERÍA</v>
      </c>
      <c r="K430" s="35"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2">
        <f>OBRA!S430</f>
        <v>43960</v>
      </c>
      <c r="T430" s="55"/>
      <c r="U430" s="415" t="s">
        <v>1431</v>
      </c>
      <c r="V430" s="341"/>
      <c r="W430" s="12"/>
      <c r="X430" s="1153">
        <f>OBRA!AP430</f>
        <v>0</v>
      </c>
      <c r="Y430" s="341"/>
      <c r="Z430" s="341"/>
      <c r="AA430" s="5"/>
      <c r="AB430" s="351">
        <f>OBRA!BT430</f>
        <v>0</v>
      </c>
      <c r="AC430" s="569"/>
      <c r="AE430"/>
      <c r="AF430"/>
      <c r="AG430"/>
      <c r="AH430"/>
      <c r="AI430"/>
      <c r="AJ430"/>
      <c r="AK430"/>
      <c r="AL430"/>
    </row>
    <row r="431" spans="1:38" ht="45" hidden="1" customHeight="1">
      <c r="A431" s="23" t="str">
        <f>GRAL!G433</f>
        <v>SERVICIO</v>
      </c>
      <c r="B431" s="933" t="str">
        <f>GRAL!B433</f>
        <v>2018-2021</v>
      </c>
      <c r="C431" s="17">
        <f>OBRA!I431</f>
        <v>2020</v>
      </c>
      <c r="D431" s="18" t="str">
        <f>OBRA!K431</f>
        <v>CUENTA CORRIENTE</v>
      </c>
      <c r="E431" s="525"/>
      <c r="F431" s="390"/>
      <c r="G431" s="1"/>
      <c r="H431" s="390"/>
      <c r="I431" s="56" t="str">
        <f>OBRA!U431</f>
        <v>N/A</v>
      </c>
      <c r="J431" s="57" t="str">
        <f>OBRA!V431</f>
        <v>HACIENDA MPAL</v>
      </c>
      <c r="K431" s="35"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2">
        <f>OBRA!S431</f>
        <v>43961</v>
      </c>
      <c r="T431" s="55"/>
      <c r="U431" s="415" t="s">
        <v>1431</v>
      </c>
      <c r="V431" s="341"/>
      <c r="W431" s="12"/>
      <c r="X431" s="1153">
        <f>OBRA!AP431</f>
        <v>0</v>
      </c>
      <c r="Y431" s="341"/>
      <c r="Z431" s="341"/>
      <c r="AA431" s="5"/>
      <c r="AB431" s="351">
        <f>OBRA!BT431</f>
        <v>0</v>
      </c>
      <c r="AC431" s="569"/>
      <c r="AE431"/>
      <c r="AF431"/>
      <c r="AG431"/>
      <c r="AH431"/>
      <c r="AI431"/>
      <c r="AJ431"/>
      <c r="AK431"/>
      <c r="AL431"/>
    </row>
    <row r="432" spans="1:38" ht="45" hidden="1" customHeight="1">
      <c r="A432" s="23" t="str">
        <f>GRAL!G434</f>
        <v>SERVICIO</v>
      </c>
      <c r="B432" s="933" t="str">
        <f>GRAL!B434</f>
        <v>2018-2021</v>
      </c>
      <c r="C432" s="17">
        <f>OBRA!I432</f>
        <v>2020</v>
      </c>
      <c r="D432" s="18" t="str">
        <f>OBRA!K432</f>
        <v>RAMO 33</v>
      </c>
      <c r="E432" s="525"/>
      <c r="F432" s="390"/>
      <c r="G432" s="1"/>
      <c r="H432" s="390"/>
      <c r="I432" s="56" t="str">
        <f>OBRA!U432</f>
        <v>N/A</v>
      </c>
      <c r="J432" s="57" t="str">
        <f>OBRA!V432</f>
        <v>ING. J. GUADALUPE IBARRA RAMIREZ</v>
      </c>
      <c r="K432" s="35"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2">
        <f>OBRA!S432</f>
        <v>44120</v>
      </c>
      <c r="T432" s="55"/>
      <c r="U432" s="415" t="s">
        <v>1431</v>
      </c>
      <c r="V432" s="341"/>
      <c r="W432" s="12"/>
      <c r="X432" s="1153">
        <f>OBRA!AP432</f>
        <v>0</v>
      </c>
      <c r="Y432" s="341"/>
      <c r="Z432" s="341"/>
      <c r="AA432" s="5"/>
      <c r="AB432" s="351">
        <f>OBRA!BT432</f>
        <v>0</v>
      </c>
      <c r="AC432" s="569"/>
      <c r="AE432"/>
      <c r="AF432"/>
      <c r="AG432"/>
      <c r="AH432"/>
      <c r="AI432"/>
      <c r="AJ432"/>
      <c r="AK432"/>
      <c r="AL432"/>
    </row>
    <row r="433" spans="1:38" ht="15" hidden="1" customHeight="1">
      <c r="A433" s="23" t="str">
        <f>GRAL!G435</f>
        <v>OBRA</v>
      </c>
      <c r="B433" s="933" t="str">
        <f>GRAL!B435</f>
        <v>2018-2021</v>
      </c>
      <c r="C433" s="17">
        <f>OBRA!I433</f>
        <v>2020</v>
      </c>
      <c r="D433" s="18" t="str">
        <f>OBRA!K433</f>
        <v>EMP P/LA REACTIVACIÓN ECONÓMICA EN MPIOS</v>
      </c>
      <c r="E433" s="525"/>
      <c r="F433" s="390"/>
      <c r="G433" s="1"/>
      <c r="H433" s="390"/>
      <c r="I433" s="56" t="str">
        <f>OBRA!U433</f>
        <v>N/A</v>
      </c>
      <c r="J433" s="57" t="str">
        <f>OBRA!V433</f>
        <v>ING. J. GUADALUPE IBARRA RAMIREZ</v>
      </c>
      <c r="K433" s="20"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2">
        <f>OBRA!S433</f>
        <v>44191</v>
      </c>
      <c r="T433" s="55"/>
      <c r="U433" s="415" t="s">
        <v>1431</v>
      </c>
      <c r="V433" s="341"/>
      <c r="W433" s="12"/>
      <c r="X433" s="1153">
        <f>OBRA!AP433</f>
        <v>0</v>
      </c>
      <c r="Y433" s="341"/>
      <c r="Z433" s="341"/>
      <c r="AA433" s="5"/>
      <c r="AB433" s="351">
        <f>OBRA!BT433</f>
        <v>0</v>
      </c>
      <c r="AC433" s="569"/>
      <c r="AE433"/>
      <c r="AF433"/>
      <c r="AG433"/>
      <c r="AH433"/>
      <c r="AI433"/>
      <c r="AJ433"/>
      <c r="AK433"/>
      <c r="AL433"/>
    </row>
    <row r="434" spans="1:38" ht="45" hidden="1" customHeight="1">
      <c r="A434" s="23" t="str">
        <f>GRAL!G436</f>
        <v>SERVICIO</v>
      </c>
      <c r="B434" s="933" t="str">
        <f>GRAL!B436</f>
        <v>2018-2021</v>
      </c>
      <c r="C434" s="17">
        <f>OBRA!I434</f>
        <v>2020</v>
      </c>
      <c r="D434" s="18" t="str">
        <f>OBRA!K434</f>
        <v>CTA-CTE / EMP P REACT ECO MPIOS</v>
      </c>
      <c r="E434" s="525"/>
      <c r="F434" s="390"/>
      <c r="G434" s="1"/>
      <c r="H434" s="390"/>
      <c r="I434" s="56" t="str">
        <f>OBRA!U434</f>
        <v>N/A</v>
      </c>
      <c r="J434" s="57">
        <f>OBRA!V434</f>
        <v>0</v>
      </c>
      <c r="K434" s="35"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2">
        <f>OBRA!S434</f>
        <v>44191</v>
      </c>
      <c r="T434" s="55"/>
      <c r="U434" s="415" t="s">
        <v>1431</v>
      </c>
      <c r="V434" s="341"/>
      <c r="W434" s="12"/>
      <c r="X434" s="1153">
        <f>OBRA!AP434</f>
        <v>0</v>
      </c>
      <c r="Y434" s="341"/>
      <c r="Z434" s="341"/>
      <c r="AA434" s="5"/>
      <c r="AB434" s="351">
        <f>OBRA!BT434</f>
        <v>0</v>
      </c>
      <c r="AC434" s="569"/>
      <c r="AE434"/>
      <c r="AF434"/>
      <c r="AG434"/>
      <c r="AH434"/>
      <c r="AI434"/>
      <c r="AJ434"/>
      <c r="AK434"/>
      <c r="AL434"/>
    </row>
    <row r="435" spans="1:38" ht="45" hidden="1" customHeight="1">
      <c r="A435" s="23" t="str">
        <f>GRAL!G437</f>
        <v>SERVICIO</v>
      </c>
      <c r="B435" s="933" t="str">
        <f>GRAL!B437</f>
        <v>2018-2021</v>
      </c>
      <c r="C435" s="17">
        <f>OBRA!I435</f>
        <v>2020</v>
      </c>
      <c r="D435" s="18" t="str">
        <f>OBRA!K435</f>
        <v>EMP P/LA REACTIVACIÓN ECONÓMICA EN MPIOS</v>
      </c>
      <c r="E435" s="525"/>
      <c r="F435" s="390"/>
      <c r="G435" s="1"/>
      <c r="H435" s="390"/>
      <c r="I435" s="56" t="str">
        <f>OBRA!U435</f>
        <v>N/A</v>
      </c>
      <c r="J435" s="57" t="str">
        <f>OBRA!V435</f>
        <v>ING. J. GUADALUPE IBARRA RAMIREZ</v>
      </c>
      <c r="K435" s="35"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2">
        <f>OBRA!S435</f>
        <v>44196</v>
      </c>
      <c r="T435" s="55"/>
      <c r="U435" s="415" t="s">
        <v>1431</v>
      </c>
      <c r="V435" s="341"/>
      <c r="W435" s="12"/>
      <c r="X435" s="1153">
        <f>OBRA!AP435</f>
        <v>0</v>
      </c>
      <c r="Y435" s="341"/>
      <c r="Z435" s="341"/>
      <c r="AA435" s="5"/>
      <c r="AB435" s="351">
        <f>OBRA!BT435</f>
        <v>0</v>
      </c>
      <c r="AC435" s="569"/>
      <c r="AE435"/>
      <c r="AF435"/>
      <c r="AG435"/>
      <c r="AH435"/>
      <c r="AI435"/>
      <c r="AJ435"/>
      <c r="AK435"/>
      <c r="AL435"/>
    </row>
    <row r="436" spans="1:38" ht="45" hidden="1" customHeight="1">
      <c r="A436" s="23" t="str">
        <f>GRAL!G438</f>
        <v>SERVICIO</v>
      </c>
      <c r="B436" s="933" t="str">
        <f>GRAL!B438</f>
        <v>2018-2021</v>
      </c>
      <c r="C436" s="17">
        <f>OBRA!I436</f>
        <v>2020</v>
      </c>
      <c r="D436" s="18" t="str">
        <f>OBRA!K436</f>
        <v>CTA-CTE / EMP P REACT ECO MPIOS</v>
      </c>
      <c r="E436" s="525"/>
      <c r="F436" s="390"/>
      <c r="G436" s="1"/>
      <c r="H436" s="390"/>
      <c r="I436" s="56" t="str">
        <f>OBRA!U436</f>
        <v>N/A</v>
      </c>
      <c r="J436" s="57">
        <f>OBRA!V436</f>
        <v>0</v>
      </c>
      <c r="K436" s="35"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2">
        <f>OBRA!S436</f>
        <v>44196</v>
      </c>
      <c r="T436" s="55"/>
      <c r="U436" s="415" t="s">
        <v>1431</v>
      </c>
      <c r="V436" s="341"/>
      <c r="W436" s="12"/>
      <c r="X436" s="1153">
        <f>OBRA!AP436</f>
        <v>0</v>
      </c>
      <c r="Y436" s="341"/>
      <c r="Z436" s="341"/>
      <c r="AA436" s="5"/>
      <c r="AB436" s="351">
        <f>OBRA!BT436</f>
        <v>0</v>
      </c>
      <c r="AC436" s="569"/>
      <c r="AE436"/>
      <c r="AF436"/>
      <c r="AG436"/>
      <c r="AH436"/>
      <c r="AI436"/>
      <c r="AJ436"/>
      <c r="AK436"/>
      <c r="AL436"/>
    </row>
    <row r="437" spans="1:38" ht="45" hidden="1" customHeight="1">
      <c r="A437" s="23" t="str">
        <f>GRAL!G439</f>
        <v>SERVICIO</v>
      </c>
      <c r="B437" s="933" t="str">
        <f>GRAL!B439</f>
        <v>2018-2021</v>
      </c>
      <c r="C437" s="17">
        <f>OBRA!I437</f>
        <v>2020</v>
      </c>
      <c r="D437" s="18" t="str">
        <f>OBRA!K437</f>
        <v>EMP P/LA REACTIVACIÓN ECONÓMICA EN MPIOS</v>
      </c>
      <c r="E437" s="525"/>
      <c r="F437" s="390"/>
      <c r="G437" s="1"/>
      <c r="H437" s="390"/>
      <c r="I437" s="56" t="str">
        <f>OBRA!U437</f>
        <v>N/A</v>
      </c>
      <c r="J437" s="57" t="str">
        <f>OBRA!V437</f>
        <v>ING. J. GUADALUPE IBARRA RAMIREZ</v>
      </c>
      <c r="K437" s="35"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2">
        <f>OBRA!S437</f>
        <v>44191</v>
      </c>
      <c r="T437" s="55"/>
      <c r="U437" s="415" t="s">
        <v>1431</v>
      </c>
      <c r="V437" s="341"/>
      <c r="W437" s="12"/>
      <c r="X437" s="1153">
        <f>OBRA!AP437</f>
        <v>0</v>
      </c>
      <c r="Y437" s="341"/>
      <c r="Z437" s="341"/>
      <c r="AA437" s="5"/>
      <c r="AB437" s="351">
        <f>OBRA!BT437</f>
        <v>0</v>
      </c>
      <c r="AC437" s="569"/>
      <c r="AE437"/>
      <c r="AF437"/>
      <c r="AG437"/>
      <c r="AH437"/>
      <c r="AI437"/>
      <c r="AJ437"/>
      <c r="AK437"/>
      <c r="AL437"/>
    </row>
    <row r="438" spans="1:38" ht="45" hidden="1" customHeight="1">
      <c r="A438" s="23" t="str">
        <f>GRAL!G440</f>
        <v>SERVICIO</v>
      </c>
      <c r="B438" s="933" t="str">
        <f>GRAL!B440</f>
        <v>2018-2021</v>
      </c>
      <c r="C438" s="17">
        <f>OBRA!I438</f>
        <v>2020</v>
      </c>
      <c r="D438" s="18" t="str">
        <f>OBRA!K438</f>
        <v>EMP P/LA REACTIVACIÓN ECONÓMICA EN MPIOS</v>
      </c>
      <c r="E438" s="525"/>
      <c r="F438" s="390"/>
      <c r="G438" s="1"/>
      <c r="H438" s="390"/>
      <c r="I438" s="56" t="str">
        <f>OBRA!U438</f>
        <v>N/A</v>
      </c>
      <c r="J438" s="57" t="str">
        <f>OBRA!V438</f>
        <v>ING. J. GUADALUPE IBARRA RAMIREZ</v>
      </c>
      <c r="K438" s="35"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2">
        <f>OBRA!S438</f>
        <v>44191</v>
      </c>
      <c r="T438" s="55"/>
      <c r="U438" s="415" t="s">
        <v>1431</v>
      </c>
      <c r="V438" s="341"/>
      <c r="W438" s="12"/>
      <c r="X438" s="1153">
        <f>OBRA!AP438</f>
        <v>0</v>
      </c>
      <c r="Y438" s="341"/>
      <c r="Z438" s="341"/>
      <c r="AA438" s="5"/>
      <c r="AB438" s="351">
        <f>OBRA!BT438</f>
        <v>0</v>
      </c>
      <c r="AC438" s="569"/>
      <c r="AE438"/>
      <c r="AF438"/>
      <c r="AG438"/>
      <c r="AH438"/>
      <c r="AI438"/>
      <c r="AJ438"/>
      <c r="AK438"/>
      <c r="AL438"/>
    </row>
    <row r="439" spans="1:38" ht="45" hidden="1" customHeight="1">
      <c r="A439" s="23" t="str">
        <f>GRAL!G441</f>
        <v>SERVICIO</v>
      </c>
      <c r="B439" s="933" t="str">
        <f>GRAL!B441</f>
        <v>2018-2021</v>
      </c>
      <c r="C439" s="17">
        <f>OBRA!I439</f>
        <v>2020</v>
      </c>
      <c r="D439" s="18" t="str">
        <f>OBRA!K439</f>
        <v>CTA-CTE / EMP P REACT ECO MPIOS</v>
      </c>
      <c r="E439" s="525"/>
      <c r="F439" s="390"/>
      <c r="G439" s="1"/>
      <c r="H439" s="390"/>
      <c r="I439" s="56" t="str">
        <f>OBRA!U439</f>
        <v>N/A</v>
      </c>
      <c r="J439" s="57">
        <f>OBRA!V439</f>
        <v>0</v>
      </c>
      <c r="K439" s="35"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2">
        <f>OBRA!S439</f>
        <v>44191</v>
      </c>
      <c r="T439" s="55"/>
      <c r="U439" s="415" t="s">
        <v>1431</v>
      </c>
      <c r="V439" s="341"/>
      <c r="W439" s="12"/>
      <c r="X439" s="1153">
        <f>OBRA!AP439</f>
        <v>0</v>
      </c>
      <c r="Y439" s="341"/>
      <c r="Z439" s="341"/>
      <c r="AA439" s="5"/>
      <c r="AB439" s="351">
        <f>OBRA!BT439</f>
        <v>0</v>
      </c>
      <c r="AC439" s="569"/>
      <c r="AE439"/>
      <c r="AF439"/>
      <c r="AG439"/>
      <c r="AH439"/>
      <c r="AI439"/>
      <c r="AJ439"/>
      <c r="AK439"/>
      <c r="AL439"/>
    </row>
    <row r="440" spans="1:38" ht="45" hidden="1" customHeight="1">
      <c r="A440" s="23" t="str">
        <f>GRAL!G442</f>
        <v>SERVICIO</v>
      </c>
      <c r="B440" s="933" t="str">
        <f>GRAL!B442</f>
        <v>2018-2021</v>
      </c>
      <c r="C440" s="17">
        <f>OBRA!I440</f>
        <v>2020</v>
      </c>
      <c r="D440" s="18" t="str">
        <f>OBRA!K440</f>
        <v>EMP P/LA REACTIVACIÓN ECONÓMICA EN MPIOS</v>
      </c>
      <c r="E440" s="525"/>
      <c r="F440" s="390"/>
      <c r="G440" s="1"/>
      <c r="H440" s="390"/>
      <c r="I440" s="56" t="str">
        <f>OBRA!U440</f>
        <v>N/A</v>
      </c>
      <c r="J440" s="57" t="str">
        <f>OBRA!V440</f>
        <v>ING. J. GUADALUPE IBARRA RAMIREZ</v>
      </c>
      <c r="K440" s="35"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2">
        <f>OBRA!S440</f>
        <v>44196</v>
      </c>
      <c r="T440" s="55"/>
      <c r="U440" s="415" t="s">
        <v>1431</v>
      </c>
      <c r="V440" s="341"/>
      <c r="W440" s="12"/>
      <c r="X440" s="1153">
        <f>OBRA!AP440</f>
        <v>0</v>
      </c>
      <c r="Y440" s="341"/>
      <c r="Z440" s="341"/>
      <c r="AA440" s="5"/>
      <c r="AB440" s="351">
        <f>OBRA!BT440</f>
        <v>0</v>
      </c>
      <c r="AC440" s="569"/>
      <c r="AE440"/>
      <c r="AF440"/>
      <c r="AG440"/>
      <c r="AH440"/>
      <c r="AI440"/>
      <c r="AJ440"/>
      <c r="AK440"/>
      <c r="AL440"/>
    </row>
    <row r="441" spans="1:38" ht="45" hidden="1" customHeight="1">
      <c r="A441" s="23" t="str">
        <f>GRAL!G443</f>
        <v>SERVICIO</v>
      </c>
      <c r="B441" s="933" t="str">
        <f>GRAL!B443</f>
        <v>2018-2021</v>
      </c>
      <c r="C441" s="17">
        <f>OBRA!I441</f>
        <v>2020</v>
      </c>
      <c r="D441" s="18" t="str">
        <f>OBRA!K441</f>
        <v>CTA-CTE / EMP P REACT ECO MPIOS</v>
      </c>
      <c r="E441" s="525"/>
      <c r="F441" s="390"/>
      <c r="G441" s="1"/>
      <c r="H441" s="390"/>
      <c r="I441" s="56" t="str">
        <f>OBRA!U441</f>
        <v>N/A</v>
      </c>
      <c r="J441" s="57">
        <f>OBRA!V441</f>
        <v>0</v>
      </c>
      <c r="K441" s="35"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2">
        <f>OBRA!S441</f>
        <v>44196</v>
      </c>
      <c r="T441" s="55"/>
      <c r="U441" s="415" t="s">
        <v>1431</v>
      </c>
      <c r="V441" s="341"/>
      <c r="W441" s="12"/>
      <c r="X441" s="1153">
        <f>OBRA!AP441</f>
        <v>0</v>
      </c>
      <c r="Y441" s="341"/>
      <c r="Z441" s="341"/>
      <c r="AA441" s="5"/>
      <c r="AB441" s="351">
        <f>OBRA!BT441</f>
        <v>0</v>
      </c>
      <c r="AC441" s="569"/>
      <c r="AE441"/>
      <c r="AF441"/>
      <c r="AG441"/>
      <c r="AH441"/>
      <c r="AI441"/>
      <c r="AJ441"/>
      <c r="AK441"/>
      <c r="AL441"/>
    </row>
    <row r="442" spans="1:38" ht="45" hidden="1" customHeight="1">
      <c r="A442" s="23" t="str">
        <f>GRAL!G444</f>
        <v>SERVICIO</v>
      </c>
      <c r="B442" s="933" t="str">
        <f>GRAL!B444</f>
        <v>2018-2021</v>
      </c>
      <c r="C442" s="17">
        <f>OBRA!I442</f>
        <v>2020</v>
      </c>
      <c r="D442" s="18" t="str">
        <f>OBRA!K442</f>
        <v>EMP P/LA REACTIVACIÓN ECONÓMICA EN MPIOS</v>
      </c>
      <c r="E442" s="525"/>
      <c r="F442" s="390"/>
      <c r="G442" s="1"/>
      <c r="H442" s="390"/>
      <c r="I442" s="56" t="str">
        <f>OBRA!U442</f>
        <v>N/A</v>
      </c>
      <c r="J442" s="57" t="str">
        <f>OBRA!V442</f>
        <v>ING. J. GUADALUPE IBARRA RAMIREZ</v>
      </c>
      <c r="K442" s="35"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2">
        <f>OBRA!S442</f>
        <v>44181</v>
      </c>
      <c r="T442" s="55"/>
      <c r="U442" s="415" t="s">
        <v>1431</v>
      </c>
      <c r="V442" s="341"/>
      <c r="W442" s="12"/>
      <c r="X442" s="1153">
        <f>OBRA!AP442</f>
        <v>0</v>
      </c>
      <c r="Y442" s="341"/>
      <c r="Z442" s="341"/>
      <c r="AA442" s="5"/>
      <c r="AB442" s="351">
        <f>OBRA!BT442</f>
        <v>0</v>
      </c>
      <c r="AC442" s="569"/>
      <c r="AE442"/>
      <c r="AF442"/>
      <c r="AG442"/>
      <c r="AH442"/>
      <c r="AI442"/>
      <c r="AJ442"/>
      <c r="AK442"/>
      <c r="AL442"/>
    </row>
    <row r="443" spans="1:38" ht="45" hidden="1" customHeight="1">
      <c r="A443" s="23" t="str">
        <f>GRAL!G445</f>
        <v>SERVICIO</v>
      </c>
      <c r="B443" s="933" t="str">
        <f>GRAL!B445</f>
        <v>2018-2021</v>
      </c>
      <c r="C443" s="17">
        <f>OBRA!I443</f>
        <v>2020</v>
      </c>
      <c r="D443" s="18" t="str">
        <f>OBRA!K443</f>
        <v>CTA-CTE / EMP P REACT ECO MPIOS</v>
      </c>
      <c r="E443" s="525"/>
      <c r="F443" s="390"/>
      <c r="G443" s="1"/>
      <c r="H443" s="390"/>
      <c r="I443" s="56" t="str">
        <f>OBRA!U443</f>
        <v>N/A</v>
      </c>
      <c r="J443" s="57">
        <f>OBRA!V443</f>
        <v>0</v>
      </c>
      <c r="K443" s="35"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2">
        <f>OBRA!S443</f>
        <v>44181</v>
      </c>
      <c r="T443" s="55"/>
      <c r="U443" s="415" t="s">
        <v>1431</v>
      </c>
      <c r="V443" s="341"/>
      <c r="W443" s="12"/>
      <c r="X443" s="1153">
        <f>OBRA!AP443</f>
        <v>0</v>
      </c>
      <c r="Y443" s="341"/>
      <c r="Z443" s="341"/>
      <c r="AA443" s="5"/>
      <c r="AB443" s="351">
        <f>OBRA!BT443</f>
        <v>0</v>
      </c>
      <c r="AC443" s="569"/>
      <c r="AE443"/>
      <c r="AF443"/>
      <c r="AG443"/>
      <c r="AH443"/>
      <c r="AI443"/>
      <c r="AJ443"/>
      <c r="AK443"/>
      <c r="AL443"/>
    </row>
    <row r="444" spans="1:38" ht="45" hidden="1" customHeight="1">
      <c r="A444" s="23" t="str">
        <f>GRAL!G446</f>
        <v>SERVICIO</v>
      </c>
      <c r="B444" s="933" t="str">
        <f>GRAL!B446</f>
        <v>2018-2021</v>
      </c>
      <c r="C444" s="17">
        <f>OBRA!I444</f>
        <v>2020</v>
      </c>
      <c r="D444" s="18" t="str">
        <f>OBRA!K444</f>
        <v>EMP P/LA REACTIVACIÓN ECONÓMICA EN MPIOS</v>
      </c>
      <c r="E444" s="525"/>
      <c r="F444" s="390"/>
      <c r="G444" s="1"/>
      <c r="H444" s="390"/>
      <c r="I444" s="56" t="str">
        <f>OBRA!U444</f>
        <v>N/A</v>
      </c>
      <c r="J444" s="57" t="str">
        <f>OBRA!V444</f>
        <v>ING. J. GUADALUPE IBARRA RAMIREZ</v>
      </c>
      <c r="K444" s="35"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2">
        <f>OBRA!S444</f>
        <v>44196</v>
      </c>
      <c r="T444" s="55"/>
      <c r="U444" s="415" t="s">
        <v>1431</v>
      </c>
      <c r="V444" s="341"/>
      <c r="W444" s="12"/>
      <c r="X444" s="1153">
        <f>OBRA!AP444</f>
        <v>0</v>
      </c>
      <c r="Y444" s="341"/>
      <c r="Z444" s="341"/>
      <c r="AA444" s="5"/>
      <c r="AB444" s="351">
        <f>OBRA!BT444</f>
        <v>0</v>
      </c>
      <c r="AC444" s="569"/>
      <c r="AE444"/>
      <c r="AF444"/>
      <c r="AG444"/>
      <c r="AH444"/>
      <c r="AI444"/>
      <c r="AJ444"/>
      <c r="AK444"/>
      <c r="AL444"/>
    </row>
    <row r="445" spans="1:38" ht="45" hidden="1" customHeight="1">
      <c r="A445" s="23" t="str">
        <f>GRAL!G447</f>
        <v>SERVICIO</v>
      </c>
      <c r="B445" s="933" t="str">
        <f>GRAL!B447</f>
        <v>2018-2021</v>
      </c>
      <c r="C445" s="17">
        <f>OBRA!I445</f>
        <v>2020</v>
      </c>
      <c r="D445" s="18" t="str">
        <f>OBRA!K445</f>
        <v>CTA-CTE / EMP P REACT ECO MPIOS</v>
      </c>
      <c r="E445" s="525"/>
      <c r="F445" s="390"/>
      <c r="G445" s="1"/>
      <c r="H445" s="390"/>
      <c r="I445" s="56" t="str">
        <f>OBRA!U445</f>
        <v>N/A</v>
      </c>
      <c r="J445" s="57">
        <f>OBRA!V445</f>
        <v>0</v>
      </c>
      <c r="K445" s="35"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2">
        <f>OBRA!S445</f>
        <v>44196</v>
      </c>
      <c r="T445" s="55"/>
      <c r="U445" s="415" t="s">
        <v>1431</v>
      </c>
      <c r="V445" s="341"/>
      <c r="W445" s="12"/>
      <c r="X445" s="1153">
        <f>OBRA!AP445</f>
        <v>0</v>
      </c>
      <c r="Y445" s="341"/>
      <c r="Z445" s="341"/>
      <c r="AA445" s="5"/>
      <c r="AB445" s="351">
        <f>OBRA!BT445</f>
        <v>0</v>
      </c>
      <c r="AC445" s="569"/>
      <c r="AE445"/>
      <c r="AF445"/>
      <c r="AG445"/>
      <c r="AH445"/>
      <c r="AI445"/>
      <c r="AJ445"/>
      <c r="AK445"/>
      <c r="AL445"/>
    </row>
    <row r="446" spans="1:38" ht="45" hidden="1" customHeight="1">
      <c r="A446" s="23" t="str">
        <f>GRAL!G448</f>
        <v>SERVICIO</v>
      </c>
      <c r="B446" s="933" t="str">
        <f>GRAL!B448</f>
        <v>2018-2021</v>
      </c>
      <c r="C446" s="17">
        <f>OBRA!I446</f>
        <v>2020</v>
      </c>
      <c r="D446" s="18" t="str">
        <f>OBRA!K446</f>
        <v>EMP P/LA REACTIVACIÓN ECONÓMICA EN MPIOS</v>
      </c>
      <c r="E446" s="525"/>
      <c r="F446" s="390"/>
      <c r="G446" s="1"/>
      <c r="H446" s="390"/>
      <c r="I446" s="56" t="str">
        <f>OBRA!U446</f>
        <v>N/A</v>
      </c>
      <c r="J446" s="57" t="str">
        <f>OBRA!V446</f>
        <v>ING. J. GUADALUPE IBARRA RAMIREZ</v>
      </c>
      <c r="K446" s="35"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2">
        <f>OBRA!S446</f>
        <v>44191</v>
      </c>
      <c r="T446" s="55"/>
      <c r="U446" s="415" t="s">
        <v>1431</v>
      </c>
      <c r="V446" s="341"/>
      <c r="W446" s="12"/>
      <c r="X446" s="1153">
        <f>OBRA!AP446</f>
        <v>0</v>
      </c>
      <c r="Y446" s="341"/>
      <c r="Z446" s="341"/>
      <c r="AA446" s="5"/>
      <c r="AB446" s="351">
        <f>OBRA!BT446</f>
        <v>0</v>
      </c>
      <c r="AC446" s="569"/>
      <c r="AE446"/>
      <c r="AF446"/>
      <c r="AG446"/>
      <c r="AH446"/>
      <c r="AI446"/>
      <c r="AJ446"/>
      <c r="AK446"/>
      <c r="AL446"/>
    </row>
    <row r="447" spans="1:38" ht="45" hidden="1" customHeight="1">
      <c r="A447" s="23" t="str">
        <f>GRAL!G449</f>
        <v>SERVICIO</v>
      </c>
      <c r="B447" s="933" t="str">
        <f>GRAL!B449</f>
        <v>2018-2021</v>
      </c>
      <c r="C447" s="17">
        <f>OBRA!I447</f>
        <v>2020</v>
      </c>
      <c r="D447" s="18" t="str">
        <f>OBRA!K447</f>
        <v>CTA-CTE / EMP P REACT ECO MPIOS</v>
      </c>
      <c r="E447" s="525"/>
      <c r="F447" s="390"/>
      <c r="G447" s="1"/>
      <c r="H447" s="390"/>
      <c r="I447" s="56" t="str">
        <f>OBRA!U447</f>
        <v>N/A</v>
      </c>
      <c r="J447" s="57">
        <f>OBRA!V447</f>
        <v>0</v>
      </c>
      <c r="K447" s="35"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2">
        <f>OBRA!S447</f>
        <v>44191</v>
      </c>
      <c r="T447" s="55"/>
      <c r="U447" s="415" t="s">
        <v>1431</v>
      </c>
      <c r="V447" s="341"/>
      <c r="W447" s="12"/>
      <c r="X447" s="1153">
        <f>OBRA!AP447</f>
        <v>0</v>
      </c>
      <c r="Y447" s="341"/>
      <c r="Z447" s="341"/>
      <c r="AA447" s="5"/>
      <c r="AB447" s="351">
        <f>OBRA!BT447</f>
        <v>0</v>
      </c>
      <c r="AC447" s="569"/>
      <c r="AE447"/>
      <c r="AF447"/>
      <c r="AG447"/>
      <c r="AH447"/>
      <c r="AI447"/>
      <c r="AJ447"/>
      <c r="AK447"/>
      <c r="AL447"/>
    </row>
    <row r="448" spans="1:38" ht="45" hidden="1" customHeight="1">
      <c r="A448" s="23" t="str">
        <f>GRAL!G450</f>
        <v>SERVICIO</v>
      </c>
      <c r="B448" s="933" t="str">
        <f>GRAL!B450</f>
        <v>2018-2021</v>
      </c>
      <c r="C448" s="17">
        <f>OBRA!I448</f>
        <v>2020</v>
      </c>
      <c r="D448" s="18" t="str">
        <f>OBRA!K448</f>
        <v>EMP P/LA REACTIVACIÓN ECONÓMICA EN MPIOS</v>
      </c>
      <c r="E448" s="525"/>
      <c r="F448" s="390"/>
      <c r="G448" s="1"/>
      <c r="H448" s="390"/>
      <c r="I448" s="56" t="str">
        <f>OBRA!U448</f>
        <v>N/A</v>
      </c>
      <c r="J448" s="57" t="str">
        <f>OBRA!V448</f>
        <v>ING. J. GUADALUPE IBARRA RAMIREZ</v>
      </c>
      <c r="K448" s="35"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2">
        <f>OBRA!S448</f>
        <v>44196</v>
      </c>
      <c r="T448" s="55"/>
      <c r="U448" s="415" t="s">
        <v>1431</v>
      </c>
      <c r="V448" s="341"/>
      <c r="W448" s="12"/>
      <c r="X448" s="1153">
        <f>OBRA!AP448</f>
        <v>0</v>
      </c>
      <c r="Y448" s="341"/>
      <c r="Z448" s="341"/>
      <c r="AA448" s="5"/>
      <c r="AB448" s="351">
        <f>OBRA!BT448</f>
        <v>0</v>
      </c>
      <c r="AC448" s="569"/>
      <c r="AE448"/>
      <c r="AF448"/>
      <c r="AG448"/>
      <c r="AH448"/>
      <c r="AI448"/>
      <c r="AJ448"/>
      <c r="AK448"/>
      <c r="AL448"/>
    </row>
    <row r="449" spans="1:38" ht="45" hidden="1" customHeight="1">
      <c r="A449" s="23" t="str">
        <f>GRAL!G451</f>
        <v>SERVICIO</v>
      </c>
      <c r="B449" s="933" t="str">
        <f>GRAL!B451</f>
        <v>2018-2021</v>
      </c>
      <c r="C449" s="17">
        <f>OBRA!I449</f>
        <v>2020</v>
      </c>
      <c r="D449" s="18" t="str">
        <f>OBRA!K449</f>
        <v>CTA-CTE / EMP P REACT ECO MPIOS</v>
      </c>
      <c r="E449" s="525"/>
      <c r="F449" s="390"/>
      <c r="G449" s="1"/>
      <c r="H449" s="390"/>
      <c r="I449" s="56" t="str">
        <f>OBRA!U449</f>
        <v>N/A</v>
      </c>
      <c r="J449" s="57">
        <f>OBRA!V449</f>
        <v>0</v>
      </c>
      <c r="K449" s="35"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2">
        <f>OBRA!S449</f>
        <v>44196</v>
      </c>
      <c r="T449" s="55"/>
      <c r="U449" s="415" t="s">
        <v>1431</v>
      </c>
      <c r="V449" s="341"/>
      <c r="W449" s="12"/>
      <c r="X449" s="1153">
        <f>OBRA!AP449</f>
        <v>0</v>
      </c>
      <c r="Y449" s="341"/>
      <c r="Z449" s="341"/>
      <c r="AA449" s="5"/>
      <c r="AB449" s="351">
        <f>OBRA!BT449</f>
        <v>0</v>
      </c>
      <c r="AC449" s="569"/>
      <c r="AE449"/>
      <c r="AF449"/>
      <c r="AG449"/>
      <c r="AH449"/>
      <c r="AI449"/>
      <c r="AJ449"/>
      <c r="AK449"/>
      <c r="AL449"/>
    </row>
    <row r="450" spans="1:38" ht="45" hidden="1" customHeight="1">
      <c r="A450" s="23" t="str">
        <f>GRAL!G452</f>
        <v>SERVICIO</v>
      </c>
      <c r="B450" s="933" t="str">
        <f>GRAL!B452</f>
        <v>2018-2021</v>
      </c>
      <c r="C450" s="17">
        <f>OBRA!I450</f>
        <v>2020</v>
      </c>
      <c r="D450" s="18" t="str">
        <f>OBRA!K450</f>
        <v>EMP P/LA REACTIVACIÓN ECONÓMICA EN MPIOS</v>
      </c>
      <c r="E450" s="525"/>
      <c r="F450" s="390"/>
      <c r="G450" s="1"/>
      <c r="H450" s="390"/>
      <c r="I450" s="56" t="str">
        <f>OBRA!U450</f>
        <v>N/A</v>
      </c>
      <c r="J450" s="57" t="str">
        <f>OBRA!V450</f>
        <v>ING. J. GUADALUPE IBARRA RAMIREZ</v>
      </c>
      <c r="K450" s="35"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2">
        <f>OBRA!S450</f>
        <v>44191</v>
      </c>
      <c r="T450" s="55"/>
      <c r="U450" s="415" t="s">
        <v>1431</v>
      </c>
      <c r="V450" s="341"/>
      <c r="W450" s="12"/>
      <c r="X450" s="1153">
        <f>OBRA!AP450</f>
        <v>0</v>
      </c>
      <c r="Y450" s="341"/>
      <c r="Z450" s="341"/>
      <c r="AA450" s="5"/>
      <c r="AB450" s="351">
        <f>OBRA!BT450</f>
        <v>0</v>
      </c>
      <c r="AC450" s="569"/>
      <c r="AE450"/>
      <c r="AF450"/>
      <c r="AG450"/>
      <c r="AH450"/>
      <c r="AI450"/>
      <c r="AJ450"/>
      <c r="AK450"/>
      <c r="AL450"/>
    </row>
    <row r="451" spans="1:38" ht="45" hidden="1" customHeight="1">
      <c r="A451" s="23" t="str">
        <f>GRAL!G453</f>
        <v>SERVICIO</v>
      </c>
      <c r="B451" s="933" t="str">
        <f>GRAL!B453</f>
        <v>2018-2021</v>
      </c>
      <c r="C451" s="17">
        <f>OBRA!I451</f>
        <v>2020</v>
      </c>
      <c r="D451" s="18" t="str">
        <f>OBRA!K451</f>
        <v>EMP P/LA REACTIVACIÓN ECONÓMICA EN MPIOS</v>
      </c>
      <c r="E451" s="525"/>
      <c r="F451" s="390"/>
      <c r="G451" s="1"/>
      <c r="H451" s="390"/>
      <c r="I451" s="56" t="str">
        <f>OBRA!U451</f>
        <v>N/A</v>
      </c>
      <c r="J451" s="57" t="str">
        <f>OBRA!V451</f>
        <v>ING. J. GUADALUPE IBARRA RAMIREZ</v>
      </c>
      <c r="K451" s="35"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2">
        <f>OBRA!S451</f>
        <v>44191</v>
      </c>
      <c r="T451" s="55"/>
      <c r="U451" s="415" t="s">
        <v>1431</v>
      </c>
      <c r="V451" s="341"/>
      <c r="W451" s="12"/>
      <c r="X451" s="1153">
        <f>OBRA!AP451</f>
        <v>0</v>
      </c>
      <c r="Y451" s="341"/>
      <c r="Z451" s="341"/>
      <c r="AA451" s="5"/>
      <c r="AB451" s="351">
        <f>OBRA!BT451</f>
        <v>0</v>
      </c>
      <c r="AC451" s="569"/>
      <c r="AE451"/>
      <c r="AF451"/>
      <c r="AG451"/>
      <c r="AH451"/>
      <c r="AI451"/>
      <c r="AJ451"/>
      <c r="AK451"/>
      <c r="AL451"/>
    </row>
    <row r="452" spans="1:38" ht="45" hidden="1" customHeight="1">
      <c r="A452" s="23" t="str">
        <f>GRAL!G454</f>
        <v>SERVICIO</v>
      </c>
      <c r="B452" s="933" t="str">
        <f>GRAL!B454</f>
        <v>2018-2021</v>
      </c>
      <c r="C452" s="17">
        <f>OBRA!I452</f>
        <v>2020</v>
      </c>
      <c r="D452" s="18" t="str">
        <f>OBRA!K452</f>
        <v>CTA-CTE / EMP P REACT ECO MPIOS</v>
      </c>
      <c r="E452" s="525"/>
      <c r="F452" s="390"/>
      <c r="G452" s="1"/>
      <c r="H452" s="390"/>
      <c r="I452" s="56" t="str">
        <f>OBRA!U452</f>
        <v>N/A</v>
      </c>
      <c r="J452" s="57">
        <f>OBRA!V452</f>
        <v>0</v>
      </c>
      <c r="K452" s="35"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2">
        <f>OBRA!S452</f>
        <v>44191</v>
      </c>
      <c r="T452" s="55"/>
      <c r="U452" s="415" t="s">
        <v>1431</v>
      </c>
      <c r="V452" s="341"/>
      <c r="W452" s="12"/>
      <c r="X452" s="1153">
        <f>OBRA!AP452</f>
        <v>0</v>
      </c>
      <c r="Y452" s="341"/>
      <c r="Z452" s="341"/>
      <c r="AA452" s="5"/>
      <c r="AB452" s="351">
        <f>OBRA!BT452</f>
        <v>0</v>
      </c>
      <c r="AC452" s="569"/>
      <c r="AE452"/>
      <c r="AF452"/>
      <c r="AG452"/>
      <c r="AH452"/>
      <c r="AI452"/>
      <c r="AJ452"/>
      <c r="AK452"/>
      <c r="AL452"/>
    </row>
    <row r="453" spans="1:38" ht="45" hidden="1" customHeight="1">
      <c r="A453" s="23" t="str">
        <f>GRAL!G455</f>
        <v>OBRA</v>
      </c>
      <c r="B453" s="933" t="str">
        <f>GRAL!B455</f>
        <v>2018-2021</v>
      </c>
      <c r="C453" s="17">
        <f>OBRA!I453</f>
        <v>2020</v>
      </c>
      <c r="D453" s="18" t="str">
        <f>OBRA!K453</f>
        <v>EMP P/LA REACTIVACIÓN ECONÓMICA EN MPIOS</v>
      </c>
      <c r="E453" s="525"/>
      <c r="F453" s="390"/>
      <c r="G453" s="1"/>
      <c r="H453" s="390"/>
      <c r="I453" s="56" t="str">
        <f>OBRA!U453</f>
        <v>N/A</v>
      </c>
      <c r="J453" s="57" t="str">
        <f>OBRA!V453</f>
        <v>ING. J. GUADALUPE IBARRA RAMIREZ</v>
      </c>
      <c r="K453" s="35"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2">
        <f>OBRA!S453</f>
        <v>44196</v>
      </c>
      <c r="T453" s="55"/>
      <c r="U453" s="415" t="s">
        <v>1431</v>
      </c>
      <c r="V453" s="341"/>
      <c r="W453" s="12"/>
      <c r="X453" s="1153">
        <f>OBRA!AP453</f>
        <v>0</v>
      </c>
      <c r="Y453" s="341"/>
      <c r="Z453" s="341"/>
      <c r="AA453" s="5"/>
      <c r="AB453" s="351">
        <f>OBRA!BT453</f>
        <v>0</v>
      </c>
      <c r="AC453" s="569"/>
      <c r="AE453"/>
      <c r="AF453"/>
      <c r="AG453"/>
      <c r="AH453"/>
      <c r="AI453"/>
      <c r="AJ453"/>
      <c r="AK453"/>
      <c r="AL453"/>
    </row>
    <row r="454" spans="1:38" ht="45" hidden="1" customHeight="1">
      <c r="A454" s="23" t="str">
        <f>GRAL!G456</f>
        <v>OBRA</v>
      </c>
      <c r="B454" s="933" t="str">
        <f>GRAL!B456</f>
        <v>2018-2021</v>
      </c>
      <c r="C454" s="17">
        <f>OBRA!I454</f>
        <v>2020</v>
      </c>
      <c r="D454" s="18" t="str">
        <f>OBRA!K454</f>
        <v>CTA-CTE / EMP P REACT ECO MPIOS</v>
      </c>
      <c r="E454" s="525"/>
      <c r="F454" s="390"/>
      <c r="G454" s="1"/>
      <c r="H454" s="390"/>
      <c r="I454" s="56" t="str">
        <f>OBRA!U454</f>
        <v>N/A</v>
      </c>
      <c r="J454" s="57">
        <f>OBRA!V454</f>
        <v>0</v>
      </c>
      <c r="K454" s="35"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2">
        <f>OBRA!S454</f>
        <v>44196</v>
      </c>
      <c r="T454" s="55"/>
      <c r="U454" s="415" t="s">
        <v>1431</v>
      </c>
      <c r="V454" s="341"/>
      <c r="W454" s="12"/>
      <c r="X454" s="1153">
        <f>OBRA!AP454</f>
        <v>0</v>
      </c>
      <c r="Y454" s="341"/>
      <c r="Z454" s="341"/>
      <c r="AA454" s="5"/>
      <c r="AB454" s="351">
        <f>OBRA!BT454</f>
        <v>0</v>
      </c>
      <c r="AC454" s="569"/>
      <c r="AE454"/>
      <c r="AF454"/>
      <c r="AG454"/>
      <c r="AH454"/>
      <c r="AI454"/>
      <c r="AJ454"/>
      <c r="AK454"/>
      <c r="AL454"/>
    </row>
    <row r="455" spans="1:38" ht="83.25" hidden="1" customHeight="1">
      <c r="A455" s="23" t="str">
        <f>GRAL!G457</f>
        <v>SERVICIO</v>
      </c>
      <c r="B455" s="933" t="str">
        <f>GRAL!B457</f>
        <v>2018-2021</v>
      </c>
      <c r="C455" s="17">
        <f>OBRA!I455</f>
        <v>2020</v>
      </c>
      <c r="D455" s="18" t="str">
        <f>OBRA!K455</f>
        <v>CUENTA CORRIENTE</v>
      </c>
      <c r="E455" s="525" t="s">
        <v>1431</v>
      </c>
      <c r="F455" s="1541" t="s">
        <v>1431</v>
      </c>
      <c r="G455" s="239"/>
      <c r="H455" s="1541" t="s">
        <v>1431</v>
      </c>
      <c r="I455" s="56" t="str">
        <f>OBRA!U455</f>
        <v xml:space="preserve">CICLOS GIP SC </v>
      </c>
      <c r="J455" s="57" t="str">
        <f>OBRA!V455</f>
        <v>ING. JUAN MANUEL GARCIA ESCOTO</v>
      </c>
      <c r="K455" s="35"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97"/>
      <c r="O455" s="6">
        <f>OBRA!Q455</f>
        <v>43864</v>
      </c>
      <c r="P455" s="4">
        <f>OBRA!P455</f>
        <v>15080</v>
      </c>
      <c r="Q455" s="4" t="s">
        <v>68</v>
      </c>
      <c r="R455" s="5">
        <f>OBRA!R455</f>
        <v>43865</v>
      </c>
      <c r="S455" s="12">
        <f>OBRA!S455</f>
        <v>43879</v>
      </c>
      <c r="T455" s="1601" t="s">
        <v>5755</v>
      </c>
      <c r="U455" s="415" t="s">
        <v>1431</v>
      </c>
      <c r="V455" s="344" t="s">
        <v>1431</v>
      </c>
      <c r="W455" s="12" t="s">
        <v>1431</v>
      </c>
      <c r="X455" s="1153">
        <f>OBRA!AP455</f>
        <v>0</v>
      </c>
      <c r="Y455" s="341"/>
      <c r="Z455" s="341"/>
      <c r="AA455" s="5"/>
      <c r="AB455" s="351">
        <f>OBRA!BT455</f>
        <v>0</v>
      </c>
      <c r="AC455" s="569"/>
      <c r="AE455"/>
      <c r="AF455"/>
      <c r="AG455"/>
      <c r="AH455"/>
      <c r="AI455"/>
      <c r="AJ455"/>
      <c r="AK455"/>
      <c r="AL455"/>
    </row>
    <row r="456" spans="1:38" ht="252" hidden="1" customHeight="1">
      <c r="A456" s="23" t="str">
        <f>GRAL!G458</f>
        <v>SERVICIO</v>
      </c>
      <c r="B456" s="933" t="str">
        <f>GRAL!B458</f>
        <v>2018-2021</v>
      </c>
      <c r="C456" s="17">
        <f>OBRA!I456</f>
        <v>2020</v>
      </c>
      <c r="D456" s="18" t="str">
        <f>OBRA!K456</f>
        <v>CUENTA CORRIENTE</v>
      </c>
      <c r="E456" s="525" t="s">
        <v>1431</v>
      </c>
      <c r="F456" s="1541" t="s">
        <v>1431</v>
      </c>
      <c r="G456" s="239"/>
      <c r="H456" s="1541" t="s">
        <v>1431</v>
      </c>
      <c r="I456" s="339" t="str">
        <f>OBRA!U456</f>
        <v>AJG INGENIERIA, SA DE CV</v>
      </c>
      <c r="J456" s="172" t="str">
        <f>OBRA!V456</f>
        <v>ING. JUAN MANUEL GARCIA ESCOTO</v>
      </c>
      <c r="K456" s="35"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3770</v>
      </c>
      <c r="O456" s="69">
        <f>OBRA!Q456</f>
        <v>44275</v>
      </c>
      <c r="P456" s="4">
        <f>OBRA!P456</f>
        <v>139246.39999999999</v>
      </c>
      <c r="Q456" s="4" t="s">
        <v>68</v>
      </c>
      <c r="R456" s="5">
        <f>OBRA!R456</f>
        <v>44287</v>
      </c>
      <c r="S456" s="12">
        <f>OBRA!S456</f>
        <v>44289</v>
      </c>
      <c r="T456" s="1601" t="s">
        <v>5755</v>
      </c>
      <c r="U456" s="415" t="s">
        <v>1431</v>
      </c>
      <c r="V456" s="344" t="s">
        <v>1431</v>
      </c>
      <c r="W456" s="12" t="s">
        <v>1431</v>
      </c>
      <c r="X456" s="1409">
        <f>OBRA!AP456</f>
        <v>0</v>
      </c>
      <c r="Y456" s="344"/>
      <c r="Z456" s="344"/>
      <c r="AA456" s="255"/>
      <c r="AB456" s="351">
        <f>OBRA!BT456</f>
        <v>0</v>
      </c>
      <c r="AC456" s="569"/>
      <c r="AE456"/>
      <c r="AF456"/>
      <c r="AG456"/>
      <c r="AH456"/>
      <c r="AI456"/>
      <c r="AJ456"/>
      <c r="AK456"/>
      <c r="AL456"/>
    </row>
    <row r="457" spans="1:38" ht="11.25" hidden="1" customHeight="1">
      <c r="A457" s="23" t="str">
        <f>GRAL!G459</f>
        <v>OBRA</v>
      </c>
      <c r="B457" s="933" t="str">
        <f>GRAL!B459</f>
        <v>2018-2021</v>
      </c>
      <c r="C457" s="17">
        <f>OBRA!I457</f>
        <v>2020</v>
      </c>
      <c r="D457" s="18">
        <f>OBRA!K457</f>
        <v>0</v>
      </c>
      <c r="E457" s="525" t="s">
        <v>1431</v>
      </c>
      <c r="F457" s="1541" t="s">
        <v>1431</v>
      </c>
      <c r="G457" s="239"/>
      <c r="H457" s="1541" t="s">
        <v>1431</v>
      </c>
      <c r="I457" s="339">
        <f>OBRA!U457</f>
        <v>0</v>
      </c>
      <c r="J457" s="172">
        <f>OBRA!V457</f>
        <v>0</v>
      </c>
      <c r="K457" s="35" t="str">
        <f>OBRA!L457</f>
        <v>C.P.S.P. DOP 003/2020</v>
      </c>
      <c r="L457" s="2" t="str">
        <f>OBRA!M457</f>
        <v>CANCELADA</v>
      </c>
      <c r="M457" s="3" t="str">
        <f>OBRA!N457</f>
        <v>CONTRATO CANCELADO</v>
      </c>
      <c r="N457" s="554" t="s">
        <v>3770</v>
      </c>
      <c r="O457" s="69">
        <f>OBRA!Q457</f>
        <v>0</v>
      </c>
      <c r="P457" s="4">
        <f>OBRA!P457</f>
        <v>0</v>
      </c>
      <c r="Q457" s="4"/>
      <c r="R457" s="5">
        <f>OBRA!R457</f>
        <v>0</v>
      </c>
      <c r="S457" s="12">
        <f>OBRA!S457</f>
        <v>0</v>
      </c>
      <c r="T457" s="227" t="s">
        <v>3859</v>
      </c>
      <c r="U457" s="415" t="s">
        <v>1431</v>
      </c>
      <c r="V457" s="344" t="s">
        <v>1431</v>
      </c>
      <c r="W457" s="559"/>
      <c r="X457" s="1409">
        <f>OBRA!AP457</f>
        <v>0</v>
      </c>
      <c r="Y457" s="344"/>
      <c r="Z457" s="344"/>
      <c r="AA457" s="255"/>
      <c r="AB457" s="351">
        <f>OBRA!BT457</f>
        <v>0</v>
      </c>
      <c r="AC457" s="569"/>
      <c r="AE457"/>
      <c r="AF457"/>
      <c r="AG457"/>
      <c r="AH457"/>
      <c r="AI457"/>
      <c r="AJ457"/>
      <c r="AK457"/>
      <c r="AL457"/>
    </row>
    <row r="458" spans="1:38" ht="106.5" hidden="1" customHeight="1">
      <c r="A458" s="23" t="str">
        <f>GRAL!G461</f>
        <v>SERVICIO</v>
      </c>
      <c r="B458" s="933" t="str">
        <f>GRAL!B461</f>
        <v>2018-2021</v>
      </c>
      <c r="C458" s="17">
        <f>OBRA!I458</f>
        <v>2020</v>
      </c>
      <c r="D458" s="18" t="str">
        <f>OBRA!K458</f>
        <v>CUENTA CORRIENTE</v>
      </c>
      <c r="E458" s="525" t="s">
        <v>1431</v>
      </c>
      <c r="F458" s="1541" t="s">
        <v>1431</v>
      </c>
      <c r="G458" s="239"/>
      <c r="H458" s="1541" t="s">
        <v>1431</v>
      </c>
      <c r="I458" s="1735" t="str">
        <f>OBRA!U458</f>
        <v>SUPERVISIÓN PROYECTOS Y LABORATORIO PARA LA CONSTRUCCIÓN</v>
      </c>
      <c r="J458" s="172" t="str">
        <f>OBRA!V458</f>
        <v>ING. HECTOR JESUS HERNANDEZ</v>
      </c>
      <c r="K458" s="35" t="str">
        <f>OBRA!L458</f>
        <v>C.P.S.P. DOP 004/2020</v>
      </c>
      <c r="L458" s="2" t="str">
        <f>OBRA!M458</f>
        <v>SERVICIOS</v>
      </c>
      <c r="M458" s="328" t="str">
        <f>OBRA!N458</f>
        <v>ESTUDIOS DE MECÁNICA DE SUELOS Y DE COMPACTACIÓN, CORRESPONDIENTE AL PROYECTO: "REHABILITACIÓN DE IMAGEN URBANA EN CALLE GUADALUPE VICTORIA SUR ENTRE VICENTE GUERRERO Y DONATO GUERRA", EN LA CABECERA MUNICIPAL DE JOCOTEPEC, JALISCO.</v>
      </c>
      <c r="N458" s="554" t="s">
        <v>3770</v>
      </c>
      <c r="O458" s="69">
        <f>OBRA!Q458</f>
        <v>43979</v>
      </c>
      <c r="P458" s="85">
        <f>OBRA!P458</f>
        <v>25520</v>
      </c>
      <c r="Q458" s="4" t="s">
        <v>68</v>
      </c>
      <c r="R458" s="255" t="str">
        <f>OBRA!R458</f>
        <v>NO APLICA</v>
      </c>
      <c r="S458" s="245" t="str">
        <f>OBRA!S458</f>
        <v>NO APLICA</v>
      </c>
      <c r="T458" s="1601" t="s">
        <v>5755</v>
      </c>
      <c r="U458" s="415" t="s">
        <v>1431</v>
      </c>
      <c r="V458" s="344" t="s">
        <v>1431</v>
      </c>
      <c r="W458" s="12" t="s">
        <v>1431</v>
      </c>
      <c r="X458" s="1409">
        <f>OBRA!AP458</f>
        <v>0</v>
      </c>
      <c r="Y458" s="344"/>
      <c r="Z458" s="344"/>
      <c r="AA458" s="255"/>
      <c r="AB458" s="351">
        <f>OBRA!BT458</f>
        <v>0</v>
      </c>
      <c r="AC458" s="569"/>
      <c r="AE458"/>
      <c r="AF458"/>
      <c r="AG458"/>
      <c r="AH458"/>
      <c r="AI458"/>
      <c r="AJ458"/>
      <c r="AK458"/>
      <c r="AL458"/>
    </row>
    <row r="459" spans="1:38" ht="94.5" hidden="1" customHeight="1">
      <c r="A459" s="23" t="str">
        <f>GRAL!G462</f>
        <v>SERVICIO</v>
      </c>
      <c r="B459" s="933" t="str">
        <f>GRAL!B462</f>
        <v>2018-2021</v>
      </c>
      <c r="C459" s="17">
        <f>OBRA!I459</f>
        <v>2020</v>
      </c>
      <c r="D459" s="18" t="str">
        <f>OBRA!K459</f>
        <v>CUENTA CORRIENTE</v>
      </c>
      <c r="E459" s="525" t="s">
        <v>1431</v>
      </c>
      <c r="F459" s="1541" t="s">
        <v>1431</v>
      </c>
      <c r="G459" s="239"/>
      <c r="H459" s="1541" t="s">
        <v>1431</v>
      </c>
      <c r="I459" s="1735" t="str">
        <f>OBRA!U459</f>
        <v>SUPERVISIÓN PROYECTOS Y LABORATORIO PARA LA CONSTRUCCIÓN</v>
      </c>
      <c r="J459" s="172" t="str">
        <f>OBRA!V459</f>
        <v>ING. HECTOR JESUS HERNANDEZ</v>
      </c>
      <c r="K459" s="35" t="str">
        <f>OBRA!L459</f>
        <v>C.P.S.P. DOP 005/2020</v>
      </c>
      <c r="L459" s="2" t="str">
        <f>OBRA!M459</f>
        <v>SERVICIOS</v>
      </c>
      <c r="M459" s="328" t="str">
        <f>OBRA!N459</f>
        <v>ESTUDIOS DE MECÁNICA DE SUELOS, COMPACTACIÓN Y CALCULO ESTRUCTURAL, CORRESPONDIENTE AL PROYECTO: "REHABILITACIÓN DE LA CANCHA UNIDAD DEPORTIVA ZARAGOZA 1ERA. ETAPA", EN LA CABECERA MUNICIPAL DE JOCOTEPEC, JALISCO.</v>
      </c>
      <c r="N459" s="554" t="s">
        <v>3770</v>
      </c>
      <c r="O459" s="69">
        <f>OBRA!Q459</f>
        <v>43979</v>
      </c>
      <c r="P459" s="85">
        <f>OBRA!P459</f>
        <v>36772</v>
      </c>
      <c r="Q459" s="4" t="s">
        <v>68</v>
      </c>
      <c r="R459" s="255" t="str">
        <f>OBRA!R459</f>
        <v>NO APLICA</v>
      </c>
      <c r="S459" s="245" t="str">
        <f>OBRA!S459</f>
        <v>NO APLICA</v>
      </c>
      <c r="T459" s="1601" t="s">
        <v>5755</v>
      </c>
      <c r="U459" s="415" t="s">
        <v>1431</v>
      </c>
      <c r="V459" s="344" t="s">
        <v>1431</v>
      </c>
      <c r="W459" s="12" t="s">
        <v>1431</v>
      </c>
      <c r="X459" s="1409">
        <f>OBRA!AP459</f>
        <v>0</v>
      </c>
      <c r="Y459" s="344"/>
      <c r="Z459" s="344"/>
      <c r="AA459" s="255"/>
      <c r="AB459" s="351">
        <f>OBRA!BT459</f>
        <v>0</v>
      </c>
      <c r="AC459" s="569"/>
      <c r="AE459"/>
      <c r="AF459"/>
      <c r="AG459"/>
      <c r="AH459"/>
      <c r="AI459"/>
      <c r="AJ459"/>
      <c r="AK459"/>
      <c r="AL459"/>
    </row>
    <row r="460" spans="1:38" ht="100.5" hidden="1" customHeight="1">
      <c r="A460" s="23" t="str">
        <f>GRAL!G463</f>
        <v>SERVICIO</v>
      </c>
      <c r="B460" s="933" t="str">
        <f>GRAL!B463</f>
        <v>2018-2021</v>
      </c>
      <c r="C460" s="17">
        <f>OBRA!I460</f>
        <v>2020</v>
      </c>
      <c r="D460" s="18" t="str">
        <f>OBRA!K460</f>
        <v>CUENTA CORRIENTE</v>
      </c>
      <c r="E460" s="525" t="s">
        <v>1431</v>
      </c>
      <c r="F460" s="1541" t="s">
        <v>1431</v>
      </c>
      <c r="G460" s="239"/>
      <c r="H460" s="1541" t="s">
        <v>1431</v>
      </c>
      <c r="I460" s="1735" t="str">
        <f>OBRA!U460</f>
        <v>SUPERVISIÓN PROYECTOS Y LABORATORIO PARA LA CONSTRUCCIÓN</v>
      </c>
      <c r="J460" s="172" t="str">
        <f>OBRA!V460</f>
        <v>ING. HECTOR JESUS HERNANDEZ</v>
      </c>
      <c r="K460" s="35" t="str">
        <f>OBRA!L460</f>
        <v>C.P.S.P. DOP 006/2020</v>
      </c>
      <c r="L460" s="2" t="str">
        <f>OBRA!M460</f>
        <v>SERVICIOS</v>
      </c>
      <c r="M460" s="328" t="str">
        <f>OBRA!N460</f>
        <v>ESTUDIOS DE MECÁNICA DE SUELOS Y COMPACTACIÓN, CORRESPONDIENTE AL PROYECTO: "REHABILITACIÓN DE CANCHA DE USOS MULTIPLES UBICADA EN EL MALECÓN", EN LA LOCALIDAD DE SAN JUAN COSALA, DEL MUNICIPIO DE JOCOTEPEC, JALISCO.</v>
      </c>
      <c r="N460" s="554" t="s">
        <v>3770</v>
      </c>
      <c r="O460" s="69">
        <f>OBRA!Q460</f>
        <v>43979</v>
      </c>
      <c r="P460" s="85">
        <f>OBRA!P460</f>
        <v>18096</v>
      </c>
      <c r="Q460" s="4" t="s">
        <v>68</v>
      </c>
      <c r="R460" s="255" t="str">
        <f>OBRA!R460</f>
        <v>NO APLICA</v>
      </c>
      <c r="S460" s="245" t="str">
        <f>OBRA!S460</f>
        <v>NO APLICA</v>
      </c>
      <c r="T460" s="1601" t="s">
        <v>5755</v>
      </c>
      <c r="U460" s="415" t="s">
        <v>1431</v>
      </c>
      <c r="V460" s="344" t="s">
        <v>1431</v>
      </c>
      <c r="W460" s="12" t="s">
        <v>1431</v>
      </c>
      <c r="X460" s="1409">
        <f>OBRA!AP460</f>
        <v>0</v>
      </c>
      <c r="Y460" s="344"/>
      <c r="Z460" s="344"/>
      <c r="AA460" s="255"/>
      <c r="AB460" s="351">
        <f>OBRA!BT460</f>
        <v>0</v>
      </c>
      <c r="AC460" s="569"/>
      <c r="AE460"/>
      <c r="AF460"/>
      <c r="AG460"/>
      <c r="AH460"/>
      <c r="AI460"/>
      <c r="AJ460"/>
      <c r="AK460"/>
      <c r="AL460"/>
    </row>
    <row r="461" spans="1:38" ht="83.25" hidden="1" customHeight="1">
      <c r="A461" s="23" t="str">
        <f>GRAL!G464</f>
        <v>SERVICIO</v>
      </c>
      <c r="B461" s="933" t="str">
        <f>GRAL!B464</f>
        <v>2018-2021</v>
      </c>
      <c r="C461" s="17">
        <f>OBRA!I461</f>
        <v>2020</v>
      </c>
      <c r="D461" s="18" t="str">
        <f>OBRA!K461</f>
        <v>CUENTA CORRIENTE</v>
      </c>
      <c r="E461" s="525" t="s">
        <v>1431</v>
      </c>
      <c r="F461" s="1541" t="s">
        <v>1431</v>
      </c>
      <c r="G461" s="239"/>
      <c r="H461" s="1541" t="s">
        <v>1431</v>
      </c>
      <c r="I461" s="1735" t="str">
        <f>OBRA!U461</f>
        <v>SUPERVISIÓN PROYECTOS Y LABORATORIO PARA LA CONSTRUCCIÓN</v>
      </c>
      <c r="J461" s="172" t="str">
        <f>OBRA!V461</f>
        <v>ING. HECTOR JESUS HERNANDEZ</v>
      </c>
      <c r="K461" s="35" t="str">
        <f>OBRA!L461</f>
        <v>C.P.S.P. DOP 007/2020</v>
      </c>
      <c r="L461" s="2" t="str">
        <f>OBRA!M461</f>
        <v>SERVICIOS</v>
      </c>
      <c r="M461" s="328" t="str">
        <f>OBRA!N461</f>
        <v>ESTUDIOS DE MECÁNICA DE SUELOS Y COMPACTACIÓN, CORRESPONDIENTE AL PROYECTO: "CONSTRUCCIÓN DE JARDÍN DE NIÑOS "MIGUEL HIDALGO", EN LA CABECERA MUNICIPAL DE JOCOTEPEC, JALISCO.</v>
      </c>
      <c r="N461" s="554" t="s">
        <v>3770</v>
      </c>
      <c r="O461" s="69">
        <f>OBRA!Q461</f>
        <v>43979</v>
      </c>
      <c r="P461" s="85">
        <f>OBRA!P461</f>
        <v>22772</v>
      </c>
      <c r="Q461" s="4" t="s">
        <v>68</v>
      </c>
      <c r="R461" s="255" t="str">
        <f>OBRA!R461</f>
        <v>NO APLICA</v>
      </c>
      <c r="S461" s="245" t="str">
        <f>OBRA!S461</f>
        <v>NO APLICA</v>
      </c>
      <c r="T461" s="1601" t="s">
        <v>5755</v>
      </c>
      <c r="U461" s="415" t="s">
        <v>1431</v>
      </c>
      <c r="V461" s="344" t="s">
        <v>1431</v>
      </c>
      <c r="W461" s="12" t="s">
        <v>1431</v>
      </c>
      <c r="X461" s="1409">
        <f>OBRA!AP461</f>
        <v>0</v>
      </c>
      <c r="Y461" s="344"/>
      <c r="Z461" s="344"/>
      <c r="AA461" s="255"/>
      <c r="AB461" s="351">
        <f>OBRA!BT461</f>
        <v>0</v>
      </c>
      <c r="AC461" s="569"/>
      <c r="AE461"/>
      <c r="AF461"/>
      <c r="AG461"/>
      <c r="AH461"/>
      <c r="AI461"/>
      <c r="AJ461"/>
      <c r="AK461"/>
      <c r="AL461"/>
    </row>
    <row r="462" spans="1:38" ht="85.5" hidden="1" customHeight="1">
      <c r="A462" s="23" t="str">
        <f>GRAL!G465</f>
        <v>SERVICIO</v>
      </c>
      <c r="B462" s="933" t="str">
        <f>GRAL!B465</f>
        <v>2018-2021</v>
      </c>
      <c r="C462" s="17">
        <f>OBRA!I462</f>
        <v>2020</v>
      </c>
      <c r="D462" s="18" t="str">
        <f>OBRA!K462</f>
        <v>CUENTA CORRIENTE</v>
      </c>
      <c r="E462" s="525" t="s">
        <v>1431</v>
      </c>
      <c r="F462" s="1541" t="s">
        <v>1431</v>
      </c>
      <c r="G462" s="239"/>
      <c r="H462" s="1541" t="s">
        <v>1431</v>
      </c>
      <c r="I462" s="1735" t="str">
        <f>OBRA!U462</f>
        <v>SUPERVISIÓN PROYECTOS Y LABORATORIO PARA LA CONSTRUCCIÓN</v>
      </c>
      <c r="J462" s="172" t="str">
        <f>OBRA!V462</f>
        <v>ING. HECTOR JESUS HERNANDEZ</v>
      </c>
      <c r="K462" s="35" t="str">
        <f>OBRA!L462</f>
        <v>C.P.S.P. DOP 008/2020</v>
      </c>
      <c r="L462" s="2" t="str">
        <f>OBRA!M462</f>
        <v>SERVICIOS</v>
      </c>
      <c r="M462" s="328" t="str">
        <f>OBRA!N462</f>
        <v>ESTUDIOS DE MECÁNICA DE SUELOS Y COMPACTACIÓN, CORRESPONDIENTE AL PROYECTO: "CONSTRUCCIÓN DE JARDÍN DE NIÑOS "ITZCOATL", EN LA LOCALIDAD DE NEXTIPAC. DEL MUNICIPIO DE JOCOTEPEC, JALISCO.</v>
      </c>
      <c r="N462" s="554" t="s">
        <v>3770</v>
      </c>
      <c r="O462" s="69">
        <f>OBRA!Q462</f>
        <v>43979</v>
      </c>
      <c r="P462" s="85">
        <f>OBRA!P462</f>
        <v>22772</v>
      </c>
      <c r="Q462" s="4" t="s">
        <v>68</v>
      </c>
      <c r="R462" s="255" t="str">
        <f>OBRA!R462</f>
        <v>NO APLICA</v>
      </c>
      <c r="S462" s="245" t="str">
        <f>OBRA!S462</f>
        <v>NO APLICA</v>
      </c>
      <c r="T462" s="1601" t="s">
        <v>5755</v>
      </c>
      <c r="U462" s="415" t="s">
        <v>1431</v>
      </c>
      <c r="V462" s="344" t="s">
        <v>1431</v>
      </c>
      <c r="W462" s="12" t="s">
        <v>1431</v>
      </c>
      <c r="X462" s="1409">
        <f>OBRA!AP462</f>
        <v>0</v>
      </c>
      <c r="Y462" s="344"/>
      <c r="Z462" s="344"/>
      <c r="AA462" s="255"/>
      <c r="AB462" s="351">
        <f>OBRA!BT462</f>
        <v>0</v>
      </c>
      <c r="AC462" s="569"/>
      <c r="AE462"/>
      <c r="AF462"/>
      <c r="AG462"/>
      <c r="AH462"/>
      <c r="AI462"/>
      <c r="AJ462"/>
      <c r="AK462"/>
      <c r="AL462"/>
    </row>
    <row r="463" spans="1:38" ht="92.25" hidden="1" customHeight="1">
      <c r="A463" s="23" t="str">
        <f>GRAL!G466</f>
        <v>SERVICIO</v>
      </c>
      <c r="B463" s="933" t="str">
        <f>GRAL!B466</f>
        <v>2018-2021</v>
      </c>
      <c r="C463" s="17">
        <f>OBRA!I463</f>
        <v>2020</v>
      </c>
      <c r="D463" s="18" t="str">
        <f>OBRA!K463</f>
        <v>CUENTA CORRIENTE</v>
      </c>
      <c r="E463" s="525" t="s">
        <v>1431</v>
      </c>
      <c r="F463" s="1541" t="s">
        <v>1431</v>
      </c>
      <c r="G463" s="239"/>
      <c r="H463" s="1541" t="s">
        <v>1431</v>
      </c>
      <c r="I463" s="339" t="str">
        <f>OBRA!U463</f>
        <v xml:space="preserve">CICLOS GIP SC </v>
      </c>
      <c r="J463" s="172" t="str">
        <f>OBRA!V463</f>
        <v>ING. HECTOR JESUS HERNANDEZ</v>
      </c>
      <c r="K463" s="35"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54" t="s">
        <v>3770</v>
      </c>
      <c r="O463" s="69">
        <f>OBRA!Q463</f>
        <v>44050</v>
      </c>
      <c r="P463" s="85">
        <f>OBRA!P463</f>
        <v>17400</v>
      </c>
      <c r="Q463" s="4" t="s">
        <v>68</v>
      </c>
      <c r="R463" s="255">
        <f>OBRA!R463</f>
        <v>44050</v>
      </c>
      <c r="S463" s="245">
        <f>OBRA!S463</f>
        <v>44055</v>
      </c>
      <c r="T463" s="1601" t="s">
        <v>5755</v>
      </c>
      <c r="U463" s="415" t="s">
        <v>1431</v>
      </c>
      <c r="V463" s="344" t="s">
        <v>1431</v>
      </c>
      <c r="W463" s="12" t="s">
        <v>1431</v>
      </c>
      <c r="X463" s="1409">
        <f>OBRA!AP463</f>
        <v>0</v>
      </c>
      <c r="Y463" s="344"/>
      <c r="Z463" s="344"/>
      <c r="AA463" s="255"/>
      <c r="AB463" s="351">
        <f>OBRA!BT463</f>
        <v>0</v>
      </c>
      <c r="AC463" s="569"/>
      <c r="AE463"/>
      <c r="AF463"/>
      <c r="AG463"/>
      <c r="AH463"/>
      <c r="AI463"/>
      <c r="AJ463"/>
      <c r="AK463"/>
      <c r="AL463"/>
    </row>
    <row r="464" spans="1:38" ht="96" hidden="1" customHeight="1">
      <c r="A464" s="23" t="str">
        <f>GRAL!G467</f>
        <v>SERVICIO</v>
      </c>
      <c r="B464" s="933" t="str">
        <f>GRAL!B467</f>
        <v>2018-2021</v>
      </c>
      <c r="C464" s="17">
        <f>OBRA!I464</f>
        <v>2020</v>
      </c>
      <c r="D464" s="18" t="str">
        <f>OBRA!K464</f>
        <v>CUENTA CORRIENTE</v>
      </c>
      <c r="E464" s="525" t="s">
        <v>1431</v>
      </c>
      <c r="F464" s="1541" t="s">
        <v>1431</v>
      </c>
      <c r="G464" s="239"/>
      <c r="H464" s="1541" t="s">
        <v>1431</v>
      </c>
      <c r="I464" s="339" t="str">
        <f>OBRA!U464</f>
        <v>SUPERVISIÓN PROYECTOS Y LABORATORIO PARA LA CONSTRUCCIÓN</v>
      </c>
      <c r="J464" s="172" t="str">
        <f>OBRA!V464</f>
        <v>ARQ. EDUARDO ROMERO CARRILLO</v>
      </c>
      <c r="K464" s="35"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54" t="s">
        <v>3770</v>
      </c>
      <c r="O464" s="69">
        <f>OBRA!Q464</f>
        <v>44026</v>
      </c>
      <c r="P464" s="85">
        <f>OBRA!P464</f>
        <v>34046</v>
      </c>
      <c r="Q464" s="4" t="s">
        <v>68</v>
      </c>
      <c r="R464" s="255" t="str">
        <f>OBRA!R464</f>
        <v>NO APLICA</v>
      </c>
      <c r="S464" s="245" t="str">
        <f>OBRA!S464</f>
        <v>NO APLICA</v>
      </c>
      <c r="T464" s="1601" t="s">
        <v>5755</v>
      </c>
      <c r="U464" s="415" t="s">
        <v>1431</v>
      </c>
      <c r="V464" s="344" t="s">
        <v>1431</v>
      </c>
      <c r="W464" s="12" t="s">
        <v>1431</v>
      </c>
      <c r="X464" s="1409">
        <f>OBRA!AP464</f>
        <v>0</v>
      </c>
      <c r="Y464" s="344"/>
      <c r="Z464" s="344"/>
      <c r="AA464" s="255"/>
      <c r="AB464" s="351">
        <f>OBRA!BT464</f>
        <v>0</v>
      </c>
      <c r="AC464" s="569"/>
      <c r="AE464"/>
      <c r="AF464"/>
      <c r="AG464"/>
      <c r="AH464"/>
      <c r="AI464"/>
      <c r="AJ464"/>
      <c r="AK464"/>
      <c r="AL464"/>
    </row>
    <row r="465" spans="1:38" ht="66" hidden="1" customHeight="1">
      <c r="A465" s="23" t="str">
        <f>GRAL!G468</f>
        <v>SERVICIO</v>
      </c>
      <c r="B465" s="933" t="str">
        <f>GRAL!B468</f>
        <v>2018-2021</v>
      </c>
      <c r="C465" s="17">
        <f>OBRA!I465</f>
        <v>2020</v>
      </c>
      <c r="D465" s="18" t="str">
        <f>OBRA!K465</f>
        <v>CUENTA CORRIENTE</v>
      </c>
      <c r="E465" s="525" t="s">
        <v>1431</v>
      </c>
      <c r="F465" s="1541" t="s">
        <v>1431</v>
      </c>
      <c r="G465" s="239"/>
      <c r="H465" s="1541" t="s">
        <v>1431</v>
      </c>
      <c r="I465" s="339" t="str">
        <f>OBRA!U465</f>
        <v>JUAN MANUEL GARCIA ESCOTO</v>
      </c>
      <c r="J465" s="172" t="str">
        <f>OBRA!V465</f>
        <v>ING. HECTOR JESUS HERNANDEZ</v>
      </c>
      <c r="K465" s="35" t="str">
        <f>OBRA!L465</f>
        <v>C.P.S.P. DOP 011/2020</v>
      </c>
      <c r="L465" s="2" t="str">
        <f>OBRA!M465</f>
        <v>SERVICIOS</v>
      </c>
      <c r="M465" s="3" t="str">
        <f>OBRA!N465</f>
        <v>LEVANTAMIENTO TOPOGRÁFICO DE ÁREA DE DONACIÓN Y UBICACIÓN DEL DEPÓSITO PARA AGUA POTABLE EN LADO NORTE DE LA CABECERA MUNICIPAL DE JOCOTEPEC, JALISCO.</v>
      </c>
      <c r="N465" s="554" t="s">
        <v>3771</v>
      </c>
      <c r="O465" s="6">
        <f>OBRA!Q465</f>
        <v>44454</v>
      </c>
      <c r="P465" s="4">
        <f>OBRA!P465</f>
        <v>4059.9999999999995</v>
      </c>
      <c r="Q465" s="4" t="s">
        <v>68</v>
      </c>
      <c r="R465" s="5" t="str">
        <f>OBRA!R465</f>
        <v>NO APLICA</v>
      </c>
      <c r="S465" s="12" t="str">
        <f>OBRA!S465</f>
        <v>NO APLICA</v>
      </c>
      <c r="T465" s="1601" t="s">
        <v>5755</v>
      </c>
      <c r="U465" s="415" t="s">
        <v>1431</v>
      </c>
      <c r="V465" s="344" t="s">
        <v>1431</v>
      </c>
      <c r="W465" s="12" t="s">
        <v>1431</v>
      </c>
      <c r="X465" s="1409">
        <f>OBRA!AP465</f>
        <v>0</v>
      </c>
      <c r="Y465" s="344"/>
      <c r="Z465" s="344"/>
      <c r="AA465" s="255"/>
      <c r="AB465" s="351">
        <f>OBRA!BT465</f>
        <v>0</v>
      </c>
      <c r="AC465" s="569"/>
      <c r="AE465"/>
      <c r="AF465"/>
      <c r="AG465"/>
      <c r="AH465"/>
      <c r="AI465"/>
      <c r="AJ465"/>
      <c r="AK465"/>
      <c r="AL465"/>
    </row>
    <row r="466" spans="1:38" ht="186" hidden="1" customHeight="1">
      <c r="A466" s="23" t="str">
        <f>GRAL!G469</f>
        <v>SERVICIO</v>
      </c>
      <c r="B466" s="933" t="str">
        <f>GRAL!B469</f>
        <v>2018-2021</v>
      </c>
      <c r="C466" s="17">
        <f>OBRA!I466</f>
        <v>2020</v>
      </c>
      <c r="D466" s="18" t="str">
        <f>OBRA!K466</f>
        <v>CUENTA CORRIENTE</v>
      </c>
      <c r="E466" s="525" t="s">
        <v>1431</v>
      </c>
      <c r="F466" s="1541" t="s">
        <v>1431</v>
      </c>
      <c r="G466" s="239"/>
      <c r="H466" s="1541" t="s">
        <v>1431</v>
      </c>
      <c r="I466" s="339" t="str">
        <f>OBRA!U466</f>
        <v>AJG INGENIERIA, SA DE CV</v>
      </c>
      <c r="J466" s="172" t="str">
        <f>OBRA!V466</f>
        <v>ING. HECTOR JESUS HERNANDEZ</v>
      </c>
      <c r="K466" s="35"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3771</v>
      </c>
      <c r="O466" s="6">
        <f>OBRA!Q466</f>
        <v>44082</v>
      </c>
      <c r="P466" s="4">
        <f>OBRA!P466</f>
        <v>139246</v>
      </c>
      <c r="Q466" s="4" t="s">
        <v>68</v>
      </c>
      <c r="R466" s="5">
        <f>OBRA!R466</f>
        <v>44088</v>
      </c>
      <c r="S466" s="12">
        <f>OBRA!S466</f>
        <v>44094</v>
      </c>
      <c r="T466" s="1601" t="s">
        <v>5755</v>
      </c>
      <c r="U466" s="415" t="s">
        <v>1431</v>
      </c>
      <c r="V466" s="344" t="s">
        <v>1431</v>
      </c>
      <c r="W466" s="12" t="s">
        <v>1431</v>
      </c>
      <c r="X466" s="1409">
        <f>OBRA!AP466</f>
        <v>0</v>
      </c>
      <c r="Y466" s="344"/>
      <c r="Z466" s="344"/>
      <c r="AA466" s="255"/>
      <c r="AB466" s="351">
        <f>OBRA!BT466</f>
        <v>0</v>
      </c>
      <c r="AC466" s="569"/>
      <c r="AE466"/>
      <c r="AF466"/>
      <c r="AG466"/>
      <c r="AH466"/>
      <c r="AI466"/>
      <c r="AJ466"/>
      <c r="AK466"/>
      <c r="AL466"/>
    </row>
    <row r="467" spans="1:38" ht="137.25" hidden="1" customHeight="1">
      <c r="A467" s="23" t="str">
        <f>GRAL!G470</f>
        <v>SERVICIO</v>
      </c>
      <c r="B467" s="933" t="str">
        <f>GRAL!B470</f>
        <v>2018-2021</v>
      </c>
      <c r="C467" s="17">
        <f>OBRA!I467</f>
        <v>2020</v>
      </c>
      <c r="D467" s="18" t="str">
        <f>OBRA!K467</f>
        <v>CUENTA CORRIENTE</v>
      </c>
      <c r="E467" s="525" t="s">
        <v>1431</v>
      </c>
      <c r="F467" s="1541" t="s">
        <v>1431</v>
      </c>
      <c r="G467" s="239"/>
      <c r="H467" s="1541" t="s">
        <v>1431</v>
      </c>
      <c r="I467" s="339" t="str">
        <f>OBRA!U467</f>
        <v>AJG INGENIERIA, SA DE CV</v>
      </c>
      <c r="J467" s="172" t="str">
        <f>OBRA!V467</f>
        <v>ING. HECTOR JESUS HERNANDEZ</v>
      </c>
      <c r="K467" s="35"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3771</v>
      </c>
      <c r="O467" s="6">
        <f>OBRA!Q467</f>
        <v>44081</v>
      </c>
      <c r="P467" s="4">
        <f>OBRA!P467</f>
        <v>139246</v>
      </c>
      <c r="Q467" s="4" t="s">
        <v>68</v>
      </c>
      <c r="R467" s="5">
        <f>OBRA!R467</f>
        <v>44082</v>
      </c>
      <c r="S467" s="12">
        <f>OBRA!S467</f>
        <v>44086</v>
      </c>
      <c r="T467" s="1601" t="s">
        <v>5755</v>
      </c>
      <c r="U467" s="415" t="s">
        <v>1431</v>
      </c>
      <c r="V467" s="344" t="s">
        <v>1431</v>
      </c>
      <c r="W467" s="12" t="s">
        <v>1431</v>
      </c>
      <c r="X467" s="1409">
        <f>OBRA!AP467</f>
        <v>0</v>
      </c>
      <c r="Y467" s="344"/>
      <c r="Z467" s="344"/>
      <c r="AA467" s="255"/>
      <c r="AB467" s="351">
        <f>OBRA!BT467</f>
        <v>0</v>
      </c>
      <c r="AC467" s="569"/>
      <c r="AE467"/>
      <c r="AF467"/>
      <c r="AG467"/>
      <c r="AH467"/>
      <c r="AI467"/>
      <c r="AJ467"/>
      <c r="AK467"/>
      <c r="AL467"/>
    </row>
    <row r="468" spans="1:38" ht="129.75" hidden="1" customHeight="1">
      <c r="A468" s="23" t="str">
        <f>GRAL!G471</f>
        <v>SERVICIO</v>
      </c>
      <c r="B468" s="933" t="str">
        <f>GRAL!B471</f>
        <v>2018-2021</v>
      </c>
      <c r="C468" s="17">
        <f>OBRA!I468</f>
        <v>2020</v>
      </c>
      <c r="D468" s="18" t="str">
        <f>OBRA!K468</f>
        <v>CUENTA CORRIENTE</v>
      </c>
      <c r="E468" s="525" t="s">
        <v>1431</v>
      </c>
      <c r="F468" s="1541" t="s">
        <v>1431</v>
      </c>
      <c r="G468" s="239"/>
      <c r="H468" s="1541" t="s">
        <v>1431</v>
      </c>
      <c r="I468" s="339" t="str">
        <f>OBRA!U468</f>
        <v>SUPERVISIÓN PROYECTOS Y LABORATORIO PARA LA CONSTRUCCIÓN</v>
      </c>
      <c r="J468" s="172" t="str">
        <f>OBRA!V468</f>
        <v>LIC. SALVADOR CONTRERAS OLGUÍN</v>
      </c>
      <c r="K468" s="35"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3771</v>
      </c>
      <c r="O468" s="6">
        <f>OBRA!Q468</f>
        <v>44075</v>
      </c>
      <c r="P468" s="4">
        <f>OBRA!P468</f>
        <v>32944</v>
      </c>
      <c r="Q468" s="4" t="s">
        <v>68</v>
      </c>
      <c r="R468" s="5" t="str">
        <f>OBRA!R468</f>
        <v>NO APLICA</v>
      </c>
      <c r="S468" s="12" t="str">
        <f>OBRA!S468</f>
        <v>NO APLICA</v>
      </c>
      <c r="T468" s="1601" t="s">
        <v>5755</v>
      </c>
      <c r="U468" s="415" t="s">
        <v>1431</v>
      </c>
      <c r="V468" s="344" t="s">
        <v>1431</v>
      </c>
      <c r="W468" s="12" t="s">
        <v>1431</v>
      </c>
      <c r="X468" s="1409">
        <f>OBRA!AP468</f>
        <v>0</v>
      </c>
      <c r="Y468" s="344"/>
      <c r="Z468" s="344"/>
      <c r="AA468" s="255"/>
      <c r="AB468" s="351">
        <f>OBRA!BT468</f>
        <v>0</v>
      </c>
      <c r="AC468" s="569"/>
      <c r="AE468"/>
      <c r="AF468"/>
      <c r="AG468"/>
      <c r="AH468"/>
      <c r="AI468"/>
      <c r="AJ468"/>
      <c r="AK468"/>
      <c r="AL468"/>
    </row>
    <row r="469" spans="1:38" ht="135.75" hidden="1" customHeight="1">
      <c r="A469" s="23" t="str">
        <f>GRAL!G472</f>
        <v>SERVICIO</v>
      </c>
      <c r="B469" s="933" t="str">
        <f>GRAL!B472</f>
        <v>2018-2021</v>
      </c>
      <c r="C469" s="17">
        <f>OBRA!I469</f>
        <v>2020</v>
      </c>
      <c r="D469" s="18" t="str">
        <f>OBRA!K469</f>
        <v>CUENTA CORRIENTE</v>
      </c>
      <c r="E469" s="525" t="s">
        <v>1431</v>
      </c>
      <c r="F469" s="1541" t="s">
        <v>1431</v>
      </c>
      <c r="G469" s="239"/>
      <c r="H469" s="1541" t="s">
        <v>1431</v>
      </c>
      <c r="I469" s="339" t="str">
        <f>OBRA!U469</f>
        <v>SUPERVISIÓN PROYECTOS Y LABORATORIO PARA LA CONSTRUCCIÓN</v>
      </c>
      <c r="J469" s="172" t="str">
        <f>OBRA!V469</f>
        <v>ARQ. JAIME CONDE GOMEZ</v>
      </c>
      <c r="K469" s="35"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3771</v>
      </c>
      <c r="O469" s="6">
        <f>OBRA!Q469</f>
        <v>44075</v>
      </c>
      <c r="P469" s="4">
        <f>OBRA!P469</f>
        <v>25520</v>
      </c>
      <c r="Q469" s="4" t="s">
        <v>68</v>
      </c>
      <c r="R469" s="5" t="str">
        <f>OBRA!R469</f>
        <v>NO APLICA</v>
      </c>
      <c r="S469" s="12" t="str">
        <f>OBRA!S469</f>
        <v>NO APLICA</v>
      </c>
      <c r="T469" s="1601" t="s">
        <v>5755</v>
      </c>
      <c r="U469" s="415" t="s">
        <v>1431</v>
      </c>
      <c r="V469" s="344" t="s">
        <v>1431</v>
      </c>
      <c r="W469" s="12" t="s">
        <v>1431</v>
      </c>
      <c r="X469" s="1409">
        <f>OBRA!AP469</f>
        <v>0</v>
      </c>
      <c r="Y469" s="344"/>
      <c r="Z469" s="344"/>
      <c r="AA469" s="255"/>
      <c r="AB469" s="351">
        <f>OBRA!BT469</f>
        <v>0</v>
      </c>
      <c r="AC469" s="569"/>
      <c r="AE469"/>
      <c r="AF469"/>
      <c r="AG469"/>
      <c r="AH469"/>
      <c r="AI469"/>
      <c r="AJ469"/>
      <c r="AK469"/>
      <c r="AL469"/>
    </row>
    <row r="470" spans="1:38" ht="139.5" hidden="1" customHeight="1">
      <c r="A470" s="23" t="str">
        <f>GRAL!G473</f>
        <v>SERVICIO</v>
      </c>
      <c r="B470" s="933" t="str">
        <f>GRAL!B473</f>
        <v>2018-2021</v>
      </c>
      <c r="C470" s="17">
        <f>OBRA!I470</f>
        <v>2020</v>
      </c>
      <c r="D470" s="18" t="str">
        <f>OBRA!K470</f>
        <v>CUENTA CORRIENTE</v>
      </c>
      <c r="E470" s="525" t="s">
        <v>1431</v>
      </c>
      <c r="F470" s="1541" t="s">
        <v>1431</v>
      </c>
      <c r="G470" s="239"/>
      <c r="H470" s="1541" t="s">
        <v>1431</v>
      </c>
      <c r="I470" s="339" t="str">
        <f>OBRA!U470</f>
        <v>SUPERVISIÓN PROYECTOS Y LABORATORIO PARA LA CONSTRUCCIÓN</v>
      </c>
      <c r="J470" s="172" t="str">
        <f>OBRA!V470</f>
        <v>ING. J. GUADALUPE IBARRA RAMIREZ</v>
      </c>
      <c r="K470" s="35"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3771</v>
      </c>
      <c r="O470" s="6">
        <f>OBRA!Q470</f>
        <v>44124</v>
      </c>
      <c r="P470" s="4">
        <f>OBRA!P470</f>
        <v>36656</v>
      </c>
      <c r="Q470" s="4" t="s">
        <v>68</v>
      </c>
      <c r="R470" s="5" t="str">
        <f>OBRA!R470</f>
        <v>NO APLICA</v>
      </c>
      <c r="S470" s="12" t="str">
        <f>OBRA!S470</f>
        <v>NO APLICA</v>
      </c>
      <c r="T470" s="1601" t="s">
        <v>5755</v>
      </c>
      <c r="U470" s="415" t="s">
        <v>1431</v>
      </c>
      <c r="V470" s="344" t="s">
        <v>1431</v>
      </c>
      <c r="W470" s="12" t="s">
        <v>1431</v>
      </c>
      <c r="X470" s="1409">
        <f>OBRA!AP470</f>
        <v>0</v>
      </c>
      <c r="Y470" s="344"/>
      <c r="Z470" s="344"/>
      <c r="AA470" s="255"/>
      <c r="AB470" s="351">
        <f>OBRA!BT470</f>
        <v>0</v>
      </c>
      <c r="AC470" s="569"/>
      <c r="AE470"/>
      <c r="AF470"/>
      <c r="AG470"/>
      <c r="AH470"/>
      <c r="AI470"/>
      <c r="AJ470"/>
      <c r="AK470"/>
      <c r="AL470"/>
    </row>
    <row r="471" spans="1:38" ht="75" hidden="1" customHeight="1">
      <c r="A471" s="23" t="str">
        <f>GRAL!G474</f>
        <v>SERVICIO</v>
      </c>
      <c r="B471" s="933" t="str">
        <f>GRAL!B474</f>
        <v>2018-2021</v>
      </c>
      <c r="C471" s="17">
        <f>OBRA!I471</f>
        <v>2020</v>
      </c>
      <c r="D471" s="18" t="str">
        <f>OBRA!K471</f>
        <v>CUENTA CORRIENTE</v>
      </c>
      <c r="E471" s="525" t="s">
        <v>1431</v>
      </c>
      <c r="F471" s="1541" t="s">
        <v>1431</v>
      </c>
      <c r="G471" s="239"/>
      <c r="H471" s="1541" t="s">
        <v>1431</v>
      </c>
      <c r="I471" s="339" t="str">
        <f>OBRA!U471</f>
        <v>ING. JUAN MANUEL GARCÍA ESCOTO</v>
      </c>
      <c r="J471" s="172" t="str">
        <f>OBRA!V471</f>
        <v>ING. HECTOR JESUS HERNANDEZ</v>
      </c>
      <c r="K471" s="35" t="str">
        <f>OBRA!L471</f>
        <v>C.P.S.P. DOP 017/2020</v>
      </c>
      <c r="L471" s="2" t="str">
        <f>OBRA!M471</f>
        <v>SERVICIOS</v>
      </c>
      <c r="M471" s="328" t="str">
        <f>OBRA!N471</f>
        <v>LEVANTAMIENTOS TOPOGRÁFICOS DE ÁREA DE DONACIÓN Y UBICACIÓN DEL POZO DE AGUA POTABLE EN C. ALLENDE, EN LA CABECERA MUNICIPAL DE JOCOTEPEC, JALISCO.</v>
      </c>
      <c r="N471" s="554" t="s">
        <v>3771</v>
      </c>
      <c r="O471" s="69">
        <f>OBRA!Q471</f>
        <v>44089</v>
      </c>
      <c r="P471" s="85">
        <f>OBRA!P471</f>
        <v>4059.9999999999995</v>
      </c>
      <c r="Q471" s="4" t="s">
        <v>68</v>
      </c>
      <c r="R471" s="255" t="str">
        <f>OBRA!R471</f>
        <v>-</v>
      </c>
      <c r="S471" s="245" t="str">
        <f>OBRA!S471</f>
        <v>-</v>
      </c>
      <c r="T471" s="1601" t="s">
        <v>5755</v>
      </c>
      <c r="U471" s="415" t="s">
        <v>1431</v>
      </c>
      <c r="V471" s="344" t="s">
        <v>1431</v>
      </c>
      <c r="W471" s="12" t="s">
        <v>1431</v>
      </c>
      <c r="X471" s="1409">
        <f>OBRA!AP471</f>
        <v>0</v>
      </c>
      <c r="Y471" s="344"/>
      <c r="Z471" s="344"/>
      <c r="AA471" s="255"/>
      <c r="AB471" s="351">
        <f>OBRA!BT471</f>
        <v>0</v>
      </c>
      <c r="AC471" s="569"/>
      <c r="AE471"/>
      <c r="AF471"/>
      <c r="AG471"/>
      <c r="AH471"/>
      <c r="AI471"/>
      <c r="AJ471"/>
      <c r="AK471"/>
      <c r="AL471"/>
    </row>
    <row r="472" spans="1:38" ht="72" hidden="1" customHeight="1">
      <c r="A472" s="23" t="str">
        <f>GRAL!G475</f>
        <v>SERVICIO</v>
      </c>
      <c r="B472" s="933" t="str">
        <f>GRAL!B475</f>
        <v>2018-2021</v>
      </c>
      <c r="C472" s="17">
        <f>OBRA!I472</f>
        <v>2020</v>
      </c>
      <c r="D472" s="18" t="str">
        <f>OBRA!K472</f>
        <v>CUENTA CORRIENTE</v>
      </c>
      <c r="E472" s="525" t="s">
        <v>1431</v>
      </c>
      <c r="F472" s="1541" t="s">
        <v>1431</v>
      </c>
      <c r="G472" s="239"/>
      <c r="H472" s="1541" t="s">
        <v>1431</v>
      </c>
      <c r="I472" s="339" t="str">
        <f>OBRA!U472</f>
        <v>ING. JUAN MANUEL GARCÍA ESCOTO</v>
      </c>
      <c r="J472" s="172" t="str">
        <f>OBRA!V472</f>
        <v>ING. HECTOR JESUS HERNANDEZ</v>
      </c>
      <c r="K472" s="35" t="str">
        <f>OBRA!L472</f>
        <v>C.P.S.P. DOP 018/2020</v>
      </c>
      <c r="L472" s="2" t="str">
        <f>OBRA!M472</f>
        <v>SERVICIOS</v>
      </c>
      <c r="M472" s="328" t="str">
        <f>OBRA!N472</f>
        <v>LEVANTAMIENTO TOPOGRÁFICO DE ÁREA DE DONACIÓN PARA PROYECTO DEL SENDERO "ANDADOR PANORÁMICO" EN ZONA NORTE, EN LA CABECERA MUNICIPAL DE JOCOTEPEC, JALISCO.</v>
      </c>
      <c r="N472" s="554" t="s">
        <v>3771</v>
      </c>
      <c r="O472" s="69">
        <f>OBRA!Q472</f>
        <v>44089</v>
      </c>
      <c r="P472" s="85">
        <f>OBRA!P472</f>
        <v>20880</v>
      </c>
      <c r="Q472" s="4" t="s">
        <v>68</v>
      </c>
      <c r="R472" s="255" t="str">
        <f>OBRA!R472</f>
        <v>-</v>
      </c>
      <c r="S472" s="245" t="str">
        <f>OBRA!S472</f>
        <v>-</v>
      </c>
      <c r="T472" s="1601" t="s">
        <v>5755</v>
      </c>
      <c r="U472" s="415" t="s">
        <v>1431</v>
      </c>
      <c r="V472" s="344" t="s">
        <v>1431</v>
      </c>
      <c r="W472" s="12" t="s">
        <v>1431</v>
      </c>
      <c r="X472" s="1409">
        <f>OBRA!AP472</f>
        <v>0</v>
      </c>
      <c r="Y472" s="344"/>
      <c r="Z472" s="344"/>
      <c r="AA472" s="255"/>
      <c r="AB472" s="351">
        <f>OBRA!BT472</f>
        <v>0</v>
      </c>
      <c r="AC472" s="569"/>
      <c r="AE472"/>
      <c r="AF472"/>
      <c r="AG472"/>
      <c r="AH472"/>
      <c r="AI472"/>
      <c r="AJ472"/>
      <c r="AK472"/>
      <c r="AL472"/>
    </row>
    <row r="473" spans="1:38" ht="80.25" hidden="1" customHeight="1">
      <c r="A473" s="23" t="str">
        <f>GRAL!G476</f>
        <v>SERVICIO</v>
      </c>
      <c r="B473" s="933" t="str">
        <f>GRAL!B476</f>
        <v>2018-2021</v>
      </c>
      <c r="C473" s="17">
        <f>OBRA!I473</f>
        <v>2020</v>
      </c>
      <c r="D473" s="18" t="str">
        <f>OBRA!K473</f>
        <v>CUENTA CORRIENTE</v>
      </c>
      <c r="E473" s="525" t="s">
        <v>1431</v>
      </c>
      <c r="F473" s="1541" t="s">
        <v>1431</v>
      </c>
      <c r="G473" s="239"/>
      <c r="H473" s="1541" t="s">
        <v>1431</v>
      </c>
      <c r="I473" s="339" t="str">
        <f>OBRA!U473</f>
        <v>ING. JUAN MANUEL GARCÍA ESCOTO</v>
      </c>
      <c r="J473" s="172" t="str">
        <f>OBRA!V473</f>
        <v>ING. HECTOR JESUS HERNANDEZ</v>
      </c>
      <c r="K473" s="35" t="str">
        <f>OBRA!L473</f>
        <v>C.P.S.P. DOP 019/2020</v>
      </c>
      <c r="L473" s="2" t="str">
        <f>OBRA!M473</f>
        <v>SERVICIOS</v>
      </c>
      <c r="M473" s="328" t="str">
        <f>OBRA!N473</f>
        <v>LEVANTAMIENTO TOPOGRÁFICO DE ÁREA DE DONACIÓN DEL TERRENO PARA EL PROYECTO DE LA PLANTA DE RECICLADO, UBICADO EN EL CRUCERO A POTRERILLOS DEL MUNICIPIO DE JOCOTEPEC, JALISCO.</v>
      </c>
      <c r="N473" s="554" t="s">
        <v>3771</v>
      </c>
      <c r="O473" s="69">
        <f>OBRA!Q473</f>
        <v>44089</v>
      </c>
      <c r="P473" s="85">
        <f>OBRA!P473</f>
        <v>5800</v>
      </c>
      <c r="Q473" s="4" t="s">
        <v>68</v>
      </c>
      <c r="R473" s="255" t="str">
        <f>OBRA!R473</f>
        <v>-</v>
      </c>
      <c r="S473" s="245" t="str">
        <f>OBRA!S473</f>
        <v>-</v>
      </c>
      <c r="T473" s="1601" t="s">
        <v>5755</v>
      </c>
      <c r="U473" s="415" t="s">
        <v>1431</v>
      </c>
      <c r="V473" s="344" t="s">
        <v>1431</v>
      </c>
      <c r="W473" s="12" t="s">
        <v>1431</v>
      </c>
      <c r="X473" s="1409">
        <f>OBRA!AP473</f>
        <v>0</v>
      </c>
      <c r="Y473" s="344"/>
      <c r="Z473" s="344"/>
      <c r="AA473" s="255"/>
      <c r="AB473" s="351">
        <f>OBRA!BT473</f>
        <v>0</v>
      </c>
      <c r="AC473" s="569"/>
      <c r="AE473"/>
      <c r="AF473"/>
      <c r="AG473"/>
      <c r="AH473"/>
      <c r="AI473"/>
      <c r="AJ473"/>
      <c r="AK473"/>
      <c r="AL473"/>
    </row>
    <row r="474" spans="1:38" ht="84.75" hidden="1" customHeight="1">
      <c r="A474" s="23" t="str">
        <f>GRAL!G477</f>
        <v>SERVICIO</v>
      </c>
      <c r="B474" s="933" t="str">
        <f>GRAL!B477</f>
        <v>2018-2021</v>
      </c>
      <c r="C474" s="17">
        <f>OBRA!I474</f>
        <v>2020</v>
      </c>
      <c r="D474" s="18" t="str">
        <f>OBRA!K474</f>
        <v>CUENTA CORRIENTE</v>
      </c>
      <c r="E474" s="525" t="s">
        <v>1431</v>
      </c>
      <c r="F474" s="1541" t="s">
        <v>1431</v>
      </c>
      <c r="G474" s="239"/>
      <c r="H474" s="1541" t="s">
        <v>1431</v>
      </c>
      <c r="I474" s="339" t="str">
        <f>OBRA!U474</f>
        <v>ING. JUAN MANUEL GARCÍA ESCOTO</v>
      </c>
      <c r="J474" s="172" t="str">
        <f>OBRA!V474</f>
        <v>ING. HECTOR JESUS HERNANDEZ</v>
      </c>
      <c r="K474" s="35" t="str">
        <f>OBRA!L474</f>
        <v>C.P.S.P. DOP 020/2020</v>
      </c>
      <c r="L474" s="2" t="str">
        <f>OBRA!M474</f>
        <v>SERVICIOS</v>
      </c>
      <c r="M474" s="328" t="str">
        <f>OBRA!N474</f>
        <v>LEVANTAMIENTO TOPORÁFICO DE ÁREA DE DONACIÓN DEL TERRENO PARA EL CAMPAMENTO DE LA GUARDIA NACIONAL, UBICADO EN EL EJIDO DE HUEJOTITÁN EN CRUCERO A POTRERILLOS, DEL MUNICIPIO DE JOCOTEPEC, JALISCO,</v>
      </c>
      <c r="N474" s="554" t="s">
        <v>3771</v>
      </c>
      <c r="O474" s="69">
        <f>OBRA!Q474</f>
        <v>44089</v>
      </c>
      <c r="P474" s="85">
        <f>OBRA!P474</f>
        <v>5220</v>
      </c>
      <c r="Q474" s="4" t="s">
        <v>68</v>
      </c>
      <c r="R474" s="255" t="str">
        <f>OBRA!R474</f>
        <v>-</v>
      </c>
      <c r="S474" s="245" t="str">
        <f>OBRA!S474</f>
        <v>-</v>
      </c>
      <c r="T474" s="1601" t="s">
        <v>5755</v>
      </c>
      <c r="U474" s="415" t="s">
        <v>1431</v>
      </c>
      <c r="V474" s="344" t="s">
        <v>1431</v>
      </c>
      <c r="W474" s="12" t="s">
        <v>1431</v>
      </c>
      <c r="X474" s="1409">
        <f>OBRA!AP474</f>
        <v>0</v>
      </c>
      <c r="Y474" s="344"/>
      <c r="Z474" s="344"/>
      <c r="AA474" s="255"/>
      <c r="AB474" s="351">
        <f>OBRA!BT474</f>
        <v>0</v>
      </c>
      <c r="AC474" s="569"/>
      <c r="AE474"/>
      <c r="AF474"/>
      <c r="AG474"/>
      <c r="AH474"/>
      <c r="AI474"/>
      <c r="AJ474"/>
      <c r="AK474"/>
      <c r="AL474"/>
    </row>
    <row r="475" spans="1:38" ht="82.5" hidden="1" customHeight="1">
      <c r="A475" s="23" t="str">
        <f>GRAL!G478</f>
        <v>SERVICIO</v>
      </c>
      <c r="B475" s="933" t="str">
        <f>GRAL!B478</f>
        <v>2018-2021</v>
      </c>
      <c r="C475" s="17">
        <f>OBRA!I475</f>
        <v>2020</v>
      </c>
      <c r="D475" s="18" t="str">
        <f>OBRA!K475</f>
        <v>CUENTA CORRIENTE</v>
      </c>
      <c r="E475" s="525" t="s">
        <v>1431</v>
      </c>
      <c r="F475" s="1541" t="s">
        <v>1431</v>
      </c>
      <c r="G475" s="239"/>
      <c r="H475" s="1541" t="s">
        <v>1431</v>
      </c>
      <c r="I475" s="339" t="str">
        <f>OBRA!U475</f>
        <v>ING. JUAN MANUEL GARCÍA ESCOTO</v>
      </c>
      <c r="J475" s="172" t="str">
        <f>OBRA!V475</f>
        <v>ING. HECTOR JESUS HERNANDEZ</v>
      </c>
      <c r="K475" s="35" t="str">
        <f>OBRA!L475</f>
        <v>C.P.S.P. DOP 021/2020</v>
      </c>
      <c r="L475" s="2" t="str">
        <f>OBRA!M475</f>
        <v>SERVICIOS</v>
      </c>
      <c r="M475" s="328" t="str">
        <f>OBRA!N475</f>
        <v>LEVANTAMIENTO TOGRÁFICO DE ÁREA Y LÍMITES DE PROPIEDAD DE LA CALLE HIDALGO NORTE DE CALLE ALDAMA A FILÓSOFOS, EN LA CABECERA MUNICIPAL DE JOCOTEPEC, JALISCO.</v>
      </c>
      <c r="N475" s="554" t="s">
        <v>3772</v>
      </c>
      <c r="O475" s="69">
        <f>OBRA!Q475</f>
        <v>44089</v>
      </c>
      <c r="P475" s="85">
        <f>OBRA!P475</f>
        <v>5800</v>
      </c>
      <c r="Q475" s="4" t="s">
        <v>68</v>
      </c>
      <c r="R475" s="255" t="str">
        <f>OBRA!R475</f>
        <v>-</v>
      </c>
      <c r="S475" s="245" t="str">
        <f>OBRA!S475</f>
        <v>-</v>
      </c>
      <c r="T475" s="1601" t="s">
        <v>5755</v>
      </c>
      <c r="U475" s="415" t="s">
        <v>1431</v>
      </c>
      <c r="V475" s="344" t="s">
        <v>1431</v>
      </c>
      <c r="W475" s="12" t="s">
        <v>1431</v>
      </c>
      <c r="X475" s="1409">
        <f>OBRA!AP475</f>
        <v>0</v>
      </c>
      <c r="Y475" s="344"/>
      <c r="Z475" s="344"/>
      <c r="AA475" s="255"/>
      <c r="AB475" s="351">
        <f>OBRA!BT475</f>
        <v>0</v>
      </c>
      <c r="AC475" s="569"/>
      <c r="AE475"/>
      <c r="AF475"/>
      <c r="AG475"/>
      <c r="AH475"/>
      <c r="AI475"/>
      <c r="AJ475"/>
      <c r="AK475"/>
      <c r="AL475"/>
    </row>
    <row r="476" spans="1:38" ht="86.25" hidden="1" customHeight="1">
      <c r="A476" s="23" t="str">
        <f>GRAL!G479</f>
        <v>SERVICIO</v>
      </c>
      <c r="B476" s="933" t="str">
        <f>GRAL!B479</f>
        <v>2018-2021</v>
      </c>
      <c r="C476" s="17">
        <f>OBRA!I476</f>
        <v>2020</v>
      </c>
      <c r="D476" s="18" t="str">
        <f>OBRA!K476</f>
        <v>CUENTA CORRIENTE</v>
      </c>
      <c r="E476" s="525" t="s">
        <v>1431</v>
      </c>
      <c r="F476" s="1541" t="s">
        <v>1431</v>
      </c>
      <c r="G476" s="239"/>
      <c r="H476" s="1541" t="s">
        <v>1431</v>
      </c>
      <c r="I476" s="339" t="str">
        <f>OBRA!U476</f>
        <v>ING. JUAN MANUEL GARCÍA ESCOTO</v>
      </c>
      <c r="J476" s="172" t="str">
        <f>OBRA!V476</f>
        <v>ING. HECTOR JESUS HERNANDEZ</v>
      </c>
      <c r="K476" s="35" t="str">
        <f>OBRA!L476</f>
        <v>C.P.S.P. DOP 022/2020</v>
      </c>
      <c r="L476" s="2" t="str">
        <f>OBRA!M476</f>
        <v>SERVICIOS</v>
      </c>
      <c r="M476" s="328" t="str">
        <f>OBRA!N476</f>
        <v>LEVANTAMIENTO TOPOGRÁFICO DEL PREDIO Y CONSTRUCCIÓN EXISTENTE PARA EL PROYECTO DE LA REMODELACIÓN DEL RASTRO MUNICIPAL UBICADO EN CALLE CHAPULTEPEC PTE, S/N, EN LA CABECERA MUNICIPAL DE JOCOTEPEC, JALISCO.</v>
      </c>
      <c r="N476" s="554" t="s">
        <v>3772</v>
      </c>
      <c r="O476" s="69">
        <f>OBRA!Q476</f>
        <v>44089</v>
      </c>
      <c r="P476" s="85">
        <f>OBRA!P476</f>
        <v>5220</v>
      </c>
      <c r="Q476" s="4" t="s">
        <v>68</v>
      </c>
      <c r="R476" s="255" t="str">
        <f>OBRA!R476</f>
        <v>-</v>
      </c>
      <c r="S476" s="245" t="str">
        <f>OBRA!S476</f>
        <v>-</v>
      </c>
      <c r="T476" s="1601" t="s">
        <v>5755</v>
      </c>
      <c r="U476" s="415" t="s">
        <v>1431</v>
      </c>
      <c r="V476" s="344" t="s">
        <v>1431</v>
      </c>
      <c r="W476" s="12" t="s">
        <v>1431</v>
      </c>
      <c r="X476" s="1409">
        <f>OBRA!AP476</f>
        <v>0</v>
      </c>
      <c r="Y476" s="344"/>
      <c r="Z476" s="344"/>
      <c r="AA476" s="255"/>
      <c r="AB476" s="351">
        <f>OBRA!BT476</f>
        <v>0</v>
      </c>
      <c r="AC476" s="569"/>
      <c r="AE476"/>
      <c r="AF476"/>
      <c r="AG476"/>
      <c r="AH476"/>
      <c r="AI476"/>
      <c r="AJ476"/>
      <c r="AK476"/>
      <c r="AL476"/>
    </row>
    <row r="477" spans="1:38" ht="94.5" hidden="1" customHeight="1">
      <c r="A477" s="23" t="str">
        <f>GRAL!G480</f>
        <v>SERVICIO</v>
      </c>
      <c r="B477" s="933" t="str">
        <f>GRAL!B480</f>
        <v>2018-2021</v>
      </c>
      <c r="C477" s="17">
        <f>OBRA!I477</f>
        <v>2020</v>
      </c>
      <c r="D477" s="18" t="str">
        <f>OBRA!K477</f>
        <v>CUENTA CORRIENTE</v>
      </c>
      <c r="E477" s="525" t="s">
        <v>1431</v>
      </c>
      <c r="F477" s="1541" t="s">
        <v>1431</v>
      </c>
      <c r="G477" s="239"/>
      <c r="H477" s="1541" t="s">
        <v>1431</v>
      </c>
      <c r="I477" s="339" t="str">
        <f>OBRA!U477</f>
        <v>ING. JUAN MANUEL GARCÍA ESCOTO</v>
      </c>
      <c r="J477" s="172" t="str">
        <f>OBRA!V477</f>
        <v>ING. HECTOR JESUS HERNANDEZ</v>
      </c>
      <c r="K477" s="35" t="str">
        <f>OBRA!L477</f>
        <v>C.P.S.P. DOP 023/2020</v>
      </c>
      <c r="L477" s="2" t="str">
        <f>OBRA!M477</f>
        <v>SERVICIOS</v>
      </c>
      <c r="M477" s="328" t="str">
        <f>OBRA!N477</f>
        <v>LEVANTAMIENTO TOPOGRÁFICO EN ÁREA DE DONACIÓN DEL TERRENO PARA LA UBICACIÓN DEL DEPÓSITO NUEVO DE AGUA POTABLE, EN LA DELEGACIÓN DE SAN CRISTOBAL ZAPOTITLÁN, DEL MUNICIPIO DE JOCOTEPEC, JALISCO.</v>
      </c>
      <c r="N477" s="554" t="s">
        <v>3772</v>
      </c>
      <c r="O477" s="69">
        <f>OBRA!Q477</f>
        <v>44089</v>
      </c>
      <c r="P477" s="85">
        <f>OBRA!P477</f>
        <v>1739.9999999999998</v>
      </c>
      <c r="Q477" s="4" t="s">
        <v>68</v>
      </c>
      <c r="R477" s="255" t="str">
        <f>OBRA!R477</f>
        <v>-</v>
      </c>
      <c r="S477" s="245" t="str">
        <f>OBRA!S477</f>
        <v>-</v>
      </c>
      <c r="T477" s="1601" t="s">
        <v>5755</v>
      </c>
      <c r="U477" s="415" t="s">
        <v>1431</v>
      </c>
      <c r="V477" s="344" t="s">
        <v>1431</v>
      </c>
      <c r="W477" s="12" t="s">
        <v>1431</v>
      </c>
      <c r="X477" s="1409">
        <f>OBRA!AP477</f>
        <v>0</v>
      </c>
      <c r="Y477" s="344"/>
      <c r="Z477" s="344"/>
      <c r="AA477" s="255"/>
      <c r="AB477" s="351">
        <f>OBRA!BT477</f>
        <v>0</v>
      </c>
      <c r="AC477" s="569"/>
      <c r="AE477"/>
      <c r="AF477"/>
      <c r="AG477"/>
      <c r="AH477"/>
      <c r="AI477"/>
      <c r="AJ477"/>
      <c r="AK477"/>
      <c r="AL477"/>
    </row>
    <row r="478" spans="1:38" ht="84" hidden="1" customHeight="1">
      <c r="A478" s="23" t="str">
        <f>GRAL!G481</f>
        <v>SERVICIO</v>
      </c>
      <c r="B478" s="933" t="str">
        <f>GRAL!B481</f>
        <v>2018-2021</v>
      </c>
      <c r="C478" s="17">
        <f>OBRA!I478</f>
        <v>2020</v>
      </c>
      <c r="D478" s="18" t="str">
        <f>OBRA!K478</f>
        <v>CUENTA CORRIENTE</v>
      </c>
      <c r="E478" s="525" t="s">
        <v>1431</v>
      </c>
      <c r="F478" s="1541" t="s">
        <v>1431</v>
      </c>
      <c r="G478" s="239"/>
      <c r="H478" s="1541" t="s">
        <v>1431</v>
      </c>
      <c r="I478" s="339" t="str">
        <f>OBRA!U478</f>
        <v>ING. JUAN MANUEL GARCÍA ESCOTO</v>
      </c>
      <c r="J478" s="172" t="str">
        <f>OBRA!V478</f>
        <v>ING. HECTOR JESUS HERNANDEZ</v>
      </c>
      <c r="K478" s="35" t="str">
        <f>OBRA!L478</f>
        <v>C.P.S.P. DOP 024/2020</v>
      </c>
      <c r="L478" s="2" t="str">
        <f>OBRA!M478</f>
        <v>SERVICIOS</v>
      </c>
      <c r="M478" s="328" t="str">
        <f>OBRA!N478</f>
        <v>LEVANTAMIENTO TOPOGRÁFICO DE PREDIO Y CONSTRUCCIÓN EXISTENTE EN CASA DE CULTURA UBICADO EN CALLE CARDENAL, EN LA DELEGACIÓN DE SAN JUAN COSALÁ, DEL MUNICIPIO DE JOCOTEPEC, JALISCO.</v>
      </c>
      <c r="N478" s="554" t="s">
        <v>3772</v>
      </c>
      <c r="O478" s="69">
        <f>OBRA!Q478</f>
        <v>44089</v>
      </c>
      <c r="P478" s="85">
        <f>OBRA!P478</f>
        <v>2900</v>
      </c>
      <c r="Q478" s="4" t="s">
        <v>68</v>
      </c>
      <c r="R478" s="255" t="str">
        <f>OBRA!R478</f>
        <v>-</v>
      </c>
      <c r="S478" s="245" t="str">
        <f>OBRA!S478</f>
        <v>-</v>
      </c>
      <c r="T478" s="1601" t="s">
        <v>5755</v>
      </c>
      <c r="U478" s="415" t="s">
        <v>1431</v>
      </c>
      <c r="V478" s="344" t="s">
        <v>1431</v>
      </c>
      <c r="W478" s="12" t="s">
        <v>1431</v>
      </c>
      <c r="X478" s="1409">
        <f>OBRA!AP478</f>
        <v>0</v>
      </c>
      <c r="Y478" s="344"/>
      <c r="Z478" s="344"/>
      <c r="AA478" s="255"/>
      <c r="AB478" s="351">
        <f>OBRA!BT478</f>
        <v>0</v>
      </c>
      <c r="AC478" s="569"/>
      <c r="AE478"/>
      <c r="AF478"/>
      <c r="AG478"/>
      <c r="AH478"/>
      <c r="AI478"/>
      <c r="AJ478"/>
      <c r="AK478"/>
      <c r="AL478"/>
    </row>
    <row r="479" spans="1:38" ht="84.75" hidden="1" customHeight="1">
      <c r="A479" s="23" t="str">
        <f>GRAL!G482</f>
        <v>SERVICIO</v>
      </c>
      <c r="B479" s="933" t="str">
        <f>GRAL!B482</f>
        <v>2018-2021</v>
      </c>
      <c r="C479" s="17">
        <f>OBRA!I479</f>
        <v>2020</v>
      </c>
      <c r="D479" s="18" t="str">
        <f>OBRA!K479</f>
        <v>CUENTA CORRIENTE</v>
      </c>
      <c r="E479" s="525" t="s">
        <v>1431</v>
      </c>
      <c r="F479" s="1541" t="s">
        <v>1431</v>
      </c>
      <c r="G479" s="239"/>
      <c r="H479" s="1541" t="s">
        <v>1431</v>
      </c>
      <c r="I479" s="339" t="str">
        <f>OBRA!U479</f>
        <v>ING. JUAN MANUEL GARCÍA ESCOTO</v>
      </c>
      <c r="J479" s="172" t="str">
        <f>OBRA!V479</f>
        <v>ING. HECTOR JESUS HERNANDEZ</v>
      </c>
      <c r="K479" s="35" t="str">
        <f>OBRA!L479</f>
        <v>C.P.S.P. DOP 025/2020</v>
      </c>
      <c r="L479" s="2" t="str">
        <f>OBRA!M479</f>
        <v>SERVICIOS</v>
      </c>
      <c r="M479" s="328" t="str">
        <f>OBRA!N479</f>
        <v>LEVANTAMIENTO TOPOGRÁFICO EN CALLES Y UBICACIÓN DE ÁREAS CONCESIONADAS PARA PUESTOS DEL TIANGUIS NAVIDEÑO (ZONA CENTRO), EN LA CABECERA MUNICIPAL DE JOCOTEPEC, JALISCO.</v>
      </c>
      <c r="N479" s="554" t="s">
        <v>3772</v>
      </c>
      <c r="O479" s="69">
        <f>OBRA!Q479</f>
        <v>44089</v>
      </c>
      <c r="P479" s="85">
        <f>OBRA!P479</f>
        <v>2900</v>
      </c>
      <c r="Q479" s="4" t="s">
        <v>68</v>
      </c>
      <c r="R479" s="255" t="str">
        <f>OBRA!R479</f>
        <v>-</v>
      </c>
      <c r="S479" s="245" t="str">
        <f>OBRA!S479</f>
        <v>-</v>
      </c>
      <c r="T479" s="1601" t="s">
        <v>5755</v>
      </c>
      <c r="U479" s="415" t="s">
        <v>1431</v>
      </c>
      <c r="V479" s="344" t="s">
        <v>1431</v>
      </c>
      <c r="W479" s="12" t="s">
        <v>1431</v>
      </c>
      <c r="X479" s="1409">
        <f>OBRA!AP479</f>
        <v>0</v>
      </c>
      <c r="Y479" s="344"/>
      <c r="Z479" s="344"/>
      <c r="AA479" s="255"/>
      <c r="AB479" s="351">
        <f>OBRA!BT479</f>
        <v>0</v>
      </c>
      <c r="AC479" s="569"/>
      <c r="AE479"/>
      <c r="AF479"/>
      <c r="AG479"/>
      <c r="AH479"/>
      <c r="AI479"/>
      <c r="AJ479"/>
      <c r="AK479"/>
      <c r="AL479"/>
    </row>
    <row r="480" spans="1:38" ht="77.25" hidden="1" customHeight="1">
      <c r="A480" s="23" t="str">
        <f>GRAL!G483</f>
        <v>SERVICIO</v>
      </c>
      <c r="B480" s="933" t="str">
        <f>GRAL!B483</f>
        <v>2018-2021</v>
      </c>
      <c r="C480" s="17">
        <f>OBRA!I480</f>
        <v>2020</v>
      </c>
      <c r="D480" s="18" t="str">
        <f>OBRA!K480</f>
        <v>CUENTA CORRIENTE</v>
      </c>
      <c r="E480" s="525" t="s">
        <v>1431</v>
      </c>
      <c r="F480" s="1541" t="s">
        <v>1431</v>
      </c>
      <c r="G480" s="239"/>
      <c r="H480" s="1541" t="s">
        <v>1431</v>
      </c>
      <c r="I480" s="339" t="str">
        <f>OBRA!U480</f>
        <v>ING. JUAN MANUEL GARCÍA ESCOTO</v>
      </c>
      <c r="J480" s="172" t="str">
        <f>OBRA!V480</f>
        <v>ING. HECTOR JESUS HERNANDEZ</v>
      </c>
      <c r="K480" s="35" t="str">
        <f>OBRA!L480</f>
        <v>C.P.S.P. DOP 026/2020</v>
      </c>
      <c r="L480" s="2" t="str">
        <f>OBRA!M480</f>
        <v>SERVICIOS</v>
      </c>
      <c r="M480" s="328" t="str">
        <f>OBRA!N480</f>
        <v>LEVANTAMIENTO TOPOGRÁFICO EN ÁREAS DE DONACIÓN DEL TERRENO PARA LA UBICACIÓN DEL POZO DE AGUA POTABLE, EN LA LOCALIDAD DE EL MOLINO, MUNICIPIO DE JOCOTEPEC, JALISCO.</v>
      </c>
      <c r="N480" s="554" t="s">
        <v>3772</v>
      </c>
      <c r="O480" s="69">
        <f>OBRA!Q480</f>
        <v>44089</v>
      </c>
      <c r="P480" s="85">
        <f>OBRA!P480</f>
        <v>4059.9999999999995</v>
      </c>
      <c r="Q480" s="4" t="s">
        <v>68</v>
      </c>
      <c r="R480" s="255" t="str">
        <f>OBRA!R480</f>
        <v>-</v>
      </c>
      <c r="S480" s="245" t="str">
        <f>OBRA!S480</f>
        <v>-</v>
      </c>
      <c r="T480" s="1601" t="s">
        <v>5755</v>
      </c>
      <c r="U480" s="415" t="s">
        <v>1431</v>
      </c>
      <c r="V480" s="344" t="s">
        <v>1431</v>
      </c>
      <c r="W480" s="12" t="s">
        <v>1431</v>
      </c>
      <c r="X480" s="1409">
        <f>OBRA!AP480</f>
        <v>0</v>
      </c>
      <c r="Y480" s="344"/>
      <c r="Z480" s="344"/>
      <c r="AA480" s="255"/>
      <c r="AB480" s="351">
        <f>OBRA!BT480</f>
        <v>0</v>
      </c>
      <c r="AC480" s="569"/>
      <c r="AE480"/>
      <c r="AF480"/>
      <c r="AG480"/>
      <c r="AH480"/>
      <c r="AI480"/>
      <c r="AJ480"/>
      <c r="AK480"/>
      <c r="AL480"/>
    </row>
    <row r="481" spans="1:38" ht="69.75" hidden="1" customHeight="1">
      <c r="A481" s="23" t="str">
        <f>GRAL!G484</f>
        <v>SERVICIO</v>
      </c>
      <c r="B481" s="933" t="str">
        <f>GRAL!B484</f>
        <v>2018-2021</v>
      </c>
      <c r="C481" s="17">
        <f>OBRA!I481</f>
        <v>2020</v>
      </c>
      <c r="D481" s="18" t="str">
        <f>OBRA!K481</f>
        <v>CUENTA CORRIENTE</v>
      </c>
      <c r="E481" s="525" t="s">
        <v>1431</v>
      </c>
      <c r="F481" s="1541" t="s">
        <v>1431</v>
      </c>
      <c r="G481" s="239"/>
      <c r="H481" s="1541" t="s">
        <v>1431</v>
      </c>
      <c r="I481" s="339" t="str">
        <f>OBRA!U481</f>
        <v>ING. JUAN MANUEL GARCÍA ESCOTO</v>
      </c>
      <c r="J481" s="172" t="str">
        <f>OBRA!V481</f>
        <v>ING. HECTOR JESUS HERNANDEZ</v>
      </c>
      <c r="K481" s="35" t="str">
        <f>OBRA!L481</f>
        <v>C.P.S.P. DOP 027/2020</v>
      </c>
      <c r="L481" s="2" t="str">
        <f>OBRA!M481</f>
        <v>SERVICIOS</v>
      </c>
      <c r="M481" s="328" t="str">
        <f>OBRA!N481</f>
        <v>LEVANTAMIENTO TOPOGRÁFICO DE ÁREA DE DONACIÓN DEL TERRENO PARA EL DEPÓSITO DE AGUA POTABLE, EN LA DELGACIÓN DE HUEJOTITÁN, DEL MUNICIPIO DE JOCOTEPEC, JALISCO.</v>
      </c>
      <c r="N481" s="554" t="s">
        <v>3772</v>
      </c>
      <c r="O481" s="69">
        <f>OBRA!Q481</f>
        <v>44089</v>
      </c>
      <c r="P481" s="85">
        <f>OBRA!P481</f>
        <v>3711.9999999999995</v>
      </c>
      <c r="Q481" s="4" t="s">
        <v>68</v>
      </c>
      <c r="R481" s="255" t="str">
        <f>OBRA!R481</f>
        <v>-</v>
      </c>
      <c r="S481" s="245" t="str">
        <f>OBRA!S481</f>
        <v>-</v>
      </c>
      <c r="T481" s="1601" t="s">
        <v>5755</v>
      </c>
      <c r="U481" s="415" t="s">
        <v>1431</v>
      </c>
      <c r="V481" s="344" t="s">
        <v>1431</v>
      </c>
      <c r="W481" s="12" t="s">
        <v>1431</v>
      </c>
      <c r="X481" s="1409">
        <f>OBRA!AP481</f>
        <v>0</v>
      </c>
      <c r="Y481" s="344"/>
      <c r="Z481" s="344"/>
      <c r="AA481" s="255"/>
      <c r="AB481" s="351">
        <f>OBRA!BT481</f>
        <v>0</v>
      </c>
      <c r="AC481" s="569"/>
      <c r="AE481"/>
      <c r="AF481"/>
      <c r="AG481"/>
      <c r="AH481"/>
      <c r="AI481"/>
      <c r="AJ481"/>
      <c r="AK481"/>
      <c r="AL481"/>
    </row>
    <row r="482" spans="1:38" ht="102" hidden="1" customHeight="1">
      <c r="A482" s="23" t="str">
        <f>GRAL!G485</f>
        <v>OBRA</v>
      </c>
      <c r="B482" s="933" t="str">
        <f>GRAL!B485</f>
        <v>2018-2021</v>
      </c>
      <c r="C482" s="17">
        <f>OBRA!I482</f>
        <v>2020</v>
      </c>
      <c r="D482" s="18" t="str">
        <f>OBRA!K482</f>
        <v>CUENTA CORRIENTE</v>
      </c>
      <c r="E482" s="525" t="s">
        <v>1431</v>
      </c>
      <c r="F482" s="1541" t="s">
        <v>1431</v>
      </c>
      <c r="G482" s="239"/>
      <c r="H482" s="1541" t="s">
        <v>1431</v>
      </c>
      <c r="I482" s="339" t="str">
        <f>OBRA!U482</f>
        <v>ING. JUAN MANUEL GARCÍA ESCOTO</v>
      </c>
      <c r="J482" s="172" t="str">
        <f>OBRA!V482</f>
        <v>ING. HECTOR JESUS HERNANDEZ</v>
      </c>
      <c r="K482" s="35" t="str">
        <f>OBRA!L482</f>
        <v>C.P.S.P. DOP 028/2020</v>
      </c>
      <c r="L482" s="2" t="str">
        <f>OBRA!M482</f>
        <v>SERVICIOS</v>
      </c>
      <c r="M482" s="328" t="str">
        <f>OBRA!N482</f>
        <v>LEVANAMIENTO TOPOGRÁFICO DE ÁREAS Y LÍMITES DE PROPIEDAD DEL CAMINO PROLONGACIÓN CALLE MATAMOROS DE DONATO QUERRA HASTA INGRESO AL FRACCIONAMIENTO ROCA AZUL, EN LA CABECERA MUNICIPAL DE JOCOTEPEC, JALISCO.</v>
      </c>
      <c r="N482" s="554" t="s">
        <v>3772</v>
      </c>
      <c r="O482" s="69">
        <f>OBRA!Q482</f>
        <v>44089</v>
      </c>
      <c r="P482" s="85">
        <f>OBRA!P482</f>
        <v>9860</v>
      </c>
      <c r="Q482" s="4" t="s">
        <v>68</v>
      </c>
      <c r="R482" s="255" t="str">
        <f>OBRA!R482</f>
        <v>-</v>
      </c>
      <c r="S482" s="245" t="str">
        <f>OBRA!S482</f>
        <v>-</v>
      </c>
      <c r="T482" s="1601" t="s">
        <v>5755</v>
      </c>
      <c r="U482" s="415" t="s">
        <v>1431</v>
      </c>
      <c r="V482" s="344" t="s">
        <v>1431</v>
      </c>
      <c r="W482" s="12" t="s">
        <v>1431</v>
      </c>
      <c r="X482" s="1409">
        <f>OBRA!AP482</f>
        <v>0</v>
      </c>
      <c r="Y482" s="344"/>
      <c r="Z482" s="344"/>
      <c r="AA482" s="255"/>
      <c r="AB482" s="351">
        <f>OBRA!BT482</f>
        <v>0</v>
      </c>
      <c r="AC482" s="569"/>
      <c r="AE482"/>
      <c r="AF482"/>
      <c r="AG482"/>
      <c r="AH482"/>
      <c r="AI482"/>
      <c r="AJ482"/>
      <c r="AK482"/>
      <c r="AL482"/>
    </row>
    <row r="483" spans="1:38" ht="39.75" hidden="1" customHeight="1">
      <c r="A483" s="23" t="str">
        <f>GRAL!G486</f>
        <v>SERVICIO</v>
      </c>
      <c r="B483" s="933" t="str">
        <f>GRAL!B486</f>
        <v>2018-2021</v>
      </c>
      <c r="C483" s="17">
        <f>OBRA!I483</f>
        <v>2020</v>
      </c>
      <c r="D483" s="18" t="str">
        <f>OBRA!K483</f>
        <v>CUENTA CORRIENTE</v>
      </c>
      <c r="E483" s="1374"/>
      <c r="F483" s="1300"/>
      <c r="G483" s="239"/>
      <c r="H483" s="1300"/>
      <c r="I483" s="1410" t="str">
        <f>OBRA!U483</f>
        <v>ING. JUAN MANUEL GARCÍA ESCOTO</v>
      </c>
      <c r="J483" s="1279">
        <f>OBRA!V483</f>
        <v>0</v>
      </c>
      <c r="K483" s="35" t="str">
        <f>OBRA!L483</f>
        <v>C.P.S.P. DOP 029/2020</v>
      </c>
      <c r="L483" s="2" t="str">
        <f>OBRA!M483</f>
        <v>CANCELADA</v>
      </c>
      <c r="M483" s="597" t="str">
        <f>OBRA!N483</f>
        <v>CONTRATO CANCELADO</v>
      </c>
      <c r="N483" s="597"/>
      <c r="O483" s="214">
        <f>OBRA!Q483</f>
        <v>0</v>
      </c>
      <c r="P483" s="65">
        <f>OBRA!P483</f>
        <v>0</v>
      </c>
      <c r="Q483" s="65"/>
      <c r="R483" s="521" t="str">
        <f>OBRA!R483</f>
        <v>-</v>
      </c>
      <c r="S483" s="559" t="str">
        <f>OBRA!S483</f>
        <v>-</v>
      </c>
      <c r="T483" s="792"/>
      <c r="U483" s="415" t="s">
        <v>1431</v>
      </c>
      <c r="V483" s="558"/>
      <c r="W483" s="559"/>
      <c r="X483" s="1409">
        <f>OBRA!AP483</f>
        <v>0</v>
      </c>
      <c r="Y483" s="344"/>
      <c r="Z483" s="344"/>
      <c r="AA483" s="255"/>
      <c r="AB483" s="351">
        <f>OBRA!BT483</f>
        <v>0</v>
      </c>
      <c r="AC483" s="569"/>
      <c r="AE483"/>
      <c r="AF483"/>
      <c r="AG483"/>
      <c r="AH483"/>
      <c r="AI483"/>
      <c r="AJ483"/>
      <c r="AK483"/>
      <c r="AL483"/>
    </row>
    <row r="484" spans="1:38" ht="65.25" hidden="1" customHeight="1">
      <c r="A484" s="23" t="str">
        <f>GRAL!G487</f>
        <v>SERVICIO</v>
      </c>
      <c r="B484" s="933" t="str">
        <f>GRAL!B487</f>
        <v>2018-2021</v>
      </c>
      <c r="C484" s="17">
        <f>OBRA!I484</f>
        <v>2020</v>
      </c>
      <c r="D484" s="18" t="str">
        <f>OBRA!K484</f>
        <v>CUENTA CORRIENTE</v>
      </c>
      <c r="E484" s="525" t="s">
        <v>1431</v>
      </c>
      <c r="F484" s="1541" t="s">
        <v>1431</v>
      </c>
      <c r="G484" s="239"/>
      <c r="H484" s="1541" t="s">
        <v>1431</v>
      </c>
      <c r="I484" s="339" t="str">
        <f>OBRA!U484</f>
        <v>ING. JUAN MANUEL GARCÍA ESCOTO</v>
      </c>
      <c r="J484" s="172" t="str">
        <f>OBRA!V484</f>
        <v>ING. HECTOR JESUS HERNANDEZ</v>
      </c>
      <c r="K484" s="35" t="str">
        <f>OBRA!L484</f>
        <v>C.P.S.P. DOP 030/2020</v>
      </c>
      <c r="L484" s="2" t="str">
        <f>OBRA!M484</f>
        <v>SERVICIOS</v>
      </c>
      <c r="M484" s="328" t="str">
        <f>OBRA!N484</f>
        <v>LEVANTAMIENTO TOPOGRÁFICO DE ÁREA DEL PREDIO DEL VERTEDERO MUNICIPAL, UBICADO EN EL EJIDO DE LA LOMA DEL MUNICIPIO DE JOCOTEPEC, JALISCO.</v>
      </c>
      <c r="N484" s="554" t="s">
        <v>3772</v>
      </c>
      <c r="O484" s="69">
        <f>OBRA!Q484</f>
        <v>44089</v>
      </c>
      <c r="P484" s="85">
        <f>OBRA!P484</f>
        <v>9280</v>
      </c>
      <c r="Q484" s="4" t="s">
        <v>68</v>
      </c>
      <c r="R484" s="255" t="str">
        <f>OBRA!R484</f>
        <v>-</v>
      </c>
      <c r="S484" s="245" t="str">
        <f>OBRA!S484</f>
        <v>-</v>
      </c>
      <c r="T484" s="1601" t="s">
        <v>5755</v>
      </c>
      <c r="U484" s="415" t="s">
        <v>1431</v>
      </c>
      <c r="V484" s="344" t="s">
        <v>1431</v>
      </c>
      <c r="W484" s="12" t="s">
        <v>1431</v>
      </c>
      <c r="X484" s="1409">
        <f>OBRA!AP484</f>
        <v>0</v>
      </c>
      <c r="Y484" s="344"/>
      <c r="Z484" s="344"/>
      <c r="AA484" s="255"/>
      <c r="AB484" s="351">
        <f>OBRA!BT484</f>
        <v>0</v>
      </c>
      <c r="AC484" s="569"/>
      <c r="AE484"/>
      <c r="AF484"/>
      <c r="AG484"/>
      <c r="AH484"/>
      <c r="AI484"/>
      <c r="AJ484"/>
      <c r="AK484"/>
      <c r="AL484"/>
    </row>
    <row r="485" spans="1:38" ht="81.75" hidden="1" customHeight="1">
      <c r="A485" s="23" t="str">
        <f>GRAL!G488</f>
        <v>SERVICIO</v>
      </c>
      <c r="B485" s="933" t="str">
        <f>GRAL!B488</f>
        <v>2018-2021</v>
      </c>
      <c r="C485" s="17">
        <f>OBRA!I485</f>
        <v>2020</v>
      </c>
      <c r="D485" s="18" t="str">
        <f>OBRA!K485</f>
        <v>CUENTA CORRIENTE</v>
      </c>
      <c r="E485" s="525" t="s">
        <v>1431</v>
      </c>
      <c r="F485" s="1541" t="s">
        <v>1431</v>
      </c>
      <c r="G485" s="239"/>
      <c r="H485" s="1541" t="s">
        <v>1431</v>
      </c>
      <c r="I485" s="339" t="str">
        <f>OBRA!U485</f>
        <v>ING. JUAN MANUEL GARCÍA ESCOTO</v>
      </c>
      <c r="J485" s="172" t="str">
        <f>OBRA!V485</f>
        <v>ING. HECTOR JESUS HERNANDEZ</v>
      </c>
      <c r="K485" s="35" t="str">
        <f>OBRA!L485</f>
        <v>C.P.S.P. DOP 031/2020</v>
      </c>
      <c r="L485" s="2" t="str">
        <f>OBRA!M485</f>
        <v>SERVICIOS</v>
      </c>
      <c r="M485" s="328" t="str">
        <f>OBRA!N485</f>
        <v>LEVANTAMIENTO TOPOGRÁFICO DE ÁREA Y LÍMITES DE PROPIEDAD EN CALLE 5 DE MAYO ENTRE AV. DE LA CRUZ Y AV. DEL PARQUE, EN LA DELEGACIÓN DE HUEJOTITÁN DEL MUNICIPIO DE JOCOTEPEC, JALISCO.</v>
      </c>
      <c r="N485" s="554" t="s">
        <v>3772</v>
      </c>
      <c r="O485" s="69">
        <f>OBRA!Q485</f>
        <v>44089</v>
      </c>
      <c r="P485" s="85">
        <f>OBRA!P485</f>
        <v>5220</v>
      </c>
      <c r="Q485" s="4" t="s">
        <v>68</v>
      </c>
      <c r="R485" s="255" t="str">
        <f>OBRA!R485</f>
        <v>-</v>
      </c>
      <c r="S485" s="245" t="str">
        <f>OBRA!S485</f>
        <v>-</v>
      </c>
      <c r="T485" s="1601" t="s">
        <v>5755</v>
      </c>
      <c r="U485" s="415" t="s">
        <v>1431</v>
      </c>
      <c r="V485" s="344" t="s">
        <v>1431</v>
      </c>
      <c r="W485" s="12" t="s">
        <v>1431</v>
      </c>
      <c r="X485" s="1409">
        <f>OBRA!AP485</f>
        <v>0</v>
      </c>
      <c r="Y485" s="344"/>
      <c r="Z485" s="344"/>
      <c r="AA485" s="255"/>
      <c r="AB485" s="351">
        <f>OBRA!BT485</f>
        <v>0</v>
      </c>
      <c r="AC485" s="569"/>
      <c r="AE485"/>
      <c r="AF485"/>
      <c r="AG485"/>
      <c r="AH485"/>
      <c r="AI485"/>
      <c r="AJ485"/>
      <c r="AK485"/>
      <c r="AL485"/>
    </row>
    <row r="486" spans="1:38" ht="93" hidden="1" customHeight="1">
      <c r="A486" s="23" t="str">
        <f>GRAL!G489</f>
        <v>SERVICIO</v>
      </c>
      <c r="B486" s="933" t="str">
        <f>GRAL!B489</f>
        <v>2018-2021</v>
      </c>
      <c r="C486" s="17">
        <f>OBRA!I486</f>
        <v>2020</v>
      </c>
      <c r="D486" s="18" t="str">
        <f>OBRA!K486</f>
        <v>CUENTA CORRIENTE</v>
      </c>
      <c r="E486" s="525" t="s">
        <v>1431</v>
      </c>
      <c r="F486" s="1541" t="s">
        <v>1431</v>
      </c>
      <c r="G486" s="239"/>
      <c r="H486" s="1541" t="s">
        <v>1431</v>
      </c>
      <c r="I486" s="339" t="str">
        <f>OBRA!U486</f>
        <v>ING. JUAN MANUEL GARCÍA ESCOTO</v>
      </c>
      <c r="J486" s="172" t="str">
        <f>OBRA!V486</f>
        <v>ING. HECTOR JESUS HERNANDEZ</v>
      </c>
      <c r="K486" s="180" t="str">
        <f>OBRA!L486</f>
        <v>C.P.S.P. DOP 032/2020</v>
      </c>
      <c r="L486" s="202" t="str">
        <f>OBRA!M486</f>
        <v>SERVICIOS</v>
      </c>
      <c r="M486" s="328" t="str">
        <f>OBRA!N486</f>
        <v>LEVANTAMIENTO TOPOGRÁFICO DE PREDIO Y ÁREA DE UNIDAD DEPORTIVA SUR PARA EL PROYECTO "POLIDEPORTIVO" UBICADO EN CALLE DONATO GUERRA, EN LA CABECERA MUNICIPAL DE JOCOTEPEC, JALISCO.</v>
      </c>
      <c r="N486" s="554" t="s">
        <v>3772</v>
      </c>
      <c r="O486" s="69">
        <f>OBRA!Q486</f>
        <v>44089</v>
      </c>
      <c r="P486" s="85">
        <f>OBRA!P486</f>
        <v>9860</v>
      </c>
      <c r="Q486" s="4" t="s">
        <v>68</v>
      </c>
      <c r="R486" s="255" t="str">
        <f>OBRA!R486</f>
        <v>-</v>
      </c>
      <c r="S486" s="245" t="str">
        <f>OBRA!S486</f>
        <v>-</v>
      </c>
      <c r="T486" s="1601" t="s">
        <v>5755</v>
      </c>
      <c r="U486" s="415" t="s">
        <v>1431</v>
      </c>
      <c r="V486" s="344" t="s">
        <v>1431</v>
      </c>
      <c r="W486" s="12" t="s">
        <v>1431</v>
      </c>
      <c r="X486" s="1409">
        <f>OBRA!AP486</f>
        <v>0</v>
      </c>
      <c r="Y486" s="344"/>
      <c r="Z486" s="344"/>
      <c r="AA486" s="255"/>
      <c r="AB486" s="351">
        <f>OBRA!BT486</f>
        <v>0</v>
      </c>
      <c r="AC486" s="569"/>
      <c r="AE486"/>
      <c r="AF486"/>
      <c r="AG486"/>
      <c r="AH486"/>
      <c r="AI486"/>
      <c r="AJ486"/>
      <c r="AK486"/>
      <c r="AL486"/>
    </row>
    <row r="487" spans="1:38" ht="80.25" hidden="1" customHeight="1">
      <c r="A487" s="23" t="str">
        <f>GRAL!G490</f>
        <v>OBRA</v>
      </c>
      <c r="B487" s="933" t="str">
        <f>GRAL!B490</f>
        <v>2018-2021</v>
      </c>
      <c r="C487" s="17">
        <f>OBRA!I487</f>
        <v>2020</v>
      </c>
      <c r="D487" s="18" t="str">
        <f>OBRA!K487</f>
        <v>CUENTA CORRIENTE</v>
      </c>
      <c r="E487" s="525" t="s">
        <v>1431</v>
      </c>
      <c r="F487" s="1541" t="s">
        <v>1431</v>
      </c>
      <c r="G487" s="239"/>
      <c r="H487" s="1541" t="s">
        <v>1431</v>
      </c>
      <c r="I487" s="339" t="str">
        <f>OBRA!U487</f>
        <v>ING. JUAN MANUEL GARCÍA ESCOTO</v>
      </c>
      <c r="J487" s="172" t="str">
        <f>OBRA!V487</f>
        <v>ING. HECTOR JESUS HERNANDEZ</v>
      </c>
      <c r="K487" s="35" t="str">
        <f>OBRA!L487</f>
        <v>C.P.S.P. DOP 033/2020</v>
      </c>
      <c r="L487" s="2" t="str">
        <f>OBRA!M487</f>
        <v>SERVICIOS</v>
      </c>
      <c r="M487" s="328" t="str">
        <f>OBRA!N487</f>
        <v>LEVANTAMIENTO TOPOGRÁFICO DE ÁREAS Y LÍMITES DE PROPIEDAD DE LA CALLE HIDALGO SUR DE CALLE DONATO GUERRA AL ARROYO, EN LA CABECERA MUNICIPAL DE JOCOTEPEC, JALISCO.</v>
      </c>
      <c r="N487" s="554" t="s">
        <v>3772</v>
      </c>
      <c r="O487" s="69">
        <f>OBRA!Q487</f>
        <v>44089</v>
      </c>
      <c r="P487" s="85">
        <f>OBRA!P487</f>
        <v>4059.9999999999995</v>
      </c>
      <c r="Q487" s="4" t="s">
        <v>68</v>
      </c>
      <c r="R487" s="255" t="str">
        <f>OBRA!R487</f>
        <v>-</v>
      </c>
      <c r="S487" s="245" t="str">
        <f>OBRA!S487</f>
        <v>-</v>
      </c>
      <c r="T487" s="1601" t="s">
        <v>5755</v>
      </c>
      <c r="U487" s="415" t="s">
        <v>1431</v>
      </c>
      <c r="V487" s="344" t="s">
        <v>1431</v>
      </c>
      <c r="W487" s="12" t="s">
        <v>1431</v>
      </c>
      <c r="X487" s="1409">
        <f>OBRA!AP487</f>
        <v>0</v>
      </c>
      <c r="Y487" s="344"/>
      <c r="Z487" s="344"/>
      <c r="AA487" s="255"/>
      <c r="AB487" s="351">
        <f>OBRA!BT487</f>
        <v>0</v>
      </c>
      <c r="AC487" s="569"/>
      <c r="AE487"/>
      <c r="AF487"/>
      <c r="AG487"/>
      <c r="AH487"/>
      <c r="AI487"/>
      <c r="AJ487"/>
      <c r="AK487"/>
      <c r="AL487"/>
    </row>
    <row r="488" spans="1:38" ht="136.5" hidden="1" customHeight="1">
      <c r="A488" s="23" t="str">
        <f>GRAL!G491</f>
        <v>OBRA</v>
      </c>
      <c r="B488" s="933" t="str">
        <f>GRAL!B491</f>
        <v>2018-2021</v>
      </c>
      <c r="C488" s="17">
        <f>OBRA!I488</f>
        <v>2020</v>
      </c>
      <c r="D488" s="18" t="str">
        <f>OBRA!K488</f>
        <v>CUENTA CORRIENTE</v>
      </c>
      <c r="E488" s="525" t="s">
        <v>1431</v>
      </c>
      <c r="F488" s="1439"/>
      <c r="G488" s="1015"/>
      <c r="H488" s="1439"/>
      <c r="I488" s="339" t="str">
        <f>OBRA!U488</f>
        <v xml:space="preserve">GRUPO CONSTRUCTORA PAVIMAQ, S.A. DE C.V. </v>
      </c>
      <c r="J488" s="57" t="str">
        <f>OBRA!V488</f>
        <v>ARQ. CESAR ANTONIO ALONSO JIMENEZ</v>
      </c>
      <c r="K488" s="35" t="str">
        <f>OBRA!L488</f>
        <v>GMJ 001C- OP/2020</v>
      </c>
      <c r="L488" s="2" t="str">
        <f>OBRA!M488</f>
        <v>ADJUDICACIÓN DIRECTA</v>
      </c>
      <c r="M488" s="3" t="str">
        <f>OBRA!N488</f>
        <v>CONSTRUCCIÓN DE LÍNEAS DE DRENAJE SANITARIO Y DRENAJE PLUVIAL EN LA CALLE RODRIGO DE TRIANA" EN LA CABECERA MUNICIPAL DE JOCOTEPEC, JALISCO".</v>
      </c>
      <c r="N488" s="554" t="s">
        <v>3543</v>
      </c>
      <c r="O488" s="6">
        <f>OBRA!Q488</f>
        <v>43894</v>
      </c>
      <c r="P488" s="4">
        <f>OBRA!P488</f>
        <v>156714.98000000001</v>
      </c>
      <c r="Q488" s="4"/>
      <c r="R488" s="5">
        <f>OBRA!R488</f>
        <v>43894</v>
      </c>
      <c r="S488" s="12">
        <f>OBRA!S488</f>
        <v>43960</v>
      </c>
      <c r="T488" s="227" t="s">
        <v>3859</v>
      </c>
      <c r="U488" s="216" t="s">
        <v>1431</v>
      </c>
      <c r="V488" s="654"/>
      <c r="W488" s="1443"/>
      <c r="X488" s="1409">
        <f>OBRA!AP488</f>
        <v>31343</v>
      </c>
      <c r="Y488" s="344"/>
      <c r="Z488" s="344"/>
      <c r="AA488" s="255"/>
      <c r="AB488" s="351">
        <f>OBRA!BT488</f>
        <v>0</v>
      </c>
      <c r="AC488" s="569"/>
      <c r="AE488"/>
      <c r="AF488"/>
      <c r="AG488"/>
      <c r="AH488"/>
      <c r="AI488"/>
      <c r="AJ488"/>
      <c r="AK488"/>
      <c r="AL488"/>
    </row>
    <row r="489" spans="1:38" ht="95.25" hidden="1" customHeight="1">
      <c r="A489" s="23" t="str">
        <f>GRAL!G492</f>
        <v>OBRA</v>
      </c>
      <c r="B489" s="933" t="str">
        <f>GRAL!B492</f>
        <v>2018-2021</v>
      </c>
      <c r="C489" s="17">
        <f>OBRA!I489</f>
        <v>2020</v>
      </c>
      <c r="D489" s="18" t="str">
        <f>OBRA!K489</f>
        <v>RAMO 33</v>
      </c>
      <c r="E489" s="525" t="s">
        <v>1431</v>
      </c>
      <c r="F489" s="1439"/>
      <c r="G489" s="1015"/>
      <c r="H489" s="1439"/>
      <c r="I489" s="339" t="str">
        <f>OBRA!U489</f>
        <v>ING. OCTAVIO AUGUSTO GONZALEZ TREJO</v>
      </c>
      <c r="J489" s="172" t="str">
        <f>OBRA!V489</f>
        <v>LIC. SALVADOR CONTRERAS OLGUÍN</v>
      </c>
      <c r="K489" s="180" t="str">
        <f>OBRA!L489</f>
        <v>GMJ 002C- OP/2020</v>
      </c>
      <c r="L489" s="202" t="str">
        <f>OBRA!M489</f>
        <v>ADJUDICACIÓN DIRECTA</v>
      </c>
      <c r="M489" s="328" t="str">
        <f>OBRA!N489</f>
        <v>"CONSTRUCCIÓN DE EMPEDRADO NORMAL CON HUELLAS DE ADOQUÍN EN CALLE CUAUHTÉMOC 3ERA. ETAPA DE CARCAMO A 160 ML AL ORIENTE" EN LA DELEGACIÓN DE CHANTEPEC, MUNICIPIO DE JOCOTEPEC, JALISCO.</v>
      </c>
      <c r="N489" s="554" t="s">
        <v>3543</v>
      </c>
      <c r="O489" s="69">
        <f>OBRA!Q489</f>
        <v>43936</v>
      </c>
      <c r="P489" s="85">
        <f>OBRA!P489</f>
        <v>654632.78</v>
      </c>
      <c r="Q489" s="85"/>
      <c r="R489" s="255">
        <f>OBRA!R489</f>
        <v>43937</v>
      </c>
      <c r="S489" s="245">
        <f>OBRA!S489</f>
        <v>43958</v>
      </c>
      <c r="T489" s="227" t="s">
        <v>3859</v>
      </c>
      <c r="U489" s="216" t="s">
        <v>1431</v>
      </c>
      <c r="V489" s="654"/>
      <c r="W489" s="1443"/>
      <c r="X489" s="1409">
        <f>OBRA!AP489</f>
        <v>130926.54</v>
      </c>
      <c r="Y489" s="344"/>
      <c r="Z489" s="344"/>
      <c r="AA489" s="255"/>
      <c r="AB489" s="351">
        <f>OBRA!BT489</f>
        <v>0</v>
      </c>
      <c r="AC489" s="569" t="s">
        <v>551</v>
      </c>
      <c r="AE489"/>
      <c r="AF489"/>
      <c r="AG489"/>
      <c r="AH489"/>
      <c r="AI489"/>
      <c r="AJ489"/>
      <c r="AK489"/>
      <c r="AL489"/>
    </row>
    <row r="490" spans="1:38" ht="96.75" hidden="1" customHeight="1">
      <c r="A490" s="23" t="str">
        <f>GRAL!G493</f>
        <v>OBRA</v>
      </c>
      <c r="B490" s="933" t="str">
        <f>GRAL!B493</f>
        <v>2018-2021</v>
      </c>
      <c r="C490" s="17">
        <f>OBRA!I490</f>
        <v>2020</v>
      </c>
      <c r="D490" s="18" t="str">
        <f>OBRA!K490</f>
        <v>RAMO 33</v>
      </c>
      <c r="E490" s="525" t="s">
        <v>1431</v>
      </c>
      <c r="F490" s="1439"/>
      <c r="G490" s="1015"/>
      <c r="H490" s="1439"/>
      <c r="I490" s="339" t="str">
        <f>OBRA!U490</f>
        <v>GRUPO CONSTRUCTOR EDVI S.A. DE C.V.</v>
      </c>
      <c r="J490" s="172" t="str">
        <f>OBRA!V490</f>
        <v>ARQ. CESAR ANTONIO ALONSO JIMENEZ</v>
      </c>
      <c r="K490" s="180" t="str">
        <f>OBRA!L490</f>
        <v>GMJ 003C- OP/2020</v>
      </c>
      <c r="L490" s="202" t="str">
        <f>OBRA!M490</f>
        <v>ADJUDICACIÓN DIRECTA</v>
      </c>
      <c r="M490" s="328" t="str">
        <f>OBRA!N490</f>
        <v>"CONSTRUCCIÓN DE EMPEDRADO NORMAL CON HUELLAS DE CONCRETO EN CALLE LIBERTAD DE RICO A CRISTÓBAL COLÓN" EN LA LOCALIDAD DE NEXTIPAC, MUNICIPIO DE JOCOTEPEC, JALISCO</v>
      </c>
      <c r="N490" s="554" t="s">
        <v>3543</v>
      </c>
      <c r="O490" s="69">
        <f>OBRA!Q490</f>
        <v>43948</v>
      </c>
      <c r="P490" s="85">
        <f>OBRA!P490</f>
        <v>248927.96</v>
      </c>
      <c r="Q490" s="85"/>
      <c r="R490" s="255">
        <f>OBRA!R490</f>
        <v>43949</v>
      </c>
      <c r="S490" s="245">
        <f>OBRA!S490</f>
        <v>43980</v>
      </c>
      <c r="T490" s="227" t="s">
        <v>3859</v>
      </c>
      <c r="U490" s="216" t="s">
        <v>1431</v>
      </c>
      <c r="V490" s="654"/>
      <c r="W490" s="1443"/>
      <c r="X490" s="1409">
        <f>OBRA!AP490</f>
        <v>188222.83000000002</v>
      </c>
      <c r="Y490" s="341"/>
      <c r="Z490" s="341"/>
      <c r="AA490" s="5"/>
      <c r="AB490" s="351">
        <f>OBRA!BT490</f>
        <v>0</v>
      </c>
      <c r="AC490" s="569" t="s">
        <v>551</v>
      </c>
      <c r="AE490"/>
      <c r="AF490"/>
      <c r="AG490"/>
      <c r="AH490"/>
      <c r="AI490"/>
      <c r="AJ490"/>
      <c r="AK490"/>
      <c r="AL490"/>
    </row>
    <row r="491" spans="1:38" ht="108.75" hidden="1" customHeight="1">
      <c r="A491" s="23" t="str">
        <f>GRAL!G494</f>
        <v>OBRA</v>
      </c>
      <c r="B491" s="933" t="str">
        <f>GRAL!B494</f>
        <v>2018-2021</v>
      </c>
      <c r="C491" s="17">
        <f>OBRA!I491</f>
        <v>2020</v>
      </c>
      <c r="D491" s="18" t="str">
        <f>OBRA!K491</f>
        <v>RAMO 33</v>
      </c>
      <c r="E491" s="695" t="s">
        <v>1431</v>
      </c>
      <c r="F491" s="1439"/>
      <c r="G491" s="1015"/>
      <c r="H491" s="1439"/>
      <c r="I491" s="1410" t="str">
        <f>OBRA!U491</f>
        <v>SERVICIO Y CONSTRUCCIÓN NATENIO S.A. DE C.V.</v>
      </c>
      <c r="J491" s="1279" t="str">
        <f>OBRA!V491</f>
        <v>ARQ. JAIME CONDE GOMEZ</v>
      </c>
      <c r="K491" s="35" t="str">
        <f>OBRA!L491</f>
        <v>GMJ 004C- OP/2020</v>
      </c>
      <c r="L491" s="2" t="str">
        <f>OBRA!M491</f>
        <v>ADJUDICACIÓN DIRECTA</v>
      </c>
      <c r="M491" s="597" t="str">
        <f>OBRA!N491</f>
        <v>"CONSTRUCCIÓN DE EMPEDRADO AHOGADO EN CEMENTO CON HUELLAS DE CONCRETO EN CALLE PADRE ADALBERTO MACIAS" EN LA CABECERA MUNICIPAL DE JOCOTEPEC, JALISCO.</v>
      </c>
      <c r="N491" s="554" t="s">
        <v>3543</v>
      </c>
      <c r="O491" s="214">
        <f>OBRA!Q491</f>
        <v>43951</v>
      </c>
      <c r="P491" s="65">
        <f>OBRA!P491</f>
        <v>1010980.5</v>
      </c>
      <c r="Q491" s="65"/>
      <c r="R491" s="521">
        <f>OBRA!R491</f>
        <v>43962</v>
      </c>
      <c r="S491" s="559">
        <f>OBRA!S491</f>
        <v>44054</v>
      </c>
      <c r="T491" s="227" t="s">
        <v>3859</v>
      </c>
      <c r="U491" s="415" t="s">
        <v>1431</v>
      </c>
      <c r="V491" s="591"/>
      <c r="W491" s="479"/>
      <c r="X491" s="1409">
        <f>OBRA!AP491</f>
        <v>454941.22</v>
      </c>
      <c r="Y491" s="341"/>
      <c r="Z491" s="341"/>
      <c r="AA491" s="5"/>
      <c r="AB491" s="351">
        <f>OBRA!BT491</f>
        <v>0</v>
      </c>
      <c r="AC491" s="569"/>
      <c r="AE491"/>
      <c r="AF491"/>
      <c r="AG491"/>
      <c r="AH491"/>
      <c r="AI491"/>
      <c r="AJ491"/>
      <c r="AK491"/>
      <c r="AL491"/>
    </row>
    <row r="492" spans="1:38" ht="132" hidden="1" customHeight="1">
      <c r="A492" s="23" t="str">
        <f>GRAL!G495</f>
        <v>OBRA</v>
      </c>
      <c r="B492" s="933" t="str">
        <f>GRAL!B495</f>
        <v>2018-2021</v>
      </c>
      <c r="C492" s="17">
        <f>OBRA!I492</f>
        <v>2020</v>
      </c>
      <c r="D492" s="18" t="str">
        <f>OBRA!K492</f>
        <v>RAMO 33</v>
      </c>
      <c r="E492" s="695" t="s">
        <v>1431</v>
      </c>
      <c r="F492" s="1439"/>
      <c r="G492" s="1012"/>
      <c r="H492" s="1439"/>
      <c r="I492" s="1410" t="str">
        <f>OBRA!U492</f>
        <v>GRUPO CONSTRUCTOR EDVI SA DE CV</v>
      </c>
      <c r="J492" s="1279" t="str">
        <f>OBRA!V492</f>
        <v>ARQ. CESAR ANTONIO ALONSO JIMENEZ</v>
      </c>
      <c r="K492" s="180" t="str">
        <f>OBRA!L492</f>
        <v>GMJ 005C- OP/2020</v>
      </c>
      <c r="L492" s="202" t="str">
        <f>OBRA!M492</f>
        <v>ADJUDICACIÓN DIRECTA</v>
      </c>
      <c r="M492" s="328" t="str">
        <f>OBRA!N492</f>
        <v>"CONSTRUCCIÓN DE LÍNEA DE DRENAJE SANITARIO EN CALLE LIBERTAD DE RICO A CRISTOBAL COLON" EN LA LOCALIDAD DE NEXTIPAC, MUNICIPIO DE JOCOTEPEC, JALISCO.</v>
      </c>
      <c r="N492" s="554" t="s">
        <v>3543</v>
      </c>
      <c r="O492" s="214">
        <f>OBRA!Q492</f>
        <v>43948</v>
      </c>
      <c r="P492" s="65">
        <f>OBRA!P492</f>
        <v>125624.96000000001</v>
      </c>
      <c r="Q492" s="65"/>
      <c r="R492" s="521">
        <f>OBRA!R492</f>
        <v>43949</v>
      </c>
      <c r="S492" s="559">
        <f>OBRA!S492</f>
        <v>43980</v>
      </c>
      <c r="T492" s="227" t="s">
        <v>3859</v>
      </c>
      <c r="U492" s="216" t="s">
        <v>1431</v>
      </c>
      <c r="V492" s="654"/>
      <c r="W492" s="1443"/>
      <c r="X492" s="1409">
        <f>OBRA!AP492</f>
        <v>25124.98</v>
      </c>
      <c r="Y492" s="344"/>
      <c r="Z492" s="341"/>
      <c r="AA492" s="5"/>
      <c r="AB492" s="351">
        <f>OBRA!BT492</f>
        <v>0</v>
      </c>
      <c r="AC492" s="569" t="s">
        <v>551</v>
      </c>
      <c r="AE492"/>
      <c r="AF492"/>
      <c r="AG492"/>
      <c r="AH492"/>
      <c r="AI492"/>
      <c r="AJ492"/>
      <c r="AK492"/>
      <c r="AL492"/>
    </row>
    <row r="493" spans="1:38" ht="133.5" hidden="1" customHeight="1">
      <c r="A493" s="23" t="str">
        <f>GRAL!G496</f>
        <v>OBRA</v>
      </c>
      <c r="B493" s="933" t="str">
        <f>GRAL!B496</f>
        <v>2018-2021</v>
      </c>
      <c r="C493" s="17">
        <f>OBRA!I493</f>
        <v>2020</v>
      </c>
      <c r="D493" s="18" t="str">
        <f>OBRA!K493</f>
        <v>RAMO 33</v>
      </c>
      <c r="E493" s="695" t="s">
        <v>1431</v>
      </c>
      <c r="F493" s="552" t="s">
        <v>3565</v>
      </c>
      <c r="G493" s="580" t="s">
        <v>3565</v>
      </c>
      <c r="H493" s="552" t="s">
        <v>3565</v>
      </c>
      <c r="I493" s="339" t="str">
        <f>OBRA!U493</f>
        <v>SONAYBER INGENIERIA Y CONSTRUCCIONES S.A. DE C.V.</v>
      </c>
      <c r="J493" s="172" t="str">
        <f>OBRA!V493</f>
        <v>ING. J. GUADALUPE IBARRA RAMIREZ</v>
      </c>
      <c r="K493" s="180" t="str">
        <f>OBRA!L493</f>
        <v>GMJ 006C- OP/2020</v>
      </c>
      <c r="L493" s="202" t="str">
        <f>OBRA!M493</f>
        <v>ADJUDICACIÓN DIRECTA</v>
      </c>
      <c r="M493" s="328" t="str">
        <f>OBRA!N493</f>
        <v>REHABILITACIÓN DE REDES HIDROSANITARIAS Y SUPERFICIE DE RODAMIENTO EN LA CALLE NICÓLAS BRAVO ENTRE CALLE ALDAMA Y CALLE LOS ANGELES" DE LA CABECERA MUNICIPAL, DE JOCOTEPEC, JALISCO.</v>
      </c>
      <c r="N493" s="554" t="s">
        <v>3543</v>
      </c>
      <c r="O493" s="69">
        <f>OBRA!Q493</f>
        <v>43977</v>
      </c>
      <c r="P493" s="85">
        <f>OBRA!P493</f>
        <v>965741.4</v>
      </c>
      <c r="Q493" s="85"/>
      <c r="R493" s="255">
        <f>OBRA!R493</f>
        <v>43984</v>
      </c>
      <c r="S493" s="245">
        <f>OBRA!S493</f>
        <v>44040</v>
      </c>
      <c r="T493" s="758"/>
      <c r="U493" s="216" t="s">
        <v>1431</v>
      </c>
      <c r="V493" s="549" t="s">
        <v>3565</v>
      </c>
      <c r="W493" s="668" t="s">
        <v>3565</v>
      </c>
      <c r="X493" s="1157">
        <f>OBRA!AP493</f>
        <v>434583.63</v>
      </c>
      <c r="Y493" s="341"/>
      <c r="Z493" s="341"/>
      <c r="AA493" s="5"/>
      <c r="AB493" s="351">
        <f>OBRA!BT493</f>
        <v>0</v>
      </c>
      <c r="AC493" s="569" t="s">
        <v>551</v>
      </c>
      <c r="AE493"/>
      <c r="AF493"/>
      <c r="AG493"/>
      <c r="AH493"/>
      <c r="AI493"/>
      <c r="AJ493"/>
      <c r="AK493"/>
      <c r="AL493"/>
    </row>
    <row r="494" spans="1:38" ht="131.25" hidden="1" customHeight="1">
      <c r="A494" s="23" t="str">
        <f>GRAL!G497</f>
        <v>OBRA</v>
      </c>
      <c r="B494" s="933" t="str">
        <f>GRAL!B497</f>
        <v>2018-2021</v>
      </c>
      <c r="C494" s="17">
        <f>OBRA!I494</f>
        <v>2020</v>
      </c>
      <c r="D494" s="18" t="str">
        <f>OBRA!K494</f>
        <v>RAMO 33</v>
      </c>
      <c r="E494" s="525" t="s">
        <v>1431</v>
      </c>
      <c r="F494" s="552" t="s">
        <v>3566</v>
      </c>
      <c r="G494" s="580" t="s">
        <v>3566</v>
      </c>
      <c r="H494" s="552" t="s">
        <v>3566</v>
      </c>
      <c r="I494" s="339" t="str">
        <f>OBRA!U494</f>
        <v>SONAYBER INGENIERIA Y CONSTRUCCIONES S.A. DE C.V.</v>
      </c>
      <c r="J494" s="172" t="str">
        <f>OBRA!V494</f>
        <v>ING. J. GUADALUPE IBARRA RAMIREZ</v>
      </c>
      <c r="K494" s="180" t="str">
        <f>OBRA!L494</f>
        <v>GMJ 007C- OP/2020</v>
      </c>
      <c r="L494" s="202" t="str">
        <f>OBRA!M494</f>
        <v>ADJUDICACIÓN DIRECTA</v>
      </c>
      <c r="M494" s="328" t="str">
        <f>OBRA!N494</f>
        <v>"REHABILITACIÓN DE REDES HIDROSANITARIAS Y FABRICACIÓN DE SUPERFICIE DE RODAMIENTO EN PRIV. NICOLAS BRAVO ENTRE NICÓLAS BRAVO A CERRADA" DE LA CABECERA MUNICIPAL, DE JOCOTEPEC, JALISCO.</v>
      </c>
      <c r="N494" s="554" t="s">
        <v>3543</v>
      </c>
      <c r="O494" s="69">
        <f>OBRA!Q494</f>
        <v>43977</v>
      </c>
      <c r="P494" s="85">
        <f>OBRA!P494</f>
        <v>334158.86</v>
      </c>
      <c r="Q494" s="85"/>
      <c r="R494" s="255">
        <f>OBRA!R494</f>
        <v>43984</v>
      </c>
      <c r="S494" s="245">
        <f>OBRA!S494</f>
        <v>44040</v>
      </c>
      <c r="T494" s="758"/>
      <c r="U494" s="216" t="s">
        <v>1431</v>
      </c>
      <c r="V494" s="549" t="s">
        <v>3566</v>
      </c>
      <c r="W494" s="668" t="s">
        <v>3566</v>
      </c>
      <c r="X494" s="1157">
        <f>OBRA!AP494</f>
        <v>150371.5</v>
      </c>
      <c r="Y494" s="341"/>
      <c r="Z494" s="341"/>
      <c r="AA494" s="5"/>
      <c r="AB494" s="351">
        <f>OBRA!BT494</f>
        <v>0</v>
      </c>
      <c r="AC494" s="569" t="s">
        <v>551</v>
      </c>
      <c r="AE494"/>
      <c r="AF494"/>
      <c r="AG494"/>
      <c r="AH494"/>
      <c r="AI494"/>
      <c r="AJ494"/>
      <c r="AK494"/>
      <c r="AL494"/>
    </row>
    <row r="495" spans="1:38" ht="121.5" hidden="1" customHeight="1">
      <c r="A495" s="23" t="str">
        <f>GRAL!G498</f>
        <v>OBRA</v>
      </c>
      <c r="B495" s="933" t="str">
        <f>GRAL!B498</f>
        <v>2018-2021</v>
      </c>
      <c r="C495" s="17">
        <f>OBRA!I495</f>
        <v>2020</v>
      </c>
      <c r="D495" s="18" t="str">
        <f>OBRA!K495</f>
        <v>RAMO 33</v>
      </c>
      <c r="E495" s="695" t="s">
        <v>1431</v>
      </c>
      <c r="F495" s="552" t="s">
        <v>3555</v>
      </c>
      <c r="G495" s="580" t="s">
        <v>3555</v>
      </c>
      <c r="H495" s="552" t="s">
        <v>3555</v>
      </c>
      <c r="I495" s="56" t="str">
        <f>OBRA!U495</f>
        <v>CONSTRUCCIÓN Y SUPERVISIÓN COMA S.A. DE C.V.</v>
      </c>
      <c r="J495" s="172" t="str">
        <f>OBRA!V495</f>
        <v>LIC. SALVADOR CONTRERAS OLGUÍN</v>
      </c>
      <c r="K495" s="35"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54" t="s">
        <v>3543</v>
      </c>
      <c r="O495" s="6">
        <f>OBRA!Q495</f>
        <v>43977</v>
      </c>
      <c r="P495" s="4">
        <f>OBRA!P495</f>
        <v>755011.1</v>
      </c>
      <c r="Q495" s="4"/>
      <c r="R495" s="5">
        <f>OBRA!R495</f>
        <v>43984</v>
      </c>
      <c r="S495" s="12">
        <f>OBRA!S495</f>
        <v>44037</v>
      </c>
      <c r="T495" s="55"/>
      <c r="U495" s="415" t="s">
        <v>1431</v>
      </c>
      <c r="V495" s="549" t="s">
        <v>3555</v>
      </c>
      <c r="W495" s="668" t="s">
        <v>3555</v>
      </c>
      <c r="X495" s="1155">
        <f>OBRA!AP495</f>
        <v>151002.22</v>
      </c>
      <c r="Y495" s="341"/>
      <c r="Z495" s="341"/>
      <c r="AA495" s="5"/>
      <c r="AB495" s="351">
        <f>OBRA!BT495</f>
        <v>0</v>
      </c>
      <c r="AC495" s="569"/>
      <c r="AE495"/>
      <c r="AF495"/>
      <c r="AG495"/>
      <c r="AH495"/>
      <c r="AI495"/>
      <c r="AJ495"/>
      <c r="AK495"/>
      <c r="AL495"/>
    </row>
    <row r="496" spans="1:38" ht="103.5" hidden="1" customHeight="1">
      <c r="A496" s="23" t="str">
        <f>GRAL!G499</f>
        <v>OBRA</v>
      </c>
      <c r="B496" s="933" t="str">
        <f>GRAL!B499</f>
        <v>2018-2021</v>
      </c>
      <c r="C496" s="17">
        <f>OBRA!I496</f>
        <v>2020</v>
      </c>
      <c r="D496" s="18" t="str">
        <f>OBRA!K496</f>
        <v>RAMO 33</v>
      </c>
      <c r="E496" s="525" t="s">
        <v>1431</v>
      </c>
      <c r="F496" s="552" t="s">
        <v>3559</v>
      </c>
      <c r="G496" s="580" t="s">
        <v>3559</v>
      </c>
      <c r="H496" s="552" t="s">
        <v>3559</v>
      </c>
      <c r="I496" s="56" t="str">
        <f>OBRA!U496</f>
        <v>GRUPO ARANGE, S.A. DE C.V.</v>
      </c>
      <c r="J496" s="172" t="str">
        <f>OBRA!V496</f>
        <v>ING. LUIS RIGOBERTO OLMEDO NAVARRO</v>
      </c>
      <c r="K496" s="35"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54" t="s">
        <v>3543</v>
      </c>
      <c r="O496" s="6">
        <f>OBRA!Q496</f>
        <v>44005</v>
      </c>
      <c r="P496" s="4">
        <f>OBRA!P496</f>
        <v>317000</v>
      </c>
      <c r="Q496" s="4"/>
      <c r="R496" s="5">
        <f>OBRA!R496</f>
        <v>44032</v>
      </c>
      <c r="S496" s="12">
        <f>OBRA!S496</f>
        <v>44063</v>
      </c>
      <c r="T496" s="55"/>
      <c r="U496" s="216" t="s">
        <v>1431</v>
      </c>
      <c r="V496" s="549" t="s">
        <v>3559</v>
      </c>
      <c r="W496" s="668" t="s">
        <v>3559</v>
      </c>
      <c r="X496" s="1157">
        <f>OBRA!AP496</f>
        <v>153450</v>
      </c>
      <c r="Y496" s="341"/>
      <c r="Z496" s="341"/>
      <c r="AA496" s="5"/>
      <c r="AB496" s="351">
        <f>OBRA!BT496</f>
        <v>0</v>
      </c>
      <c r="AC496" s="569" t="s">
        <v>551</v>
      </c>
      <c r="AE496"/>
      <c r="AF496"/>
      <c r="AG496"/>
      <c r="AH496"/>
      <c r="AI496"/>
      <c r="AJ496"/>
      <c r="AK496"/>
      <c r="AL496"/>
    </row>
    <row r="497" spans="1:38" ht="108.75" hidden="1" customHeight="1">
      <c r="A497" s="23" t="str">
        <f>GRAL!G500</f>
        <v>OBRA</v>
      </c>
      <c r="B497" s="933" t="str">
        <f>GRAL!B500</f>
        <v>2018-2021</v>
      </c>
      <c r="C497" s="17">
        <f>OBRA!I497</f>
        <v>2020</v>
      </c>
      <c r="D497" s="18" t="str">
        <f>OBRA!K497</f>
        <v>RAMO 33</v>
      </c>
      <c r="E497" s="695" t="s">
        <v>1431</v>
      </c>
      <c r="F497" s="546" t="s">
        <v>3553</v>
      </c>
      <c r="G497" s="545" t="s">
        <v>3553</v>
      </c>
      <c r="H497" s="546" t="s">
        <v>3628</v>
      </c>
      <c r="I497" s="56" t="str">
        <f>OBRA!U497</f>
        <v>ING. OCTAVIO AUGUSTO GONZALEZ TREJO</v>
      </c>
      <c r="J497" s="172" t="str">
        <f>OBRA!V497</f>
        <v>LIC. SALVADOR CONTRERAS OLGUÍN</v>
      </c>
      <c r="K497" s="35"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54" t="s">
        <v>3543</v>
      </c>
      <c r="O497" s="6">
        <f>OBRA!Q497</f>
        <v>43974</v>
      </c>
      <c r="P497" s="4">
        <f>OBRA!P497</f>
        <v>239360.13</v>
      </c>
      <c r="Q497" s="4"/>
      <c r="R497" s="5">
        <f>OBRA!R497</f>
        <v>43976</v>
      </c>
      <c r="S497" s="12">
        <f>OBRA!S497</f>
        <v>43983</v>
      </c>
      <c r="T497" s="55"/>
      <c r="U497" s="415" t="s">
        <v>1431</v>
      </c>
      <c r="V497" s="549" t="s">
        <v>3628</v>
      </c>
      <c r="W497" s="668" t="s">
        <v>3628</v>
      </c>
      <c r="X497" s="1157">
        <f>OBRA!AP497</f>
        <v>47872.02</v>
      </c>
      <c r="Y497" s="341"/>
      <c r="Z497" s="341"/>
      <c r="AA497" s="5"/>
      <c r="AB497" s="351">
        <f>OBRA!BT497</f>
        <v>0</v>
      </c>
      <c r="AC497" s="569" t="s">
        <v>551</v>
      </c>
      <c r="AE497"/>
      <c r="AF497"/>
      <c r="AG497"/>
      <c r="AH497"/>
      <c r="AI497"/>
      <c r="AJ497"/>
      <c r="AK497"/>
      <c r="AL497"/>
    </row>
    <row r="498" spans="1:38" ht="105" hidden="1" customHeight="1">
      <c r="A498" s="23" t="str">
        <f>GRAL!G501</f>
        <v>OBRA</v>
      </c>
      <c r="B498" s="933" t="str">
        <f>GRAL!B501</f>
        <v>2018-2021</v>
      </c>
      <c r="C498" s="17">
        <f>OBRA!I498</f>
        <v>2020</v>
      </c>
      <c r="D498" s="18" t="str">
        <f>OBRA!K498</f>
        <v>CUENTA CORRIENTE</v>
      </c>
      <c r="E498" s="525" t="s">
        <v>1431</v>
      </c>
      <c r="F498" s="546" t="s">
        <v>3554</v>
      </c>
      <c r="G498" s="545" t="s">
        <v>3554</v>
      </c>
      <c r="H498" s="546" t="s">
        <v>3629</v>
      </c>
      <c r="I498" s="56" t="str">
        <f>OBRA!U498</f>
        <v>ING. OCTAVIO AUGUSTO GONZALEZ TREJO</v>
      </c>
      <c r="J498" s="172" t="str">
        <f>OBRA!V498</f>
        <v>LIC. SALVADOR CONTRERAS OLGUÍN</v>
      </c>
      <c r="K498" s="35"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54" t="s">
        <v>3544</v>
      </c>
      <c r="O498" s="6">
        <f>OBRA!Q498</f>
        <v>43978</v>
      </c>
      <c r="P498" s="4">
        <f>OBRA!P498</f>
        <v>410553.76</v>
      </c>
      <c r="Q498" s="4"/>
      <c r="R498" s="5">
        <f>OBRA!R498</f>
        <v>43952</v>
      </c>
      <c r="S498" s="12">
        <f>OBRA!S498</f>
        <v>43987</v>
      </c>
      <c r="T498" s="55"/>
      <c r="U498" s="415" t="s">
        <v>1431</v>
      </c>
      <c r="V498" s="549" t="s">
        <v>3629</v>
      </c>
      <c r="W498" s="668" t="s">
        <v>3629</v>
      </c>
      <c r="X498" s="1157">
        <f>OBRA!AP498</f>
        <v>82110.740000000005</v>
      </c>
      <c r="Y498" s="341"/>
      <c r="Z498" s="341"/>
      <c r="AA498" s="5"/>
      <c r="AB498" s="351">
        <f>OBRA!BT498</f>
        <v>0</v>
      </c>
      <c r="AC498" s="569" t="s">
        <v>551</v>
      </c>
      <c r="AE498"/>
      <c r="AF498"/>
      <c r="AG498"/>
      <c r="AH498"/>
      <c r="AI498"/>
      <c r="AJ498"/>
      <c r="AK498"/>
      <c r="AL498"/>
    </row>
    <row r="499" spans="1:38" ht="129" hidden="1" customHeight="1">
      <c r="A499" s="23" t="str">
        <f>GRAL!G502</f>
        <v>OBRA</v>
      </c>
      <c r="B499" s="933" t="str">
        <f>GRAL!B502</f>
        <v>2018-2021</v>
      </c>
      <c r="C499" s="17">
        <f>OBRA!I499</f>
        <v>2020</v>
      </c>
      <c r="D499" s="18" t="str">
        <f>OBRA!K499</f>
        <v>RAMO 33</v>
      </c>
      <c r="E499" s="525" t="s">
        <v>1431</v>
      </c>
      <c r="F499" s="171"/>
      <c r="G499" s="545" t="s">
        <v>3567</v>
      </c>
      <c r="H499" s="546" t="s">
        <v>3567</v>
      </c>
      <c r="I499" s="56" t="str">
        <f>OBRA!U499</f>
        <v xml:space="preserve">INFRAESTRUCTURA Y EDIFICACIONES OROZCO S.A. DE C.V. </v>
      </c>
      <c r="J499" s="172" t="str">
        <f>OBRA!V499</f>
        <v>ING. J. GUADALUPE IBARRA RAMIREZ</v>
      </c>
      <c r="K499" s="35"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54" t="s">
        <v>3544</v>
      </c>
      <c r="O499" s="69">
        <f>OBRA!Q499</f>
        <v>43987</v>
      </c>
      <c r="P499" s="4">
        <f>OBRA!P499</f>
        <v>1306545.6299999999</v>
      </c>
      <c r="Q499" s="4"/>
      <c r="R499" s="5">
        <f>OBRA!R499</f>
        <v>43990</v>
      </c>
      <c r="S499" s="12">
        <f>OBRA!S499</f>
        <v>44057</v>
      </c>
      <c r="T499" s="55"/>
      <c r="U499" s="415" t="s">
        <v>1431</v>
      </c>
      <c r="V499" s="558"/>
      <c r="W499" s="559"/>
      <c r="X499" s="376">
        <f>OBRA!AP499</f>
        <v>391963.68</v>
      </c>
      <c r="Y499" s="341"/>
      <c r="Z499" s="341"/>
      <c r="AA499" s="5"/>
      <c r="AB499" s="351">
        <f>OBRA!BT499</f>
        <v>0</v>
      </c>
      <c r="AC499" s="569"/>
      <c r="AE499"/>
      <c r="AF499"/>
      <c r="AG499"/>
      <c r="AH499"/>
      <c r="AI499"/>
      <c r="AJ499"/>
      <c r="AK499"/>
      <c r="AL499"/>
    </row>
    <row r="500" spans="1:38" ht="140.25" hidden="1" customHeight="1">
      <c r="A500" s="23" t="str">
        <f>GRAL!G503</f>
        <v>OBRA</v>
      </c>
      <c r="B500" s="933" t="str">
        <f>GRAL!B503</f>
        <v>2018-2021</v>
      </c>
      <c r="C500" s="17">
        <f>OBRA!I500</f>
        <v>2020</v>
      </c>
      <c r="D500" s="18" t="str">
        <f>OBRA!K500</f>
        <v>RAMO 33</v>
      </c>
      <c r="E500" s="525" t="s">
        <v>1431</v>
      </c>
      <c r="F500" s="552" t="s">
        <v>3568</v>
      </c>
      <c r="G500" s="580" t="s">
        <v>3568</v>
      </c>
      <c r="H500" s="552" t="s">
        <v>3568</v>
      </c>
      <c r="I500" s="339" t="str">
        <f>OBRA!U500</f>
        <v>GRUPO CONSTRUCTOR EDVI SA DE CV</v>
      </c>
      <c r="J500" s="172" t="str">
        <f>OBRA!V500</f>
        <v>ING. LUIS RIGOBERTO OLMEDO NAVARRO</v>
      </c>
      <c r="K500" s="35"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54" t="s">
        <v>3544</v>
      </c>
      <c r="O500" s="69">
        <f>OBRA!Q500</f>
        <v>43994</v>
      </c>
      <c r="P500" s="4">
        <f>OBRA!P500</f>
        <v>281826.5</v>
      </c>
      <c r="Q500" s="4"/>
      <c r="R500" s="5">
        <f>OBRA!R500</f>
        <v>43997</v>
      </c>
      <c r="S500" s="12">
        <f>OBRA!S500</f>
        <v>44011</v>
      </c>
      <c r="T500" s="55"/>
      <c r="U500" s="415" t="s">
        <v>1431</v>
      </c>
      <c r="V500" s="549" t="s">
        <v>3568</v>
      </c>
      <c r="W500" s="668" t="s">
        <v>3568</v>
      </c>
      <c r="X500" s="376">
        <f>OBRA!AP500</f>
        <v>56365.3</v>
      </c>
      <c r="Y500" s="341"/>
      <c r="Z500" s="341"/>
      <c r="AA500" s="5"/>
      <c r="AB500" s="351">
        <f>OBRA!BT500</f>
        <v>0</v>
      </c>
      <c r="AC500" s="569" t="s">
        <v>551</v>
      </c>
      <c r="AE500"/>
      <c r="AF500"/>
      <c r="AG500"/>
      <c r="AH500"/>
      <c r="AI500"/>
      <c r="AJ500"/>
      <c r="AK500"/>
      <c r="AL500"/>
    </row>
    <row r="501" spans="1:38" ht="120" hidden="1" customHeight="1">
      <c r="A501" s="23" t="str">
        <f>GRAL!G504</f>
        <v>OBRA</v>
      </c>
      <c r="B501" s="933" t="str">
        <f>GRAL!B504</f>
        <v>2018-2021</v>
      </c>
      <c r="C501" s="17">
        <f>OBRA!I501</f>
        <v>2020</v>
      </c>
      <c r="D501" s="18" t="str">
        <f>OBRA!K501</f>
        <v>RAMO 33</v>
      </c>
      <c r="E501" s="695" t="s">
        <v>1431</v>
      </c>
      <c r="F501" s="546" t="s">
        <v>3561</v>
      </c>
      <c r="G501" s="1012"/>
      <c r="H501" s="552" t="s">
        <v>3561</v>
      </c>
      <c r="I501" s="339" t="str">
        <f>OBRA!U501</f>
        <v>GRUPO ARANGE, S.A. DE C.V.</v>
      </c>
      <c r="J501" s="172" t="str">
        <f>OBRA!V501</f>
        <v>LIC. SALVADOR CONTRERAS OLGUÍN</v>
      </c>
      <c r="K501" s="180" t="str">
        <f>OBRA!L501</f>
        <v>GMJ 014C- OP/2020</v>
      </c>
      <c r="L501" s="202" t="str">
        <f>OBRA!M501</f>
        <v>ADJUDICACIÓN DIRECTA</v>
      </c>
      <c r="M501" s="328" t="str">
        <f>OBRA!N501</f>
        <v>"CONSTRUCCIÓN DE RED DE DRENAJE Y CONSTRUCCIÓN DE RED DE AGUA POTABLE EN CALLE GUADALUPE VICTORIA ENTRE AVENIDA DE LOS MAESTROS Y FILOSOFOS" DE LA CABECERA MUNICIPAL, DE JOCOTEPEC, JALISCO.</v>
      </c>
      <c r="N501" s="554" t="s">
        <v>3544</v>
      </c>
      <c r="O501" s="69">
        <f>OBRA!Q501</f>
        <v>43994</v>
      </c>
      <c r="P501" s="85">
        <f>OBRA!P501</f>
        <v>241381.67</v>
      </c>
      <c r="Q501" s="85"/>
      <c r="R501" s="255">
        <f>OBRA!R501</f>
        <v>44000</v>
      </c>
      <c r="S501" s="245">
        <f>OBRA!S501</f>
        <v>44030</v>
      </c>
      <c r="T501" s="758"/>
      <c r="U501" s="216" t="s">
        <v>1431</v>
      </c>
      <c r="V501" s="549" t="s">
        <v>3561</v>
      </c>
      <c r="W501" s="668" t="s">
        <v>3561</v>
      </c>
      <c r="X501" s="376">
        <f>OBRA!AP501</f>
        <v>48276.2</v>
      </c>
      <c r="Y501" s="341"/>
      <c r="Z501" s="341"/>
      <c r="AA501" s="5"/>
      <c r="AB501" s="351">
        <f>OBRA!BT501</f>
        <v>0</v>
      </c>
      <c r="AC501" s="569"/>
      <c r="AE501"/>
      <c r="AF501"/>
      <c r="AG501"/>
      <c r="AH501"/>
      <c r="AI501"/>
      <c r="AJ501"/>
      <c r="AK501"/>
      <c r="AL501"/>
    </row>
    <row r="502" spans="1:38" ht="106.5" hidden="1" customHeight="1">
      <c r="A502" s="23" t="str">
        <f>GRAL!G505</f>
        <v>OBRA</v>
      </c>
      <c r="B502" s="933" t="str">
        <f>GRAL!B505</f>
        <v>2018-2021</v>
      </c>
      <c r="C502" s="17">
        <f>OBRA!I502</f>
        <v>2020</v>
      </c>
      <c r="D502" s="18" t="str">
        <f>OBRA!K502</f>
        <v>CUENTA CORRIENTE</v>
      </c>
      <c r="E502" s="525" t="s">
        <v>1431</v>
      </c>
      <c r="F502" s="546" t="s">
        <v>3562</v>
      </c>
      <c r="G502" s="239"/>
      <c r="H502" s="1300"/>
      <c r="I502" s="56" t="str">
        <f>OBRA!U502</f>
        <v>GRUPO CONSTRUCOR PAVIMAQ, S.A. DE C.V.</v>
      </c>
      <c r="J502" s="172" t="str">
        <f>OBRA!V502</f>
        <v>ARQ. CESAR ANTONIO ALONSO JIMENEZ</v>
      </c>
      <c r="K502" s="35"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54" t="s">
        <v>3544</v>
      </c>
      <c r="O502" s="6">
        <f>OBRA!Q502</f>
        <v>44012</v>
      </c>
      <c r="P502" s="4">
        <f>OBRA!P502</f>
        <v>232396.73</v>
      </c>
      <c r="Q502" s="4"/>
      <c r="R502" s="5">
        <f>OBRA!R502</f>
        <v>44046</v>
      </c>
      <c r="S502" s="12">
        <f>OBRA!S502</f>
        <v>44099</v>
      </c>
      <c r="T502" s="55"/>
      <c r="U502" s="415" t="s">
        <v>1431</v>
      </c>
      <c r="V502" s="558"/>
      <c r="W502" s="559"/>
      <c r="X502" s="307">
        <f>OBRA!AP502</f>
        <v>48410.119999999995</v>
      </c>
      <c r="Y502" s="341"/>
      <c r="Z502" s="341"/>
      <c r="AA502" s="5"/>
      <c r="AB502" s="351">
        <f>OBRA!BT502</f>
        <v>0</v>
      </c>
      <c r="AC502" s="569"/>
      <c r="AE502"/>
      <c r="AF502"/>
      <c r="AG502"/>
      <c r="AH502"/>
      <c r="AI502"/>
      <c r="AJ502"/>
      <c r="AK502"/>
      <c r="AL502"/>
    </row>
    <row r="503" spans="1:38" ht="75" hidden="1" customHeight="1">
      <c r="A503" s="23" t="str">
        <f>GRAL!G506</f>
        <v>OBRA</v>
      </c>
      <c r="B503" s="933" t="str">
        <f>GRAL!B506</f>
        <v>2018-2021</v>
      </c>
      <c r="C503" s="17">
        <f>OBRA!I503</f>
        <v>2020</v>
      </c>
      <c r="D503" s="18" t="str">
        <f>OBRA!K503</f>
        <v>CUENTA CORRIENTE</v>
      </c>
      <c r="E503" s="695" t="s">
        <v>1431</v>
      </c>
      <c r="F503" s="546" t="s">
        <v>3637</v>
      </c>
      <c r="G503" s="545" t="s">
        <v>3637</v>
      </c>
      <c r="H503" s="546" t="s">
        <v>3637</v>
      </c>
      <c r="I503" s="339" t="str">
        <f>OBRA!U503</f>
        <v>SERVICIO Y CONSTRUCCIÓN NATENIO S.A. DE C.V.</v>
      </c>
      <c r="J503" s="172" t="str">
        <f>OBRA!V503</f>
        <v>ING. J. GUADALUPE IBARRA RAMIREZ</v>
      </c>
      <c r="K503" s="180" t="str">
        <f>OBRA!L503</f>
        <v>GMJ 016C- OP/2020</v>
      </c>
      <c r="L503" s="202" t="str">
        <f>OBRA!M503</f>
        <v>ADJUDICACIÓN DIRECTA</v>
      </c>
      <c r="M503" s="328" t="str">
        <f>OBRA!N503</f>
        <v>"COLOCACIÓN DE EMPEDRADO AHOGADO EN CEMENTO CALLE JAVIER MINA ENTRE CALLE SIN NOMBRE Y ALLENDE" EN LA LOCALIDAD DE EL MOLINO DEL MUNICIPIO DE JOCOTEPEC, JALISCO.</v>
      </c>
      <c r="N503" s="554" t="s">
        <v>3544</v>
      </c>
      <c r="O503" s="69">
        <f>OBRA!Q503</f>
        <v>44007</v>
      </c>
      <c r="P503" s="85">
        <f>OBRA!P503</f>
        <v>302749.5</v>
      </c>
      <c r="Q503" s="85"/>
      <c r="R503" s="255">
        <f>OBRA!R503</f>
        <v>44008</v>
      </c>
      <c r="S503" s="245">
        <f>OBRA!S503</f>
        <v>44074</v>
      </c>
      <c r="T503" s="758"/>
      <c r="U503" s="1477" t="s">
        <v>1431</v>
      </c>
      <c r="V503" s="549" t="s">
        <v>3637</v>
      </c>
      <c r="W503" s="668" t="s">
        <v>3637</v>
      </c>
      <c r="X503" s="376">
        <f>OBRA!AP503</f>
        <v>60549</v>
      </c>
      <c r="Y503" s="341"/>
      <c r="Z503" s="341"/>
      <c r="AA503" s="5"/>
      <c r="AB503" s="351">
        <f>OBRA!BT503</f>
        <v>0</v>
      </c>
      <c r="AC503" s="569" t="s">
        <v>551</v>
      </c>
      <c r="AE503"/>
      <c r="AF503"/>
      <c r="AG503"/>
      <c r="AH503"/>
      <c r="AI503"/>
      <c r="AJ503"/>
      <c r="AK503"/>
      <c r="AL503"/>
    </row>
    <row r="504" spans="1:38" ht="122.25" hidden="1" customHeight="1">
      <c r="A504" s="23" t="str">
        <f>GRAL!G507</f>
        <v>OBRA</v>
      </c>
      <c r="B504" s="933" t="str">
        <f>GRAL!B507</f>
        <v>2018-2021</v>
      </c>
      <c r="C504" s="17">
        <f>OBRA!I504</f>
        <v>2020</v>
      </c>
      <c r="D504" s="18" t="str">
        <f>OBRA!K504</f>
        <v>CUENTA CORRIENTE</v>
      </c>
      <c r="E504" s="525" t="s">
        <v>1431</v>
      </c>
      <c r="F504" s="546" t="s">
        <v>3638</v>
      </c>
      <c r="G504" s="545" t="s">
        <v>3638</v>
      </c>
      <c r="H504" s="546" t="s">
        <v>3638</v>
      </c>
      <c r="I504" s="56" t="str">
        <f>OBRA!U504</f>
        <v>SERVICIO Y CONSTRUCCIÓN NATENIO S.A. DE C.V.</v>
      </c>
      <c r="J504" s="172" t="str">
        <f>OBRA!V504</f>
        <v>ING. J. GUADALUPE IBARRA RAMIREZ</v>
      </c>
      <c r="K504" s="35"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54" t="s">
        <v>3544</v>
      </c>
      <c r="O504" s="6">
        <f>OBRA!Q504</f>
        <v>44012</v>
      </c>
      <c r="P504" s="4">
        <f>OBRA!P504</f>
        <v>423536.77</v>
      </c>
      <c r="Q504" s="4"/>
      <c r="R504" s="5">
        <f>OBRA!R504</f>
        <v>44018</v>
      </c>
      <c r="S504" s="12">
        <f>OBRA!S504</f>
        <v>44104</v>
      </c>
      <c r="T504" s="55"/>
      <c r="U504" s="415" t="s">
        <v>1431</v>
      </c>
      <c r="V504" s="549" t="s">
        <v>3638</v>
      </c>
      <c r="W504" s="668" t="s">
        <v>3638</v>
      </c>
      <c r="X504" s="376">
        <f>OBRA!AP504</f>
        <v>84707.34</v>
      </c>
      <c r="Y504" s="341"/>
      <c r="Z504" s="341"/>
      <c r="AA504" s="5"/>
      <c r="AB504" s="351">
        <f>OBRA!BT504</f>
        <v>0</v>
      </c>
      <c r="AC504" s="569" t="s">
        <v>551</v>
      </c>
      <c r="AE504"/>
      <c r="AF504"/>
      <c r="AG504"/>
      <c r="AH504"/>
      <c r="AI504"/>
      <c r="AJ504"/>
      <c r="AK504"/>
      <c r="AL504"/>
    </row>
    <row r="505" spans="1:38" ht="76.5" hidden="1" customHeight="1">
      <c r="A505" s="23" t="str">
        <f>GRAL!G508</f>
        <v>OBRA</v>
      </c>
      <c r="B505" s="933" t="str">
        <f>GRAL!B508</f>
        <v>2018-2021</v>
      </c>
      <c r="C505" s="17">
        <f>OBRA!I505</f>
        <v>2020</v>
      </c>
      <c r="D505" s="18" t="str">
        <f>OBRA!K505</f>
        <v>RAMO 33</v>
      </c>
      <c r="E505" s="525" t="s">
        <v>1431</v>
      </c>
      <c r="F505" s="171"/>
      <c r="G505" s="545" t="s">
        <v>3639</v>
      </c>
      <c r="H505" s="171"/>
      <c r="I505" s="56" t="str">
        <f>OBRA!U505</f>
        <v>JESSICA MONSERRAT RIVERA TORRES</v>
      </c>
      <c r="J505" s="172" t="str">
        <f>OBRA!V505</f>
        <v>ING. RIGOBERTO OLMEDO RAMOS</v>
      </c>
      <c r="K505" s="35" t="str">
        <f>OBRA!L505</f>
        <v>GMJ 018C- OP/2020</v>
      </c>
      <c r="L505" s="2" t="str">
        <f>OBRA!M505</f>
        <v>ADJUDICACIÓN DIRECTA</v>
      </c>
      <c r="M505" s="3" t="str">
        <f>OBRA!N505</f>
        <v>"EQUIPAMIENTO DE POZO PROFUNDO DE AGUA POTABLE" EN LA AGENCIA MINICIPAL DE CHANTEPEC, DEL MUNICIPIO DE JOCOTEPEC, JALISCO.</v>
      </c>
      <c r="N505" s="554" t="s">
        <v>3544</v>
      </c>
      <c r="O505" s="6">
        <f>OBRA!Q505</f>
        <v>44019</v>
      </c>
      <c r="P505" s="4">
        <f>OBRA!P505</f>
        <v>174784.71</v>
      </c>
      <c r="Q505" s="4"/>
      <c r="R505" s="5">
        <f>OBRA!R505</f>
        <v>44032</v>
      </c>
      <c r="S505" s="12">
        <f>OBRA!S505</f>
        <v>44051</v>
      </c>
      <c r="T505" s="55"/>
      <c r="U505" s="415" t="s">
        <v>1431</v>
      </c>
      <c r="V505" s="591"/>
      <c r="W505" s="668" t="s">
        <v>3639</v>
      </c>
      <c r="X505" s="376">
        <f>OBRA!AP505</f>
        <v>61174.65</v>
      </c>
      <c r="Y505" s="341"/>
      <c r="Z505" s="341"/>
      <c r="AA505" s="5"/>
      <c r="AB505" s="351">
        <f>OBRA!BT505</f>
        <v>0</v>
      </c>
      <c r="AC505" s="569"/>
      <c r="AE505"/>
      <c r="AF505"/>
      <c r="AG505"/>
      <c r="AH505"/>
      <c r="AI505"/>
      <c r="AJ505"/>
      <c r="AK505"/>
      <c r="AL505"/>
    </row>
    <row r="506" spans="1:38" ht="78" hidden="1" customHeight="1">
      <c r="A506" s="23" t="str">
        <f>GRAL!G509</f>
        <v>OBRA</v>
      </c>
      <c r="B506" s="933" t="str">
        <f>GRAL!B509</f>
        <v>2018-2021</v>
      </c>
      <c r="C506" s="17">
        <f>OBRA!I506</f>
        <v>2020</v>
      </c>
      <c r="D506" s="18" t="str">
        <f>OBRA!K506</f>
        <v>RAMO 33</v>
      </c>
      <c r="E506" s="525" t="s">
        <v>1431</v>
      </c>
      <c r="F506" s="179" t="s">
        <v>1177</v>
      </c>
      <c r="G506" s="202" t="s">
        <v>1177</v>
      </c>
      <c r="H506" s="546" t="s">
        <v>3640</v>
      </c>
      <c r="I506" s="339" t="str">
        <f>OBRA!U506</f>
        <v>JESSICA MONSERRAT RIVERA TORRES</v>
      </c>
      <c r="J506" s="172" t="str">
        <f>OBRA!V506</f>
        <v>ING. RIGOBERTO OLMEDO RAMOS</v>
      </c>
      <c r="K506" s="180" t="str">
        <f>OBRA!L506</f>
        <v>GMJ 019C- OP/2020</v>
      </c>
      <c r="L506" s="202" t="str">
        <f>OBRA!M506</f>
        <v>ADJUDICACIÓN DIRECTA</v>
      </c>
      <c r="M506" s="328" t="str">
        <f>OBRA!N506</f>
        <v>"REHABILITACIÓN DE POZO PROFUNDO DE AGUA POTABLE EN LA AGENCIA DE NEXTIPAC", DEL MUNICIPIO DE JOCOTEPEC, JALISCO.</v>
      </c>
      <c r="N506" s="554" t="s">
        <v>3544</v>
      </c>
      <c r="O506" s="69">
        <f>OBRA!Q506</f>
        <v>44019</v>
      </c>
      <c r="P506" s="85">
        <f>OBRA!P506</f>
        <v>165908.29999999999</v>
      </c>
      <c r="Q506" s="85"/>
      <c r="R506" s="255">
        <f>OBRA!R506</f>
        <v>44032</v>
      </c>
      <c r="S506" s="245">
        <f>OBRA!S506</f>
        <v>44051</v>
      </c>
      <c r="T506" s="758"/>
      <c r="U506" s="216" t="s">
        <v>1431</v>
      </c>
      <c r="V506" s="349" t="s">
        <v>1177</v>
      </c>
      <c r="W506" s="642" t="s">
        <v>1177</v>
      </c>
      <c r="X506" s="376">
        <f>OBRA!AP506</f>
        <v>41477.089999999997</v>
      </c>
      <c r="Y506" s="341"/>
      <c r="Z506" s="341"/>
      <c r="AA506" s="5"/>
      <c r="AB506" s="351">
        <f>OBRA!BT506</f>
        <v>0</v>
      </c>
      <c r="AC506" s="569" t="s">
        <v>551</v>
      </c>
      <c r="AE506"/>
      <c r="AF506"/>
      <c r="AG506"/>
      <c r="AH506"/>
      <c r="AI506"/>
      <c r="AJ506"/>
      <c r="AK506"/>
      <c r="AL506"/>
    </row>
    <row r="507" spans="1:38" ht="15" hidden="1" customHeight="1">
      <c r="A507" s="23" t="str">
        <f>GRAL!G510</f>
        <v>OBRA</v>
      </c>
      <c r="B507" s="933" t="str">
        <f>GRAL!B510</f>
        <v>2018-2021</v>
      </c>
      <c r="C507" s="17">
        <f>OBRA!I507</f>
        <v>2020</v>
      </c>
      <c r="D507" s="715">
        <f>OBRA!K507</f>
        <v>0</v>
      </c>
      <c r="E507" s="1374"/>
      <c r="F507" s="1300"/>
      <c r="G507" s="239"/>
      <c r="H507" s="1300"/>
      <c r="I507" s="1410">
        <f>OBRA!U507</f>
        <v>0</v>
      </c>
      <c r="J507" s="1279">
        <f>OBRA!V507</f>
        <v>0</v>
      </c>
      <c r="K507" s="280" t="str">
        <f>OBRA!L507</f>
        <v>GMJ 020C- OP/2020</v>
      </c>
      <c r="L507" s="560" t="str">
        <f>OBRA!M507</f>
        <v>CANCELADA</v>
      </c>
      <c r="M507" s="597" t="str">
        <f>OBRA!N507</f>
        <v>CONTRATO CANCELADO</v>
      </c>
      <c r="N507" s="597"/>
      <c r="O507" s="214">
        <f>OBRA!Q507</f>
        <v>0</v>
      </c>
      <c r="P507" s="65">
        <f>OBRA!P507</f>
        <v>0</v>
      </c>
      <c r="Q507" s="65"/>
      <c r="R507" s="521">
        <f>OBRA!R507</f>
        <v>0</v>
      </c>
      <c r="S507" s="559">
        <f>OBRA!S507</f>
        <v>0</v>
      </c>
      <c r="T507" s="792"/>
      <c r="U507" s="415" t="s">
        <v>1431</v>
      </c>
      <c r="V507" s="558"/>
      <c r="W507" s="559"/>
      <c r="X507" s="307">
        <f>OBRA!AP507</f>
        <v>0</v>
      </c>
      <c r="Y507" s="341"/>
      <c r="Z507" s="341"/>
      <c r="AA507" s="5"/>
      <c r="AB507" s="351">
        <f>OBRA!BT507</f>
        <v>0</v>
      </c>
      <c r="AC507" s="569"/>
      <c r="AE507"/>
      <c r="AF507"/>
      <c r="AG507"/>
      <c r="AH507"/>
      <c r="AI507"/>
      <c r="AJ507"/>
      <c r="AK507"/>
      <c r="AL507"/>
    </row>
    <row r="508" spans="1:38" ht="141" hidden="1" customHeight="1">
      <c r="A508" s="23" t="str">
        <f>GRAL!G511</f>
        <v>OBRA</v>
      </c>
      <c r="B508" s="933" t="str">
        <f>GRAL!B511</f>
        <v>2018-2021</v>
      </c>
      <c r="C508" s="17">
        <f>OBRA!I508</f>
        <v>2020</v>
      </c>
      <c r="D508" s="18" t="str">
        <f>OBRA!K508</f>
        <v>RAMO 33</v>
      </c>
      <c r="E508" s="695" t="s">
        <v>1431</v>
      </c>
      <c r="F508" s="546" t="s">
        <v>3557</v>
      </c>
      <c r="G508" s="545" t="s">
        <v>3557</v>
      </c>
      <c r="H508" s="546" t="s">
        <v>3557</v>
      </c>
      <c r="I508" s="339" t="str">
        <f>OBRA!U508</f>
        <v xml:space="preserve">DESARROLLO DAP S.A. DE C.V. </v>
      </c>
      <c r="J508" s="172" t="str">
        <f>OBRA!V508</f>
        <v>ARQ. JAIME CONDE GOMEZ</v>
      </c>
      <c r="K508" s="180" t="str">
        <f>OBRA!L508</f>
        <v>GMJ 021C- OP/2020</v>
      </c>
      <c r="L508" s="202" t="str">
        <f>OBRA!M508</f>
        <v>ADJUDICACIÓN DIRECTA</v>
      </c>
      <c r="M508" s="328" t="str">
        <f>OBRA!N508</f>
        <v>"CONSTRUCCIÓN DE EMPEDRADO NORMAL CON HUELLAS DE CONCRETO EN CALLE EMILIANO ZAPATA ENTRE PIPILA Y CALLE CERRADA" DE LA LOCALIDAD DE ZAPOTITÁN DE HIDALGO, EL MUNICIPIO DE JOCOTEPEC, JALISCO.</v>
      </c>
      <c r="N508" s="510" t="s">
        <v>3545</v>
      </c>
      <c r="O508" s="69">
        <f>OBRA!Q508</f>
        <v>44021</v>
      </c>
      <c r="P508" s="85">
        <f>OBRA!P508</f>
        <v>773550.52</v>
      </c>
      <c r="Q508" s="85"/>
      <c r="R508" s="255">
        <f>OBRA!R508</f>
        <v>44032</v>
      </c>
      <c r="S508" s="245">
        <f>OBRA!S508</f>
        <v>44077</v>
      </c>
      <c r="T508" s="758"/>
      <c r="U508" s="216" t="s">
        <v>1431</v>
      </c>
      <c r="V508" s="549" t="s">
        <v>3557</v>
      </c>
      <c r="W508" s="668" t="s">
        <v>3557</v>
      </c>
      <c r="X508" s="376">
        <f>OBRA!AP508</f>
        <v>348563.12</v>
      </c>
      <c r="Y508" s="341"/>
      <c r="Z508" s="341"/>
      <c r="AA508" s="5"/>
      <c r="AB508" s="351">
        <f>OBRA!BT508</f>
        <v>0</v>
      </c>
      <c r="AC508" s="569" t="s">
        <v>551</v>
      </c>
      <c r="AE508"/>
      <c r="AF508"/>
      <c r="AG508"/>
      <c r="AH508"/>
      <c r="AI508"/>
      <c r="AJ508"/>
      <c r="AK508"/>
      <c r="AL508"/>
    </row>
    <row r="509" spans="1:38" ht="213.75" hidden="1" customHeight="1">
      <c r="A509" s="23" t="str">
        <f>GRAL!G512</f>
        <v>OBRA</v>
      </c>
      <c r="B509" s="933" t="str">
        <f>GRAL!B512</f>
        <v>2018-2021</v>
      </c>
      <c r="C509" s="17">
        <f>OBRA!I509</f>
        <v>2020</v>
      </c>
      <c r="D509" s="532" t="str">
        <f>OBRA!K509</f>
        <v>RAMO 33</v>
      </c>
      <c r="E509" s="695" t="s">
        <v>1431</v>
      </c>
      <c r="F509" s="546" t="s">
        <v>3569</v>
      </c>
      <c r="G509" s="545" t="s">
        <v>3569</v>
      </c>
      <c r="H509" s="171"/>
      <c r="I509" s="56" t="str">
        <f>OBRA!U509</f>
        <v xml:space="preserve">BAUEN INGENIERÍA Y MAQUINARIA S.A. DE C.V. </v>
      </c>
      <c r="J509" s="57" t="str">
        <f>OBRA!V509</f>
        <v>ARQ. JAIME CONDE GOMEZ</v>
      </c>
      <c r="K509" s="35"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3545</v>
      </c>
      <c r="O509" s="6">
        <f>OBRA!Q509</f>
        <v>44021</v>
      </c>
      <c r="P509" s="4">
        <f>OBRA!P509</f>
        <v>844236.05</v>
      </c>
      <c r="Q509" s="4"/>
      <c r="R509" s="5">
        <f>OBRA!R509</f>
        <v>44027</v>
      </c>
      <c r="S509" s="12">
        <f>OBRA!S509</f>
        <v>44088</v>
      </c>
      <c r="T509" s="55"/>
      <c r="U509" s="415" t="s">
        <v>1431</v>
      </c>
      <c r="V509" s="549" t="s">
        <v>3569</v>
      </c>
      <c r="W509" s="668" t="s">
        <v>3569</v>
      </c>
      <c r="X509" s="376">
        <f>OBRA!AP509</f>
        <v>168847.22</v>
      </c>
      <c r="Y509" s="341"/>
      <c r="Z509" s="341"/>
      <c r="AA509" s="5"/>
      <c r="AB509" s="351">
        <f>OBRA!BT509</f>
        <v>0</v>
      </c>
      <c r="AC509" s="569"/>
      <c r="AE509"/>
      <c r="AF509"/>
      <c r="AG509"/>
      <c r="AH509"/>
      <c r="AI509"/>
      <c r="AJ509"/>
      <c r="AK509"/>
      <c r="AL509"/>
    </row>
    <row r="510" spans="1:38" ht="80.25" hidden="1" customHeight="1">
      <c r="A510" s="23" t="str">
        <f>GRAL!G513</f>
        <v>OBRA</v>
      </c>
      <c r="B510" s="933" t="str">
        <f>GRAL!B513</f>
        <v>2018-2021</v>
      </c>
      <c r="C510" s="17">
        <f>OBRA!I510</f>
        <v>2020</v>
      </c>
      <c r="D510" s="18" t="str">
        <f>OBRA!K510</f>
        <v>RAMO 33</v>
      </c>
      <c r="E510" s="525" t="s">
        <v>1431</v>
      </c>
      <c r="F510" s="171"/>
      <c r="G510" s="545" t="s">
        <v>3641</v>
      </c>
      <c r="H510" s="546" t="s">
        <v>3641</v>
      </c>
      <c r="I510" s="339" t="str">
        <f>OBRA!U510</f>
        <v>JESSICA MONSERRAT RIVERA TORRES</v>
      </c>
      <c r="J510" s="172" t="str">
        <f>OBRA!V510</f>
        <v>ING. RIGOBERTO OLMEDO RAMOS</v>
      </c>
      <c r="K510" s="180" t="str">
        <f>OBRA!L510</f>
        <v>GMJ 023C- OP/2020</v>
      </c>
      <c r="L510" s="202" t="str">
        <f>OBRA!M510</f>
        <v>ADJUDICACIÓN DIRECTA</v>
      </c>
      <c r="M510" s="328" t="str">
        <f>OBRA!N510</f>
        <v xml:space="preserve">"REHABILITACIÓN DE POZO PROFUNDO DE AGUA POTABLE EN CALLE JOSE SANTANA", EN LA CABECERA MUNICIPAL DE JOCOTEPEC, JALISCO </v>
      </c>
      <c r="N510" s="510" t="s">
        <v>3545</v>
      </c>
      <c r="O510" s="69">
        <f>OBRA!Q510</f>
        <v>44019</v>
      </c>
      <c r="P510" s="85">
        <f>OBRA!P510</f>
        <v>189588.54</v>
      </c>
      <c r="Q510" s="85"/>
      <c r="R510" s="255">
        <f>OBRA!R510</f>
        <v>44032</v>
      </c>
      <c r="S510" s="245">
        <f>OBRA!S510</f>
        <v>44051</v>
      </c>
      <c r="T510" s="758"/>
      <c r="U510" s="216" t="s">
        <v>1431</v>
      </c>
      <c r="V510" s="549" t="s">
        <v>3641</v>
      </c>
      <c r="W510" s="668" t="s">
        <v>3641</v>
      </c>
      <c r="X510" s="376">
        <f>OBRA!AP510</f>
        <v>66356</v>
      </c>
      <c r="Y510" s="341"/>
      <c r="Z510" s="341"/>
      <c r="AA510" s="5"/>
      <c r="AB510" s="351">
        <f>OBRA!BT510</f>
        <v>0</v>
      </c>
      <c r="AC510" s="569"/>
      <c r="AE510"/>
      <c r="AF510"/>
      <c r="AG510"/>
      <c r="AH510"/>
      <c r="AI510"/>
      <c r="AJ510"/>
      <c r="AK510"/>
      <c r="AL510"/>
    </row>
    <row r="511" spans="1:38" ht="155.25" hidden="1" customHeight="1">
      <c r="A511" s="23" t="str">
        <f>GRAL!G514</f>
        <v>OBRA</v>
      </c>
      <c r="B511" s="933" t="str">
        <f>GRAL!B514</f>
        <v>2018-2021</v>
      </c>
      <c r="C511" s="17">
        <f>OBRA!I511</f>
        <v>2020</v>
      </c>
      <c r="D511" s="18" t="str">
        <f>OBRA!K511</f>
        <v>RAMO 33</v>
      </c>
      <c r="E511" s="525" t="s">
        <v>1431</v>
      </c>
      <c r="F511" s="546" t="s">
        <v>3549</v>
      </c>
      <c r="G511" s="545" t="s">
        <v>3549</v>
      </c>
      <c r="H511" s="171"/>
      <c r="I511" s="56" t="str">
        <f>OBRA!U511</f>
        <v>ING. SERGIO CABRERA</v>
      </c>
      <c r="J511" s="57" t="str">
        <f>OBRA!V511</f>
        <v>ING. LUIS RIGOBERTO OLMEDO NAVARRO</v>
      </c>
      <c r="K511" s="35"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510" t="s">
        <v>3545</v>
      </c>
      <c r="O511" s="6">
        <f>OBRA!Q511</f>
        <v>44028</v>
      </c>
      <c r="P511" s="4">
        <f>OBRA!P511</f>
        <v>1003699.45</v>
      </c>
      <c r="Q511" s="4"/>
      <c r="R511" s="5">
        <f>OBRA!R511</f>
        <v>44032</v>
      </c>
      <c r="S511" s="12">
        <f>OBRA!S511</f>
        <v>44089</v>
      </c>
      <c r="T511" s="55"/>
      <c r="U511" s="415" t="s">
        <v>1431</v>
      </c>
      <c r="V511" s="549" t="s">
        <v>3549</v>
      </c>
      <c r="W511" s="668" t="s">
        <v>3549</v>
      </c>
      <c r="X511" s="601">
        <f>OBRA!AP511</f>
        <v>451664.74</v>
      </c>
      <c r="Y511" s="341"/>
      <c r="Z511" s="341"/>
      <c r="AA511" s="5"/>
      <c r="AB511" s="351">
        <f>OBRA!BT511</f>
        <v>0</v>
      </c>
      <c r="AC511" s="569"/>
      <c r="AE511"/>
      <c r="AF511"/>
      <c r="AG511"/>
      <c r="AH511"/>
      <c r="AI511"/>
      <c r="AJ511"/>
      <c r="AK511"/>
      <c r="AL511"/>
    </row>
    <row r="512" spans="1:38" ht="177" hidden="1" customHeight="1">
      <c r="A512" s="23" t="str">
        <f>GRAL!G515</f>
        <v>OBRA</v>
      </c>
      <c r="B512" s="933" t="str">
        <f>GRAL!B515</f>
        <v>2018-2021</v>
      </c>
      <c r="C512" s="17">
        <f>OBRA!I512</f>
        <v>2020</v>
      </c>
      <c r="D512" s="18" t="str">
        <f>OBRA!K512</f>
        <v>RAMO 33</v>
      </c>
      <c r="E512" s="525" t="s">
        <v>1431</v>
      </c>
      <c r="F512" s="546" t="s">
        <v>3548</v>
      </c>
      <c r="G512" s="545" t="s">
        <v>3548</v>
      </c>
      <c r="H512" s="171"/>
      <c r="I512" s="56" t="str">
        <f>OBRA!U512</f>
        <v>ING. SERGIO CABRERA</v>
      </c>
      <c r="J512" s="57" t="str">
        <f>OBRA!V512</f>
        <v>ING. LUIS RIGOBERTO OLMEDO NAVARRO</v>
      </c>
      <c r="K512" s="35"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3545</v>
      </c>
      <c r="O512" s="6">
        <f>OBRA!Q512</f>
        <v>44028</v>
      </c>
      <c r="P512" s="4">
        <f>OBRA!P512</f>
        <v>961974.96</v>
      </c>
      <c r="Q512" s="4"/>
      <c r="R512" s="5">
        <f>OBRA!R512</f>
        <v>44032</v>
      </c>
      <c r="S512" s="12">
        <f>OBRA!S512</f>
        <v>44089</v>
      </c>
      <c r="T512" s="55"/>
      <c r="U512" s="415" t="s">
        <v>1431</v>
      </c>
      <c r="V512" s="549" t="s">
        <v>3548</v>
      </c>
      <c r="W512" s="668" t="s">
        <v>3548</v>
      </c>
      <c r="X512" s="306">
        <f>OBRA!AP512</f>
        <v>432888.71</v>
      </c>
      <c r="Y512" s="341"/>
      <c r="Z512" s="341"/>
      <c r="AA512" s="5"/>
      <c r="AB512" s="351">
        <f>OBRA!BT512</f>
        <v>0</v>
      </c>
      <c r="AC512" s="569"/>
      <c r="AE512"/>
      <c r="AF512"/>
      <c r="AG512"/>
      <c r="AH512"/>
      <c r="AI512"/>
      <c r="AJ512"/>
      <c r="AK512"/>
      <c r="AL512"/>
    </row>
    <row r="513" spans="1:38" ht="152.25" hidden="1" customHeight="1">
      <c r="A513" s="23" t="str">
        <f>GRAL!G516</f>
        <v>OBRA</v>
      </c>
      <c r="B513" s="933" t="str">
        <f>GRAL!B516</f>
        <v>2018-2021</v>
      </c>
      <c r="C513" s="17">
        <f>OBRA!I513</f>
        <v>2020</v>
      </c>
      <c r="D513" s="18" t="str">
        <f>OBRA!K513</f>
        <v>RAMO 33</v>
      </c>
      <c r="E513" s="525" t="s">
        <v>1431</v>
      </c>
      <c r="F513" s="546" t="s">
        <v>3560</v>
      </c>
      <c r="G513" s="545" t="s">
        <v>3560</v>
      </c>
      <c r="H513" s="546" t="s">
        <v>3560</v>
      </c>
      <c r="I513" s="56" t="str">
        <f>OBRA!U513</f>
        <v>ALSERCON SA DE CV</v>
      </c>
      <c r="J513" s="57" t="str">
        <f>OBRA!V513</f>
        <v>ARQ. CESAR ANTONIO ALONSO JIMENEZ</v>
      </c>
      <c r="K513" s="35"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54" t="s">
        <v>3545</v>
      </c>
      <c r="O513" s="6">
        <f>OBRA!Q513</f>
        <v>44076</v>
      </c>
      <c r="P513" s="4">
        <f>OBRA!P513</f>
        <v>720809.67</v>
      </c>
      <c r="Q513" s="4"/>
      <c r="R513" s="5">
        <f>OBRA!R513</f>
        <v>44069</v>
      </c>
      <c r="S513" s="12">
        <f>OBRA!S513</f>
        <v>44142</v>
      </c>
      <c r="T513" s="55"/>
      <c r="U513" s="415" t="s">
        <v>1431</v>
      </c>
      <c r="V513" s="558"/>
      <c r="W513" s="559"/>
      <c r="X513" s="376">
        <f>OBRA!AP513</f>
        <v>334528.5</v>
      </c>
      <c r="Y513" s="558"/>
      <c r="Z513" s="341">
        <v>44144</v>
      </c>
      <c r="AA513" s="5">
        <v>101641.54</v>
      </c>
      <c r="AB513" s="351" t="s">
        <v>3593</v>
      </c>
      <c r="AC513" s="569"/>
      <c r="AE513"/>
      <c r="AF513"/>
      <c r="AG513"/>
      <c r="AH513"/>
      <c r="AI513"/>
      <c r="AJ513"/>
      <c r="AK513"/>
      <c r="AL513"/>
    </row>
    <row r="514" spans="1:38" ht="83.25" hidden="1" customHeight="1">
      <c r="A514" s="23" t="str">
        <f>GRAL!G517</f>
        <v>OBRA</v>
      </c>
      <c r="B514" s="933" t="str">
        <f>GRAL!B517</f>
        <v>2018-2021</v>
      </c>
      <c r="C514" s="17">
        <f>OBRA!I514</f>
        <v>2020</v>
      </c>
      <c r="D514" s="532" t="str">
        <f>OBRA!K514</f>
        <v>RAMO 33</v>
      </c>
      <c r="E514" s="525" t="s">
        <v>1431</v>
      </c>
      <c r="F514" s="171"/>
      <c r="G514" s="545" t="s">
        <v>3660</v>
      </c>
      <c r="H514" s="171"/>
      <c r="I514" s="339" t="str">
        <f>OBRA!U514</f>
        <v>CONVADI, S.A. DE C.V.</v>
      </c>
      <c r="J514" s="172" t="str">
        <f>OBRA!V514</f>
        <v>ING. J. GUADALUPE IBARRA RAMIREZ</v>
      </c>
      <c r="K514" s="35" t="str">
        <f>OBRA!L514</f>
        <v>GMJ 027C- OP/2020</v>
      </c>
      <c r="L514" s="2" t="str">
        <f>OBRA!M514</f>
        <v>CONCURSO SIMPLIFICADO SUMARIO</v>
      </c>
      <c r="M514" s="328" t="str">
        <f>OBRA!N514</f>
        <v>"CONSTRUCCIÓN DE POZO PROFUNDO EN CALLE ALLENDE NORTE" EN LA CABECERA MUNICIPAL DE JOCOTEPEC, JALISCO</v>
      </c>
      <c r="N514" s="554" t="s">
        <v>3545</v>
      </c>
      <c r="O514" s="69">
        <f>OBRA!Q514</f>
        <v>44007</v>
      </c>
      <c r="P514" s="85">
        <f>OBRA!P514</f>
        <v>2630623.62</v>
      </c>
      <c r="Q514" s="85"/>
      <c r="R514" s="255">
        <f>OBRA!R514</f>
        <v>44008</v>
      </c>
      <c r="S514" s="245">
        <f>OBRA!S514</f>
        <v>44099</v>
      </c>
      <c r="T514" s="758"/>
      <c r="U514" s="415" t="s">
        <v>1431</v>
      </c>
      <c r="V514" s="549" t="s">
        <v>3660</v>
      </c>
      <c r="W514" s="668" t="s">
        <v>3660</v>
      </c>
      <c r="X514" s="307">
        <f>OBRA!AP514</f>
        <v>263173.42</v>
      </c>
      <c r="Y514" s="341"/>
      <c r="Z514" s="341"/>
      <c r="AA514" s="5"/>
      <c r="AB514" s="351">
        <f>OBRA!BT514</f>
        <v>0</v>
      </c>
      <c r="AC514" s="569"/>
      <c r="AE514"/>
      <c r="AF514"/>
      <c r="AG514"/>
      <c r="AH514"/>
      <c r="AI514"/>
      <c r="AJ514"/>
      <c r="AK514"/>
      <c r="AL514"/>
    </row>
    <row r="515" spans="1:38" ht="15" hidden="1" customHeight="1">
      <c r="A515" s="23" t="str">
        <f>GRAL!G520</f>
        <v>OBRA</v>
      </c>
      <c r="B515" s="933" t="str">
        <f>GRAL!B520</f>
        <v>2018-2021</v>
      </c>
      <c r="C515" s="17">
        <f>OBRA!I515</f>
        <v>2020</v>
      </c>
      <c r="D515" s="18" t="str">
        <f>OBRA!K515</f>
        <v>FOCOCI</v>
      </c>
      <c r="E515" s="1374"/>
      <c r="F515" s="1300"/>
      <c r="G515" s="239"/>
      <c r="H515" s="1300"/>
      <c r="I515" s="56" t="str">
        <f>OBRA!U515</f>
        <v>ING. SERGIO CABRERA</v>
      </c>
      <c r="J515" s="57" t="str">
        <f>OBRA!V515</f>
        <v>ARQ. EDUARDO ROMERO CARRILLO</v>
      </c>
      <c r="K515" s="35" t="str">
        <f>OBRA!L515</f>
        <v>FOCOCI-OP-CSS-028/2020</v>
      </c>
      <c r="L515" s="2" t="str">
        <f>OBRA!M515</f>
        <v>CONCURSO SIMPLIFICADO SUMARIO</v>
      </c>
      <c r="M515" s="3" t="str">
        <f>OBRA!N515</f>
        <v>CONSTRUCCIÓN Y EQUIPAMIENTO DE PLAZA PRINCIPAL EN CHANTEPEC, MUNICIPIO DE JOCOTEPEC, JALISCO.</v>
      </c>
      <c r="N515" s="597"/>
      <c r="O515" s="6">
        <f>OBRA!Q515</f>
        <v>44120</v>
      </c>
      <c r="P515" s="4">
        <f>OBRA!P515</f>
        <v>8270578.4299999997</v>
      </c>
      <c r="Q515" s="4"/>
      <c r="R515" s="5">
        <f>OBRA!R515</f>
        <v>44123</v>
      </c>
      <c r="S515" s="12">
        <f>OBRA!S515</f>
        <v>44176</v>
      </c>
      <c r="T515" s="55"/>
      <c r="U515" s="415" t="s">
        <v>1431</v>
      </c>
      <c r="V515" s="558"/>
      <c r="W515" s="559"/>
      <c r="X515" s="307">
        <f>OBRA!AP515</f>
        <v>1654115.68</v>
      </c>
      <c r="Y515" s="341"/>
      <c r="Z515" s="341"/>
      <c r="AA515" s="5"/>
      <c r="AB515" s="351">
        <f>OBRA!BT515</f>
        <v>0</v>
      </c>
      <c r="AC515" s="569"/>
      <c r="AE515"/>
      <c r="AF515"/>
      <c r="AG515"/>
      <c r="AH515"/>
      <c r="AI515"/>
      <c r="AJ515"/>
      <c r="AK515"/>
      <c r="AL515"/>
    </row>
    <row r="516" spans="1:38" ht="15" hidden="1" customHeight="1">
      <c r="A516" s="23" t="str">
        <f>GRAL!G521</f>
        <v>OBRA</v>
      </c>
      <c r="B516" s="933" t="str">
        <f>GRAL!B521</f>
        <v>2018-2021</v>
      </c>
      <c r="C516" s="17">
        <f>OBRA!I516</f>
        <v>2020</v>
      </c>
      <c r="D516" s="18" t="str">
        <f>OBRA!K516</f>
        <v>FOCOCI</v>
      </c>
      <c r="E516" s="1374"/>
      <c r="F516" s="1300"/>
      <c r="G516" s="239"/>
      <c r="H516" s="1300"/>
      <c r="I516" s="56" t="str">
        <f>OBRA!U516</f>
        <v xml:space="preserve">SOJO SERVICIOS DE INGENIERIA Y OBRAS, S.A. DE C.V. </v>
      </c>
      <c r="J516" s="1279" t="str">
        <f>OBRA!V516</f>
        <v>ARQ. EDUARDO ROMERO CARRILLO</v>
      </c>
      <c r="K516" s="35" t="str">
        <f>OBRA!L516</f>
        <v>FOCOCI-OP-CSS-029/2020</v>
      </c>
      <c r="L516" s="2" t="str">
        <f>OBRA!M516</f>
        <v>CONCURSO SIMPLIFICADO SUMARIO</v>
      </c>
      <c r="M516" s="3" t="str">
        <f>OBRA!N516</f>
        <v>CONSTRUCCIÓN Y EQUIPAMIENTO DE PLAZA PRINCIPAL EN CHANTEPEC MUNICIPIO DE JOCOTEPEC, JALISCO". (CONSTRUCCIÓN DE EDIFICIO ADMINISTRATIVO)</v>
      </c>
      <c r="N516" s="597"/>
      <c r="O516" s="6">
        <f>OBRA!Q516</f>
        <v>44485</v>
      </c>
      <c r="P516" s="4">
        <f>OBRA!P516</f>
        <v>1729413</v>
      </c>
      <c r="Q516" s="4"/>
      <c r="R516" s="5">
        <f>OBRA!R516</f>
        <v>44123</v>
      </c>
      <c r="S516" s="12">
        <f>OBRA!S516</f>
        <v>44196</v>
      </c>
      <c r="T516" s="55"/>
      <c r="U516" s="415" t="s">
        <v>1431</v>
      </c>
      <c r="V516" s="558"/>
      <c r="W516" s="559"/>
      <c r="X516" s="307">
        <f>OBRA!AP516</f>
        <v>345882.6</v>
      </c>
      <c r="Y516" s="341"/>
      <c r="Z516" s="341"/>
      <c r="AA516" s="5"/>
      <c r="AB516" s="351">
        <f>OBRA!BT516</f>
        <v>0</v>
      </c>
      <c r="AC516" s="569"/>
      <c r="AE516"/>
      <c r="AF516"/>
      <c r="AG516"/>
      <c r="AH516"/>
      <c r="AI516"/>
      <c r="AJ516"/>
      <c r="AK516"/>
      <c r="AL516"/>
    </row>
    <row r="517" spans="1:38" ht="15" hidden="1" customHeight="1">
      <c r="A517" s="23" t="e">
        <f>GRAL!#REF!</f>
        <v>#REF!</v>
      </c>
      <c r="B517" s="933" t="e">
        <f>GRAL!#REF!</f>
        <v>#REF!</v>
      </c>
      <c r="C517" s="17">
        <f>OBRA!I517</f>
        <v>2020</v>
      </c>
      <c r="D517" s="18" t="str">
        <f>OBRA!K517</f>
        <v>FOCOCI</v>
      </c>
      <c r="E517" s="1374"/>
      <c r="F517" s="1300"/>
      <c r="G517" s="239"/>
      <c r="H517" s="1300"/>
      <c r="I517" s="56" t="str">
        <f>OBRA!U517</f>
        <v xml:space="preserve">DESARROLLO DAP S.A. DE C.V. </v>
      </c>
      <c r="J517" s="57" t="str">
        <f>OBRA!V517</f>
        <v>LIC. SALVADOR CONTRERAS OLGUÍN</v>
      </c>
      <c r="K517" s="35"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97"/>
      <c r="O517" s="6">
        <f>OBRA!Q517</f>
        <v>44110</v>
      </c>
      <c r="P517" s="4">
        <f>OBRA!P517</f>
        <v>4896549.54</v>
      </c>
      <c r="Q517" s="4"/>
      <c r="R517" s="5">
        <f>OBRA!R517</f>
        <v>44130</v>
      </c>
      <c r="S517" s="12">
        <f>OBRA!S517</f>
        <v>44196</v>
      </c>
      <c r="T517" s="55"/>
      <c r="U517" s="415" t="s">
        <v>1431</v>
      </c>
      <c r="V517" s="558"/>
      <c r="W517" s="559"/>
      <c r="X517" s="307">
        <f>OBRA!AP517</f>
        <v>1034084.78</v>
      </c>
      <c r="Y517" s="341"/>
      <c r="Z517" s="341"/>
      <c r="AA517" s="5"/>
      <c r="AB517" s="351">
        <f>OBRA!BT517</f>
        <v>0</v>
      </c>
      <c r="AC517" s="569"/>
      <c r="AE517"/>
      <c r="AF517"/>
      <c r="AG517"/>
      <c r="AH517"/>
      <c r="AI517"/>
      <c r="AJ517"/>
      <c r="AK517"/>
      <c r="AL517"/>
    </row>
    <row r="518" spans="1:38" ht="15" hidden="1" customHeight="1">
      <c r="A518" s="23" t="e">
        <f>GRAL!#REF!</f>
        <v>#REF!</v>
      </c>
      <c r="B518" s="933" t="e">
        <f>GRAL!#REF!</f>
        <v>#REF!</v>
      </c>
      <c r="C518" s="17">
        <f>OBRA!I518</f>
        <v>2020</v>
      </c>
      <c r="D518" s="18" t="str">
        <f>OBRA!K518</f>
        <v>FOCOCI</v>
      </c>
      <c r="E518" s="1374"/>
      <c r="F518" s="1300"/>
      <c r="G518" s="239"/>
      <c r="H518" s="1300"/>
      <c r="I518" s="56" t="str">
        <f>OBRA!U518</f>
        <v xml:space="preserve">JUAN PABLO BALLESTEROS ARREOLA </v>
      </c>
      <c r="J518" s="57" t="str">
        <f>OBRA!V518</f>
        <v>LIC. SALVADOR CONTRERAS OLGUÍN</v>
      </c>
      <c r="K518" s="35" t="str">
        <f>OBRA!L518</f>
        <v>FOCOCI-OP-CSS-031/2020</v>
      </c>
      <c r="L518" s="2" t="str">
        <f>OBRA!M518</f>
        <v>CONCURSO SIMPLIFICADO SUMARIO</v>
      </c>
      <c r="M518" s="3" t="str">
        <f>OBRA!N518</f>
        <v>"INTERVENCIÓN Y RESTAURACIÓN DE MERCADO MUNICIPAL MORELOS”, UBICADO EN CALLE MORELOS EN LA CABECERA MUNICIPAL DE JOCOTEPEC, JALISCO</v>
      </c>
      <c r="N518" s="597"/>
      <c r="O518" s="6">
        <f>OBRA!Q518</f>
        <v>44110</v>
      </c>
      <c r="P518" s="4">
        <f>OBRA!P518</f>
        <v>4629575.57</v>
      </c>
      <c r="Q518" s="4"/>
      <c r="R518" s="5">
        <f>OBRA!R518</f>
        <v>44164</v>
      </c>
      <c r="S518" s="12">
        <f>OBRA!S518</f>
        <v>44185</v>
      </c>
      <c r="T518" s="55"/>
      <c r="U518" s="415" t="s">
        <v>1431</v>
      </c>
      <c r="V518" s="558"/>
      <c r="W518" s="559"/>
      <c r="X518" s="307">
        <f>OBRA!AP518</f>
        <v>925915.1</v>
      </c>
      <c r="Y518" s="341"/>
      <c r="Z518" s="341"/>
      <c r="AA518" s="5"/>
      <c r="AB518" s="351">
        <f>OBRA!BT518</f>
        <v>0</v>
      </c>
      <c r="AC518" s="569"/>
      <c r="AE518"/>
      <c r="AF518"/>
      <c r="AG518"/>
      <c r="AH518"/>
      <c r="AI518"/>
      <c r="AJ518"/>
      <c r="AK518"/>
      <c r="AL518"/>
    </row>
    <row r="519" spans="1:38" ht="99.75" hidden="1" customHeight="1">
      <c r="A519" s="23" t="str">
        <f>GRAL!G522</f>
        <v>OBRA</v>
      </c>
      <c r="B519" s="933" t="str">
        <f>GRAL!B522</f>
        <v>2018-2021</v>
      </c>
      <c r="C519" s="17">
        <f>OBRA!I519</f>
        <v>2020</v>
      </c>
      <c r="D519" s="18" t="str">
        <f>OBRA!K519</f>
        <v>RAMO 33</v>
      </c>
      <c r="E519" s="525" t="s">
        <v>1431</v>
      </c>
      <c r="F519" s="171"/>
      <c r="G519" s="545" t="s">
        <v>3661</v>
      </c>
      <c r="H519" s="546" t="s">
        <v>3661</v>
      </c>
      <c r="I519" s="339" t="str">
        <f>OBRA!U519</f>
        <v>SERVICIO Y CONSTRUCCIÓN NATENIO S.A. DE C.V.</v>
      </c>
      <c r="J519" s="57" t="str">
        <f>OBRA!V519</f>
        <v>LIC. SALVADOR CONTRERAS OLGUÍN</v>
      </c>
      <c r="K519" s="35" t="str">
        <f>OBRA!L519</f>
        <v>GMJ 032C- OP/2020</v>
      </c>
      <c r="L519" s="2" t="str">
        <f>OBRA!M519</f>
        <v>ADJUDICACIÓN DIRECTA</v>
      </c>
      <c r="M519" s="3" t="str">
        <f>OBRA!N519</f>
        <v>"CONSTRUCCIÓN DE LÍNEA DE DRENAJE SANITARIO EN PRIVADA RAÚL RAMÍREZ", EN LA LOCALIDAD DE SAN JUAN COSALA DEL MUNICIPIO DE JOCOTEPEC, JALISCO.</v>
      </c>
      <c r="N519" s="510" t="s">
        <v>3545</v>
      </c>
      <c r="O519" s="6">
        <f>OBRA!Q519</f>
        <v>44155</v>
      </c>
      <c r="P519" s="4">
        <f>OBRA!P519</f>
        <v>287771.56</v>
      </c>
      <c r="Q519" s="4"/>
      <c r="R519" s="5">
        <f>OBRA!R519</f>
        <v>44165</v>
      </c>
      <c r="S519" s="12">
        <f>OBRA!S519</f>
        <v>44180</v>
      </c>
      <c r="T519" s="55"/>
      <c r="U519" s="216" t="s">
        <v>1431</v>
      </c>
      <c r="V519" s="549" t="s">
        <v>3661</v>
      </c>
      <c r="W519" s="668" t="s">
        <v>3661</v>
      </c>
      <c r="X519" s="376">
        <f>OBRA!AP519</f>
        <v>57554.3</v>
      </c>
      <c r="Y519" s="341"/>
      <c r="Z519" s="341"/>
      <c r="AA519" s="5"/>
      <c r="AB519" s="351">
        <f>OBRA!BT519</f>
        <v>0</v>
      </c>
      <c r="AC519" s="569"/>
      <c r="AE519"/>
      <c r="AF519"/>
      <c r="AG519"/>
      <c r="AH519"/>
      <c r="AI519"/>
      <c r="AJ519"/>
      <c r="AK519"/>
      <c r="AL519"/>
    </row>
    <row r="520" spans="1:38" ht="84.75" hidden="1" customHeight="1">
      <c r="A520" s="23" t="str">
        <f>GRAL!G523</f>
        <v>OBRA</v>
      </c>
      <c r="B520" s="933" t="str">
        <f>GRAL!B523</f>
        <v>2018-2021</v>
      </c>
      <c r="C520" s="17">
        <f>OBRA!I520</f>
        <v>2020</v>
      </c>
      <c r="D520" s="19" t="str">
        <f>OBRA!K520</f>
        <v>RESCATE AL PATRIMONIO</v>
      </c>
      <c r="E520" s="1193" t="s">
        <v>3563</v>
      </c>
      <c r="F520" s="546" t="s">
        <v>3564</v>
      </c>
      <c r="G520" s="545" t="s">
        <v>3564</v>
      </c>
      <c r="H520" s="546" t="s">
        <v>3564</v>
      </c>
      <c r="I520" s="56" t="str">
        <f>OBRA!U520</f>
        <v>CONSTRUCCIONES ADMAYAL, S.A. DE C.V</v>
      </c>
      <c r="J520" s="57" t="str">
        <f>OBRA!V520</f>
        <v>ING. LUIS RIGOBERTO OLMEDO NAVARRO</v>
      </c>
      <c r="K520" s="35" t="str">
        <f>OBRA!L520</f>
        <v>GMJ 033C- OP/2020</v>
      </c>
      <c r="L520" s="2" t="str">
        <f>OBRA!M520</f>
        <v>ADJUDICACIÓN DIRECTA</v>
      </c>
      <c r="M520" s="3" t="str">
        <f>OBRA!N520</f>
        <v>"REMOZAMIENTO Y MEJORAMIENTO DE IMAGEN URBANA EN EL TEMPLO DEL SEÑOR DEL MONTE” EN LA CABECERA MUNICIPAL DE JOCOTEPEC, JALISCO</v>
      </c>
      <c r="N520" s="554" t="s">
        <v>3546</v>
      </c>
      <c r="O520" s="6">
        <f>OBRA!Q520</f>
        <v>44158</v>
      </c>
      <c r="P520" s="4">
        <f>OBRA!P520</f>
        <v>1600000</v>
      </c>
      <c r="Q520" s="4"/>
      <c r="R520" s="5">
        <f>OBRA!R520</f>
        <v>44166</v>
      </c>
      <c r="S520" s="12">
        <f>OBRA!S520</f>
        <v>44189</v>
      </c>
      <c r="T520" s="55"/>
      <c r="U520" s="223"/>
      <c r="V520" s="591"/>
      <c r="W520" s="479"/>
      <c r="X520" s="307">
        <f>OBRA!AP520</f>
        <v>320000</v>
      </c>
      <c r="Y520" s="341"/>
      <c r="Z520" s="341"/>
      <c r="AA520" s="5"/>
      <c r="AB520" s="351">
        <f>OBRA!BT520</f>
        <v>0</v>
      </c>
      <c r="AC520" s="569"/>
      <c r="AE520"/>
      <c r="AF520"/>
      <c r="AG520"/>
      <c r="AH520"/>
      <c r="AI520"/>
      <c r="AJ520"/>
      <c r="AK520"/>
      <c r="AL520"/>
    </row>
    <row r="521" spans="1:38" ht="114.75" hidden="1" customHeight="1">
      <c r="A521" s="23" t="e">
        <f>GRAL!#REF!</f>
        <v>#REF!</v>
      </c>
      <c r="B521" s="933" t="e">
        <f>GRAL!#REF!</f>
        <v>#REF!</v>
      </c>
      <c r="C521" s="17">
        <f>OBRA!I521</f>
        <v>2020</v>
      </c>
      <c r="D521" s="18" t="str">
        <f>OBRA!K521</f>
        <v>RAMO 33</v>
      </c>
      <c r="E521" s="695" t="s">
        <v>1431</v>
      </c>
      <c r="F521" s="546" t="s">
        <v>3662</v>
      </c>
      <c r="G521" s="560"/>
      <c r="H521" s="546" t="s">
        <v>3662</v>
      </c>
      <c r="I521" s="339" t="str">
        <f>OBRA!U521</f>
        <v>CONSTRUCCIÓN Y SUPERVISIÓN COMA S.A. DE C.V.</v>
      </c>
      <c r="J521" s="57" t="str">
        <f>OBRA!V521</f>
        <v>ARQ. CESAR ANTONIO ALONSO JIMENEZ</v>
      </c>
      <c r="K521" s="35"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54" t="s">
        <v>3546</v>
      </c>
      <c r="O521" s="6">
        <f>OBRA!Q521</f>
        <v>44168</v>
      </c>
      <c r="P521" s="4">
        <f>OBRA!P521</f>
        <v>914194.81</v>
      </c>
      <c r="Q521" s="4"/>
      <c r="R521" s="5">
        <f>OBRA!R521</f>
        <v>44169</v>
      </c>
      <c r="S521" s="12">
        <f>OBRA!S521</f>
        <v>44180</v>
      </c>
      <c r="T521" s="55"/>
      <c r="U521" s="216" t="s">
        <v>1431</v>
      </c>
      <c r="V521" s="549" t="s">
        <v>3662</v>
      </c>
      <c r="W521" s="668" t="s">
        <v>3662</v>
      </c>
      <c r="X521" s="376">
        <f>OBRA!AP521</f>
        <v>411389.14999999997</v>
      </c>
      <c r="Y521" s="341"/>
      <c r="Z521" s="341"/>
      <c r="AA521" s="5"/>
      <c r="AB521" s="351">
        <f>OBRA!BT521</f>
        <v>0</v>
      </c>
      <c r="AC521" s="569"/>
      <c r="AE521"/>
      <c r="AF521"/>
      <c r="AG521"/>
      <c r="AH521"/>
      <c r="AI521"/>
      <c r="AJ521"/>
      <c r="AK521"/>
      <c r="AL521"/>
    </row>
    <row r="522" spans="1:38" ht="83.25" hidden="1" customHeight="1">
      <c r="A522" s="23" t="str">
        <f>GRAL!G524</f>
        <v>OBRA</v>
      </c>
      <c r="B522" s="933" t="str">
        <f>GRAL!B524</f>
        <v>2018-2021</v>
      </c>
      <c r="C522" s="17">
        <f>OBRA!I522</f>
        <v>2020</v>
      </c>
      <c r="D522" s="532" t="str">
        <f>OBRA!K522</f>
        <v>RASTRO DIGNO</v>
      </c>
      <c r="E522" s="1193" t="s">
        <v>3563</v>
      </c>
      <c r="F522" s="171"/>
      <c r="G522" s="560"/>
      <c r="H522" s="171"/>
      <c r="I522" s="339" t="str">
        <f>OBRA!U522</f>
        <v>ALSERCON SA DE CV</v>
      </c>
      <c r="J522" s="172" t="str">
        <f>OBRA!V522</f>
        <v>ARQ. JAIME CONDE GOMEZ</v>
      </c>
      <c r="K522" s="35" t="str">
        <f>OBRA!L522</f>
        <v>GMJ 035C- OP/2020</v>
      </c>
      <c r="L522" s="202" t="str">
        <f>OBRA!M522</f>
        <v>ADJUDICACIÓN DIRECTA</v>
      </c>
      <c r="M522" s="328" t="str">
        <f>OBRA!N522</f>
        <v>OBRA CIVIL "REHABILITACIÓN DEL RASTRO MUNICIPAL 2DA ETAPA", DE LA CABECERA MUNICIPAL DE JOCOTEPEC, JALISCO.</v>
      </c>
      <c r="N522" s="554" t="s">
        <v>3546</v>
      </c>
      <c r="O522" s="69">
        <f>OBRA!Q522</f>
        <v>44195</v>
      </c>
      <c r="P522" s="85">
        <f>OBRA!P522</f>
        <v>537866.98</v>
      </c>
      <c r="Q522" s="85"/>
      <c r="R522" s="255">
        <f>OBRA!R522</f>
        <v>44195</v>
      </c>
      <c r="S522" s="245">
        <f>OBRA!S522</f>
        <v>44227</v>
      </c>
      <c r="T522" s="758"/>
      <c r="U522" s="223"/>
      <c r="V522" s="591"/>
      <c r="W522" s="479"/>
      <c r="X522" s="307">
        <f>OBRA!AP522</f>
        <v>0</v>
      </c>
      <c r="Y522" s="341"/>
      <c r="Z522" s="341"/>
      <c r="AA522" s="5"/>
      <c r="AB522" s="351">
        <f>OBRA!BT522</f>
        <v>0</v>
      </c>
      <c r="AC522" s="569"/>
      <c r="AE522"/>
      <c r="AF522"/>
      <c r="AG522"/>
      <c r="AH522"/>
      <c r="AI522"/>
      <c r="AJ522"/>
      <c r="AK522"/>
      <c r="AL522"/>
    </row>
    <row r="523" spans="1:38" ht="15" hidden="1" customHeight="1">
      <c r="A523" s="23" t="str">
        <f>GRAL!G525</f>
        <v>OBRA</v>
      </c>
      <c r="B523" s="933" t="str">
        <f>GRAL!B525</f>
        <v>2018-2021</v>
      </c>
      <c r="C523" s="17">
        <f>OBRA!I523</f>
        <v>2020</v>
      </c>
      <c r="D523" s="715">
        <f>OBRA!K523</f>
        <v>0</v>
      </c>
      <c r="E523" s="1374"/>
      <c r="F523" s="1300"/>
      <c r="G523" s="239"/>
      <c r="H523" s="1300"/>
      <c r="I523" s="1410">
        <f>OBRA!U523</f>
        <v>0</v>
      </c>
      <c r="J523" s="1279">
        <f>OBRA!V523</f>
        <v>0</v>
      </c>
      <c r="K523" s="35" t="str">
        <f>OBRA!L523</f>
        <v>GMJ 036C- OP/2020</v>
      </c>
      <c r="L523" s="560" t="str">
        <f>OBRA!M523</f>
        <v>CANCELADA</v>
      </c>
      <c r="M523" s="597" t="str">
        <f>OBRA!N523</f>
        <v>CONTRATO CANCELADO</v>
      </c>
      <c r="N523" s="597"/>
      <c r="O523" s="214">
        <f>OBRA!Q523</f>
        <v>0</v>
      </c>
      <c r="P523" s="65">
        <f>OBRA!P523</f>
        <v>0</v>
      </c>
      <c r="Q523" s="65"/>
      <c r="R523" s="521">
        <f>OBRA!R523</f>
        <v>0</v>
      </c>
      <c r="S523" s="559">
        <f>OBRA!S523</f>
        <v>0</v>
      </c>
      <c r="T523" s="792"/>
      <c r="U523" s="223"/>
      <c r="V523" s="558"/>
      <c r="W523" s="559"/>
      <c r="X523" s="307">
        <f>OBRA!AP523</f>
        <v>0</v>
      </c>
      <c r="Y523" s="341"/>
      <c r="Z523" s="341"/>
      <c r="AA523" s="5"/>
      <c r="AB523" s="351">
        <f>OBRA!BT523</f>
        <v>0</v>
      </c>
      <c r="AC523" s="569"/>
      <c r="AE523"/>
      <c r="AF523"/>
      <c r="AG523"/>
      <c r="AH523"/>
      <c r="AI523"/>
      <c r="AJ523"/>
      <c r="AK523"/>
      <c r="AL523"/>
    </row>
    <row r="524" spans="1:38" ht="82.5" hidden="1" customHeight="1">
      <c r="A524" s="23" t="str">
        <f>GRAL!G526</f>
        <v>OBRA</v>
      </c>
      <c r="B524" s="933" t="str">
        <f>GRAL!B526</f>
        <v>2018-2021</v>
      </c>
      <c r="C524" s="17">
        <f>OBRA!I524</f>
        <v>2020</v>
      </c>
      <c r="D524" s="18" t="str">
        <f>OBRA!K524</f>
        <v>RAMO 33</v>
      </c>
      <c r="E524" s="525" t="s">
        <v>1431</v>
      </c>
      <c r="F524" s="171"/>
      <c r="G524" s="560"/>
      <c r="H524" s="171"/>
      <c r="I524" s="56" t="str">
        <f>OBRA!U524</f>
        <v>PLANOS Y OBRAS LODEIRO S.A. DE C.V.</v>
      </c>
      <c r="J524" s="57" t="str">
        <f>OBRA!V524</f>
        <v>ING. RIGOBERTO OR / ARQ. JAIME CONDE</v>
      </c>
      <c r="K524" s="35" t="str">
        <f>OBRA!L524</f>
        <v>GMJ 037C- OP/2020</v>
      </c>
      <c r="L524" s="2" t="str">
        <f>OBRA!M524</f>
        <v>ADJUDICACIÓN DIRECTA</v>
      </c>
      <c r="M524" s="3" t="str">
        <f>OBRA!N524</f>
        <v>"CONSTRUCCIÓN DE BANQUETAS EN UNIDAD DEPORTIVA ZARAGOZA” EN LA CABECERA MUNICIPAL DE JOCOTEPEC, JALISCO.</v>
      </c>
      <c r="N524" s="554" t="s">
        <v>3546</v>
      </c>
      <c r="O524" s="6">
        <f>OBRA!Q524</f>
        <v>44168</v>
      </c>
      <c r="P524" s="4">
        <f>OBRA!P524</f>
        <v>229496.26</v>
      </c>
      <c r="Q524" s="4"/>
      <c r="R524" s="5">
        <f>OBRA!R524</f>
        <v>44172</v>
      </c>
      <c r="S524" s="12">
        <f>OBRA!S524</f>
        <v>44184</v>
      </c>
      <c r="T524" s="55"/>
      <c r="U524" s="415" t="s">
        <v>1431</v>
      </c>
      <c r="V524" s="591"/>
      <c r="W524" s="479"/>
      <c r="X524" s="307">
        <f>OBRA!AP524</f>
        <v>45899.24</v>
      </c>
      <c r="Y524" s="341"/>
      <c r="Z524" s="341"/>
      <c r="AA524" s="5"/>
      <c r="AB524" s="351">
        <f>OBRA!BT524</f>
        <v>0</v>
      </c>
      <c r="AC524" s="569"/>
      <c r="AE524"/>
      <c r="AF524"/>
      <c r="AG524"/>
      <c r="AH524"/>
      <c r="AI524"/>
      <c r="AJ524"/>
      <c r="AK524"/>
      <c r="AL524"/>
    </row>
    <row r="525" spans="1:38" ht="148.5" hidden="1" customHeight="1">
      <c r="A525" s="23" t="str">
        <f>GRAL!G527</f>
        <v>OBRA</v>
      </c>
      <c r="B525" s="933" t="str">
        <f>GRAL!B527</f>
        <v>2018-2021</v>
      </c>
      <c r="C525" s="17">
        <f>OBRA!I525</f>
        <v>2020</v>
      </c>
      <c r="D525" s="18" t="str">
        <f>OBRA!K525</f>
        <v>CUENTA CORRIENTE</v>
      </c>
      <c r="E525" s="525" t="s">
        <v>1431</v>
      </c>
      <c r="F525" s="171"/>
      <c r="G525" s="560"/>
      <c r="H525" s="171"/>
      <c r="I525" s="56" t="str">
        <f>OBRA!U525</f>
        <v>ALSERCON SA DE CV</v>
      </c>
      <c r="J525" s="1279" t="str">
        <f>OBRA!V525</f>
        <v>ARQ. JAIME CONDE GOMEZ</v>
      </c>
      <c r="K525" s="35"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54" t="s">
        <v>3546</v>
      </c>
      <c r="O525" s="6">
        <f>OBRA!Q525</f>
        <v>44548</v>
      </c>
      <c r="P525" s="4">
        <f>OBRA!P525</f>
        <v>868714.16</v>
      </c>
      <c r="Q525" s="4"/>
      <c r="R525" s="5">
        <f>OBRA!R525</f>
        <v>44194</v>
      </c>
      <c r="S525" s="12">
        <f>OBRA!S525</f>
        <v>44284</v>
      </c>
      <c r="T525" s="55"/>
      <c r="U525" s="415" t="s">
        <v>1431</v>
      </c>
      <c r="V525" s="591"/>
      <c r="W525" s="479"/>
      <c r="X525" s="307">
        <f>OBRA!AP525</f>
        <v>0</v>
      </c>
      <c r="Y525" s="341"/>
      <c r="Z525" s="341"/>
      <c r="AA525" s="5"/>
      <c r="AB525" s="351">
        <f>OBRA!BT525</f>
        <v>0</v>
      </c>
      <c r="AC525" s="569"/>
      <c r="AE525"/>
      <c r="AF525"/>
      <c r="AG525"/>
      <c r="AH525"/>
      <c r="AI525"/>
      <c r="AJ525"/>
      <c r="AK525"/>
      <c r="AL525"/>
    </row>
    <row r="526" spans="1:38" ht="15" hidden="1" customHeight="1">
      <c r="A526" s="23" t="e">
        <f>GRAL!#REF!</f>
        <v>#REF!</v>
      </c>
      <c r="B526" s="933" t="e">
        <f>GRAL!#REF!</f>
        <v>#REF!</v>
      </c>
      <c r="C526" s="17">
        <f>OBRA!I526</f>
        <v>2021</v>
      </c>
      <c r="D526" s="18" t="str">
        <f>OBRA!K526</f>
        <v>FOCOCI</v>
      </c>
      <c r="E526" s="525"/>
      <c r="F526" s="390"/>
      <c r="G526" s="1"/>
      <c r="H526" s="390"/>
      <c r="I526" s="56" t="str">
        <f>OBRA!U526</f>
        <v>N/A</v>
      </c>
      <c r="J526" s="57" t="str">
        <f>OBRA!V526</f>
        <v>N/A</v>
      </c>
      <c r="K526" s="20"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2">
        <f>OBRA!S526</f>
        <v>44469</v>
      </c>
      <c r="T526" s="55"/>
      <c r="U526" s="415" t="s">
        <v>1431</v>
      </c>
      <c r="V526" s="341"/>
      <c r="W526" s="12"/>
      <c r="X526" s="306">
        <f>OBRA!AP526</f>
        <v>0</v>
      </c>
      <c r="Y526" s="341"/>
      <c r="Z526" s="341"/>
      <c r="AA526" s="5"/>
      <c r="AB526" s="351">
        <f>OBRA!BT526</f>
        <v>0</v>
      </c>
      <c r="AC526" s="569"/>
      <c r="AE526"/>
      <c r="AF526"/>
      <c r="AG526"/>
      <c r="AH526"/>
      <c r="AI526"/>
      <c r="AJ526"/>
      <c r="AK526"/>
      <c r="AL526"/>
    </row>
    <row r="527" spans="1:38" ht="15" hidden="1" customHeight="1">
      <c r="A527" s="23" t="str">
        <f>GRAL!G529</f>
        <v>OBRA</v>
      </c>
      <c r="B527" s="933" t="str">
        <f>GRAL!B529</f>
        <v>2018-2021</v>
      </c>
      <c r="C527" s="17">
        <f>OBRA!I527</f>
        <v>2021</v>
      </c>
      <c r="D527" s="18" t="str">
        <f>OBRA!K527</f>
        <v>CUENTA CORRIENTE</v>
      </c>
      <c r="E527" s="525"/>
      <c r="F527" s="390"/>
      <c r="G527" s="1"/>
      <c r="H527" s="390"/>
      <c r="I527" s="56" t="str">
        <f>OBRA!U527</f>
        <v>N/A</v>
      </c>
      <c r="J527" s="57" t="str">
        <f>OBRA!V527</f>
        <v>ING. LUIS RIGOBERTO OLMEDO NAVARRO</v>
      </c>
      <c r="K527" s="20"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2">
        <f>OBRA!S527</f>
        <v>44377</v>
      </c>
      <c r="T527" s="55"/>
      <c r="U527" s="415" t="s">
        <v>1431</v>
      </c>
      <c r="V527" s="341"/>
      <c r="W527" s="12"/>
      <c r="X527" s="306">
        <f>OBRA!AP527</f>
        <v>0</v>
      </c>
      <c r="Y527" s="341"/>
      <c r="Z527" s="341"/>
      <c r="AA527" s="5"/>
      <c r="AB527" s="351">
        <f>OBRA!BT527</f>
        <v>0</v>
      </c>
      <c r="AC527" s="569"/>
      <c r="AE527"/>
      <c r="AF527"/>
      <c r="AG527"/>
      <c r="AH527"/>
      <c r="AI527"/>
      <c r="AJ527"/>
      <c r="AK527"/>
      <c r="AL527"/>
    </row>
    <row r="528" spans="1:38" ht="15" hidden="1" customHeight="1">
      <c r="A528" s="23" t="str">
        <f>GRAL!G530</f>
        <v>OBRA</v>
      </c>
      <c r="B528" s="933" t="str">
        <f>GRAL!B530</f>
        <v>2018-2021</v>
      </c>
      <c r="C528" s="17">
        <f>OBRA!I528</f>
        <v>2021</v>
      </c>
      <c r="D528" s="18" t="str">
        <f>OBRA!K528</f>
        <v>CUENTA CORRIENTE</v>
      </c>
      <c r="E528" s="525"/>
      <c r="F528" s="390"/>
      <c r="G528" s="1"/>
      <c r="H528" s="390"/>
      <c r="I528" s="56" t="str">
        <f>OBRA!U528</f>
        <v>N/A</v>
      </c>
      <c r="J528" s="57" t="str">
        <f>OBRA!V528</f>
        <v xml:space="preserve">ING. ENRIQUE ENRÍQUEZ VÁZQUEZ </v>
      </c>
      <c r="K528" s="20"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2">
        <f>OBRA!S528</f>
        <v>44377</v>
      </c>
      <c r="T528" s="55"/>
      <c r="U528" s="415" t="s">
        <v>1431</v>
      </c>
      <c r="V528" s="341"/>
      <c r="W528" s="12"/>
      <c r="X528" s="306">
        <f>OBRA!AP528</f>
        <v>0</v>
      </c>
      <c r="Y528" s="341"/>
      <c r="Z528" s="341"/>
      <c r="AA528" s="5"/>
      <c r="AB528" s="351">
        <f>OBRA!BT528</f>
        <v>0</v>
      </c>
      <c r="AC528" s="569"/>
      <c r="AE528"/>
      <c r="AF528"/>
      <c r="AG528"/>
      <c r="AH528"/>
      <c r="AI528"/>
      <c r="AJ528"/>
      <c r="AK528"/>
      <c r="AL528"/>
    </row>
    <row r="529" spans="1:38" ht="15" hidden="1" customHeight="1">
      <c r="A529" s="23" t="str">
        <f>GRAL!G531</f>
        <v>OBRA</v>
      </c>
      <c r="B529" s="933" t="str">
        <f>GRAL!B531</f>
        <v>2018-2021</v>
      </c>
      <c r="C529" s="17">
        <f>OBRA!I529</f>
        <v>2021</v>
      </c>
      <c r="D529" s="18" t="str">
        <f>OBRA!K529</f>
        <v>RAMO 33</v>
      </c>
      <c r="E529" s="525"/>
      <c r="F529" s="390"/>
      <c r="G529" s="1"/>
      <c r="H529" s="390"/>
      <c r="I529" s="56" t="str">
        <f>OBRA!U529</f>
        <v>N/A</v>
      </c>
      <c r="J529" s="57" t="str">
        <f>OBRA!V529</f>
        <v>ING. J. GUADALUPE IBARRA RAMIREZ</v>
      </c>
      <c r="K529" s="20"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2">
        <f>OBRA!S529</f>
        <v>44455</v>
      </c>
      <c r="T529" s="55"/>
      <c r="U529" s="415" t="s">
        <v>1431</v>
      </c>
      <c r="V529" s="341"/>
      <c r="W529" s="12"/>
      <c r="X529" s="306">
        <f>OBRA!AP529</f>
        <v>0</v>
      </c>
      <c r="Y529" s="341"/>
      <c r="Z529" s="341"/>
      <c r="AA529" s="5"/>
      <c r="AB529" s="351">
        <f>OBRA!BT529</f>
        <v>0</v>
      </c>
      <c r="AC529" s="569"/>
      <c r="AE529"/>
      <c r="AF529"/>
      <c r="AG529"/>
      <c r="AH529"/>
      <c r="AI529"/>
      <c r="AJ529"/>
      <c r="AK529"/>
      <c r="AL529"/>
    </row>
    <row r="530" spans="1:38" ht="15" hidden="1" customHeight="1">
      <c r="A530" s="23" t="str">
        <f>GRAL!G532</f>
        <v>OBRA</v>
      </c>
      <c r="B530" s="933" t="str">
        <f>GRAL!B532</f>
        <v>2018-2021</v>
      </c>
      <c r="C530" s="17">
        <f>OBRA!I530</f>
        <v>2021</v>
      </c>
      <c r="D530" s="18" t="str">
        <f>OBRA!K530</f>
        <v>CUENTA CORRIENTE</v>
      </c>
      <c r="E530" s="525"/>
      <c r="F530" s="390"/>
      <c r="G530" s="1"/>
      <c r="H530" s="390"/>
      <c r="I530" s="56" t="str">
        <f>OBRA!U530</f>
        <v>N/A</v>
      </c>
      <c r="J530" s="57" t="str">
        <f>OBRA!V530</f>
        <v>LIC. SALVADOR CONTRERAS OLGUÍN</v>
      </c>
      <c r="K530" s="20"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2">
        <f>OBRA!S530</f>
        <v>44250</v>
      </c>
      <c r="T530" s="55"/>
      <c r="U530" s="415" t="s">
        <v>1431</v>
      </c>
      <c r="V530" s="341"/>
      <c r="W530" s="12"/>
      <c r="X530" s="306">
        <f>OBRA!AP530</f>
        <v>0</v>
      </c>
      <c r="Y530" s="341"/>
      <c r="Z530" s="341"/>
      <c r="AA530" s="5"/>
      <c r="AB530" s="351">
        <f>OBRA!BT530</f>
        <v>0</v>
      </c>
      <c r="AC530" s="569"/>
      <c r="AE530"/>
      <c r="AF530"/>
      <c r="AG530"/>
      <c r="AH530"/>
      <c r="AI530"/>
      <c r="AJ530"/>
      <c r="AK530"/>
      <c r="AL530"/>
    </row>
    <row r="531" spans="1:38" ht="15" hidden="1" customHeight="1">
      <c r="A531" s="23" t="str">
        <f>GRAL!G533</f>
        <v>OBRA</v>
      </c>
      <c r="B531" s="933" t="str">
        <f>GRAL!B533</f>
        <v>2018-2021</v>
      </c>
      <c r="C531" s="17">
        <f>OBRA!I531</f>
        <v>2021</v>
      </c>
      <c r="D531" s="18" t="str">
        <f>OBRA!K531</f>
        <v>CUENTA CORRIENTE</v>
      </c>
      <c r="E531" s="525"/>
      <c r="F531" s="390"/>
      <c r="G531" s="1"/>
      <c r="H531" s="390"/>
      <c r="I531" s="56" t="str">
        <f>OBRA!U531</f>
        <v>N/A</v>
      </c>
      <c r="J531" s="57" t="str">
        <f>OBRA!V531</f>
        <v>ING. LUIS RIGOBERTO OLMEDO NAVARRO</v>
      </c>
      <c r="K531" s="20"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2">
        <f>OBRA!S531</f>
        <v>44281</v>
      </c>
      <c r="T531" s="55"/>
      <c r="U531" s="415" t="s">
        <v>1431</v>
      </c>
      <c r="V531" s="341"/>
      <c r="W531" s="12"/>
      <c r="X531" s="306">
        <f>OBRA!AP531</f>
        <v>0</v>
      </c>
      <c r="Y531" s="341"/>
      <c r="Z531" s="341"/>
      <c r="AA531" s="5"/>
      <c r="AB531" s="351">
        <f>OBRA!BT531</f>
        <v>0</v>
      </c>
      <c r="AC531" s="569"/>
      <c r="AE531"/>
      <c r="AF531"/>
      <c r="AG531"/>
      <c r="AH531"/>
      <c r="AI531"/>
      <c r="AJ531"/>
      <c r="AK531"/>
      <c r="AL531"/>
    </row>
    <row r="532" spans="1:38" ht="15" hidden="1" customHeight="1">
      <c r="A532" s="23" t="str">
        <f>GRAL!G534</f>
        <v>OBRA</v>
      </c>
      <c r="B532" s="933" t="str">
        <f>GRAL!B534</f>
        <v>2018-2021</v>
      </c>
      <c r="C532" s="17">
        <f>OBRA!I532</f>
        <v>2021</v>
      </c>
      <c r="D532" s="18">
        <f>OBRA!K532</f>
        <v>0</v>
      </c>
      <c r="E532" s="525"/>
      <c r="F532" s="390"/>
      <c r="G532" s="1"/>
      <c r="H532" s="390"/>
      <c r="I532" s="56" t="str">
        <f>OBRA!U532</f>
        <v>N/A</v>
      </c>
      <c r="J532" s="57" t="str">
        <f>OBRA!V532</f>
        <v>DANIEL RODRIGUEZ</v>
      </c>
      <c r="K532" s="20" t="str">
        <f>OBRA!L532</f>
        <v>DOP/AD/006/2021</v>
      </c>
      <c r="L532" s="2" t="str">
        <f>OBRA!M532</f>
        <v>CANCELADA</v>
      </c>
      <c r="M532" s="3">
        <f>OBRA!N532</f>
        <v>0</v>
      </c>
      <c r="N532" s="3"/>
      <c r="O532" s="6">
        <f>OBRA!Q532</f>
        <v>0</v>
      </c>
      <c r="P532" s="4">
        <f>OBRA!P532</f>
        <v>0</v>
      </c>
      <c r="Q532" s="4"/>
      <c r="R532" s="5">
        <f>OBRA!R532</f>
        <v>0</v>
      </c>
      <c r="S532" s="12">
        <f>OBRA!S532</f>
        <v>0</v>
      </c>
      <c r="T532" s="55"/>
      <c r="U532" s="415" t="s">
        <v>1431</v>
      </c>
      <c r="V532" s="341"/>
      <c r="W532" s="12"/>
      <c r="X532" s="306">
        <f>OBRA!AP532</f>
        <v>0</v>
      </c>
      <c r="Y532" s="341"/>
      <c r="Z532" s="341"/>
      <c r="AA532" s="5"/>
      <c r="AB532" s="351">
        <f>OBRA!BT532</f>
        <v>0</v>
      </c>
      <c r="AC532" s="569"/>
      <c r="AE532"/>
      <c r="AF532"/>
      <c r="AG532"/>
      <c r="AH532"/>
      <c r="AI532"/>
      <c r="AJ532"/>
      <c r="AK532"/>
      <c r="AL532"/>
    </row>
    <row r="533" spans="1:38" ht="15" hidden="1" customHeight="1">
      <c r="A533" s="23" t="str">
        <f>GRAL!G535</f>
        <v>OBRA</v>
      </c>
      <c r="B533" s="933" t="str">
        <f>GRAL!B535</f>
        <v>2018-2021</v>
      </c>
      <c r="C533" s="17">
        <f>OBRA!I533</f>
        <v>2021</v>
      </c>
      <c r="D533" s="18" t="str">
        <f>OBRA!K533</f>
        <v>CUENTA CORRIENTE</v>
      </c>
      <c r="E533" s="525"/>
      <c r="F533" s="390"/>
      <c r="G533" s="1"/>
      <c r="H533" s="390"/>
      <c r="I533" s="56" t="str">
        <f>OBRA!U533</f>
        <v>N/A</v>
      </c>
      <c r="J533" s="57">
        <f>OBRA!V533</f>
        <v>0</v>
      </c>
      <c r="K533" s="20"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2">
        <f>OBRA!S533</f>
        <v>44281</v>
      </c>
      <c r="T533" s="55"/>
      <c r="U533" s="415" t="s">
        <v>1431</v>
      </c>
      <c r="V533" s="341"/>
      <c r="W533" s="12"/>
      <c r="X533" s="306">
        <f>OBRA!AP533</f>
        <v>0</v>
      </c>
      <c r="Y533" s="341"/>
      <c r="Z533" s="341"/>
      <c r="AA533" s="5"/>
      <c r="AB533" s="351">
        <f>OBRA!BT533</f>
        <v>0</v>
      </c>
      <c r="AC533" s="569"/>
      <c r="AE533"/>
      <c r="AF533"/>
      <c r="AG533"/>
      <c r="AH533"/>
      <c r="AI533"/>
      <c r="AJ533"/>
      <c r="AK533"/>
      <c r="AL533"/>
    </row>
    <row r="534" spans="1:38" ht="15" hidden="1" customHeight="1">
      <c r="A534" s="23" t="str">
        <f>GRAL!G536</f>
        <v>OBRA</v>
      </c>
      <c r="B534" s="933" t="str">
        <f>GRAL!B536</f>
        <v>2018-2021</v>
      </c>
      <c r="C534" s="17">
        <f>OBRA!I534</f>
        <v>2021</v>
      </c>
      <c r="D534" s="18" t="str">
        <f>OBRA!K534</f>
        <v>RAMO 33</v>
      </c>
      <c r="E534" s="525"/>
      <c r="F534" s="390"/>
      <c r="G534" s="1"/>
      <c r="H534" s="390"/>
      <c r="I534" s="56" t="str">
        <f>OBRA!U534</f>
        <v>N/A</v>
      </c>
      <c r="J534" s="57" t="str">
        <f>OBRA!V534</f>
        <v>DANIEL RODRIGUEZ</v>
      </c>
      <c r="K534" s="20"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2">
        <f>OBRA!S534</f>
        <v>44379</v>
      </c>
      <c r="T534" s="55"/>
      <c r="U534" s="415" t="s">
        <v>1431</v>
      </c>
      <c r="V534" s="341"/>
      <c r="W534" s="12"/>
      <c r="X534" s="306">
        <f>OBRA!AP534</f>
        <v>0</v>
      </c>
      <c r="Y534" s="341"/>
      <c r="Z534" s="341"/>
      <c r="AA534" s="5"/>
      <c r="AB534" s="351">
        <f>OBRA!BT534</f>
        <v>0</v>
      </c>
      <c r="AC534" s="569"/>
      <c r="AE534"/>
      <c r="AF534"/>
      <c r="AG534"/>
      <c r="AH534"/>
      <c r="AI534"/>
      <c r="AJ534"/>
      <c r="AK534"/>
      <c r="AL534"/>
    </row>
    <row r="535" spans="1:38" ht="15" hidden="1" customHeight="1">
      <c r="A535" s="23" t="str">
        <f>GRAL!G537</f>
        <v>OBRA</v>
      </c>
      <c r="B535" s="933" t="str">
        <f>GRAL!B537</f>
        <v>2018-2021</v>
      </c>
      <c r="C535" s="17">
        <f>OBRA!I535</f>
        <v>2021</v>
      </c>
      <c r="D535" s="18" t="str">
        <f>OBRA!K535</f>
        <v>CUENTA CORRIENTE</v>
      </c>
      <c r="E535" s="525"/>
      <c r="F535" s="390"/>
      <c r="G535" s="1"/>
      <c r="H535" s="390"/>
      <c r="I535" s="56" t="str">
        <f>OBRA!U535</f>
        <v>N/A</v>
      </c>
      <c r="J535" s="57" t="str">
        <f>OBRA!V535</f>
        <v>DANIEL RODRIGUEZ</v>
      </c>
      <c r="K535" s="20"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2">
        <f>OBRA!S535</f>
        <v>44383</v>
      </c>
      <c r="T535" s="55"/>
      <c r="U535" s="415" t="s">
        <v>1431</v>
      </c>
      <c r="V535" s="341"/>
      <c r="W535" s="12"/>
      <c r="X535" s="306">
        <f>OBRA!AP535</f>
        <v>0</v>
      </c>
      <c r="Y535" s="341"/>
      <c r="Z535" s="341"/>
      <c r="AA535" s="5"/>
      <c r="AB535" s="351">
        <f>OBRA!BT535</f>
        <v>0</v>
      </c>
      <c r="AC535" s="569"/>
      <c r="AE535"/>
      <c r="AF535"/>
      <c r="AG535"/>
      <c r="AH535"/>
      <c r="AI535"/>
      <c r="AJ535"/>
      <c r="AK535"/>
      <c r="AL535"/>
    </row>
    <row r="536" spans="1:38" ht="15" hidden="1" customHeight="1">
      <c r="A536" s="23" t="str">
        <f>GRAL!G539</f>
        <v>OBRA</v>
      </c>
      <c r="B536" s="933" t="str">
        <f>GRAL!B539</f>
        <v>2018-2021</v>
      </c>
      <c r="C536" s="17">
        <f>OBRA!I537</f>
        <v>2021</v>
      </c>
      <c r="D536" s="18" t="str">
        <f>OBRA!K537</f>
        <v>CUENTA CORRIENTE</v>
      </c>
      <c r="E536" s="525"/>
      <c r="F536" s="390"/>
      <c r="G536" s="1"/>
      <c r="H536" s="390"/>
      <c r="I536" s="56" t="str">
        <f>OBRA!U537</f>
        <v>N/A</v>
      </c>
      <c r="J536" s="57" t="str">
        <f>OBRA!V537</f>
        <v>ING. LUIS RIGOBERTO OLMEDO NAVARRO</v>
      </c>
      <c r="K536" s="20"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2">
        <f>OBRA!S537</f>
        <v>44257</v>
      </c>
      <c r="T536" s="55"/>
      <c r="U536" s="415" t="s">
        <v>1431</v>
      </c>
      <c r="V536" s="341"/>
      <c r="W536" s="12"/>
      <c r="X536" s="306">
        <f>OBRA!AP537</f>
        <v>0</v>
      </c>
      <c r="Y536" s="341"/>
      <c r="Z536" s="341"/>
      <c r="AA536" s="5"/>
      <c r="AB536" s="351">
        <f>OBRA!BT537</f>
        <v>0</v>
      </c>
      <c r="AC536" s="569"/>
      <c r="AE536"/>
      <c r="AF536"/>
      <c r="AG536"/>
      <c r="AH536"/>
      <c r="AI536"/>
      <c r="AJ536"/>
      <c r="AK536"/>
      <c r="AL536"/>
    </row>
    <row r="537" spans="1:38" ht="15" hidden="1" customHeight="1">
      <c r="A537" s="23" t="str">
        <f>GRAL!G540</f>
        <v>OBRA</v>
      </c>
      <c r="B537" s="933" t="str">
        <f>GRAL!B540</f>
        <v>2018-2021</v>
      </c>
      <c r="C537" s="17">
        <f>OBRA!I538</f>
        <v>2021</v>
      </c>
      <c r="D537" s="18" t="str">
        <f>OBRA!K538</f>
        <v>RASTRO DIGNO 2020</v>
      </c>
      <c r="E537" s="525"/>
      <c r="F537" s="390"/>
      <c r="G537" s="1"/>
      <c r="H537" s="390"/>
      <c r="I537" s="56" t="str">
        <f>OBRA!U538</f>
        <v>-</v>
      </c>
      <c r="J537" s="57" t="str">
        <f>OBRA!V538</f>
        <v>ARQ. JAIME CONDE GOMEZ</v>
      </c>
      <c r="K537" s="20"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2">
        <f>OBRA!S538</f>
        <v>44463</v>
      </c>
      <c r="T537" s="55"/>
      <c r="U537" s="415" t="s">
        <v>1431</v>
      </c>
      <c r="V537" s="341"/>
      <c r="W537" s="12"/>
      <c r="X537" s="306">
        <f>OBRA!AP538</f>
        <v>0</v>
      </c>
      <c r="Y537" s="341"/>
      <c r="Z537" s="341"/>
      <c r="AA537" s="5"/>
      <c r="AB537" s="351">
        <f>OBRA!BT538</f>
        <v>0</v>
      </c>
      <c r="AC537" s="569"/>
      <c r="AE537"/>
      <c r="AF537"/>
      <c r="AG537"/>
      <c r="AH537"/>
      <c r="AI537"/>
      <c r="AJ537"/>
      <c r="AK537"/>
      <c r="AL537"/>
    </row>
    <row r="538" spans="1:38" ht="15" hidden="1" customHeight="1">
      <c r="A538" s="23" t="str">
        <f>GRAL!G541</f>
        <v>OBRA</v>
      </c>
      <c r="B538" s="933" t="str">
        <f>GRAL!B541</f>
        <v>2018-2021</v>
      </c>
      <c r="C538" s="17">
        <f>OBRA!I539</f>
        <v>2021</v>
      </c>
      <c r="D538" s="18" t="str">
        <f>OBRA!K539</f>
        <v>CUENTA CORRIENTE</v>
      </c>
      <c r="E538" s="525" t="s">
        <v>1431</v>
      </c>
      <c r="F538" s="390" t="s">
        <v>1431</v>
      </c>
      <c r="G538" s="1" t="s">
        <v>1177</v>
      </c>
      <c r="H538" s="390" t="s">
        <v>1431</v>
      </c>
      <c r="I538" s="56" t="str">
        <f>OBRA!U539</f>
        <v>N/A</v>
      </c>
      <c r="J538" s="57" t="str">
        <f>OBRA!V539</f>
        <v>ING. J. GUADALUPE IBARRA RAMIREZ</v>
      </c>
      <c r="K538" s="20"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2">
        <f>OBRA!S539</f>
        <v>44469</v>
      </c>
      <c r="T538" s="55" t="s">
        <v>3859</v>
      </c>
      <c r="U538" s="415" t="s">
        <v>1431</v>
      </c>
      <c r="V538" s="341" t="s">
        <v>1431</v>
      </c>
      <c r="W538" s="12"/>
      <c r="X538" s="306">
        <f>OBRA!AP539</f>
        <v>0</v>
      </c>
      <c r="Y538" s="341"/>
      <c r="Z538" s="341"/>
      <c r="AA538" s="5"/>
      <c r="AB538" s="351">
        <f>OBRA!BT539</f>
        <v>0</v>
      </c>
      <c r="AC538" s="569"/>
      <c r="AE538"/>
      <c r="AF538"/>
      <c r="AG538"/>
      <c r="AH538"/>
      <c r="AI538"/>
      <c r="AJ538"/>
      <c r="AK538"/>
      <c r="AL538"/>
    </row>
    <row r="539" spans="1:38" ht="15" hidden="1" customHeight="1">
      <c r="A539" s="23" t="str">
        <f>GRAL!G542</f>
        <v>OBRA</v>
      </c>
      <c r="B539" s="933" t="str">
        <f>GRAL!B542</f>
        <v>2018-2021</v>
      </c>
      <c r="C539" s="17">
        <f>OBRA!I540</f>
        <v>2021</v>
      </c>
      <c r="D539" s="18" t="str">
        <f>OBRA!K540</f>
        <v>EMP P/LA REACTIVACIÓN ECONÓMICA EN MPIOS</v>
      </c>
      <c r="E539" s="525" t="s">
        <v>1431</v>
      </c>
      <c r="F539" s="390" t="s">
        <v>1431</v>
      </c>
      <c r="G539" s="1" t="s">
        <v>1177</v>
      </c>
      <c r="H539" s="390" t="s">
        <v>1431</v>
      </c>
      <c r="I539" s="56" t="str">
        <f>OBRA!U540</f>
        <v>N/A</v>
      </c>
      <c r="J539" s="57" t="str">
        <f>OBRA!V540</f>
        <v>DANIEL RODRIGUEZ</v>
      </c>
      <c r="K539" s="20"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2">
        <f>OBRA!S540</f>
        <v>44464</v>
      </c>
      <c r="T539" s="55" t="s">
        <v>3859</v>
      </c>
      <c r="U539" s="415" t="s">
        <v>1431</v>
      </c>
      <c r="V539" s="341" t="s">
        <v>1431</v>
      </c>
      <c r="W539" s="12"/>
      <c r="X539" s="306">
        <f>OBRA!AP540</f>
        <v>0</v>
      </c>
      <c r="Y539" s="341"/>
      <c r="Z539" s="341"/>
      <c r="AA539" s="5"/>
      <c r="AB539" s="351">
        <f>OBRA!BT540</f>
        <v>0</v>
      </c>
      <c r="AC539" s="569"/>
      <c r="AE539"/>
      <c r="AF539"/>
      <c r="AG539"/>
      <c r="AH539"/>
      <c r="AI539"/>
      <c r="AJ539"/>
      <c r="AK539"/>
      <c r="AL539"/>
    </row>
    <row r="540" spans="1:38" ht="15" hidden="1" customHeight="1">
      <c r="A540" s="23" t="str">
        <f>GRAL!G543</f>
        <v>OBRA</v>
      </c>
      <c r="B540" s="933" t="str">
        <f>GRAL!B543</f>
        <v>2018-2021</v>
      </c>
      <c r="C540" s="17">
        <f>OBRA!I541</f>
        <v>2021</v>
      </c>
      <c r="D540" s="18" t="str">
        <f>OBRA!K541</f>
        <v>EMP P/LA REACTIVACIÓN ECONÓMICA EN MPIOS</v>
      </c>
      <c r="E540" s="525" t="s">
        <v>1431</v>
      </c>
      <c r="F540" s="390" t="s">
        <v>1431</v>
      </c>
      <c r="G540" s="1" t="s">
        <v>1177</v>
      </c>
      <c r="H540" s="390" t="s">
        <v>1431</v>
      </c>
      <c r="I540" s="56" t="str">
        <f>OBRA!U541</f>
        <v>N/A</v>
      </c>
      <c r="J540" s="57" t="str">
        <f>OBRA!V541</f>
        <v>DANIEL RODRIGUEZ</v>
      </c>
      <c r="K540" s="20"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2">
        <f>OBRA!S541</f>
        <v>44452</v>
      </c>
      <c r="T540" s="55" t="s">
        <v>3859</v>
      </c>
      <c r="U540" s="415" t="s">
        <v>1431</v>
      </c>
      <c r="V540" s="341" t="s">
        <v>1431</v>
      </c>
      <c r="W540" s="12"/>
      <c r="X540" s="306">
        <f>OBRA!AP541</f>
        <v>0</v>
      </c>
      <c r="Y540" s="341"/>
      <c r="Z540" s="341"/>
      <c r="AA540" s="5"/>
      <c r="AB540" s="351">
        <f>OBRA!BT541</f>
        <v>0</v>
      </c>
      <c r="AC540" s="569"/>
      <c r="AE540"/>
      <c r="AF540"/>
      <c r="AG540"/>
      <c r="AH540"/>
      <c r="AI540"/>
      <c r="AJ540"/>
      <c r="AK540"/>
      <c r="AL540"/>
    </row>
    <row r="541" spans="1:38" ht="15" hidden="1" customHeight="1">
      <c r="A541" s="23" t="str">
        <f>GRAL!G544</f>
        <v>OBRA</v>
      </c>
      <c r="B541" s="933" t="str">
        <f>GRAL!B544</f>
        <v>2018-2021</v>
      </c>
      <c r="C541" s="17">
        <f>OBRA!I542</f>
        <v>2021</v>
      </c>
      <c r="D541" s="18" t="str">
        <f>OBRA!K542</f>
        <v>EMP P/LA REACTIVACIÓN ECONÓMICA EN MPIOS</v>
      </c>
      <c r="E541" s="525" t="s">
        <v>1431</v>
      </c>
      <c r="F541" s="390" t="s">
        <v>1431</v>
      </c>
      <c r="G541" s="1" t="s">
        <v>1177</v>
      </c>
      <c r="H541" s="390" t="s">
        <v>1431</v>
      </c>
      <c r="I541" s="56" t="str">
        <f>OBRA!U542</f>
        <v>N/A</v>
      </c>
      <c r="J541" s="57" t="str">
        <f>OBRA!V542</f>
        <v>DANIEL RODRIGUEZ</v>
      </c>
      <c r="K541" s="20"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2">
        <f>OBRA!S542</f>
        <v>44541</v>
      </c>
      <c r="T541" s="55" t="s">
        <v>3859</v>
      </c>
      <c r="U541" s="415" t="s">
        <v>1431</v>
      </c>
      <c r="V541" s="341" t="s">
        <v>1431</v>
      </c>
      <c r="W541" s="12"/>
      <c r="X541" s="306">
        <f>OBRA!AP542</f>
        <v>0</v>
      </c>
      <c r="Y541" s="341"/>
      <c r="Z541" s="341"/>
      <c r="AA541" s="5"/>
      <c r="AB541" s="351">
        <f>OBRA!BT542</f>
        <v>0</v>
      </c>
      <c r="AC541" s="569"/>
      <c r="AE541"/>
      <c r="AF541"/>
      <c r="AG541"/>
      <c r="AH541"/>
      <c r="AI541"/>
      <c r="AJ541"/>
      <c r="AK541"/>
      <c r="AL541"/>
    </row>
    <row r="542" spans="1:38" ht="15" hidden="1" customHeight="1">
      <c r="A542" s="23" t="str">
        <f>GRAL!G545</f>
        <v>OBRA</v>
      </c>
      <c r="B542" s="933" t="str">
        <f>GRAL!B545</f>
        <v>2018-2021</v>
      </c>
      <c r="C542" s="17">
        <f>OBRA!I543</f>
        <v>2021</v>
      </c>
      <c r="D542" s="18" t="str">
        <f>OBRA!K543</f>
        <v>EMP P/LA REACTIVACIÓN ECONÓMICA EN MPIOS</v>
      </c>
      <c r="E542" s="525" t="s">
        <v>1431</v>
      </c>
      <c r="F542" s="390" t="s">
        <v>1431</v>
      </c>
      <c r="G542" s="1" t="s">
        <v>1177</v>
      </c>
      <c r="H542" s="390" t="s">
        <v>1431</v>
      </c>
      <c r="I542" s="56" t="str">
        <f>OBRA!U543</f>
        <v>N/A</v>
      </c>
      <c r="J542" s="57" t="str">
        <f>OBRA!V543</f>
        <v>DANIEL RODRIGUEZ</v>
      </c>
      <c r="K542" s="20"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2">
        <f>OBRA!S543</f>
        <v>44492</v>
      </c>
      <c r="T542" s="55" t="s">
        <v>3859</v>
      </c>
      <c r="U542" s="415" t="s">
        <v>1431</v>
      </c>
      <c r="V542" s="341" t="s">
        <v>1431</v>
      </c>
      <c r="W542" s="12"/>
      <c r="X542" s="306">
        <f>OBRA!AP543</f>
        <v>0</v>
      </c>
      <c r="Y542" s="341"/>
      <c r="Z542" s="341"/>
      <c r="AA542" s="5"/>
      <c r="AB542" s="351">
        <f>OBRA!BT543</f>
        <v>0</v>
      </c>
      <c r="AC542" s="569"/>
      <c r="AE542"/>
      <c r="AF542"/>
      <c r="AG542"/>
      <c r="AH542"/>
      <c r="AI542"/>
      <c r="AJ542"/>
      <c r="AK542"/>
      <c r="AL542"/>
    </row>
    <row r="543" spans="1:38" ht="15" hidden="1" customHeight="1">
      <c r="A543" s="23" t="str">
        <f>GRAL!G546</f>
        <v>OBRA</v>
      </c>
      <c r="B543" s="933" t="str">
        <f>GRAL!B546</f>
        <v>2018-2021</v>
      </c>
      <c r="C543" s="17">
        <f>OBRA!I544</f>
        <v>2021</v>
      </c>
      <c r="D543" s="18" t="str">
        <f>OBRA!K544</f>
        <v>EMP P/LA REACTIVACIÓN ECONÓMICA EN MPIOS</v>
      </c>
      <c r="E543" s="525" t="s">
        <v>1431</v>
      </c>
      <c r="F543" s="390" t="s">
        <v>1431</v>
      </c>
      <c r="G543" s="1" t="s">
        <v>1177</v>
      </c>
      <c r="H543" s="390" t="s">
        <v>1431</v>
      </c>
      <c r="I543" s="56" t="str">
        <f>OBRA!U544</f>
        <v>N/A</v>
      </c>
      <c r="J543" s="57" t="str">
        <f>OBRA!V544</f>
        <v>DANIEL RODRIGUEZ</v>
      </c>
      <c r="K543" s="20"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2">
        <f>OBRA!S544</f>
        <v>44541</v>
      </c>
      <c r="T543" s="55" t="s">
        <v>3859</v>
      </c>
      <c r="U543" s="415" t="s">
        <v>1431</v>
      </c>
      <c r="V543" s="341" t="s">
        <v>1431</v>
      </c>
      <c r="W543" s="12"/>
      <c r="X543" s="306">
        <f>OBRA!AP544</f>
        <v>0</v>
      </c>
      <c r="Y543" s="341"/>
      <c r="Z543" s="341"/>
      <c r="AA543" s="5"/>
      <c r="AB543" s="351">
        <f>OBRA!BT544</f>
        <v>0</v>
      </c>
      <c r="AC543" s="569"/>
      <c r="AE543"/>
      <c r="AF543"/>
      <c r="AG543"/>
      <c r="AH543"/>
      <c r="AI543"/>
      <c r="AJ543"/>
      <c r="AK543"/>
      <c r="AL543"/>
    </row>
    <row r="544" spans="1:38" ht="15" hidden="1" customHeight="1">
      <c r="A544" s="23" t="str">
        <f>GRAL!G547</f>
        <v>OBRA</v>
      </c>
      <c r="B544" s="933" t="str">
        <f>GRAL!B547</f>
        <v>2018-2021</v>
      </c>
      <c r="C544" s="17">
        <f>OBRA!I545</f>
        <v>2021</v>
      </c>
      <c r="D544" s="18" t="str">
        <f>OBRA!K545</f>
        <v>EMP P/LA REACTIVACIÓN ECONÓMICA EN MPIOS</v>
      </c>
      <c r="E544" s="525" t="s">
        <v>1431</v>
      </c>
      <c r="F544" s="390" t="s">
        <v>1431</v>
      </c>
      <c r="G544" s="1" t="s">
        <v>1177</v>
      </c>
      <c r="H544" s="390" t="s">
        <v>1431</v>
      </c>
      <c r="I544" s="56" t="str">
        <f>OBRA!U545</f>
        <v>N/A</v>
      </c>
      <c r="J544" s="57" t="str">
        <f>OBRA!V545</f>
        <v>DANIEL RODRIGUEZ</v>
      </c>
      <c r="K544" s="20"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2">
        <f>OBRA!S545</f>
        <v>44541</v>
      </c>
      <c r="T544" s="55" t="s">
        <v>3859</v>
      </c>
      <c r="U544" s="415" t="s">
        <v>1431</v>
      </c>
      <c r="V544" s="341" t="s">
        <v>1431</v>
      </c>
      <c r="W544" s="12"/>
      <c r="X544" s="306">
        <f>OBRA!AP545</f>
        <v>0</v>
      </c>
      <c r="Y544" s="341"/>
      <c r="Z544" s="341"/>
      <c r="AA544" s="5"/>
      <c r="AB544" s="351">
        <f>OBRA!BT545</f>
        <v>0</v>
      </c>
      <c r="AC544" s="569"/>
      <c r="AE544"/>
      <c r="AF544"/>
      <c r="AG544"/>
      <c r="AH544"/>
      <c r="AI544"/>
      <c r="AJ544"/>
      <c r="AK544"/>
      <c r="AL544"/>
    </row>
    <row r="545" spans="1:38" ht="15" hidden="1" customHeight="1">
      <c r="A545" s="23">
        <f>GRAL!G548</f>
        <v>0</v>
      </c>
      <c r="B545" s="933" t="str">
        <f>GRAL!B548</f>
        <v>2018-2021</v>
      </c>
      <c r="C545" s="17">
        <f>OBRA!I546</f>
        <v>2021</v>
      </c>
      <c r="D545" s="18">
        <f>OBRA!K546</f>
        <v>0</v>
      </c>
      <c r="E545" s="525" t="s">
        <v>1431</v>
      </c>
      <c r="F545" s="390" t="s">
        <v>1431</v>
      </c>
      <c r="G545" s="1" t="s">
        <v>1177</v>
      </c>
      <c r="H545" s="390" t="s">
        <v>1431</v>
      </c>
      <c r="I545" s="56">
        <f>OBRA!U546</f>
        <v>0</v>
      </c>
      <c r="J545" s="57">
        <f>OBRA!V546</f>
        <v>0</v>
      </c>
      <c r="K545" s="20" t="str">
        <f>OBRA!L546</f>
        <v>DOP/AD/020/2021</v>
      </c>
      <c r="L545" s="2" t="str">
        <f>OBRA!M546</f>
        <v>CANCELADA</v>
      </c>
      <c r="M545" s="3">
        <f>OBRA!N546</f>
        <v>0</v>
      </c>
      <c r="N545" s="3"/>
      <c r="O545" s="6">
        <f>OBRA!Q546</f>
        <v>0</v>
      </c>
      <c r="P545" s="4">
        <f>OBRA!P546</f>
        <v>0</v>
      </c>
      <c r="Q545" s="4"/>
      <c r="R545" s="5">
        <f>OBRA!R546</f>
        <v>0</v>
      </c>
      <c r="S545" s="12">
        <f>OBRA!S546</f>
        <v>0</v>
      </c>
      <c r="T545" s="55" t="s">
        <v>3859</v>
      </c>
      <c r="U545" s="415" t="s">
        <v>1431</v>
      </c>
      <c r="V545" s="341" t="s">
        <v>1431</v>
      </c>
      <c r="W545" s="12"/>
      <c r="X545" s="306">
        <f>OBRA!AP546</f>
        <v>0</v>
      </c>
      <c r="Y545" s="341"/>
      <c r="Z545" s="341"/>
      <c r="AA545" s="5"/>
      <c r="AB545" s="351">
        <f>OBRA!BT546</f>
        <v>0</v>
      </c>
      <c r="AC545" s="569"/>
      <c r="AE545"/>
      <c r="AF545"/>
      <c r="AG545"/>
      <c r="AH545"/>
      <c r="AI545"/>
      <c r="AJ545"/>
      <c r="AK545"/>
      <c r="AL545"/>
    </row>
    <row r="546" spans="1:38" ht="121.5" hidden="1" customHeight="1">
      <c r="A546" s="23" t="str">
        <f>GRAL!G549</f>
        <v>SERVICIO</v>
      </c>
      <c r="B546" s="933" t="str">
        <f>GRAL!B549</f>
        <v>2018-2021</v>
      </c>
      <c r="C546" s="17">
        <f>OBRA!I547</f>
        <v>2021</v>
      </c>
      <c r="D546" s="18" t="str">
        <f>OBRA!K547</f>
        <v>CUENTA CORRIENTE</v>
      </c>
      <c r="E546" s="525" t="s">
        <v>1431</v>
      </c>
      <c r="F546" s="1541" t="s">
        <v>1431</v>
      </c>
      <c r="G546" s="1" t="s">
        <v>1177</v>
      </c>
      <c r="H546" s="390" t="s">
        <v>1431</v>
      </c>
      <c r="I546" s="56" t="str">
        <f>OBRA!U547</f>
        <v>URIEL PALOS CUEVAS</v>
      </c>
      <c r="J546" s="57" t="str">
        <f>OBRA!V547</f>
        <v>DANIEL RODRIGUEZ</v>
      </c>
      <c r="K546" s="20" t="str">
        <f>OBRA!L547</f>
        <v>C- OP 001/2021</v>
      </c>
      <c r="L546" s="2" t="str">
        <f>OBRA!M547</f>
        <v>ARRENDAMIENTO</v>
      </c>
      <c r="M546" s="3" t="str">
        <f>OBRA!N547</f>
        <v>RENTA DE CAMIÓN DE VOLTEO MARCA FREIGHTLINER DE 14 M3, PARA SER UTILIZADO EN EL MÓDULO DE MAQUINARÍA DEL MUNICIPIO DE JOCOTEPEC, JALISCO.</v>
      </c>
      <c r="N546" s="554" t="s">
        <v>3861</v>
      </c>
      <c r="O546" s="6">
        <f>OBRA!Q547</f>
        <v>44204</v>
      </c>
      <c r="P546" s="4">
        <f>OBRA!P547</f>
        <v>45000</v>
      </c>
      <c r="Q546" s="4" t="s">
        <v>3999</v>
      </c>
      <c r="R546" s="5">
        <f>OBRA!R547</f>
        <v>44208</v>
      </c>
      <c r="S546" s="12">
        <f>OBRA!S547</f>
        <v>44298</v>
      </c>
      <c r="T546" s="227" t="s">
        <v>5756</v>
      </c>
      <c r="U546" s="415" t="s">
        <v>1431</v>
      </c>
      <c r="V546" s="344" t="s">
        <v>1431</v>
      </c>
      <c r="W546" s="12" t="s">
        <v>1431</v>
      </c>
      <c r="X546" s="1409">
        <f>OBRA!AP547</f>
        <v>0</v>
      </c>
      <c r="Y546" s="341"/>
      <c r="Z546" s="341"/>
      <c r="AA546" s="5"/>
      <c r="AB546" s="351">
        <f>OBRA!BT547</f>
        <v>0</v>
      </c>
      <c r="AC546" s="569"/>
      <c r="AE546"/>
      <c r="AF546"/>
      <c r="AG546"/>
      <c r="AH546"/>
      <c r="AI546"/>
      <c r="AJ546"/>
      <c r="AK546"/>
      <c r="AL546"/>
    </row>
    <row r="547" spans="1:38" ht="91.5" hidden="1" customHeight="1">
      <c r="A547" s="23" t="str">
        <f>GRAL!G550</f>
        <v>SERVICIO</v>
      </c>
      <c r="B547" s="933" t="str">
        <f>GRAL!B550</f>
        <v>2018-2021</v>
      </c>
      <c r="C547" s="17">
        <f>OBRA!I548</f>
        <v>2021</v>
      </c>
      <c r="D547" s="18" t="str">
        <f>OBRA!K548</f>
        <v>CUENTA CORRIENTE</v>
      </c>
      <c r="E547" s="525" t="s">
        <v>1431</v>
      </c>
      <c r="F547" s="1541" t="s">
        <v>1431</v>
      </c>
      <c r="G547" s="1" t="s">
        <v>1177</v>
      </c>
      <c r="H547" s="390" t="s">
        <v>1431</v>
      </c>
      <c r="I547" s="56" t="str">
        <f>OBRA!U548</f>
        <v>GRUPO ARANGE, S.A. DE C.V.</v>
      </c>
      <c r="J547" s="57" t="str">
        <f>OBRA!V548</f>
        <v>DANIEL RODRIGUEZ</v>
      </c>
      <c r="K547" s="20" t="str">
        <f>OBRA!L548</f>
        <v>C- OP 002/2021</v>
      </c>
      <c r="L547" s="2" t="str">
        <f>OBRA!M548</f>
        <v>ARRENDAMIENTO</v>
      </c>
      <c r="M547" s="3" t="str">
        <f>OBRA!N548</f>
        <v>RENTA DE RETROEXCAVADORA MARCA JOHN DEERE MOD 310SJ, PARA SER UTILIZADA EN LIMPIEZA DE CALLES DEL PROGRAMA SADER 2021 DEL MUNICIPIO DE JOCOTEPEC, JALISCO.</v>
      </c>
      <c r="N547" s="554" t="s">
        <v>3861</v>
      </c>
      <c r="O547" s="6">
        <f>OBRA!Q548</f>
        <v>44224</v>
      </c>
      <c r="P547" s="4">
        <f>OBRA!P548</f>
        <v>64960</v>
      </c>
      <c r="Q547" s="4" t="s">
        <v>3999</v>
      </c>
      <c r="R547" s="5">
        <f>OBRA!R548</f>
        <v>44228</v>
      </c>
      <c r="S547" s="12">
        <f>OBRA!S548</f>
        <v>44255</v>
      </c>
      <c r="T547" s="227" t="s">
        <v>5756</v>
      </c>
      <c r="U547" s="415" t="s">
        <v>1431</v>
      </c>
      <c r="V547" s="341"/>
      <c r="W547" s="12" t="s">
        <v>1431</v>
      </c>
      <c r="X547" s="1409">
        <f>OBRA!AP548</f>
        <v>0</v>
      </c>
      <c r="Y547" s="341"/>
      <c r="Z547" s="341"/>
      <c r="AA547" s="5"/>
      <c r="AB547" s="351">
        <f>OBRA!BT548</f>
        <v>0</v>
      </c>
      <c r="AC547" s="569"/>
      <c r="AE547"/>
      <c r="AF547"/>
      <c r="AG547"/>
      <c r="AH547"/>
      <c r="AI547"/>
      <c r="AJ547"/>
      <c r="AK547"/>
      <c r="AL547"/>
    </row>
    <row r="548" spans="1:38" ht="88.5" hidden="1" customHeight="1">
      <c r="A548" s="23" t="str">
        <f>GRAL!G551</f>
        <v>SERVICIO</v>
      </c>
      <c r="B548" s="933" t="str">
        <f>GRAL!B551</f>
        <v>2018-2021</v>
      </c>
      <c r="C548" s="17">
        <f>OBRA!I549</f>
        <v>2021</v>
      </c>
      <c r="D548" s="18" t="str">
        <f>OBRA!K549</f>
        <v>CUENTA CORRIENTE</v>
      </c>
      <c r="E548" s="525" t="s">
        <v>1431</v>
      </c>
      <c r="F548" s="1541" t="s">
        <v>1431</v>
      </c>
      <c r="G548" s="1" t="s">
        <v>1177</v>
      </c>
      <c r="H548" s="390" t="s">
        <v>1431</v>
      </c>
      <c r="I548" s="56">
        <f>OBRA!U549</f>
        <v>0</v>
      </c>
      <c r="J548" s="1279">
        <f>OBRA!V549</f>
        <v>0</v>
      </c>
      <c r="K548" s="20" t="str">
        <f>OBRA!L549</f>
        <v>C- OP 003/2021</v>
      </c>
      <c r="L548" s="2" t="str">
        <f>OBRA!M549</f>
        <v>ARRENDAMIENTO (CANCELADO)</v>
      </c>
      <c r="M548" s="3">
        <f>OBRA!N549</f>
        <v>0</v>
      </c>
      <c r="N548" s="597"/>
      <c r="O548" s="6">
        <f>OBRA!Q549</f>
        <v>0</v>
      </c>
      <c r="P548" s="4">
        <f>OBRA!P549</f>
        <v>0</v>
      </c>
      <c r="Q548" s="4"/>
      <c r="R548" s="5">
        <f>OBRA!R549</f>
        <v>0</v>
      </c>
      <c r="S548" s="12">
        <f>OBRA!S549</f>
        <v>0</v>
      </c>
      <c r="T548" s="227" t="s">
        <v>3859</v>
      </c>
      <c r="U548" s="415" t="s">
        <v>1431</v>
      </c>
      <c r="V548" s="344" t="s">
        <v>1431</v>
      </c>
      <c r="W548" s="559"/>
      <c r="X548" s="1409">
        <f>OBRA!AP549</f>
        <v>0</v>
      </c>
      <c r="Y548" s="341"/>
      <c r="Z548" s="341"/>
      <c r="AA548" s="5"/>
      <c r="AB548" s="351">
        <f>OBRA!BT549</f>
        <v>0</v>
      </c>
      <c r="AC548" s="569"/>
      <c r="AE548"/>
      <c r="AF548"/>
      <c r="AG548"/>
      <c r="AH548"/>
      <c r="AI548"/>
      <c r="AJ548"/>
      <c r="AK548"/>
      <c r="AL548"/>
    </row>
    <row r="549" spans="1:38" ht="150.75" hidden="1" customHeight="1">
      <c r="A549" s="23" t="str">
        <f>GRAL!G552</f>
        <v>SERVICIO</v>
      </c>
      <c r="B549" s="933" t="str">
        <f>GRAL!B552</f>
        <v>2018-2021</v>
      </c>
      <c r="C549" s="17">
        <f>OBRA!I550</f>
        <v>2021</v>
      </c>
      <c r="D549" s="18" t="str">
        <f>OBRA!K550</f>
        <v>CUENTA CORRIENTE</v>
      </c>
      <c r="E549" s="525" t="s">
        <v>1431</v>
      </c>
      <c r="F549" s="1541" t="s">
        <v>1431</v>
      </c>
      <c r="G549" s="1" t="s">
        <v>1177</v>
      </c>
      <c r="H549" s="390" t="s">
        <v>1431</v>
      </c>
      <c r="I549" s="56" t="str">
        <f>OBRA!U550</f>
        <v>ING. SERGIO CABRERA</v>
      </c>
      <c r="J549" s="172" t="str">
        <f>OBRA!V550</f>
        <v>LIC. SALVADOR CONTRERAS OLGUÍN</v>
      </c>
      <c r="K549" s="20"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54" t="s">
        <v>3861</v>
      </c>
      <c r="O549" s="6">
        <f>OBRA!Q550</f>
        <v>44227</v>
      </c>
      <c r="P549" s="4">
        <f>OBRA!P550</f>
        <v>580</v>
      </c>
      <c r="Q549" s="4" t="s">
        <v>2328</v>
      </c>
      <c r="R549" s="5" t="str">
        <f>OBRA!R550</f>
        <v>-</v>
      </c>
      <c r="S549" s="12" t="str">
        <f>OBRA!S550</f>
        <v>-</v>
      </c>
      <c r="T549" s="227" t="s">
        <v>5756</v>
      </c>
      <c r="U549" s="415" t="s">
        <v>1431</v>
      </c>
      <c r="V549" s="344" t="s">
        <v>1431</v>
      </c>
      <c r="W549" s="12" t="s">
        <v>1431</v>
      </c>
      <c r="X549" s="1409">
        <f>OBRA!AP550</f>
        <v>0</v>
      </c>
      <c r="Y549" s="341"/>
      <c r="Z549" s="341"/>
      <c r="AA549" s="5"/>
      <c r="AB549" s="351">
        <f>OBRA!BT550</f>
        <v>0</v>
      </c>
      <c r="AC549" s="569"/>
      <c r="AE549"/>
      <c r="AF549"/>
      <c r="AG549"/>
      <c r="AH549"/>
      <c r="AI549"/>
      <c r="AJ549"/>
      <c r="AK549"/>
      <c r="AL549"/>
    </row>
    <row r="550" spans="1:38" ht="90" hidden="1" customHeight="1">
      <c r="A550" s="23" t="str">
        <f>GRAL!G553</f>
        <v>SERVICIO</v>
      </c>
      <c r="B550" s="933" t="str">
        <f>GRAL!B553</f>
        <v>2018-2021</v>
      </c>
      <c r="C550" s="17">
        <f>OBRA!I551</f>
        <v>2021</v>
      </c>
      <c r="D550" s="18" t="str">
        <f>OBRA!K551</f>
        <v>CUENTA CORRIENTE</v>
      </c>
      <c r="E550" s="525" t="s">
        <v>1431</v>
      </c>
      <c r="F550" s="1541" t="s">
        <v>1431</v>
      </c>
      <c r="G550" s="1" t="s">
        <v>1177</v>
      </c>
      <c r="H550" s="390" t="s">
        <v>1431</v>
      </c>
      <c r="I550" s="56" t="str">
        <f>OBRA!U551</f>
        <v>ING. SERGIO CABRERA</v>
      </c>
      <c r="J550" s="172" t="str">
        <f>OBRA!V551</f>
        <v>LIC. SALVADOR CONTRERAS OLGUÍN</v>
      </c>
      <c r="K550" s="20"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54" t="s">
        <v>3861</v>
      </c>
      <c r="O550" s="6">
        <f>OBRA!Q551</f>
        <v>44227</v>
      </c>
      <c r="P550" s="4">
        <f>OBRA!P551</f>
        <v>696</v>
      </c>
      <c r="Q550" s="4" t="s">
        <v>2498</v>
      </c>
      <c r="R550" s="5" t="str">
        <f>OBRA!R551</f>
        <v>-</v>
      </c>
      <c r="S550" s="12" t="str">
        <f>OBRA!S551</f>
        <v>-</v>
      </c>
      <c r="T550" s="227" t="s">
        <v>5756</v>
      </c>
      <c r="U550" s="415" t="s">
        <v>1431</v>
      </c>
      <c r="V550" s="344" t="s">
        <v>1431</v>
      </c>
      <c r="W550" s="12" t="s">
        <v>1431</v>
      </c>
      <c r="X550" s="1409">
        <f>OBRA!AP551</f>
        <v>0</v>
      </c>
      <c r="Y550" s="341"/>
      <c r="Z550" s="341"/>
      <c r="AA550" s="5"/>
      <c r="AB550" s="351">
        <f>OBRA!BT551</f>
        <v>0</v>
      </c>
      <c r="AC550" s="569"/>
      <c r="AE550"/>
      <c r="AF550"/>
      <c r="AG550"/>
      <c r="AH550"/>
      <c r="AI550"/>
      <c r="AJ550"/>
      <c r="AK550"/>
      <c r="AL550"/>
    </row>
    <row r="551" spans="1:38" ht="90" hidden="1" customHeight="1">
      <c r="A551" s="23" t="str">
        <f>GRAL!G554</f>
        <v>SERVICIO</v>
      </c>
      <c r="B551" s="933" t="str">
        <f>GRAL!B554</f>
        <v>2018-2021</v>
      </c>
      <c r="C551" s="17">
        <f>OBRA!I552</f>
        <v>2021</v>
      </c>
      <c r="D551" s="18" t="str">
        <f>OBRA!K552</f>
        <v>CUENTA CORRIENTE</v>
      </c>
      <c r="E551" s="525" t="s">
        <v>1431</v>
      </c>
      <c r="F551" s="1541" t="s">
        <v>1431</v>
      </c>
      <c r="G551" s="1" t="s">
        <v>1177</v>
      </c>
      <c r="H551" s="390" t="s">
        <v>1431</v>
      </c>
      <c r="I551" s="56" t="str">
        <f>OBRA!U552</f>
        <v xml:space="preserve">SEBASTIAN MARQUEZ RAMOS </v>
      </c>
      <c r="J551" s="172" t="str">
        <f>OBRA!V552</f>
        <v>DANIEL RODRIGUEZ</v>
      </c>
      <c r="K551" s="20"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54" t="s">
        <v>3861</v>
      </c>
      <c r="O551" s="6">
        <f>OBRA!Q552</f>
        <v>44263</v>
      </c>
      <c r="P551" s="4">
        <f>OBRA!P552</f>
        <v>23200</v>
      </c>
      <c r="Q551" s="4" t="s">
        <v>3999</v>
      </c>
      <c r="R551" s="5" t="str">
        <f>OBRA!R552</f>
        <v>-</v>
      </c>
      <c r="S551" s="12" t="str">
        <f>OBRA!S552</f>
        <v>-</v>
      </c>
      <c r="T551" s="227" t="s">
        <v>5756</v>
      </c>
      <c r="U551" s="415" t="s">
        <v>1431</v>
      </c>
      <c r="V551" s="344" t="s">
        <v>1431</v>
      </c>
      <c r="W551" s="12" t="s">
        <v>1431</v>
      </c>
      <c r="X551" s="1409">
        <f>OBRA!AP552</f>
        <v>0</v>
      </c>
      <c r="Y551" s="341"/>
      <c r="Z551" s="341"/>
      <c r="AA551" s="5"/>
      <c r="AB551" s="351">
        <f>OBRA!BT552</f>
        <v>0</v>
      </c>
      <c r="AC551" s="569"/>
      <c r="AE551"/>
      <c r="AF551"/>
      <c r="AG551"/>
      <c r="AH551"/>
      <c r="AI551"/>
      <c r="AJ551"/>
      <c r="AK551"/>
      <c r="AL551"/>
    </row>
    <row r="552" spans="1:38" ht="90" hidden="1" customHeight="1">
      <c r="A552" s="23" t="str">
        <f>GRAL!G555</f>
        <v>SERVICIO</v>
      </c>
      <c r="B552" s="933" t="str">
        <f>GRAL!B555</f>
        <v>2018-2021</v>
      </c>
      <c r="C552" s="17">
        <f>OBRA!I553</f>
        <v>2021</v>
      </c>
      <c r="D552" s="18" t="str">
        <f>OBRA!K553</f>
        <v>CUENTA CORRIENTE</v>
      </c>
      <c r="E552" s="525" t="s">
        <v>1431</v>
      </c>
      <c r="F552" s="1541" t="s">
        <v>1431</v>
      </c>
      <c r="G552" s="1" t="s">
        <v>1177</v>
      </c>
      <c r="H552" s="390" t="s">
        <v>1431</v>
      </c>
      <c r="I552" s="56" t="str">
        <f>OBRA!U553</f>
        <v>GRUPO ARANGE, S.A. DE C.V.</v>
      </c>
      <c r="J552" s="172" t="str">
        <f>OBRA!V553</f>
        <v>DANIEL RODRIGUEZ</v>
      </c>
      <c r="K552" s="20"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54" t="s">
        <v>3861</v>
      </c>
      <c r="O552" s="6">
        <f>OBRA!Q553</f>
        <v>44263</v>
      </c>
      <c r="P552" s="4">
        <f>OBRA!P553</f>
        <v>23200</v>
      </c>
      <c r="Q552" s="4" t="s">
        <v>3999</v>
      </c>
      <c r="R552" s="5" t="str">
        <f>OBRA!R553</f>
        <v>-</v>
      </c>
      <c r="S552" s="12" t="str">
        <f>OBRA!S553</f>
        <v>-</v>
      </c>
      <c r="T552" s="227" t="s">
        <v>5756</v>
      </c>
      <c r="U552" s="415" t="s">
        <v>1431</v>
      </c>
      <c r="V552" s="344" t="s">
        <v>1431</v>
      </c>
      <c r="W552" s="12" t="s">
        <v>1431</v>
      </c>
      <c r="X552" s="1409">
        <f>OBRA!AP553</f>
        <v>0</v>
      </c>
      <c r="Y552" s="341"/>
      <c r="Z552" s="341"/>
      <c r="AA552" s="5"/>
      <c r="AB552" s="351">
        <f>OBRA!BT553</f>
        <v>0</v>
      </c>
      <c r="AC552" s="569"/>
      <c r="AE552"/>
      <c r="AF552"/>
      <c r="AG552"/>
      <c r="AH552"/>
      <c r="AI552"/>
      <c r="AJ552"/>
      <c r="AK552"/>
      <c r="AL552"/>
    </row>
    <row r="553" spans="1:38" ht="90" hidden="1" customHeight="1">
      <c r="A553" s="23" t="str">
        <f>GRAL!G556</f>
        <v>SERVICIO</v>
      </c>
      <c r="B553" s="933" t="str">
        <f>GRAL!B556</f>
        <v>2018-2021</v>
      </c>
      <c r="C553" s="17">
        <f>OBRA!I554</f>
        <v>2021</v>
      </c>
      <c r="D553" s="18" t="str">
        <f>OBRA!K554</f>
        <v>CUENTA CORRIENTE</v>
      </c>
      <c r="E553" s="525" t="s">
        <v>1431</v>
      </c>
      <c r="F553" s="1541" t="s">
        <v>1431</v>
      </c>
      <c r="G553" s="1" t="s">
        <v>1177</v>
      </c>
      <c r="H553" s="390" t="s">
        <v>1431</v>
      </c>
      <c r="I553" s="56" t="str">
        <f>OBRA!U554</f>
        <v>INDUSTRIAS UNIDAS BOGDAN, S.A. DE C.V.</v>
      </c>
      <c r="J553" s="172" t="str">
        <f>OBRA!V554</f>
        <v>DANIEL RODRIGUEZ</v>
      </c>
      <c r="K553" s="20"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54" t="s">
        <v>3861</v>
      </c>
      <c r="O553" s="6">
        <f>OBRA!Q554</f>
        <v>44364</v>
      </c>
      <c r="P553" s="4">
        <f>OBRA!P554</f>
        <v>4686.3999999999996</v>
      </c>
      <c r="Q553" s="4" t="s">
        <v>5668</v>
      </c>
      <c r="R553" s="5" t="str">
        <f>OBRA!R554</f>
        <v>-</v>
      </c>
      <c r="S553" s="12" t="str">
        <f>OBRA!S554</f>
        <v>-</v>
      </c>
      <c r="T553" s="227" t="s">
        <v>5756</v>
      </c>
      <c r="U553" s="415" t="s">
        <v>1431</v>
      </c>
      <c r="V553" s="344" t="s">
        <v>1431</v>
      </c>
      <c r="W553" s="12" t="s">
        <v>1431</v>
      </c>
      <c r="X553" s="1409">
        <f>OBRA!AP554</f>
        <v>0</v>
      </c>
      <c r="Y553" s="341"/>
      <c r="Z553" s="341"/>
      <c r="AA553" s="5"/>
      <c r="AB553" s="351">
        <f>OBRA!BT554</f>
        <v>0</v>
      </c>
      <c r="AC553" s="569"/>
      <c r="AE553"/>
      <c r="AF553"/>
      <c r="AG553"/>
      <c r="AH553"/>
      <c r="AI553"/>
      <c r="AJ553"/>
      <c r="AK553"/>
      <c r="AL553"/>
    </row>
    <row r="554" spans="1:38" ht="140.25" hidden="1" customHeight="1">
      <c r="A554" s="23" t="str">
        <f>GRAL!G557</f>
        <v>SERVICIO</v>
      </c>
      <c r="B554" s="933" t="str">
        <f>GRAL!B557</f>
        <v>2018-2021</v>
      </c>
      <c r="C554" s="17">
        <f>OBRA!I555</f>
        <v>2021</v>
      </c>
      <c r="D554" s="18" t="str">
        <f>OBRA!K555</f>
        <v>CUENTA CORRIENTE</v>
      </c>
      <c r="E554" s="525" t="s">
        <v>1431</v>
      </c>
      <c r="F554" s="1541" t="s">
        <v>1431</v>
      </c>
      <c r="G554" s="239"/>
      <c r="H554" s="390" t="s">
        <v>1431</v>
      </c>
      <c r="I554" s="56" t="str">
        <f>OBRA!U555</f>
        <v>INDUSTRIAS UNIDAS BOGDAN, S.A. DE C.V.</v>
      </c>
      <c r="J554" s="57" t="str">
        <f>OBRA!V555</f>
        <v>DANIEL RODRIGUEZ</v>
      </c>
      <c r="K554" s="35"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54" t="s">
        <v>3861</v>
      </c>
      <c r="O554" s="6">
        <f>OBRA!Q555</f>
        <v>44364</v>
      </c>
      <c r="P554" s="4">
        <f>OBRA!P555</f>
        <v>554.48</v>
      </c>
      <c r="Q554" s="4" t="s">
        <v>2328</v>
      </c>
      <c r="R554" s="5" t="str">
        <f>OBRA!R555</f>
        <v>-</v>
      </c>
      <c r="S554" s="12" t="str">
        <f>OBRA!S555</f>
        <v>-</v>
      </c>
      <c r="T554" s="227" t="s">
        <v>5756</v>
      </c>
      <c r="U554" s="415" t="s">
        <v>1431</v>
      </c>
      <c r="V554" s="344" t="s">
        <v>1431</v>
      </c>
      <c r="W554" s="12" t="s">
        <v>1431</v>
      </c>
      <c r="X554" s="1409">
        <f>OBRA!AP555</f>
        <v>0</v>
      </c>
      <c r="Y554" s="341"/>
      <c r="Z554" s="341"/>
      <c r="AA554" s="5"/>
      <c r="AB554" s="351">
        <f>OBRA!BT555</f>
        <v>0</v>
      </c>
      <c r="AC554" s="569"/>
      <c r="AE554"/>
      <c r="AF554"/>
      <c r="AG554"/>
      <c r="AH554"/>
      <c r="AI554"/>
      <c r="AJ554"/>
      <c r="AK554"/>
      <c r="AL554"/>
    </row>
    <row r="555" spans="1:38" ht="79.5" hidden="1" customHeight="1">
      <c r="A555" s="23" t="str">
        <f>GRAL!G558</f>
        <v>SERVICIO</v>
      </c>
      <c r="B555" s="933" t="str">
        <f>GRAL!B558</f>
        <v>2018-2021</v>
      </c>
      <c r="C555" s="17">
        <f>OBRA!I556</f>
        <v>2021</v>
      </c>
      <c r="D555" s="18" t="str">
        <f>OBRA!K556</f>
        <v>CUENTA CORRIENTE</v>
      </c>
      <c r="E555" s="525" t="s">
        <v>1431</v>
      </c>
      <c r="F555" s="1541" t="s">
        <v>1431</v>
      </c>
      <c r="G555" s="239"/>
      <c r="H555" s="390" t="s">
        <v>1431</v>
      </c>
      <c r="I555" s="56" t="str">
        <f>OBRA!U556</f>
        <v>J. TRINIDAD NÚÑEZ BRITO</v>
      </c>
      <c r="J555" s="57" t="str">
        <f>OBRA!V556</f>
        <v>ING. MIGUEL MACHUCA HERNÁNDEZ</v>
      </c>
      <c r="K555" s="35"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54" t="s">
        <v>3862</v>
      </c>
      <c r="O555" s="6">
        <f>OBRA!Q556</f>
        <v>44204</v>
      </c>
      <c r="P555" s="4">
        <f>OBRA!P556</f>
        <v>11600</v>
      </c>
      <c r="Q555" s="4" t="s">
        <v>68</v>
      </c>
      <c r="R555" s="5">
        <f>OBRA!R556</f>
        <v>44207</v>
      </c>
      <c r="S555" s="12">
        <f>OBRA!S556</f>
        <v>44214</v>
      </c>
      <c r="T555" s="1601" t="s">
        <v>5755</v>
      </c>
      <c r="U555" s="415" t="s">
        <v>1431</v>
      </c>
      <c r="V555" s="344" t="s">
        <v>1431</v>
      </c>
      <c r="W555" s="12" t="s">
        <v>1431</v>
      </c>
      <c r="X555" s="1409">
        <f>OBRA!AP556</f>
        <v>0</v>
      </c>
      <c r="Y555" s="341"/>
      <c r="Z555" s="341"/>
      <c r="AA555" s="5"/>
      <c r="AB555" s="351">
        <f>OBRA!BT556</f>
        <v>0</v>
      </c>
      <c r="AC555" s="569"/>
      <c r="AE555"/>
      <c r="AF555"/>
      <c r="AG555"/>
      <c r="AH555"/>
      <c r="AI555"/>
      <c r="AJ555"/>
      <c r="AK555"/>
      <c r="AL555"/>
    </row>
    <row r="556" spans="1:38" ht="54.75" hidden="1" customHeight="1">
      <c r="A556" s="23" t="str">
        <f>GRAL!G559</f>
        <v>SERVICIO</v>
      </c>
      <c r="B556" s="933" t="str">
        <f>GRAL!B559</f>
        <v>2018-2021</v>
      </c>
      <c r="C556" s="17">
        <f>OBRA!I557</f>
        <v>2021</v>
      </c>
      <c r="D556" s="18" t="str">
        <f>OBRA!K557</f>
        <v>CUENTA CORRIENTE</v>
      </c>
      <c r="E556" s="525" t="s">
        <v>1431</v>
      </c>
      <c r="F556" s="1541" t="s">
        <v>1431</v>
      </c>
      <c r="G556" s="239"/>
      <c r="H556" s="390" t="s">
        <v>1431</v>
      </c>
      <c r="I556" s="56">
        <f>OBRA!U557</f>
        <v>0</v>
      </c>
      <c r="J556" s="57">
        <f>OBRA!V557</f>
        <v>0</v>
      </c>
      <c r="K556" s="35" t="str">
        <f>OBRA!L557</f>
        <v>C.P.S.P. D.O.P. 002/2021</v>
      </c>
      <c r="L556" s="2" t="str">
        <f>OBRA!M557</f>
        <v>SERVICIOS (CANCELADO)</v>
      </c>
      <c r="M556" s="3">
        <f>OBRA!N557</f>
        <v>0</v>
      </c>
      <c r="N556" s="597"/>
      <c r="O556" s="6">
        <f>OBRA!Q557</f>
        <v>0</v>
      </c>
      <c r="P556" s="4">
        <f>OBRA!P557</f>
        <v>0</v>
      </c>
      <c r="Q556" s="4"/>
      <c r="R556" s="5">
        <f>OBRA!R557</f>
        <v>0</v>
      </c>
      <c r="S556" s="12">
        <f>OBRA!S557</f>
        <v>0</v>
      </c>
      <c r="T556" s="227" t="s">
        <v>3859</v>
      </c>
      <c r="U556" s="415" t="s">
        <v>1431</v>
      </c>
      <c r="V556" s="344" t="s">
        <v>1431</v>
      </c>
      <c r="W556" s="559"/>
      <c r="X556" s="1409">
        <f>OBRA!AP557</f>
        <v>0</v>
      </c>
      <c r="Y556" s="341"/>
      <c r="Z556" s="341"/>
      <c r="AA556" s="5"/>
      <c r="AB556" s="351">
        <f>OBRA!BT557</f>
        <v>0</v>
      </c>
      <c r="AC556" s="569"/>
      <c r="AE556"/>
      <c r="AF556"/>
      <c r="AG556"/>
      <c r="AH556"/>
      <c r="AI556"/>
      <c r="AJ556"/>
      <c r="AK556"/>
      <c r="AL556"/>
    </row>
    <row r="557" spans="1:38" ht="81.75" hidden="1" customHeight="1">
      <c r="A557" s="23" t="str">
        <f>GRAL!G560</f>
        <v>SERVICIO</v>
      </c>
      <c r="B557" s="933" t="str">
        <f>GRAL!B560</f>
        <v>2018-2021</v>
      </c>
      <c r="C557" s="17">
        <f>OBRA!I558</f>
        <v>2021</v>
      </c>
      <c r="D557" s="18" t="str">
        <f>OBRA!K558</f>
        <v>CUENTA CORRIENTE</v>
      </c>
      <c r="E557" s="525" t="s">
        <v>1431</v>
      </c>
      <c r="F557" s="1541" t="s">
        <v>1431</v>
      </c>
      <c r="G557" s="239"/>
      <c r="H557" s="390" t="s">
        <v>1431</v>
      </c>
      <c r="I557" s="56" t="str">
        <f>OBRA!U558</f>
        <v>ARGUELLES ARQUITECTOS, S.A. DE C.V.</v>
      </c>
      <c r="J557" s="57" t="str">
        <f>OBRA!V558</f>
        <v>ARQ. FRANCISCO SALAZAR</v>
      </c>
      <c r="K557" s="35"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54" t="s">
        <v>3862</v>
      </c>
      <c r="O557" s="6">
        <f>OBRA!Q558</f>
        <v>44212</v>
      </c>
      <c r="P557" s="4">
        <f>OBRA!P558</f>
        <v>23200</v>
      </c>
      <c r="Q557" s="4" t="s">
        <v>68</v>
      </c>
      <c r="R557" s="5" t="str">
        <f>OBRA!R558</f>
        <v>-</v>
      </c>
      <c r="S557" s="12" t="str">
        <f>OBRA!S558</f>
        <v>-</v>
      </c>
      <c r="T557" s="1601" t="s">
        <v>5755</v>
      </c>
      <c r="U557" s="415" t="s">
        <v>1431</v>
      </c>
      <c r="V557" s="344" t="s">
        <v>1431</v>
      </c>
      <c r="W557" s="12" t="s">
        <v>1431</v>
      </c>
      <c r="X557" s="1409">
        <f>OBRA!AP558</f>
        <v>0</v>
      </c>
      <c r="Y557" s="341"/>
      <c r="Z557" s="341"/>
      <c r="AA557" s="5"/>
      <c r="AB557" s="351">
        <f>OBRA!BT558</f>
        <v>0</v>
      </c>
      <c r="AC557" s="569"/>
      <c r="AE557"/>
      <c r="AF557"/>
      <c r="AG557"/>
      <c r="AH557"/>
      <c r="AI557"/>
      <c r="AJ557"/>
      <c r="AK557"/>
      <c r="AL557"/>
    </row>
    <row r="558" spans="1:38" ht="15" hidden="1" customHeight="1">
      <c r="A558" s="23" t="str">
        <f>GRAL!G561</f>
        <v>SERVICIO</v>
      </c>
      <c r="B558" s="933" t="str">
        <f>GRAL!B561</f>
        <v>2018-2021</v>
      </c>
      <c r="C558" s="17">
        <f>OBRA!I559</f>
        <v>2021</v>
      </c>
      <c r="D558" s="18" t="str">
        <f>OBRA!K559</f>
        <v>CUENTA CORRIENTE</v>
      </c>
      <c r="E558" s="525" t="s">
        <v>1431</v>
      </c>
      <c r="F558" s="1541" t="s">
        <v>1431</v>
      </c>
      <c r="G558" s="239"/>
      <c r="H558" s="390" t="s">
        <v>1431</v>
      </c>
      <c r="I558" s="56">
        <f>OBRA!U559</f>
        <v>0</v>
      </c>
      <c r="J558" s="57">
        <f>OBRA!V559</f>
        <v>0</v>
      </c>
      <c r="K558" s="35" t="str">
        <f>OBRA!L559</f>
        <v>C.P.S.P. D.O.P. 004/2021</v>
      </c>
      <c r="L558" s="2" t="str">
        <f>OBRA!M559</f>
        <v>SERVICIOS (CANCELADO)</v>
      </c>
      <c r="M558" s="3">
        <f>OBRA!N559</f>
        <v>0</v>
      </c>
      <c r="N558" s="597"/>
      <c r="O558" s="6">
        <f>OBRA!Q559</f>
        <v>0</v>
      </c>
      <c r="P558" s="4">
        <f>OBRA!P559</f>
        <v>0</v>
      </c>
      <c r="Q558" s="4"/>
      <c r="R558" s="5">
        <f>OBRA!R559</f>
        <v>0</v>
      </c>
      <c r="S558" s="12">
        <f>OBRA!S559</f>
        <v>0</v>
      </c>
      <c r="T558" s="227" t="s">
        <v>3859</v>
      </c>
      <c r="U558" s="415" t="s">
        <v>1431</v>
      </c>
      <c r="V558" s="344" t="s">
        <v>1431</v>
      </c>
      <c r="W558" s="559"/>
      <c r="X558" s="1409">
        <f>OBRA!AP559</f>
        <v>0</v>
      </c>
      <c r="Y558" s="341"/>
      <c r="Z558" s="341"/>
      <c r="AA558" s="5"/>
      <c r="AB558" s="351">
        <f>OBRA!BT559</f>
        <v>0</v>
      </c>
      <c r="AC558" s="569"/>
      <c r="AE558"/>
      <c r="AF558"/>
      <c r="AG558"/>
      <c r="AH558"/>
      <c r="AI558"/>
      <c r="AJ558"/>
      <c r="AK558"/>
      <c r="AL558"/>
    </row>
    <row r="559" spans="1:38" ht="162.75" hidden="1" customHeight="1">
      <c r="A559" s="23" t="str">
        <f>GRAL!G562</f>
        <v>SERVICIO</v>
      </c>
      <c r="B559" s="933" t="str">
        <f>GRAL!B562</f>
        <v>2018-2021</v>
      </c>
      <c r="C559" s="17">
        <f>OBRA!I560</f>
        <v>2021</v>
      </c>
      <c r="D559" s="18" t="str">
        <f>OBRA!K560</f>
        <v>CUENTA CORRIENTE</v>
      </c>
      <c r="E559" s="525" t="s">
        <v>1431</v>
      </c>
      <c r="F559" s="1541" t="s">
        <v>1431</v>
      </c>
      <c r="G559" s="239"/>
      <c r="H559" s="390" t="s">
        <v>1431</v>
      </c>
      <c r="I559" s="56">
        <f>OBRA!V560</f>
        <v>0</v>
      </c>
      <c r="J559" s="172">
        <f>OBRA!V560</f>
        <v>0</v>
      </c>
      <c r="K559" s="35"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54" t="s">
        <v>3862</v>
      </c>
      <c r="O559" s="6">
        <f>OBRA!Q560</f>
        <v>44400</v>
      </c>
      <c r="P559" s="4">
        <f>OBRA!P560</f>
        <v>16239.999999999998</v>
      </c>
      <c r="Q559" s="4" t="s">
        <v>68</v>
      </c>
      <c r="R559" s="5">
        <f>OBRA!R560</f>
        <v>0</v>
      </c>
      <c r="S559" s="12">
        <f>OBRA!S560</f>
        <v>0</v>
      </c>
      <c r="T559" s="1601" t="s">
        <v>5755</v>
      </c>
      <c r="U559" s="415" t="s">
        <v>1431</v>
      </c>
      <c r="V559" s="344" t="s">
        <v>1431</v>
      </c>
      <c r="W559" s="12" t="s">
        <v>1431</v>
      </c>
      <c r="X559" s="1409">
        <f>OBRA!AP560</f>
        <v>0</v>
      </c>
      <c r="Y559" s="341"/>
      <c r="Z559" s="341"/>
      <c r="AA559" s="5"/>
      <c r="AB559" s="351">
        <f>OBRA!BT560</f>
        <v>0</v>
      </c>
      <c r="AC559" s="569"/>
      <c r="AE559"/>
      <c r="AF559"/>
      <c r="AG559"/>
      <c r="AH559"/>
      <c r="AI559"/>
      <c r="AJ559"/>
      <c r="AK559"/>
      <c r="AL559"/>
    </row>
    <row r="560" spans="1:38" ht="15" hidden="1" customHeight="1">
      <c r="A560" s="23" t="str">
        <f>GRAL!G563</f>
        <v>SERVICIO</v>
      </c>
      <c r="B560" s="933" t="str">
        <f>GRAL!B563</f>
        <v>2018-2021</v>
      </c>
      <c r="C560" s="17">
        <f>OBRA!I561</f>
        <v>2021</v>
      </c>
      <c r="D560" s="18" t="str">
        <f>OBRA!K561</f>
        <v>CUENTA CORRIENTE</v>
      </c>
      <c r="E560" s="525" t="s">
        <v>1431</v>
      </c>
      <c r="F560" s="1541" t="s">
        <v>1431</v>
      </c>
      <c r="G560" s="239"/>
      <c r="H560" s="390" t="s">
        <v>1431</v>
      </c>
      <c r="I560" s="56">
        <f>OBRA!U561</f>
        <v>0</v>
      </c>
      <c r="J560" s="57">
        <f>OBRA!V561</f>
        <v>0</v>
      </c>
      <c r="K560" s="35" t="str">
        <f>OBRA!L561</f>
        <v>C.P.S.P. D.O.P. 006/2021</v>
      </c>
      <c r="L560" s="2" t="str">
        <f>OBRA!M561</f>
        <v>SERVICIOS (CANCELADO)</v>
      </c>
      <c r="M560" s="3">
        <f>OBRA!N561</f>
        <v>0</v>
      </c>
      <c r="N560" s="597"/>
      <c r="O560" s="6">
        <f>OBRA!Q561</f>
        <v>0</v>
      </c>
      <c r="P560" s="4">
        <f>OBRA!P561</f>
        <v>0</v>
      </c>
      <c r="Q560" s="4"/>
      <c r="R560" s="5">
        <f>OBRA!R561</f>
        <v>0</v>
      </c>
      <c r="S560" s="12">
        <f>OBRA!S561</f>
        <v>0</v>
      </c>
      <c r="T560" s="227" t="s">
        <v>3859</v>
      </c>
      <c r="U560" s="415" t="s">
        <v>1431</v>
      </c>
      <c r="V560" s="344" t="s">
        <v>1431</v>
      </c>
      <c r="W560" s="559"/>
      <c r="X560" s="1409">
        <f>OBRA!AP561</f>
        <v>0</v>
      </c>
      <c r="Y560" s="341"/>
      <c r="Z560" s="341"/>
      <c r="AA560" s="5"/>
      <c r="AB560" s="351">
        <f>OBRA!BT561</f>
        <v>0</v>
      </c>
      <c r="AC560" s="569"/>
      <c r="AE560"/>
      <c r="AF560"/>
      <c r="AG560"/>
      <c r="AH560"/>
      <c r="AI560"/>
      <c r="AJ560"/>
      <c r="AK560"/>
      <c r="AL560"/>
    </row>
    <row r="561" spans="1:38" ht="127.5" hidden="1" customHeight="1">
      <c r="A561" s="23" t="str">
        <f>GRAL!G564</f>
        <v>SERVICIO</v>
      </c>
      <c r="B561" s="933" t="str">
        <f>GRAL!B564</f>
        <v>2018-2021</v>
      </c>
      <c r="C561" s="17">
        <f>OBRA!I562</f>
        <v>2021</v>
      </c>
      <c r="D561" s="18" t="str">
        <f>OBRA!K562</f>
        <v>CUENTA CORRIENTE</v>
      </c>
      <c r="E561" s="525" t="s">
        <v>1431</v>
      </c>
      <c r="F561" s="1541" t="s">
        <v>1431</v>
      </c>
      <c r="G561" s="239"/>
      <c r="H561" s="390" t="s">
        <v>1431</v>
      </c>
      <c r="I561" s="56">
        <f>OBRA!V562</f>
        <v>0</v>
      </c>
      <c r="J561" s="172">
        <f>OBRA!V562</f>
        <v>0</v>
      </c>
      <c r="K561" s="35"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54" t="s">
        <v>3862</v>
      </c>
      <c r="O561" s="6">
        <f>OBRA!Q562</f>
        <v>44441</v>
      </c>
      <c r="P561" s="4">
        <f>OBRA!P562</f>
        <v>16240</v>
      </c>
      <c r="Q561" s="4" t="s">
        <v>68</v>
      </c>
      <c r="R561" s="5" t="str">
        <f>OBRA!R562</f>
        <v>-</v>
      </c>
      <c r="S561" s="12" t="str">
        <f>OBRA!S562</f>
        <v>-</v>
      </c>
      <c r="T561" s="1601" t="s">
        <v>5755</v>
      </c>
      <c r="U561" s="415" t="s">
        <v>1431</v>
      </c>
      <c r="V561" s="344" t="s">
        <v>1431</v>
      </c>
      <c r="W561" s="12" t="s">
        <v>1431</v>
      </c>
      <c r="X561" s="1409">
        <f>OBRA!AP562</f>
        <v>0</v>
      </c>
      <c r="Y561" s="341"/>
      <c r="Z561" s="341"/>
      <c r="AA561" s="5"/>
      <c r="AB561" s="351">
        <f>OBRA!BT562</f>
        <v>0</v>
      </c>
      <c r="AC561" s="569"/>
      <c r="AE561"/>
      <c r="AF561"/>
      <c r="AG561"/>
      <c r="AH561"/>
      <c r="AI561"/>
      <c r="AJ561"/>
      <c r="AK561"/>
      <c r="AL561"/>
    </row>
    <row r="562" spans="1:38" ht="234.75" hidden="1" customHeight="1">
      <c r="A562" s="23" t="str">
        <f>GRAL!G565</f>
        <v>SERVICIO</v>
      </c>
      <c r="B562" s="933" t="str">
        <f>GRAL!B565</f>
        <v>2018-2021</v>
      </c>
      <c r="C562" s="17">
        <f>OBRA!I563</f>
        <v>2021</v>
      </c>
      <c r="D562" s="18" t="str">
        <f>OBRA!K563</f>
        <v>CUENTA CORRIENTE</v>
      </c>
      <c r="E562" s="525" t="s">
        <v>1431</v>
      </c>
      <c r="F562" s="1541" t="s">
        <v>1431</v>
      </c>
      <c r="G562" s="239"/>
      <c r="H562" s="390" t="s">
        <v>1431</v>
      </c>
      <c r="I562" s="56">
        <f>OBRA!V563</f>
        <v>0</v>
      </c>
      <c r="J562" s="172">
        <f>OBRA!V563</f>
        <v>0</v>
      </c>
      <c r="K562" s="35"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54" t="s">
        <v>3862</v>
      </c>
      <c r="O562" s="6">
        <f>OBRA!Q563</f>
        <v>44435</v>
      </c>
      <c r="P562" s="4">
        <f>OBRA!P563</f>
        <v>226407.64</v>
      </c>
      <c r="Q562" s="4" t="s">
        <v>68</v>
      </c>
      <c r="R562" s="5" t="str">
        <f>OBRA!R563</f>
        <v>-</v>
      </c>
      <c r="S562" s="12" t="str">
        <f>OBRA!S563</f>
        <v>-</v>
      </c>
      <c r="T562" s="1601" t="s">
        <v>5755</v>
      </c>
      <c r="U562" s="415" t="s">
        <v>1431</v>
      </c>
      <c r="V562" s="344" t="s">
        <v>1431</v>
      </c>
      <c r="W562" s="12" t="s">
        <v>1431</v>
      </c>
      <c r="X562" s="1409">
        <f>OBRA!AP563</f>
        <v>0</v>
      </c>
      <c r="Y562" s="341"/>
      <c r="Z562" s="341"/>
      <c r="AA562" s="5"/>
      <c r="AB562" s="351">
        <f>OBRA!BT563</f>
        <v>0</v>
      </c>
      <c r="AC562" s="569"/>
      <c r="AE562"/>
      <c r="AF562"/>
      <c r="AG562"/>
      <c r="AH562"/>
      <c r="AI562"/>
      <c r="AJ562"/>
      <c r="AK562"/>
      <c r="AL562"/>
    </row>
    <row r="563" spans="1:38" ht="129" hidden="1" customHeight="1">
      <c r="A563" s="23" t="str">
        <f>GRAL!G566</f>
        <v>SERVICIO</v>
      </c>
      <c r="B563" s="933" t="str">
        <f>GRAL!B566</f>
        <v>2018-2021</v>
      </c>
      <c r="C563" s="17">
        <f>OBRA!I564</f>
        <v>2021</v>
      </c>
      <c r="D563" s="18" t="str">
        <f>OBRA!K564</f>
        <v>CUENTA CORRIENTE</v>
      </c>
      <c r="E563" s="525" t="s">
        <v>1431</v>
      </c>
      <c r="F563" s="1541" t="s">
        <v>1431</v>
      </c>
      <c r="G563" s="239"/>
      <c r="H563" s="390" t="s">
        <v>1431</v>
      </c>
      <c r="I563" s="56">
        <f>OBRA!V564</f>
        <v>0</v>
      </c>
      <c r="J563" s="172">
        <f>OBRA!V564</f>
        <v>0</v>
      </c>
      <c r="K563" s="35"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54" t="s">
        <v>3862</v>
      </c>
      <c r="O563" s="6">
        <f>OBRA!Q564</f>
        <v>44432</v>
      </c>
      <c r="P563" s="4">
        <f>OBRA!P564</f>
        <v>91300</v>
      </c>
      <c r="Q563" s="4" t="s">
        <v>68</v>
      </c>
      <c r="R563" s="5" t="str">
        <f>OBRA!R564</f>
        <v>-</v>
      </c>
      <c r="S563" s="12" t="str">
        <f>OBRA!S564</f>
        <v>-</v>
      </c>
      <c r="T563" s="1601" t="s">
        <v>5755</v>
      </c>
      <c r="U563" s="415" t="s">
        <v>1431</v>
      </c>
      <c r="V563" s="344" t="s">
        <v>1431</v>
      </c>
      <c r="W563" s="12" t="s">
        <v>1431</v>
      </c>
      <c r="X563" s="1409">
        <f>OBRA!AP564</f>
        <v>0</v>
      </c>
      <c r="Y563" s="341"/>
      <c r="Z563" s="341"/>
      <c r="AA563" s="5"/>
      <c r="AB563" s="351">
        <f>OBRA!BT564</f>
        <v>0</v>
      </c>
      <c r="AC563" s="569"/>
      <c r="AE563"/>
      <c r="AF563"/>
      <c r="AG563"/>
      <c r="AH563"/>
      <c r="AI563"/>
      <c r="AJ563"/>
      <c r="AK563"/>
      <c r="AL563"/>
    </row>
    <row r="564" spans="1:38" ht="88.5" hidden="1" customHeight="1">
      <c r="A564" s="23" t="str">
        <f>GRAL!G567</f>
        <v>OBRA</v>
      </c>
      <c r="B564" s="933" t="str">
        <f>GRAL!B567</f>
        <v>2018-2021</v>
      </c>
      <c r="C564" s="17">
        <f>OBRA!I565</f>
        <v>2021</v>
      </c>
      <c r="D564" s="18" t="str">
        <f>OBRA!K565</f>
        <v>CUENTA CORRIENTE</v>
      </c>
      <c r="E564" s="525" t="s">
        <v>1431</v>
      </c>
      <c r="F564" s="1300"/>
      <c r="G564" s="239"/>
      <c r="H564" s="1300"/>
      <c r="I564" s="56" t="str">
        <f>OBRA!U565</f>
        <v>JESSICA MONSERRAT RIVERA TORRES</v>
      </c>
      <c r="J564" s="57" t="str">
        <f>OBRA!V565</f>
        <v>ING. MIGUEL MACHUCA HERNÁNDEZ / ING. LUIS RIGOBERTO OLMEDO NAVARRO</v>
      </c>
      <c r="K564" s="20" t="str">
        <f>OBRA!L565</f>
        <v>GMJ 001C- OP/2021</v>
      </c>
      <c r="L564" s="2" t="str">
        <f>OBRA!M565</f>
        <v>ADJUDICACIÓN DIRECTA</v>
      </c>
      <c r="M564" s="3" t="str">
        <f>OBRA!N565</f>
        <v>"PERFORACIÓN DE POZO PROFUNDO "MORELOS" A 250 ML", EN LA AGENCIA MUNICIPAL DE NEXTIPAC, DEL MUNICIPIO DE JOCOTEPEC, JALISCO.</v>
      </c>
      <c r="N564" s="597"/>
      <c r="O564" s="6">
        <f>OBRA!Q565</f>
        <v>44208</v>
      </c>
      <c r="P564" s="4">
        <f>OBRA!P565</f>
        <v>1300000</v>
      </c>
      <c r="Q564" s="4"/>
      <c r="R564" s="5">
        <f>OBRA!R565</f>
        <v>44231</v>
      </c>
      <c r="S564" s="12">
        <f>OBRA!S565</f>
        <v>44377</v>
      </c>
      <c r="T564" s="55"/>
      <c r="U564" s="415" t="s">
        <v>1431</v>
      </c>
      <c r="V564" s="558"/>
      <c r="W564" s="559"/>
      <c r="X564" s="307">
        <f>OBRA!AP565</f>
        <v>455000</v>
      </c>
      <c r="Y564" s="341"/>
      <c r="Z564" s="341"/>
      <c r="AA564" s="5"/>
      <c r="AB564" s="351">
        <f>OBRA!BT565</f>
        <v>0</v>
      </c>
      <c r="AC564" s="569"/>
      <c r="AE564"/>
      <c r="AF564"/>
      <c r="AG564"/>
      <c r="AH564"/>
      <c r="AI564"/>
      <c r="AJ564"/>
      <c r="AK564"/>
      <c r="AL564"/>
    </row>
    <row r="565" spans="1:38" ht="15" hidden="1" customHeight="1">
      <c r="A565" s="23" t="str">
        <f>GRAL!G568</f>
        <v>OBRA</v>
      </c>
      <c r="B565" s="933" t="str">
        <f>GRAL!B568</f>
        <v>2018-2021</v>
      </c>
      <c r="C565" s="17">
        <f>OBRA!I566</f>
        <v>2021</v>
      </c>
      <c r="D565" s="18" t="str">
        <f>OBRA!K566</f>
        <v>RAMO 33</v>
      </c>
      <c r="E565" s="525"/>
      <c r="F565" s="390"/>
      <c r="G565" s="1"/>
      <c r="H565" s="390"/>
      <c r="I565" s="56" t="str">
        <f>OBRA!U566</f>
        <v>CONCRETOS, ASFALTOS Y CIMENTACIONES EDIR, S.A. DE C.V.</v>
      </c>
      <c r="J565" s="57" t="str">
        <f>OBRA!V566</f>
        <v xml:space="preserve">ING. ENRIQUE ENRÍQUEZ VÁZQUEZ </v>
      </c>
      <c r="K565" s="20"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2">
        <f>OBRA!S566</f>
        <v>44270</v>
      </c>
      <c r="T565" s="55"/>
      <c r="U565" s="415" t="s">
        <v>1431</v>
      </c>
      <c r="V565" s="341"/>
      <c r="W565" s="12"/>
      <c r="X565" s="306">
        <f>OBRA!AP566</f>
        <v>398055.22</v>
      </c>
      <c r="Y565" s="341"/>
      <c r="Z565" s="341"/>
      <c r="AA565" s="5"/>
      <c r="AB565" s="351">
        <f>OBRA!BT566</f>
        <v>0</v>
      </c>
      <c r="AC565" s="569"/>
      <c r="AE565"/>
      <c r="AF565"/>
      <c r="AG565"/>
      <c r="AH565"/>
      <c r="AI565"/>
      <c r="AJ565"/>
      <c r="AK565"/>
      <c r="AL565"/>
    </row>
    <row r="566" spans="1:38" ht="101.25" hidden="1" customHeight="1">
      <c r="A566" s="23" t="str">
        <f>GRAL!G569</f>
        <v>OBRA</v>
      </c>
      <c r="B566" s="933" t="str">
        <f>GRAL!B569</f>
        <v>2018-2021</v>
      </c>
      <c r="C566" s="17">
        <f>OBRA!I567</f>
        <v>2021</v>
      </c>
      <c r="D566" s="18" t="str">
        <f>OBRA!K567</f>
        <v>CUENTA CORRIENTE</v>
      </c>
      <c r="E566" s="525" t="s">
        <v>1431</v>
      </c>
      <c r="F566" s="1300"/>
      <c r="G566" s="239"/>
      <c r="H566" s="1300"/>
      <c r="I566" s="56" t="str">
        <f>OBRA!U567</f>
        <v>C. SERGIO CABRERA</v>
      </c>
      <c r="J566" s="1279" t="str">
        <f>OBRA!V567</f>
        <v xml:space="preserve">ING. ENRIQUE ENRÍQUEZ VÁZQUEZ </v>
      </c>
      <c r="K566" s="20" t="str">
        <f>OBRA!L567</f>
        <v>GMJ 003C- OP/2021</v>
      </c>
      <c r="L566" s="2" t="str">
        <f>OBRA!M567</f>
        <v>CANCELADA</v>
      </c>
      <c r="M566" s="3" t="str">
        <f>OBRA!N567</f>
        <v>"IMAGEN URBANA EN CALLE MORELOS DE CALLE NICOLÁS BRAVO A PRIVADA GONZÁLEZ ORTEGA", EN LA CABECERA MUNICIPAL DE JOCOTEPEC, JALISCO, (NEXTIPAC).</v>
      </c>
      <c r="N566" s="597"/>
      <c r="O566" s="6">
        <f>OBRA!Q567</f>
        <v>44208</v>
      </c>
      <c r="P566" s="4">
        <f>OBRA!P567</f>
        <v>195609.22</v>
      </c>
      <c r="Q566" s="4"/>
      <c r="R566" s="5">
        <f>OBRA!R567</f>
        <v>44242</v>
      </c>
      <c r="S566" s="12">
        <f>OBRA!S567</f>
        <v>44270</v>
      </c>
      <c r="T566" s="55"/>
      <c r="U566" s="415" t="s">
        <v>1431</v>
      </c>
      <c r="V566" s="558"/>
      <c r="W566" s="559"/>
      <c r="X566" s="307">
        <f>OBRA!AP567</f>
        <v>0</v>
      </c>
      <c r="Y566" s="341"/>
      <c r="Z566" s="341"/>
      <c r="AA566" s="5"/>
      <c r="AB566" s="351">
        <f>OBRA!BT567</f>
        <v>0</v>
      </c>
      <c r="AC566" s="569"/>
      <c r="AE566"/>
      <c r="AF566"/>
      <c r="AG566"/>
      <c r="AH566"/>
      <c r="AI566"/>
      <c r="AJ566"/>
      <c r="AK566"/>
      <c r="AL566"/>
    </row>
    <row r="567" spans="1:38" ht="15" hidden="1" customHeight="1">
      <c r="A567" s="23" t="str">
        <f>GRAL!G570</f>
        <v>OBRA</v>
      </c>
      <c r="B567" s="933" t="str">
        <f>GRAL!B570</f>
        <v>2018-2021</v>
      </c>
      <c r="C567" s="17">
        <f>OBRA!I568</f>
        <v>2021</v>
      </c>
      <c r="D567" s="18" t="str">
        <f>OBRA!K568</f>
        <v>RAMO 33</v>
      </c>
      <c r="E567" s="525"/>
      <c r="F567" s="390"/>
      <c r="G567" s="1"/>
      <c r="H567" s="390"/>
      <c r="I567" s="56" t="str">
        <f>OBRA!U568</f>
        <v>TERRACERÍAS Y PAVIMENTOS DE LA RIBERA, S.A. DE C.V.</v>
      </c>
      <c r="J567" s="57" t="str">
        <f>OBRA!V568</f>
        <v xml:space="preserve">ING. ENRIQUE ENRÍQUEZ VÁZQUEZ </v>
      </c>
      <c r="K567" s="20"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2">
        <f>OBRA!S568</f>
        <v>44266</v>
      </c>
      <c r="T567" s="55"/>
      <c r="U567" s="415" t="s">
        <v>1431</v>
      </c>
      <c r="V567" s="341"/>
      <c r="W567" s="12"/>
      <c r="X567" s="306">
        <f>OBRA!AP568</f>
        <v>1644381.12</v>
      </c>
      <c r="Y567" s="341"/>
      <c r="Z567" s="341"/>
      <c r="AA567" s="5"/>
      <c r="AB567" s="351">
        <f>OBRA!BT568</f>
        <v>0</v>
      </c>
      <c r="AC567" s="569"/>
      <c r="AE567"/>
      <c r="AF567"/>
      <c r="AG567"/>
      <c r="AH567"/>
      <c r="AI567"/>
      <c r="AJ567"/>
      <c r="AK567"/>
      <c r="AL567"/>
    </row>
    <row r="568" spans="1:38" ht="111.75" hidden="1" customHeight="1">
      <c r="A568" s="23" t="str">
        <f>GRAL!G571</f>
        <v>OBRA</v>
      </c>
      <c r="B568" s="933" t="str">
        <f>GRAL!B571</f>
        <v>2018-2021</v>
      </c>
      <c r="C568" s="17">
        <f>OBRA!I569</f>
        <v>2021</v>
      </c>
      <c r="D568" s="18" t="str">
        <f>OBRA!K569</f>
        <v>CUENTA CORRIENTE</v>
      </c>
      <c r="E568" s="525" t="s">
        <v>1431</v>
      </c>
      <c r="F568" s="1300"/>
      <c r="G568" s="239"/>
      <c r="H568" s="1300"/>
      <c r="I568" s="56" t="str">
        <f>OBRA!U569</f>
        <v>TERRACERÍAS Y PAVIMENTOS DE LA RIBERA, S.A. DE C.V.</v>
      </c>
      <c r="J568" s="1279" t="str">
        <f>OBRA!V569</f>
        <v xml:space="preserve">ING. ENRIQUE ENRÍQUEZ VÁZQUEZ </v>
      </c>
      <c r="K568" s="20" t="str">
        <f>OBRA!L569</f>
        <v>GMJ 005C- OP/2021</v>
      </c>
      <c r="L568" s="2" t="str">
        <f>OBRA!M569</f>
        <v>ADJUDICACIÓN DIRECTA</v>
      </c>
      <c r="M568" s="3" t="str">
        <f>OBRA!N569</f>
        <v>"IMAGEN URBANA EN CALLE MORELOS ENTRE CALLE GONZÁLEZ ORTEGA A CRISTOBAL COLÓN" EN LA CABECERA MUNICIPAL DE JOCOTEPEC, JALISCO, (NEXTIPAC).</v>
      </c>
      <c r="N568" s="597"/>
      <c r="O568" s="6">
        <f>OBRA!Q569</f>
        <v>44208</v>
      </c>
      <c r="P568" s="4">
        <f>OBRA!P569</f>
        <v>758856.32</v>
      </c>
      <c r="Q568" s="4"/>
      <c r="R568" s="5">
        <f>OBRA!R569</f>
        <v>44271</v>
      </c>
      <c r="S568" s="12">
        <f>OBRA!S569</f>
        <v>44275</v>
      </c>
      <c r="T568" s="55"/>
      <c r="U568" s="415" t="s">
        <v>1431</v>
      </c>
      <c r="V568" s="558"/>
      <c r="W568" s="559"/>
      <c r="X568" s="307">
        <f>OBRA!AP569</f>
        <v>0</v>
      </c>
      <c r="Y568" s="341"/>
      <c r="Z568" s="341"/>
      <c r="AA568" s="5"/>
      <c r="AB568" s="351">
        <f>OBRA!BT569</f>
        <v>0</v>
      </c>
      <c r="AC568" s="569"/>
      <c r="AE568"/>
      <c r="AF568"/>
      <c r="AG568"/>
      <c r="AH568"/>
      <c r="AI568"/>
      <c r="AJ568"/>
      <c r="AK568"/>
      <c r="AL568"/>
    </row>
    <row r="569" spans="1:38" ht="147.75" hidden="1" customHeight="1">
      <c r="A569" s="23" t="str">
        <f>GRAL!G572</f>
        <v>OBRA</v>
      </c>
      <c r="B569" s="933" t="str">
        <f>GRAL!B572</f>
        <v>2018-2021</v>
      </c>
      <c r="C569" s="17">
        <f>OBRA!I570</f>
        <v>2021</v>
      </c>
      <c r="D569" s="18" t="str">
        <f>OBRA!K570</f>
        <v>RAMO 33</v>
      </c>
      <c r="E569" s="525"/>
      <c r="F569" s="1300"/>
      <c r="G569" s="239"/>
      <c r="H569" s="1300"/>
      <c r="I569" s="56" t="str">
        <f>OBRA!U570</f>
        <v xml:space="preserve">SERVICIOS Y CONSTRUCCIONES NATENIO, S.A. DE C.V. </v>
      </c>
      <c r="J569" s="1279" t="str">
        <f>OBRA!V570</f>
        <v>ING. VICTOR MANUEL PACHECO AZCONA</v>
      </c>
      <c r="K569" s="20"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97"/>
      <c r="O569" s="6">
        <f>OBRA!Q570</f>
        <v>44208</v>
      </c>
      <c r="P569" s="4">
        <f>OBRA!P570</f>
        <v>1379641.73</v>
      </c>
      <c r="Q569" s="4"/>
      <c r="R569" s="5">
        <f>OBRA!R570</f>
        <v>44211</v>
      </c>
      <c r="S569" s="12">
        <f>OBRA!S570</f>
        <v>44256</v>
      </c>
      <c r="T569" s="55"/>
      <c r="U569" s="415" t="s">
        <v>1431</v>
      </c>
      <c r="V569" s="558"/>
      <c r="W569" s="559"/>
      <c r="X569" s="307">
        <f>OBRA!AP570</f>
        <v>275928.34000000003</v>
      </c>
      <c r="Y569" s="341"/>
      <c r="Z569" s="341"/>
      <c r="AA569" s="5"/>
      <c r="AB569" s="351">
        <f>OBRA!BT570</f>
        <v>0</v>
      </c>
      <c r="AC569" s="569"/>
      <c r="AE569"/>
      <c r="AF569"/>
      <c r="AG569"/>
      <c r="AH569"/>
      <c r="AI569"/>
      <c r="AJ569"/>
      <c r="AK569"/>
      <c r="AL569"/>
    </row>
    <row r="570" spans="1:38" ht="96.75" hidden="1" customHeight="1">
      <c r="A570" s="23" t="str">
        <f>GRAL!G573</f>
        <v>OBRA</v>
      </c>
      <c r="B570" s="933" t="str">
        <f>GRAL!B573</f>
        <v>2018-2021</v>
      </c>
      <c r="C570" s="17">
        <f>OBRA!I571</f>
        <v>2021</v>
      </c>
      <c r="D570" s="18" t="str">
        <f>OBRA!K571</f>
        <v>CUENTA CORRIENTE</v>
      </c>
      <c r="E570" s="525" t="s">
        <v>1431</v>
      </c>
      <c r="F570" s="1300"/>
      <c r="G570" s="239"/>
      <c r="H570" s="1300"/>
      <c r="I570" s="56" t="str">
        <f>OBRA!U571</f>
        <v xml:space="preserve">SERVICIOS Y CONSTRUCCIONES NATENIO, S.A. DE C.V. </v>
      </c>
      <c r="J570" s="1279" t="str">
        <f>OBRA!V571</f>
        <v>ING. VICTOR MANUEL PACHECO AZCONA</v>
      </c>
      <c r="K570" s="20" t="str">
        <f>OBRA!L571</f>
        <v>GMJ 007C- OP/2021</v>
      </c>
      <c r="L570" s="2" t="str">
        <f>OBRA!M571</f>
        <v>CANCELADA</v>
      </c>
      <c r="M570" s="3" t="str">
        <f>OBRA!N571</f>
        <v>"IMAGEN URBANA EN CALLE MORELOS DE CALLE CRISTOBAL COLÓN A CALLE RICO" EN LA CABECERA MUNICIPAL DE JOCOTEPEC, JALISCO, (NEXTIPAC).</v>
      </c>
      <c r="N570" s="597"/>
      <c r="O570" s="6">
        <f>OBRA!Q571</f>
        <v>44208</v>
      </c>
      <c r="P570" s="4">
        <f>OBRA!P571</f>
        <v>101577.38</v>
      </c>
      <c r="Q570" s="4"/>
      <c r="R570" s="5">
        <f>OBRA!R571</f>
        <v>44270</v>
      </c>
      <c r="S570" s="12">
        <f>OBRA!S571</f>
        <v>44275</v>
      </c>
      <c r="T570" s="55"/>
      <c r="U570" s="415" t="s">
        <v>1431</v>
      </c>
      <c r="V570" s="558"/>
      <c r="W570" s="559"/>
      <c r="X570" s="307">
        <f>OBRA!AP571</f>
        <v>0</v>
      </c>
      <c r="Y570" s="341"/>
      <c r="Z570" s="341"/>
      <c r="AA570" s="5"/>
      <c r="AB570" s="351">
        <f>OBRA!BT571</f>
        <v>0</v>
      </c>
      <c r="AC570" s="569"/>
      <c r="AE570"/>
      <c r="AF570"/>
      <c r="AG570"/>
      <c r="AH570"/>
      <c r="AI570"/>
      <c r="AJ570"/>
      <c r="AK570"/>
      <c r="AL570"/>
    </row>
    <row r="571" spans="1:38" ht="180.75" hidden="1" customHeight="1">
      <c r="A571" s="23" t="str">
        <f>GRAL!G574</f>
        <v>OBRA</v>
      </c>
      <c r="B571" s="933" t="str">
        <f>GRAL!B574</f>
        <v>2018-2021</v>
      </c>
      <c r="C571" s="17">
        <f>OBRA!I572</f>
        <v>2021</v>
      </c>
      <c r="D571" s="18" t="str">
        <f>OBRA!K572</f>
        <v>RAMO 33</v>
      </c>
      <c r="E571" s="525" t="s">
        <v>1431</v>
      </c>
      <c r="F571" s="1300"/>
      <c r="G571" s="239"/>
      <c r="H571" s="1300"/>
      <c r="I571" s="56" t="str">
        <f>OBRA!U572</f>
        <v xml:space="preserve">DESARROLLO DAP S.A. DE C.V. </v>
      </c>
      <c r="J571" s="1279" t="str">
        <f>OBRA!V572</f>
        <v>ING. VICTOR MANUEL PACHECO AZCONA</v>
      </c>
      <c r="K571" s="20"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OBRA!Q572</f>
        <v>44200</v>
      </c>
      <c r="P571" s="4">
        <f>OBRA!P572</f>
        <v>1301387.07</v>
      </c>
      <c r="Q571" s="4"/>
      <c r="R571" s="5">
        <f>OBRA!R572</f>
        <v>44201</v>
      </c>
      <c r="S571" s="12">
        <f>OBRA!S572</f>
        <v>44270</v>
      </c>
      <c r="T571" s="55"/>
      <c r="U571" s="415" t="s">
        <v>1431</v>
      </c>
      <c r="V571" s="558"/>
      <c r="W571" s="559"/>
      <c r="X571" s="307">
        <f>OBRA!AP572</f>
        <v>243611.33000000002</v>
      </c>
      <c r="Y571" s="341"/>
      <c r="Z571" s="341"/>
      <c r="AA571" s="5"/>
      <c r="AB571" s="351">
        <f>OBRA!BT572</f>
        <v>0</v>
      </c>
      <c r="AC571" s="569"/>
      <c r="AE571"/>
      <c r="AF571"/>
      <c r="AG571"/>
      <c r="AH571"/>
      <c r="AI571"/>
      <c r="AJ571"/>
      <c r="AK571"/>
      <c r="AL571"/>
    </row>
    <row r="572" spans="1:38" ht="15" hidden="1" customHeight="1">
      <c r="A572" s="23" t="str">
        <f>GRAL!G575</f>
        <v>OBRA</v>
      </c>
      <c r="B572" s="933" t="str">
        <f>GRAL!B575</f>
        <v>2018-2021</v>
      </c>
      <c r="C572" s="17">
        <f>OBRA!I573</f>
        <v>2021</v>
      </c>
      <c r="D572" s="18" t="str">
        <f>OBRA!K573</f>
        <v>CUENTA CORRIENTE</v>
      </c>
      <c r="E572" s="525"/>
      <c r="F572" s="390"/>
      <c r="G572" s="1"/>
      <c r="H572" s="390"/>
      <c r="I572" s="56" t="str">
        <f>OBRA!U573</f>
        <v xml:space="preserve">DESARROLLO DAP S.A. DE C.V. </v>
      </c>
      <c r="J572" s="57" t="str">
        <f>OBRA!V573</f>
        <v>ING. VICTOR MANUEL PACHECO AZCONA</v>
      </c>
      <c r="K572" s="20"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2">
        <f>OBRA!S573</f>
        <v>44270</v>
      </c>
      <c r="T572" s="55"/>
      <c r="U572" s="415" t="s">
        <v>1431</v>
      </c>
      <c r="V572" s="341"/>
      <c r="W572" s="12"/>
      <c r="X572" s="306">
        <f>OBRA!AP573</f>
        <v>409864.94</v>
      </c>
      <c r="Y572" s="341"/>
      <c r="Z572" s="341"/>
      <c r="AA572" s="5"/>
      <c r="AB572" s="351">
        <f>OBRA!BT573</f>
        <v>0</v>
      </c>
      <c r="AC572" s="569"/>
      <c r="AE572"/>
      <c r="AF572"/>
      <c r="AG572"/>
      <c r="AH572"/>
      <c r="AI572"/>
      <c r="AJ572"/>
      <c r="AK572"/>
      <c r="AL572"/>
    </row>
    <row r="573" spans="1:38" ht="15" hidden="1" customHeight="1">
      <c r="A573" s="23" t="str">
        <f>GRAL!G576</f>
        <v>OBRA</v>
      </c>
      <c r="B573" s="933" t="str">
        <f>GRAL!B576</f>
        <v>2018-2021</v>
      </c>
      <c r="C573" s="17">
        <f>OBRA!I574</f>
        <v>2021</v>
      </c>
      <c r="D573" s="18" t="str">
        <f>OBRA!K574</f>
        <v>FOCOCI</v>
      </c>
      <c r="E573" s="525"/>
      <c r="F573" s="390"/>
      <c r="G573" s="1"/>
      <c r="H573" s="390"/>
      <c r="I573" s="56" t="str">
        <f>OBRA!U574</f>
        <v>ALSERCON SA DE CV</v>
      </c>
      <c r="J573" s="57" t="str">
        <f>OBRA!V574</f>
        <v>ARQ. JAIME CONDE GOMEZ</v>
      </c>
      <c r="K573" s="20"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2">
        <f>OBRA!S574</f>
        <v>44331</v>
      </c>
      <c r="T573" s="55"/>
      <c r="U573" s="415" t="s">
        <v>1431</v>
      </c>
      <c r="V573" s="341"/>
      <c r="W573" s="12"/>
      <c r="X573" s="306">
        <f>OBRA!AP574</f>
        <v>1713301</v>
      </c>
      <c r="Y573" s="341"/>
      <c r="Z573" s="341"/>
      <c r="AA573" s="5"/>
      <c r="AB573" s="351">
        <f>OBRA!BT574</f>
        <v>0</v>
      </c>
      <c r="AC573" s="569"/>
      <c r="AE573"/>
      <c r="AF573"/>
      <c r="AG573"/>
      <c r="AH573"/>
      <c r="AI573"/>
      <c r="AJ573"/>
      <c r="AK573"/>
      <c r="AL573"/>
    </row>
    <row r="574" spans="1:38" ht="15" hidden="1" customHeight="1">
      <c r="A574" s="23" t="str">
        <f>GRAL!G577</f>
        <v>OBRA</v>
      </c>
      <c r="B574" s="933" t="str">
        <f>GRAL!B577</f>
        <v>2018-2021</v>
      </c>
      <c r="C574" s="17">
        <f>OBRA!I575</f>
        <v>2021</v>
      </c>
      <c r="D574" s="18" t="str">
        <f>OBRA!K575</f>
        <v>FOCOCI</v>
      </c>
      <c r="E574" s="525"/>
      <c r="F574" s="390"/>
      <c r="G574" s="1"/>
      <c r="H574" s="390"/>
      <c r="I574" s="56" t="str">
        <f>OBRA!U575</f>
        <v>COREGO CONSTRUCCIONES, S.A. DE C.V.</v>
      </c>
      <c r="J574" s="57" t="str">
        <f>OBRA!V575</f>
        <v xml:space="preserve">ING. ENRIQUE ENRÍQUEZ VÁZQUEZ </v>
      </c>
      <c r="K574" s="20"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2">
        <f>OBRA!S575</f>
        <v>44347</v>
      </c>
      <c r="T574" s="55"/>
      <c r="U574" s="415" t="s">
        <v>1431</v>
      </c>
      <c r="V574" s="341"/>
      <c r="W574" s="12"/>
      <c r="X574" s="306">
        <f>OBRA!AP575</f>
        <v>392270.12</v>
      </c>
      <c r="Y574" s="341"/>
      <c r="Z574" s="341"/>
      <c r="AA574" s="5"/>
      <c r="AB574" s="351">
        <f>OBRA!BT575</f>
        <v>0</v>
      </c>
      <c r="AC574" s="569"/>
      <c r="AE574"/>
      <c r="AF574"/>
      <c r="AG574"/>
      <c r="AH574"/>
      <c r="AI574"/>
      <c r="AJ574"/>
      <c r="AK574"/>
      <c r="AL574"/>
    </row>
    <row r="575" spans="1:38" ht="100.5" hidden="1" customHeight="1">
      <c r="A575" s="23" t="str">
        <f>GRAL!G578</f>
        <v>OBRA</v>
      </c>
      <c r="B575" s="933" t="str">
        <f>GRAL!B578</f>
        <v>2018-2021</v>
      </c>
      <c r="C575" s="17">
        <f>OBRA!I576</f>
        <v>2021</v>
      </c>
      <c r="D575" s="18" t="str">
        <f>OBRA!K576</f>
        <v>CUENTA CORRIENTE</v>
      </c>
      <c r="E575" s="525" t="s">
        <v>1431</v>
      </c>
      <c r="F575" s="1300"/>
      <c r="G575" s="239"/>
      <c r="H575" s="1300"/>
      <c r="I575" s="56" t="str">
        <f>OBRA!U576</f>
        <v>JESSICA MONSERRAT RIVERA TORRES</v>
      </c>
      <c r="J575" s="1279">
        <f>OBRA!V576</f>
        <v>0</v>
      </c>
      <c r="K575" s="20" t="str">
        <f>OBRA!L576</f>
        <v>GMJ 012C- OP/2021</v>
      </c>
      <c r="L575" s="2" t="str">
        <f>OBRA!M576</f>
        <v>CANCELADA</v>
      </c>
      <c r="M575" s="3" t="str">
        <f>OBRA!N576</f>
        <v>"REHABILITACIÓN DE POZO PROFUNDO UBICADO EN EL ATRIO DEL TEMPLO DEL SEÑOR DEL MONTE, EN LA CABECERA MUNICIPAL DE JOCOTEPEC, JALISCO.</v>
      </c>
      <c r="N575" s="597"/>
      <c r="O575" s="6">
        <f>OBRA!Q576</f>
        <v>0</v>
      </c>
      <c r="P575" s="4">
        <f>OBRA!P576</f>
        <v>144561.23000000001</v>
      </c>
      <c r="Q575" s="4"/>
      <c r="R575" s="5">
        <f>OBRA!R576</f>
        <v>44228</v>
      </c>
      <c r="S575" s="12">
        <f>OBRA!S576</f>
        <v>44255</v>
      </c>
      <c r="T575" s="55"/>
      <c r="U575" s="415" t="s">
        <v>1431</v>
      </c>
      <c r="V575" s="558"/>
      <c r="W575" s="559"/>
      <c r="X575" s="307">
        <f>OBRA!AP576</f>
        <v>0</v>
      </c>
      <c r="Y575" s="341"/>
      <c r="Z575" s="341"/>
      <c r="AA575" s="5"/>
      <c r="AB575" s="351">
        <f>OBRA!BT576</f>
        <v>0</v>
      </c>
      <c r="AC575" s="569"/>
      <c r="AE575"/>
      <c r="AF575"/>
      <c r="AG575"/>
      <c r="AH575"/>
      <c r="AI575"/>
      <c r="AJ575"/>
      <c r="AK575"/>
      <c r="AL575"/>
    </row>
    <row r="576" spans="1:38" ht="194.25" hidden="1" customHeight="1">
      <c r="A576" s="23" t="str">
        <f>GRAL!G579</f>
        <v>OBRA</v>
      </c>
      <c r="B576" s="933" t="str">
        <f>GRAL!B579</f>
        <v>2018-2021</v>
      </c>
      <c r="C576" s="17">
        <f>OBRA!I577</f>
        <v>2021</v>
      </c>
      <c r="D576" s="18" t="str">
        <f>OBRA!K577</f>
        <v>CUENTA CORRIENTE</v>
      </c>
      <c r="E576" s="525" t="s">
        <v>1431</v>
      </c>
      <c r="F576" s="1300"/>
      <c r="G576" s="239"/>
      <c r="H576" s="1300"/>
      <c r="I576" s="56" t="str">
        <f>OBRA!U577</f>
        <v xml:space="preserve">INFRAESTRUCTURA Y EDIFICACIONES OROZCO S.A. DE C.V. </v>
      </c>
      <c r="J576" s="1279" t="str">
        <f>OBRA!V577</f>
        <v xml:space="preserve">ING. ENRIQUE ENRÍQUEZ VÁZQUEZ </v>
      </c>
      <c r="K576" s="20"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OBRA!Q577</f>
        <v>44242</v>
      </c>
      <c r="P576" s="4">
        <f>OBRA!P577</f>
        <v>1127177.8999999999</v>
      </c>
      <c r="Q576" s="4"/>
      <c r="R576" s="5">
        <f>OBRA!R577</f>
        <v>44242</v>
      </c>
      <c r="S576" s="12">
        <f>OBRA!S577</f>
        <v>44332</v>
      </c>
      <c r="T576" s="55"/>
      <c r="U576" s="415" t="s">
        <v>1431</v>
      </c>
      <c r="V576" s="558"/>
      <c r="W576" s="559"/>
      <c r="X576" s="307">
        <f>OBRA!AP577</f>
        <v>494512.25999999995</v>
      </c>
      <c r="Y576" s="341"/>
      <c r="Z576" s="341"/>
      <c r="AA576" s="5"/>
      <c r="AB576" s="351">
        <f>OBRA!BT577</f>
        <v>0</v>
      </c>
      <c r="AC576" s="569"/>
      <c r="AE576"/>
      <c r="AF576"/>
      <c r="AG576"/>
      <c r="AH576"/>
      <c r="AI576"/>
      <c r="AJ576"/>
      <c r="AK576"/>
      <c r="AL576"/>
    </row>
    <row r="577" spans="1:38" ht="189.75" hidden="1" customHeight="1">
      <c r="A577" s="23" t="str">
        <f>GRAL!G580</f>
        <v>OBRA</v>
      </c>
      <c r="B577" s="933" t="str">
        <f>GRAL!B580</f>
        <v>2018-2021</v>
      </c>
      <c r="C577" s="17">
        <f>OBRA!I578</f>
        <v>2021</v>
      </c>
      <c r="D577" s="18" t="str">
        <f>OBRA!K578</f>
        <v>CUENTA CORRIENTE</v>
      </c>
      <c r="E577" s="525" t="s">
        <v>1431</v>
      </c>
      <c r="F577" s="1300"/>
      <c r="G577" s="239"/>
      <c r="H577" s="1300"/>
      <c r="I577" s="56" t="str">
        <f>OBRA!U578</f>
        <v>SUPERVISIÓN PROYECTOS Y LABORATORIO PARA LA CONSTRUCCIÓN, S.A. DE C.V.</v>
      </c>
      <c r="J577" s="1279" t="str">
        <f>OBRA!V578</f>
        <v xml:space="preserve">ING. ENRIQUE ENRÍQUEZ VÁZQUEZ </v>
      </c>
      <c r="K577" s="20"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OBRA!Q578</f>
        <v>44242</v>
      </c>
      <c r="P577" s="4">
        <f>OBRA!P578</f>
        <v>1311375.01</v>
      </c>
      <c r="Q577" s="4"/>
      <c r="R577" s="5">
        <f>OBRA!R578</f>
        <v>44242</v>
      </c>
      <c r="S577" s="12">
        <f>OBRA!S578</f>
        <v>44332</v>
      </c>
      <c r="T577" s="55"/>
      <c r="U577" s="415" t="s">
        <v>1431</v>
      </c>
      <c r="V577" s="558"/>
      <c r="W577" s="559"/>
      <c r="X577" s="307">
        <f>OBRA!AP578</f>
        <v>327843.75</v>
      </c>
      <c r="Y577" s="341"/>
      <c r="Z577" s="341"/>
      <c r="AA577" s="5"/>
      <c r="AB577" s="351">
        <f>OBRA!BT578</f>
        <v>0</v>
      </c>
      <c r="AC577" s="569"/>
      <c r="AE577"/>
      <c r="AF577"/>
      <c r="AG577"/>
      <c r="AH577"/>
      <c r="AI577"/>
      <c r="AJ577"/>
      <c r="AK577"/>
      <c r="AL577"/>
    </row>
    <row r="578" spans="1:38" ht="84.75" hidden="1" customHeight="1">
      <c r="A578" s="23" t="str">
        <f>GRAL!G581</f>
        <v>OBRA</v>
      </c>
      <c r="B578" s="933" t="str">
        <f>GRAL!B581</f>
        <v>2018-2021</v>
      </c>
      <c r="C578" s="17">
        <f>OBRA!I579</f>
        <v>2021</v>
      </c>
      <c r="D578" s="18" t="str">
        <f>OBRA!K579</f>
        <v>CUENTA CORRIENTE</v>
      </c>
      <c r="E578" s="525" t="s">
        <v>1431</v>
      </c>
      <c r="F578" s="1300"/>
      <c r="G578" s="239"/>
      <c r="H578" s="1300"/>
      <c r="I578" s="56" t="str">
        <f>OBRA!U579</f>
        <v>MARCO ANTONIO PAREDES RODRÍGUEZ</v>
      </c>
      <c r="J578" s="1279" t="str">
        <f>OBRA!V579</f>
        <v>ING. LUIS RIGOBERTO OLMEDO NAVARRO</v>
      </c>
      <c r="K578" s="20" t="str">
        <f>OBRA!L579</f>
        <v>GMJ 015C- OP/2021</v>
      </c>
      <c r="L578" s="2" t="str">
        <f>OBRA!M579</f>
        <v>ADJUDICACIÓN DIRECTA</v>
      </c>
      <c r="M578" s="3" t="str">
        <f>OBRA!N579</f>
        <v>"EQUIPAMIENTO DE POZO MORELOS" EN LA AGENCIA MINICIPAL DE NEXTIPAC, DEL MUNICIPIO DE JOCOTEPEC, JALISCO.</v>
      </c>
      <c r="N578" s="597"/>
      <c r="O578" s="6">
        <f>OBRA!Q579</f>
        <v>44305</v>
      </c>
      <c r="P578" s="4">
        <f>OBRA!P579</f>
        <v>347784.24</v>
      </c>
      <c r="Q578" s="4"/>
      <c r="R578" s="5">
        <f>OBRA!R579</f>
        <v>44378</v>
      </c>
      <c r="S578" s="12">
        <f>OBRA!S579</f>
        <v>44424</v>
      </c>
      <c r="T578" s="55"/>
      <c r="U578" s="415" t="s">
        <v>1431</v>
      </c>
      <c r="V578" s="558"/>
      <c r="W578" s="559"/>
      <c r="X578" s="307">
        <f>OBRA!AP579</f>
        <v>121724.48</v>
      </c>
      <c r="Y578" s="341"/>
      <c r="Z578" s="341"/>
      <c r="AA578" s="5"/>
      <c r="AB578" s="351">
        <f>OBRA!BT579</f>
        <v>0</v>
      </c>
      <c r="AC578" s="569"/>
      <c r="AE578"/>
      <c r="AF578"/>
      <c r="AG578"/>
      <c r="AH578"/>
      <c r="AI578"/>
      <c r="AJ578"/>
      <c r="AK578"/>
      <c r="AL578"/>
    </row>
    <row r="579" spans="1:38" ht="15" hidden="1" customHeight="1">
      <c r="A579" s="23" t="str">
        <f>GRAL!G582</f>
        <v>OBRA</v>
      </c>
      <c r="B579" s="933" t="str">
        <f>GRAL!B582</f>
        <v>2018-2021</v>
      </c>
      <c r="C579" s="17">
        <f>OBRA!I580</f>
        <v>2021</v>
      </c>
      <c r="D579" s="18" t="str">
        <f>OBRA!K580</f>
        <v>CUENTA CORRIENTE</v>
      </c>
      <c r="E579" s="525"/>
      <c r="F579" s="390"/>
      <c r="G579" s="1"/>
      <c r="H579" s="390"/>
      <c r="I579" s="56" t="str">
        <f>OBRA!U580</f>
        <v>CONVADI, S.A. DE C.V.</v>
      </c>
      <c r="J579" s="57" t="str">
        <f>OBRA!V580</f>
        <v>ING. ALEJANDRO SIGALA MOLINA</v>
      </c>
      <c r="K579" s="20"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2">
        <f>OBRA!S580</f>
        <v>44347</v>
      </c>
      <c r="T579" s="55"/>
      <c r="U579" s="415" t="s">
        <v>1431</v>
      </c>
      <c r="V579" s="341"/>
      <c r="W579" s="12"/>
      <c r="X579" s="306">
        <f>OBRA!AP580</f>
        <v>487596.5</v>
      </c>
      <c r="Y579" s="341"/>
      <c r="Z579" s="341"/>
      <c r="AA579" s="5"/>
      <c r="AB579" s="351">
        <f>OBRA!BT580</f>
        <v>0</v>
      </c>
      <c r="AC579" s="569"/>
      <c r="AE579"/>
      <c r="AF579"/>
      <c r="AG579"/>
      <c r="AH579"/>
      <c r="AI579"/>
      <c r="AJ579"/>
      <c r="AK579"/>
      <c r="AL579"/>
    </row>
    <row r="580" spans="1:38" ht="15" hidden="1" customHeight="1">
      <c r="A580" s="23" t="str">
        <f>GRAL!G583</f>
        <v>OBRA</v>
      </c>
      <c r="B580" s="933" t="str">
        <f>GRAL!B583</f>
        <v>2018-2021</v>
      </c>
      <c r="C580" s="17">
        <f>OBRA!I581</f>
        <v>2021</v>
      </c>
      <c r="D580" s="18" t="str">
        <f>OBRA!K581</f>
        <v>CUENTA CORRIENTE</v>
      </c>
      <c r="E580" s="525"/>
      <c r="F580" s="390"/>
      <c r="G580" s="1"/>
      <c r="H580" s="390"/>
      <c r="I580" s="56" t="str">
        <f>OBRA!U581</f>
        <v>GRUPO ARANGE, S.A. DE C.V.</v>
      </c>
      <c r="J580" s="57" t="str">
        <f>OBRA!V581</f>
        <v>LIC. SALVADOR CONTRERAS OLGUÍN</v>
      </c>
      <c r="K580" s="20"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2">
        <f>OBRA!S581</f>
        <v>44463</v>
      </c>
      <c r="T580" s="55"/>
      <c r="U580" s="415" t="s">
        <v>1431</v>
      </c>
      <c r="V580" s="341"/>
      <c r="W580" s="12"/>
      <c r="X580" s="306">
        <f>OBRA!AP581</f>
        <v>293535.69</v>
      </c>
      <c r="Y580" s="341"/>
      <c r="Z580" s="341"/>
      <c r="AA580" s="5"/>
      <c r="AB580" s="351">
        <f>OBRA!BT581</f>
        <v>0</v>
      </c>
      <c r="AC580" s="569"/>
      <c r="AE580"/>
      <c r="AF580"/>
      <c r="AG580"/>
      <c r="AH580"/>
      <c r="AI580"/>
      <c r="AJ580"/>
      <c r="AK580"/>
      <c r="AL580"/>
    </row>
    <row r="581" spans="1:38" ht="15" hidden="1" customHeight="1">
      <c r="A581" s="23" t="str">
        <f>GRAL!G584</f>
        <v>OBRA</v>
      </c>
      <c r="B581" s="933" t="str">
        <f>GRAL!B584</f>
        <v>2018-2021</v>
      </c>
      <c r="C581" s="17">
        <f>OBRA!I582</f>
        <v>2021</v>
      </c>
      <c r="D581" s="18" t="str">
        <f>OBRA!K582</f>
        <v>CUENTA CORRIENTE</v>
      </c>
      <c r="E581" s="525"/>
      <c r="F581" s="390"/>
      <c r="G581" s="1"/>
      <c r="H581" s="390"/>
      <c r="I581" s="56" t="str">
        <f>OBRA!U582</f>
        <v xml:space="preserve">ING. SERGIO CABRERA </v>
      </c>
      <c r="J581" s="57" t="str">
        <f>OBRA!V582</f>
        <v>ING. J. GUADALUPE IBARRA RAMIREZ</v>
      </c>
      <c r="K581" s="20"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2">
        <f>OBRA!S582</f>
        <v>44499</v>
      </c>
      <c r="T581" s="55"/>
      <c r="U581" s="415" t="s">
        <v>1431</v>
      </c>
      <c r="V581" s="341"/>
      <c r="W581" s="12"/>
      <c r="X581" s="306">
        <f>OBRA!AP582</f>
        <v>0</v>
      </c>
      <c r="Y581" s="341"/>
      <c r="Z581" s="341"/>
      <c r="AA581" s="5"/>
      <c r="AB581" s="351">
        <f>OBRA!BT582</f>
        <v>0</v>
      </c>
      <c r="AC581" s="569"/>
      <c r="AE581"/>
      <c r="AF581"/>
      <c r="AG581"/>
      <c r="AH581"/>
      <c r="AI581"/>
      <c r="AJ581"/>
      <c r="AK581"/>
      <c r="AL581"/>
    </row>
    <row r="582" spans="1:38" ht="15" hidden="1" customHeight="1">
      <c r="A582" s="23" t="s">
        <v>2239</v>
      </c>
      <c r="B582" s="933" t="str">
        <f>GRAL!B585</f>
        <v>2021-2024</v>
      </c>
      <c r="C582" s="17">
        <f>OBRA!I583</f>
        <v>2021</v>
      </c>
      <c r="D582" s="18" t="str">
        <f>OBRA!K583</f>
        <v xml:space="preserve">CULTURA CARDINAL </v>
      </c>
      <c r="E582" s="525"/>
      <c r="F582" s="390"/>
      <c r="G582" s="1"/>
      <c r="H582" s="390"/>
      <c r="I582" s="56" t="str">
        <f>OBRA!U583</f>
        <v>N/A</v>
      </c>
      <c r="J582" s="57" t="str">
        <f>OBRA!V583</f>
        <v>ARQ. JAIME CONDE GOMEZ</v>
      </c>
      <c r="K582" s="20"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2">
        <f>OBRA!S583</f>
        <v>44561</v>
      </c>
      <c r="T582" s="55"/>
      <c r="U582" s="415" t="s">
        <v>1431</v>
      </c>
      <c r="V582" s="341"/>
      <c r="W582" s="12"/>
      <c r="X582" s="306">
        <f>OBRA!AP583</f>
        <v>0</v>
      </c>
      <c r="Y582" s="341"/>
      <c r="Z582" s="341"/>
      <c r="AA582" s="5"/>
      <c r="AB582" s="351">
        <f>OBRA!BT583</f>
        <v>0</v>
      </c>
      <c r="AC582" s="569"/>
      <c r="AE582"/>
      <c r="AF582"/>
      <c r="AG582"/>
      <c r="AH582"/>
      <c r="AI582"/>
      <c r="AJ582"/>
      <c r="AK582"/>
      <c r="AL582"/>
    </row>
    <row r="583" spans="1:38" ht="72.75" hidden="1" customHeight="1">
      <c r="A583" s="23" t="s">
        <v>2239</v>
      </c>
      <c r="B583" s="933" t="str">
        <f>GRAL!B587</f>
        <v>2021-2024</v>
      </c>
      <c r="C583" s="17">
        <f>OBRA!I585</f>
        <v>2021</v>
      </c>
      <c r="D583" s="18" t="str">
        <f>OBRA!K585</f>
        <v>CUENTA CORRIENTE</v>
      </c>
      <c r="E583" s="525" t="s">
        <v>1431</v>
      </c>
      <c r="F583" s="1541" t="s">
        <v>1431</v>
      </c>
      <c r="G583" s="239"/>
      <c r="H583" s="390" t="s">
        <v>1431</v>
      </c>
      <c r="I583" s="56" t="str">
        <f>OBRA!V584</f>
        <v>ING. J. GUADALUPE IBARRA RAMIREZ</v>
      </c>
      <c r="J583" s="57">
        <f>OBRA!V585</f>
        <v>0</v>
      </c>
      <c r="K583" s="35" t="str">
        <f>OBRA!L585</f>
        <v>C.P.S.P. D.O.P. 001/2021</v>
      </c>
      <c r="L583" s="2" t="str">
        <f>OBRA!M585</f>
        <v>SERVICIOS</v>
      </c>
      <c r="M583" s="3" t="str">
        <f>OBRA!N585</f>
        <v>ESTUDIO DE MECÁNICA DE SUELOS Y EL ESTUDIO DE CÁLCULO ESTRUCTURAL EN LA ESCUELA JOSÉ SANTANA, EN LA CABECERA MUNICIPAL DE JOCOTEPEC, JALISCO.</v>
      </c>
      <c r="N583" s="554" t="s">
        <v>3862</v>
      </c>
      <c r="O583" s="6">
        <f>OBRA!Q585</f>
        <v>44512</v>
      </c>
      <c r="P583" s="4">
        <f>OBRA!P585</f>
        <v>42920</v>
      </c>
      <c r="Q583" s="4" t="s">
        <v>68</v>
      </c>
      <c r="R583" s="5" t="str">
        <f>OBRA!R585</f>
        <v>-</v>
      </c>
      <c r="S583" s="12" t="str">
        <f>OBRA!S585</f>
        <v>-</v>
      </c>
      <c r="T583" s="1601" t="s">
        <v>5755</v>
      </c>
      <c r="U583" s="415" t="s">
        <v>1431</v>
      </c>
      <c r="V583" s="344" t="s">
        <v>1431</v>
      </c>
      <c r="W583" s="12" t="s">
        <v>1431</v>
      </c>
      <c r="X583" s="306">
        <f>OBRA!AP585</f>
        <v>0</v>
      </c>
      <c r="Y583" s="341"/>
      <c r="Z583" s="341"/>
      <c r="AA583" s="5"/>
      <c r="AB583" s="351">
        <f>OBRA!BT585</f>
        <v>0</v>
      </c>
      <c r="AC583" s="569"/>
      <c r="AE583"/>
      <c r="AF583"/>
      <c r="AG583"/>
      <c r="AH583"/>
      <c r="AI583"/>
      <c r="AJ583"/>
      <c r="AK583"/>
      <c r="AL583"/>
    </row>
    <row r="584" spans="1:38" ht="69.75" hidden="1" customHeight="1">
      <c r="A584" s="23" t="s">
        <v>2239</v>
      </c>
      <c r="B584" s="933" t="str">
        <f>GRAL!B588</f>
        <v>2021-2024</v>
      </c>
      <c r="C584" s="17">
        <f>OBRA!I586</f>
        <v>2021</v>
      </c>
      <c r="D584" s="18" t="str">
        <f>OBRA!K586</f>
        <v>CUENTA CORRIENTE</v>
      </c>
      <c r="E584" s="525" t="s">
        <v>1431</v>
      </c>
      <c r="F584" s="1541" t="s">
        <v>1431</v>
      </c>
      <c r="G584" s="239"/>
      <c r="H584" s="390" t="s">
        <v>1431</v>
      </c>
      <c r="I584" s="56">
        <f>OBRA!V585</f>
        <v>0</v>
      </c>
      <c r="J584" s="57">
        <f>OBRA!V586</f>
        <v>0</v>
      </c>
      <c r="K584" s="35" t="str">
        <f>OBRA!L586</f>
        <v>C.P.S.P. D.O.P. 002/2021</v>
      </c>
      <c r="L584" s="2" t="str">
        <f>OBRA!M586</f>
        <v>SERVICIOS</v>
      </c>
      <c r="M584" s="3" t="str">
        <f>OBRA!N586</f>
        <v>DESLINDE DE PREDIO UBICADO EN CARRETERA JOCOTEPEC-CHAPALA, ESQUINA CALLE CRISTOBAL COLÓN, EN LA LOCALIDAD DE NEXTIPAC, DEL MUNICIPIO DE JOCOTEPEC. JALISCO.</v>
      </c>
      <c r="N584" s="554" t="s">
        <v>3862</v>
      </c>
      <c r="O584" s="6">
        <f>OBRA!Q586</f>
        <v>44512</v>
      </c>
      <c r="P584" s="4">
        <f>OBRA!P586</f>
        <v>5800</v>
      </c>
      <c r="Q584" s="4" t="s">
        <v>68</v>
      </c>
      <c r="R584" s="5" t="str">
        <f>OBRA!R586</f>
        <v>-</v>
      </c>
      <c r="S584" s="12" t="str">
        <f>OBRA!S586</f>
        <v>-</v>
      </c>
      <c r="T584" s="1601" t="s">
        <v>5755</v>
      </c>
      <c r="U584" s="415" t="s">
        <v>1431</v>
      </c>
      <c r="V584" s="344" t="s">
        <v>1431</v>
      </c>
      <c r="W584" s="12" t="s">
        <v>1431</v>
      </c>
      <c r="X584" s="306">
        <f>OBRA!AP586</f>
        <v>0</v>
      </c>
      <c r="Y584" s="341"/>
      <c r="Z584" s="341"/>
      <c r="AA584" s="5"/>
      <c r="AB584" s="351">
        <f>OBRA!BT586</f>
        <v>0</v>
      </c>
      <c r="AC584" s="569"/>
      <c r="AE584"/>
      <c r="AF584"/>
      <c r="AG584"/>
      <c r="AH584"/>
      <c r="AI584"/>
      <c r="AJ584"/>
      <c r="AK584"/>
      <c r="AL584"/>
    </row>
    <row r="585" spans="1:38" ht="192.75" hidden="1" customHeight="1">
      <c r="A585" s="23" t="s">
        <v>2239</v>
      </c>
      <c r="B585" s="933" t="str">
        <f>GRAL!B589</f>
        <v>2021-2024</v>
      </c>
      <c r="C585" s="17">
        <f>OBRA!I587</f>
        <v>2021</v>
      </c>
      <c r="D585" s="18" t="str">
        <f>OBRA!K587</f>
        <v>CUENTA CORRIENTE</v>
      </c>
      <c r="E585" s="525" t="s">
        <v>1431</v>
      </c>
      <c r="F585" s="1541" t="s">
        <v>1431</v>
      </c>
      <c r="G585" s="239"/>
      <c r="H585" s="390" t="s">
        <v>1431</v>
      </c>
      <c r="I585" s="56">
        <f>OBRA!V586</f>
        <v>0</v>
      </c>
      <c r="J585" s="57">
        <f>OBRA!V587</f>
        <v>0</v>
      </c>
      <c r="K585" s="35"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54" t="s">
        <v>3862</v>
      </c>
      <c r="O585" s="6">
        <f>OBRA!Q587</f>
        <v>44515</v>
      </c>
      <c r="P585" s="4">
        <f>OBRA!P587</f>
        <v>34800</v>
      </c>
      <c r="Q585" s="4" t="s">
        <v>68</v>
      </c>
      <c r="R585" s="5" t="str">
        <f>OBRA!R587</f>
        <v>-</v>
      </c>
      <c r="S585" s="12" t="str">
        <f>OBRA!S587</f>
        <v>-</v>
      </c>
      <c r="T585" s="1601" t="s">
        <v>5755</v>
      </c>
      <c r="U585" s="415" t="s">
        <v>1431</v>
      </c>
      <c r="V585" s="344" t="s">
        <v>1431</v>
      </c>
      <c r="W585" s="12" t="s">
        <v>1431</v>
      </c>
      <c r="X585" s="306">
        <f>OBRA!AP587</f>
        <v>0</v>
      </c>
      <c r="Y585" s="341"/>
      <c r="Z585" s="341"/>
      <c r="AA585" s="5"/>
      <c r="AB585" s="351">
        <f>OBRA!BT587</f>
        <v>0</v>
      </c>
      <c r="AC585" s="569"/>
      <c r="AE585"/>
      <c r="AF585"/>
      <c r="AG585"/>
      <c r="AH585"/>
      <c r="AI585"/>
      <c r="AJ585"/>
      <c r="AK585"/>
      <c r="AL585"/>
    </row>
    <row r="586" spans="1:38" ht="83.25" hidden="1" customHeight="1">
      <c r="A586" s="23" t="s">
        <v>2239</v>
      </c>
      <c r="B586" s="933" t="str">
        <f>GRAL!B590</f>
        <v>2021-2024</v>
      </c>
      <c r="C586" s="17">
        <f>OBRA!I588</f>
        <v>2021</v>
      </c>
      <c r="D586" s="18" t="str">
        <f>OBRA!K588</f>
        <v>CUENTA CORRIENTE</v>
      </c>
      <c r="E586" s="525" t="s">
        <v>1431</v>
      </c>
      <c r="F586" s="1541" t="s">
        <v>1431</v>
      </c>
      <c r="G586" s="239"/>
      <c r="H586" s="390" t="s">
        <v>1431</v>
      </c>
      <c r="I586" s="56">
        <f>OBRA!V587</f>
        <v>0</v>
      </c>
      <c r="J586" s="57">
        <f>OBRA!V588</f>
        <v>0</v>
      </c>
      <c r="K586" s="35"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54" t="s">
        <v>3862</v>
      </c>
      <c r="O586" s="6">
        <f>OBRA!Q588</f>
        <v>44533</v>
      </c>
      <c r="P586" s="4">
        <f>OBRA!P588</f>
        <v>28999.999999999996</v>
      </c>
      <c r="Q586" s="4" t="s">
        <v>68</v>
      </c>
      <c r="R586" s="5">
        <f>OBRA!R588</f>
        <v>44543</v>
      </c>
      <c r="S586" s="12">
        <f>OBRA!S588</f>
        <v>44546</v>
      </c>
      <c r="T586" s="1601" t="s">
        <v>5755</v>
      </c>
      <c r="U586" s="415" t="s">
        <v>1431</v>
      </c>
      <c r="V586" s="344" t="s">
        <v>1431</v>
      </c>
      <c r="W586" s="12" t="s">
        <v>1431</v>
      </c>
      <c r="X586" s="306">
        <f>OBRA!AP588</f>
        <v>0</v>
      </c>
      <c r="Y586" s="341"/>
      <c r="Z586" s="341"/>
      <c r="AA586" s="5"/>
      <c r="AB586" s="351">
        <f>OBRA!BT588</f>
        <v>0</v>
      </c>
      <c r="AC586" s="569"/>
      <c r="AE586"/>
      <c r="AF586"/>
      <c r="AG586"/>
      <c r="AH586"/>
      <c r="AI586"/>
      <c r="AJ586"/>
      <c r="AK586"/>
      <c r="AL586"/>
    </row>
    <row r="587" spans="1:38" ht="15" hidden="1" customHeight="1">
      <c r="A587" s="23" t="s">
        <v>2239</v>
      </c>
      <c r="B587" s="933" t="str">
        <f>GRAL!B591</f>
        <v>2021-2024</v>
      </c>
      <c r="C587" s="17">
        <f>OBRA!I589</f>
        <v>2021</v>
      </c>
      <c r="D587" s="18">
        <f>OBRA!K589</f>
        <v>0</v>
      </c>
      <c r="E587" s="525"/>
      <c r="F587" s="390"/>
      <c r="G587" s="1"/>
      <c r="H587" s="390"/>
      <c r="I587" s="56" t="str">
        <f>OBRA!U589</f>
        <v xml:space="preserve">ING. SERGIO CABRERA </v>
      </c>
      <c r="J587" s="57" t="str">
        <f>OBRA!V589</f>
        <v>ING. J. GUADALUPE IBARRA RAMIREZ</v>
      </c>
      <c r="K587" s="20" t="str">
        <f>OBRA!L589</f>
        <v>GMJ 001C- OP/2021</v>
      </c>
      <c r="L587" s="2" t="str">
        <f>OBRA!M589</f>
        <v>CANCELADA</v>
      </c>
      <c r="M587" s="3">
        <f>OBRA!N589</f>
        <v>0</v>
      </c>
      <c r="N587" s="3"/>
      <c r="O587" s="6">
        <f>OBRA!Q589</f>
        <v>0</v>
      </c>
      <c r="P587" s="4">
        <f>OBRA!P589</f>
        <v>0</v>
      </c>
      <c r="Q587" s="4"/>
      <c r="R587" s="5">
        <f>OBRA!R589</f>
        <v>0</v>
      </c>
      <c r="S587" s="12">
        <f>OBRA!S589</f>
        <v>0</v>
      </c>
      <c r="T587" s="55"/>
      <c r="U587" s="415" t="s">
        <v>1431</v>
      </c>
      <c r="V587" s="341"/>
      <c r="W587" s="12"/>
      <c r="X587" s="306">
        <f>OBRA!AP589</f>
        <v>0</v>
      </c>
      <c r="Y587" s="341"/>
      <c r="Z587" s="341"/>
      <c r="AA587" s="5"/>
      <c r="AB587" s="351">
        <f>OBRA!BT589</f>
        <v>0</v>
      </c>
      <c r="AC587" s="569"/>
      <c r="AE587"/>
      <c r="AF587"/>
      <c r="AG587"/>
      <c r="AH587"/>
      <c r="AI587"/>
      <c r="AJ587"/>
      <c r="AK587"/>
      <c r="AL587"/>
    </row>
    <row r="588" spans="1:38" ht="15" hidden="1" customHeight="1">
      <c r="A588" s="23" t="s">
        <v>2239</v>
      </c>
      <c r="B588" s="933" t="str">
        <f>GRAL!B592</f>
        <v>2021-2024</v>
      </c>
      <c r="C588" s="17">
        <f>OBRA!I590</f>
        <v>2021</v>
      </c>
      <c r="D588" s="18" t="str">
        <f>OBRA!K590</f>
        <v>CUENTA CORRIENTE</v>
      </c>
      <c r="E588" s="525"/>
      <c r="F588" s="390"/>
      <c r="G588" s="1"/>
      <c r="H588" s="390"/>
      <c r="I588" s="56" t="str">
        <f>OBRA!U590</f>
        <v>ING. SERGIO CABRERA</v>
      </c>
      <c r="J588" s="57" t="str">
        <f>OBRA!V590</f>
        <v>ING. J. GUADALUPE IBARRA RAMIREZ</v>
      </c>
      <c r="K588" s="20"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2">
        <f>OBRA!S590</f>
        <v>44548</v>
      </c>
      <c r="T588" s="55"/>
      <c r="U588" s="415" t="s">
        <v>1431</v>
      </c>
      <c r="V588" s="341"/>
      <c r="W588" s="12"/>
      <c r="X588" s="306">
        <f>OBRA!AP590</f>
        <v>0</v>
      </c>
      <c r="Y588" s="341"/>
      <c r="Z588" s="341"/>
      <c r="AA588" s="5"/>
      <c r="AB588" s="351">
        <f>OBRA!BT590</f>
        <v>0</v>
      </c>
      <c r="AC588" s="569"/>
      <c r="AE588"/>
      <c r="AF588"/>
      <c r="AG588"/>
      <c r="AH588"/>
      <c r="AI588"/>
      <c r="AJ588"/>
      <c r="AK588"/>
      <c r="AL588"/>
    </row>
    <row r="589" spans="1:38" ht="15" hidden="1" customHeight="1">
      <c r="A589" s="23" t="s">
        <v>2239</v>
      </c>
      <c r="B589" s="933" t="str">
        <f>GRAL!B593</f>
        <v>2021-2024</v>
      </c>
      <c r="C589" s="17">
        <f>OBRA!I591</f>
        <v>2021</v>
      </c>
      <c r="D589" s="18" t="str">
        <f>OBRA!K591</f>
        <v>RAMO 33</v>
      </c>
      <c r="E589" s="525"/>
      <c r="F589" s="390"/>
      <c r="G589" s="1"/>
      <c r="H589" s="390"/>
      <c r="I589" s="56" t="str">
        <f>OBRA!U591</f>
        <v>ING. SERGIO CABRERA</v>
      </c>
      <c r="J589" s="57" t="str">
        <f>OBRA!V591</f>
        <v>ING. J. GUADALUPE IBARRA RAMIREZ</v>
      </c>
      <c r="K589" s="20"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2">
        <f>OBRA!S591</f>
        <v>44560</v>
      </c>
      <c r="T589" s="55"/>
      <c r="U589" s="415" t="s">
        <v>1431</v>
      </c>
      <c r="V589" s="341"/>
      <c r="W589" s="12"/>
      <c r="X589" s="306">
        <f>OBRA!AP591</f>
        <v>34713.03</v>
      </c>
      <c r="Y589" s="341"/>
      <c r="Z589" s="341"/>
      <c r="AA589" s="5"/>
      <c r="AB589" s="351">
        <f>OBRA!BT591</f>
        <v>0</v>
      </c>
      <c r="AC589" s="569"/>
      <c r="AE589"/>
      <c r="AF589"/>
      <c r="AG589"/>
      <c r="AH589"/>
      <c r="AI589"/>
      <c r="AJ589"/>
      <c r="AK589"/>
      <c r="AL589"/>
    </row>
    <row r="590" spans="1:38" ht="15" hidden="1" customHeight="1">
      <c r="A590" s="23" t="s">
        <v>2239</v>
      </c>
      <c r="B590" s="933" t="str">
        <f>GRAL!B594</f>
        <v>2021-2024</v>
      </c>
      <c r="C590" s="17">
        <f>OBRA!I592</f>
        <v>2021</v>
      </c>
      <c r="D590" s="18" t="str">
        <f>OBRA!K592</f>
        <v>RAMO 33</v>
      </c>
      <c r="E590" s="525"/>
      <c r="F590" s="390"/>
      <c r="G590" s="1"/>
      <c r="H590" s="390"/>
      <c r="I590" s="56" t="str">
        <f>OBRA!U592</f>
        <v>ING. SERGIO CABRERA</v>
      </c>
      <c r="J590" s="57" t="str">
        <f>OBRA!V592</f>
        <v>ING. J. GUADALUPE IBARRA RAMIREZ</v>
      </c>
      <c r="K590" s="20"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2">
        <f>OBRA!S592</f>
        <v>44530</v>
      </c>
      <c r="T590" s="55"/>
      <c r="U590" s="415" t="s">
        <v>1431</v>
      </c>
      <c r="V590" s="341"/>
      <c r="W590" s="12"/>
      <c r="X590" s="306">
        <f>OBRA!AP592</f>
        <v>79106.41</v>
      </c>
      <c r="Y590" s="341"/>
      <c r="Z590" s="341"/>
      <c r="AA590" s="5"/>
      <c r="AB590" s="351">
        <f>OBRA!BT592</f>
        <v>0</v>
      </c>
      <c r="AC590" s="569"/>
      <c r="AE590"/>
      <c r="AF590"/>
      <c r="AG590"/>
      <c r="AH590"/>
      <c r="AI590"/>
      <c r="AJ590"/>
      <c r="AK590"/>
      <c r="AL590"/>
    </row>
    <row r="591" spans="1:38" ht="15" hidden="1" customHeight="1">
      <c r="A591" s="23" t="s">
        <v>2239</v>
      </c>
      <c r="B591" s="933" t="str">
        <f>GRAL!B595</f>
        <v>2021-2024</v>
      </c>
      <c r="C591" s="17">
        <f>OBRA!I593</f>
        <v>2021</v>
      </c>
      <c r="D591" s="18" t="str">
        <f>OBRA!K593</f>
        <v>RAMO 33</v>
      </c>
      <c r="E591" s="525"/>
      <c r="F591" s="390"/>
      <c r="G591" s="1"/>
      <c r="H591" s="390"/>
      <c r="I591" s="56" t="str">
        <f>OBRA!U593</f>
        <v>PLANOS Y OBRAS LODEIRO S.A. DE C.V.</v>
      </c>
      <c r="J591" s="57" t="str">
        <f>OBRA!V593</f>
        <v>ING. J. GUADALUPE IBARRA RAMIREZ</v>
      </c>
      <c r="K591" s="20"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2">
        <f>OBRA!S593</f>
        <v>44558</v>
      </c>
      <c r="T591" s="55"/>
      <c r="U591" s="415" t="s">
        <v>1431</v>
      </c>
      <c r="V591" s="341"/>
      <c r="W591" s="12"/>
      <c r="X591" s="306">
        <f>OBRA!AP593</f>
        <v>20028.86</v>
      </c>
      <c r="Y591" s="341"/>
      <c r="Z591" s="341"/>
      <c r="AA591" s="5"/>
      <c r="AB591" s="351">
        <f>OBRA!BT593</f>
        <v>0</v>
      </c>
      <c r="AC591" s="569"/>
      <c r="AE591"/>
      <c r="AF591"/>
      <c r="AG591"/>
      <c r="AH591"/>
      <c r="AI591"/>
      <c r="AJ591"/>
      <c r="AK591"/>
      <c r="AL591"/>
    </row>
    <row r="592" spans="1:38" ht="15" hidden="1" customHeight="1">
      <c r="A592" s="23" t="s">
        <v>2239</v>
      </c>
      <c r="B592" s="933" t="str">
        <f>GRAL!B596</f>
        <v>2021-2024</v>
      </c>
      <c r="C592" s="17">
        <f>OBRA!I594</f>
        <v>2021</v>
      </c>
      <c r="D592" s="18" t="str">
        <f>OBRA!K594</f>
        <v>RAMO 33</v>
      </c>
      <c r="E592" s="525"/>
      <c r="F592" s="390"/>
      <c r="G592" s="1"/>
      <c r="H592" s="390"/>
      <c r="I592" s="56" t="str">
        <f>OBRA!U594</f>
        <v>ING. SERGIO CABRERA</v>
      </c>
      <c r="J592" s="57" t="str">
        <f>OBRA!V594</f>
        <v>ING. J. GUADALUPE IBARRA RAMIREZ</v>
      </c>
      <c r="K592" s="20"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2">
        <f>OBRA!S594</f>
        <v>44559</v>
      </c>
      <c r="T592" s="55"/>
      <c r="U592" s="415" t="s">
        <v>1431</v>
      </c>
      <c r="V592" s="341"/>
      <c r="W592" s="12"/>
      <c r="X592" s="306">
        <f>OBRA!AP594</f>
        <v>50552.68</v>
      </c>
      <c r="Y592" s="341"/>
      <c r="Z592" s="341"/>
      <c r="AA592" s="5"/>
      <c r="AB592" s="351">
        <f>OBRA!BT594</f>
        <v>0</v>
      </c>
      <c r="AC592" s="569"/>
      <c r="AE592"/>
      <c r="AF592"/>
      <c r="AG592"/>
      <c r="AH592"/>
      <c r="AI592"/>
      <c r="AJ592"/>
      <c r="AK592"/>
      <c r="AL592"/>
    </row>
    <row r="593" spans="1:38" ht="15" hidden="1" customHeight="1">
      <c r="A593" s="23" t="s">
        <v>2239</v>
      </c>
      <c r="B593" s="933" t="str">
        <f>GRAL!B597</f>
        <v>2021-2024</v>
      </c>
      <c r="C593" s="17">
        <f>OBRA!I595</f>
        <v>2021</v>
      </c>
      <c r="D593" s="18" t="str">
        <f>OBRA!K595</f>
        <v>CUENTA CORRIENTE</v>
      </c>
      <c r="E593" s="525"/>
      <c r="F593" s="390"/>
      <c r="G593" s="1"/>
      <c r="H593" s="390"/>
      <c r="I593" s="56" t="str">
        <f>OBRA!U595</f>
        <v>ING. SERGIO CABRERA</v>
      </c>
      <c r="J593" s="57" t="str">
        <f>OBRA!V595</f>
        <v>C. DANIEL RODRIGUEZ VALENZUELA</v>
      </c>
      <c r="K593" s="20"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2">
        <f>OBRA!S595</f>
        <v>44569</v>
      </c>
      <c r="T593" s="55"/>
      <c r="U593" s="415" t="s">
        <v>1431</v>
      </c>
      <c r="V593" s="341"/>
      <c r="W593" s="12"/>
      <c r="X593" s="306">
        <f>OBRA!AP595</f>
        <v>72003.100000000006</v>
      </c>
      <c r="Y593" s="341"/>
      <c r="Z593" s="341"/>
      <c r="AA593" s="5"/>
      <c r="AB593" s="351">
        <f>OBRA!BT595</f>
        <v>0</v>
      </c>
      <c r="AC593" s="569"/>
      <c r="AE593"/>
      <c r="AF593"/>
      <c r="AG593"/>
      <c r="AH593"/>
      <c r="AI593"/>
      <c r="AJ593"/>
      <c r="AK593"/>
      <c r="AL593"/>
    </row>
    <row r="594" spans="1:38" ht="15" hidden="1" customHeight="1">
      <c r="A594" s="23" t="s">
        <v>2239</v>
      </c>
      <c r="B594" s="933" t="str">
        <f>GRAL!B598</f>
        <v>2021-2024</v>
      </c>
      <c r="C594" s="17">
        <f>OBRA!I596</f>
        <v>2022</v>
      </c>
      <c r="D594" s="18" t="str">
        <f>OBRA!K596</f>
        <v>CUENTA CORRIENTE</v>
      </c>
      <c r="E594" s="1374"/>
      <c r="F594" s="1300"/>
      <c r="G594" s="239"/>
      <c r="H594" s="1300"/>
      <c r="I594" s="56" t="str">
        <f>OBRA!U596</f>
        <v>N/A</v>
      </c>
      <c r="J594" s="57" t="str">
        <f>OBRA!V596</f>
        <v>ARQ. JAIME CONDE GOMEZ</v>
      </c>
      <c r="K594" s="20" t="str">
        <f>OBRA!L596</f>
        <v>DOP/AD/001/2022</v>
      </c>
      <c r="L594" s="2" t="str">
        <f>OBRA!M596</f>
        <v>ADMINISTRACIÓN DIRECTA</v>
      </c>
      <c r="M594" s="3" t="str">
        <f>OBRA!N596</f>
        <v>CUARTO DE EMERGENCIA PARA MUJERES EN SITUACIÓN DE VIOLENCIA EXTREMA…</v>
      </c>
      <c r="N594" s="597"/>
      <c r="O594" s="6">
        <f>OBRA!Q596</f>
        <v>44693</v>
      </c>
      <c r="P594" s="4">
        <f>OBRA!P596</f>
        <v>70000</v>
      </c>
      <c r="Q594" s="4"/>
      <c r="R594" s="5">
        <f>OBRA!R596</f>
        <v>44697</v>
      </c>
      <c r="S594" s="12">
        <f>OBRA!S596</f>
        <v>44728</v>
      </c>
      <c r="T594" s="792"/>
      <c r="U594" s="223"/>
      <c r="V594" s="558"/>
      <c r="W594" s="559"/>
      <c r="X594" s="590">
        <f>OBRA!AP596</f>
        <v>0</v>
      </c>
      <c r="Y594" s="341"/>
      <c r="Z594" s="341"/>
      <c r="AA594" s="5"/>
      <c r="AB594" s="351">
        <f>OBRA!BT596</f>
        <v>0</v>
      </c>
      <c r="AC594" s="569"/>
      <c r="AE594"/>
      <c r="AF594"/>
      <c r="AG594"/>
      <c r="AH594"/>
      <c r="AI594"/>
      <c r="AJ594"/>
      <c r="AK594"/>
      <c r="AL594"/>
    </row>
    <row r="595" spans="1:38" ht="15" hidden="1" customHeight="1">
      <c r="A595" s="23" t="s">
        <v>2239</v>
      </c>
      <c r="B595" s="933" t="str">
        <f>GRAL!B599</f>
        <v>2021-2024</v>
      </c>
      <c r="C595" s="17">
        <f>OBRA!I597</f>
        <v>2022</v>
      </c>
      <c r="D595" s="18" t="str">
        <f>OBRA!K597</f>
        <v>RAMO 33</v>
      </c>
      <c r="E595" s="1374"/>
      <c r="F595" s="1300"/>
      <c r="G595" s="239"/>
      <c r="H595" s="1300"/>
      <c r="I595" s="56" t="str">
        <f>OBRA!U597</f>
        <v>N/A</v>
      </c>
      <c r="J595" s="57" t="str">
        <f>OBRA!V597</f>
        <v>ING. LUIS RIGOBERTO OLMEDO NAVARRO</v>
      </c>
      <c r="K595" s="20" t="str">
        <f>OBRA!L597</f>
        <v>DOP/AD/002/2022</v>
      </c>
      <c r="L595" s="2" t="str">
        <f>OBRA!M597</f>
        <v>ADMINISTRACIÓN DIRECTA</v>
      </c>
      <c r="M595" s="3" t="str">
        <f>OBRA!N597</f>
        <v>"CONSTRUCCIÓN DE BANQUETAS EN EL PUENTE 20 DE NOVIEMBRE", EN LA LOCALIDAD DE ZAPOTITÁN DE HIDALGO, DEL MUNICIPIO DE JOCOTEPEC, JALISCO.</v>
      </c>
      <c r="N595" s="597"/>
      <c r="O595" s="6">
        <f>OBRA!Q597</f>
        <v>44707</v>
      </c>
      <c r="P595" s="4">
        <f>OBRA!P597</f>
        <v>60152.28</v>
      </c>
      <c r="Q595" s="4"/>
      <c r="R595" s="5">
        <f>OBRA!R597</f>
        <v>44718</v>
      </c>
      <c r="S595" s="12">
        <f>OBRA!S597</f>
        <v>44726</v>
      </c>
      <c r="T595" s="792"/>
      <c r="U595" s="223"/>
      <c r="V595" s="558"/>
      <c r="W595" s="559"/>
      <c r="X595" s="590">
        <f>OBRA!AP597</f>
        <v>0</v>
      </c>
      <c r="Y595" s="341"/>
      <c r="Z595" s="341"/>
      <c r="AA595" s="5"/>
      <c r="AB595" s="351">
        <f>OBRA!BT597</f>
        <v>0</v>
      </c>
      <c r="AC595" s="569"/>
      <c r="AE595"/>
      <c r="AF595"/>
      <c r="AG595"/>
      <c r="AH595"/>
      <c r="AI595"/>
      <c r="AJ595"/>
      <c r="AK595"/>
      <c r="AL595"/>
    </row>
    <row r="596" spans="1:38" ht="15" hidden="1" customHeight="1">
      <c r="A596" s="23" t="s">
        <v>2239</v>
      </c>
      <c r="B596" s="933" t="str">
        <f>GRAL!B600</f>
        <v>2021-2024</v>
      </c>
      <c r="C596" s="17">
        <f>OBRA!I598</f>
        <v>2022</v>
      </c>
      <c r="D596" s="18" t="str">
        <f>OBRA!K598</f>
        <v>CUENTA CORRIENTE</v>
      </c>
      <c r="E596" s="1374"/>
      <c r="F596" s="1300"/>
      <c r="G596" s="239"/>
      <c r="H596" s="1300"/>
      <c r="I596" s="56" t="str">
        <f>OBRA!U598</f>
        <v>N/A</v>
      </c>
      <c r="J596" s="57" t="str">
        <f>OBRA!V598</f>
        <v>ING. LUIS RIGOBERTO OLMEDO NAVARRO</v>
      </c>
      <c r="K596" s="20"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97"/>
      <c r="O596" s="6">
        <f>OBRA!Q598</f>
        <v>44777</v>
      </c>
      <c r="P596" s="4">
        <f>OBRA!P598</f>
        <v>81200</v>
      </c>
      <c r="Q596" s="4"/>
      <c r="R596" s="5">
        <f>OBRA!R598</f>
        <v>44781</v>
      </c>
      <c r="S596" s="12">
        <f>OBRA!S598</f>
        <v>44799</v>
      </c>
      <c r="T596" s="792"/>
      <c r="U596" s="223"/>
      <c r="V596" s="558"/>
      <c r="W596" s="559"/>
      <c r="X596" s="590">
        <f>OBRA!AP598</f>
        <v>0</v>
      </c>
      <c r="Y596" s="341"/>
      <c r="Z596" s="341"/>
      <c r="AA596" s="5"/>
      <c r="AB596" s="351">
        <f>OBRA!BT598</f>
        <v>0</v>
      </c>
      <c r="AC596" s="569"/>
      <c r="AE596"/>
      <c r="AF596"/>
      <c r="AG596"/>
      <c r="AH596"/>
      <c r="AI596"/>
      <c r="AJ596"/>
      <c r="AK596"/>
      <c r="AL596"/>
    </row>
    <row r="597" spans="1:38" ht="15" hidden="1" customHeight="1">
      <c r="A597" s="23" t="s">
        <v>2239</v>
      </c>
      <c r="B597" s="933" t="str">
        <f>GRAL!B601</f>
        <v>2021-2024</v>
      </c>
      <c r="C597" s="17">
        <f>OBRA!I599</f>
        <v>2022</v>
      </c>
      <c r="D597" s="18" t="str">
        <f>OBRA!K599</f>
        <v>CUENTA CORRIENTE</v>
      </c>
      <c r="E597" s="1374"/>
      <c r="F597" s="1300"/>
      <c r="G597" s="239"/>
      <c r="H597" s="1300"/>
      <c r="I597" s="56" t="str">
        <f>OBRA!U599</f>
        <v>N/A</v>
      </c>
      <c r="J597" s="57" t="str">
        <f>OBRA!V599</f>
        <v>C. DANIEL RODRIGUEZ VALENZUELA</v>
      </c>
      <c r="K597" s="20"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97"/>
      <c r="O597" s="6">
        <f>OBRA!Q599</f>
        <v>44595</v>
      </c>
      <c r="P597" s="4">
        <f>OBRA!P599</f>
        <v>330190.86</v>
      </c>
      <c r="Q597" s="4"/>
      <c r="R597" s="5">
        <f>OBRA!R599</f>
        <v>44599</v>
      </c>
      <c r="S597" s="12">
        <f>OBRA!S599</f>
        <v>44617</v>
      </c>
      <c r="T597" s="792"/>
      <c r="U597" s="223"/>
      <c r="V597" s="558"/>
      <c r="W597" s="559"/>
      <c r="X597" s="590">
        <f>OBRA!AP599</f>
        <v>0</v>
      </c>
      <c r="Y597" s="341"/>
      <c r="Z597" s="341"/>
      <c r="AA597" s="5"/>
      <c r="AB597" s="351">
        <f>OBRA!BT599</f>
        <v>0</v>
      </c>
      <c r="AC597" s="569"/>
      <c r="AE597"/>
      <c r="AF597"/>
      <c r="AG597"/>
      <c r="AH597"/>
      <c r="AI597"/>
      <c r="AJ597"/>
      <c r="AK597"/>
      <c r="AL597"/>
    </row>
    <row r="598" spans="1:38" ht="15" hidden="1" customHeight="1">
      <c r="A598" s="23" t="s">
        <v>2239</v>
      </c>
      <c r="B598" s="933" t="str">
        <f>GRAL!B733</f>
        <v>2021-2024</v>
      </c>
      <c r="C598" s="17">
        <f>OBRA!I600</f>
        <v>2022</v>
      </c>
      <c r="D598" s="18" t="str">
        <f>OBRA!K600</f>
        <v>CUENTA CORRIENTE</v>
      </c>
      <c r="E598" s="1374"/>
      <c r="F598" s="1300"/>
      <c r="G598" s="239"/>
      <c r="H598" s="1300"/>
      <c r="I598" s="56" t="str">
        <f>OBRA!U600</f>
        <v>N/A</v>
      </c>
      <c r="J598" s="57" t="str">
        <f>OBRA!V600</f>
        <v>C. DANIEL RODRIGUEZ VALENZUELA</v>
      </c>
      <c r="K598" s="20" t="str">
        <f>OBRA!L600</f>
        <v>DOP/AD/005/2022</v>
      </c>
      <c r="L598" s="2" t="str">
        <f>OBRA!M600</f>
        <v>ADMINISTRACIÓN DIRECTA</v>
      </c>
      <c r="M598" s="3" t="str">
        <f>OBRA!N600</f>
        <v>"CONSTRUCCIÓN DE SUPERFICIE DE RODAMIENTO EN CALLE 12 DE OCTUBRE", EN LA LOCALIDAD DE SAN PEDRO TESISTÁN, DEL MUNICIPIO DE JOCOTEPEC, JALISCO</v>
      </c>
      <c r="N598" s="597"/>
      <c r="O598" s="6">
        <f>OBRA!Q600</f>
        <v>44875</v>
      </c>
      <c r="P598" s="4">
        <f>OBRA!P600</f>
        <v>86073.66</v>
      </c>
      <c r="Q598" s="4"/>
      <c r="R598" s="5">
        <f>OBRA!R600</f>
        <v>44886</v>
      </c>
      <c r="S598" s="12">
        <f>OBRA!S600</f>
        <v>44893</v>
      </c>
      <c r="T598" s="792"/>
      <c r="U598" s="223"/>
      <c r="V598" s="558"/>
      <c r="W598" s="559"/>
      <c r="X598" s="590">
        <f>OBRA!AP600</f>
        <v>0</v>
      </c>
      <c r="Y598" s="341"/>
      <c r="Z598" s="341"/>
      <c r="AA598" s="5"/>
      <c r="AB598" s="351">
        <f>OBRA!BT600</f>
        <v>0</v>
      </c>
      <c r="AC598" s="569"/>
      <c r="AE598"/>
      <c r="AF598"/>
      <c r="AG598"/>
      <c r="AH598"/>
      <c r="AI598"/>
      <c r="AJ598"/>
      <c r="AK598"/>
      <c r="AL598"/>
    </row>
    <row r="599" spans="1:38" ht="15" hidden="1" customHeight="1">
      <c r="A599" s="23" t="s">
        <v>2239</v>
      </c>
      <c r="B599" s="933">
        <f>GRAL!B787</f>
        <v>0</v>
      </c>
      <c r="C599" s="17">
        <f>OBRA!I601</f>
        <v>2022</v>
      </c>
      <c r="D599" s="18" t="str">
        <f>OBRA!K601</f>
        <v>CUENTA CORRIENTE</v>
      </c>
      <c r="E599" s="1374"/>
      <c r="F599" s="1300"/>
      <c r="G599" s="239"/>
      <c r="H599" s="1300"/>
      <c r="I599" s="56" t="str">
        <f>OBRA!U601</f>
        <v>N/A</v>
      </c>
      <c r="J599" s="57" t="str">
        <f>OBRA!V601</f>
        <v>C. DANIEL RODRIGUEZ VALENZUELA</v>
      </c>
      <c r="K599" s="20" t="str">
        <f>OBRA!L601</f>
        <v>DOP/AD/006/2022</v>
      </c>
      <c r="L599" s="2" t="str">
        <f>OBRA!M601</f>
        <v>ADMINISTRACIÓN DIRECTA</v>
      </c>
      <c r="M599" s="3" t="str">
        <f>OBRA!N601</f>
        <v>"CONSTRUCCIÓN DE SUPERFICIE DE RODAMIENTO EN CALLE LIBERTAD", EN LA LOCALIDAD DE SAN PEDRO TESISTÁN, DEL MUNICIPIO DE JOCOTEPEC, JALISCO</v>
      </c>
      <c r="N599" s="597"/>
      <c r="O599" s="6">
        <f>OBRA!Q601</f>
        <v>44875</v>
      </c>
      <c r="P599" s="4">
        <f>OBRA!P601</f>
        <v>109829.72</v>
      </c>
      <c r="Q599" s="4"/>
      <c r="R599" s="5">
        <f>OBRA!R601</f>
        <v>44879</v>
      </c>
      <c r="S599" s="12">
        <f>OBRA!S601</f>
        <v>44886</v>
      </c>
      <c r="T599" s="792"/>
      <c r="U599" s="223"/>
      <c r="V599" s="558"/>
      <c r="W599" s="559"/>
      <c r="X599" s="590">
        <f>OBRA!AP601</f>
        <v>0</v>
      </c>
      <c r="Y599" s="341"/>
      <c r="Z599" s="341"/>
      <c r="AA599" s="5"/>
      <c r="AB599" s="351">
        <f>OBRA!BT601</f>
        <v>0</v>
      </c>
      <c r="AC599" s="569"/>
      <c r="AE599"/>
      <c r="AF599"/>
      <c r="AG599"/>
      <c r="AH599"/>
      <c r="AI599"/>
      <c r="AJ599"/>
      <c r="AK599"/>
      <c r="AL599"/>
    </row>
    <row r="600" spans="1:38" ht="15" hidden="1" customHeight="1">
      <c r="A600" s="23" t="s">
        <v>2239</v>
      </c>
      <c r="B600" s="933">
        <f>GRAL!B788</f>
        <v>0</v>
      </c>
      <c r="C600" s="17">
        <f>OBRA!I602</f>
        <v>2022</v>
      </c>
      <c r="D600" s="18" t="str">
        <f>OBRA!K602</f>
        <v>CUENTA CORRIENTE</v>
      </c>
      <c r="E600" s="1374"/>
      <c r="F600" s="1300"/>
      <c r="G600" s="239"/>
      <c r="H600" s="1300"/>
      <c r="I600" s="56" t="str">
        <f>OBRA!U602</f>
        <v>N/A</v>
      </c>
      <c r="J600" s="57" t="str">
        <f>OBRA!V602</f>
        <v>ING. J. GUADALUPE IBARRA RAMIREZ</v>
      </c>
      <c r="K600" s="20" t="str">
        <f>OBRA!L602</f>
        <v>MANTENIMIENTOS</v>
      </c>
      <c r="L600" s="2" t="str">
        <f>OBRA!M602</f>
        <v>MANTENIMIENTOS</v>
      </c>
      <c r="M600" s="3" t="str">
        <f>OBRA!N602</f>
        <v>REMODELACIÓN DE PRESIDENCIA</v>
      </c>
      <c r="N600" s="597"/>
      <c r="O600" s="6" t="str">
        <f>OBRA!Q602</f>
        <v>N/A</v>
      </c>
      <c r="P600" s="4">
        <f>OBRA!P602</f>
        <v>0</v>
      </c>
      <c r="Q600" s="4"/>
      <c r="R600" s="5">
        <f>OBRA!R602</f>
        <v>44562</v>
      </c>
      <c r="S600" s="12">
        <f>OBRA!S602</f>
        <v>44926</v>
      </c>
      <c r="T600" s="792"/>
      <c r="U600" s="223"/>
      <c r="V600" s="558"/>
      <c r="W600" s="559"/>
      <c r="X600" s="590">
        <f>OBRA!AP602</f>
        <v>0</v>
      </c>
      <c r="Y600" s="341"/>
      <c r="Z600" s="341"/>
      <c r="AA600" s="5"/>
      <c r="AB600" s="351">
        <f>OBRA!BT602</f>
        <v>0</v>
      </c>
      <c r="AC600" s="569"/>
      <c r="AE600"/>
      <c r="AF600"/>
      <c r="AG600"/>
      <c r="AH600"/>
      <c r="AI600"/>
      <c r="AJ600"/>
      <c r="AK600"/>
      <c r="AL600"/>
    </row>
    <row r="601" spans="1:38" ht="15" hidden="1" customHeight="1">
      <c r="A601" s="23" t="s">
        <v>2239</v>
      </c>
      <c r="B601" s="933">
        <f>GRAL!B789</f>
        <v>0</v>
      </c>
      <c r="C601" s="17">
        <f>OBRA!I603</f>
        <v>2022</v>
      </c>
      <c r="D601" s="18" t="str">
        <f>OBRA!K603</f>
        <v>CUENTA CORRIENTE</v>
      </c>
      <c r="E601" s="1374"/>
      <c r="F601" s="1300"/>
      <c r="G601" s="239"/>
      <c r="H601" s="1300"/>
      <c r="I601" s="56" t="str">
        <f>OBRA!U603</f>
        <v>N/A</v>
      </c>
      <c r="J601" s="57" t="str">
        <f>OBRA!V603</f>
        <v>ARQ. JAIME CONDE GOMEZ</v>
      </c>
      <c r="K601" s="20" t="str">
        <f>OBRA!L603</f>
        <v>DOP/AD/007/2022</v>
      </c>
      <c r="L601" s="2" t="str">
        <f>OBRA!M603</f>
        <v>ADMINISTRACIÓN DIRECTA</v>
      </c>
      <c r="M601" s="3" t="str">
        <f>OBRA!N603</f>
        <v>“CONSTRUCCIÓN DE BAÑOS PÚBLICOS”, EN LA LOCALIDAD DE EL MOLINO, DEL MUNICIPIO DE JOCOTEPEC, JALISCO</v>
      </c>
      <c r="N601" s="597"/>
      <c r="O601" s="6">
        <f>OBRA!Q603</f>
        <v>44875</v>
      </c>
      <c r="P601" s="4">
        <f>OBRA!P603</f>
        <v>297707.86</v>
      </c>
      <c r="Q601" s="4"/>
      <c r="R601" s="5">
        <f>OBRA!R603</f>
        <v>44880</v>
      </c>
      <c r="S601" s="12">
        <f>OBRA!S603</f>
        <v>44926</v>
      </c>
      <c r="T601" s="792"/>
      <c r="U601" s="223"/>
      <c r="V601" s="558"/>
      <c r="W601" s="559"/>
      <c r="X601" s="590">
        <f>OBRA!AP603</f>
        <v>0</v>
      </c>
      <c r="Y601" s="341"/>
      <c r="Z601" s="341"/>
      <c r="AA601" s="5"/>
      <c r="AB601" s="351">
        <f>OBRA!BT603</f>
        <v>0</v>
      </c>
      <c r="AC601" s="569"/>
      <c r="AE601"/>
      <c r="AF601"/>
      <c r="AG601"/>
      <c r="AH601"/>
      <c r="AI601"/>
      <c r="AJ601"/>
      <c r="AK601"/>
      <c r="AL601"/>
    </row>
    <row r="602" spans="1:38" ht="15" hidden="1" customHeight="1">
      <c r="A602" s="23" t="s">
        <v>2239</v>
      </c>
      <c r="B602" s="933">
        <f>GRAL!B790</f>
        <v>0</v>
      </c>
      <c r="C602" s="17">
        <f>OBRA!I604</f>
        <v>2022</v>
      </c>
      <c r="D602" s="18" t="str">
        <f>OBRA!K604</f>
        <v>CUENTA CORRIENTE</v>
      </c>
      <c r="E602" s="1374"/>
      <c r="F602" s="1300"/>
      <c r="G602" s="239"/>
      <c r="H602" s="1300"/>
      <c r="I602" s="56" t="str">
        <f>OBRA!U604</f>
        <v>N/A</v>
      </c>
      <c r="J602" s="57" t="str">
        <f>OBRA!V604</f>
        <v>ING. J. GUADALUPE IBARRA RAMIREZ</v>
      </c>
      <c r="K602" s="20" t="str">
        <f>OBRA!L604</f>
        <v>DOP/AD/001-B/2022</v>
      </c>
      <c r="L602" s="2" t="str">
        <f>OBRA!M604</f>
        <v>ADMINISTRACIÓN DIRECTA</v>
      </c>
      <c r="M602" s="3" t="str">
        <f>OBRA!N604</f>
        <v>"REMODELACIÓN DE PRESIDENCIA (2DA ETAPA)", EN LA CABECERA MUNICIPAL DE JOCOTEPEC.</v>
      </c>
      <c r="N602" s="597"/>
      <c r="O602" s="6">
        <f>OBRA!Q604</f>
        <v>44620</v>
      </c>
      <c r="P602" s="4">
        <f>OBRA!P604</f>
        <v>800000</v>
      </c>
      <c r="Q602" s="4"/>
      <c r="R602" s="5">
        <f>OBRA!R604</f>
        <v>44624</v>
      </c>
      <c r="S602" s="12">
        <f>OBRA!S604</f>
        <v>44773</v>
      </c>
      <c r="T602" s="792"/>
      <c r="U602" s="223"/>
      <c r="V602" s="558"/>
      <c r="W602" s="559"/>
      <c r="X602" s="590">
        <f>OBRA!AP604</f>
        <v>0</v>
      </c>
      <c r="Y602" s="341"/>
      <c r="Z602" s="341"/>
      <c r="AA602" s="5"/>
      <c r="AB602" s="351">
        <f>OBRA!BT604</f>
        <v>0</v>
      </c>
      <c r="AC602" s="569"/>
      <c r="AE602"/>
      <c r="AF602"/>
      <c r="AG602"/>
      <c r="AH602"/>
      <c r="AI602"/>
      <c r="AJ602"/>
      <c r="AK602"/>
      <c r="AL602"/>
    </row>
    <row r="603" spans="1:38" ht="15" hidden="1" customHeight="1">
      <c r="A603" s="23" t="s">
        <v>2239</v>
      </c>
      <c r="B603" s="933">
        <f>GRAL!B791</f>
        <v>0</v>
      </c>
      <c r="C603" s="17">
        <f>OBRA!I605</f>
        <v>2022</v>
      </c>
      <c r="D603" s="18">
        <f>OBRA!K605</f>
        <v>0</v>
      </c>
      <c r="E603" s="1374"/>
      <c r="F603" s="1300"/>
      <c r="G603" s="239"/>
      <c r="H603" s="1300"/>
      <c r="I603" s="56" t="str">
        <f>OBRA!U605</f>
        <v>N/A</v>
      </c>
      <c r="J603" s="57">
        <f>OBRA!V605</f>
        <v>0</v>
      </c>
      <c r="K603" s="20" t="str">
        <f>OBRA!L605</f>
        <v>DOP/AD/010/2022</v>
      </c>
      <c r="L603" s="2" t="str">
        <f>OBRA!M605</f>
        <v>CANCELADA</v>
      </c>
      <c r="M603" s="3" t="str">
        <f>OBRA!N605</f>
        <v>-</v>
      </c>
      <c r="N603" s="597"/>
      <c r="O603" s="6">
        <f>OBRA!Q605</f>
        <v>0</v>
      </c>
      <c r="P603" s="4">
        <f>OBRA!P605</f>
        <v>0</v>
      </c>
      <c r="Q603" s="4"/>
      <c r="R603" s="5">
        <f>OBRA!R605</f>
        <v>0</v>
      </c>
      <c r="S603" s="12">
        <f>OBRA!S605</f>
        <v>0</v>
      </c>
      <c r="T603" s="792"/>
      <c r="U603" s="223"/>
      <c r="V603" s="558"/>
      <c r="W603" s="559"/>
      <c r="X603" s="590">
        <f>OBRA!AP605</f>
        <v>0</v>
      </c>
      <c r="Y603" s="341"/>
      <c r="Z603" s="341"/>
      <c r="AA603" s="5"/>
      <c r="AB603" s="351">
        <f>OBRA!BT605</f>
        <v>0</v>
      </c>
      <c r="AC603" s="569"/>
      <c r="AE603"/>
      <c r="AF603"/>
      <c r="AG603"/>
      <c r="AH603"/>
      <c r="AI603"/>
      <c r="AJ603"/>
      <c r="AK603"/>
      <c r="AL603"/>
    </row>
    <row r="604" spans="1:38" ht="78" hidden="1" customHeight="1">
      <c r="A604" s="23" t="s">
        <v>2239</v>
      </c>
      <c r="B604" s="933">
        <f>GRAL!B792</f>
        <v>0</v>
      </c>
      <c r="C604" s="17">
        <f>OBRA!I606</f>
        <v>2022</v>
      </c>
      <c r="D604" s="18" t="str">
        <f>OBRA!K606</f>
        <v>CUENTA CORRIENTE</v>
      </c>
      <c r="E604" s="525" t="s">
        <v>1431</v>
      </c>
      <c r="F604" s="1300"/>
      <c r="G604" s="239"/>
      <c r="H604" s="1300"/>
      <c r="I604" s="56" t="str">
        <f>OBRA!U606</f>
        <v>ING. J. TRINIDAD NUÑEZ BRITO</v>
      </c>
      <c r="J604" s="57" t="str">
        <f>OBRA!V606</f>
        <v>LIC. SALVADOR CONTRERAS OLGUÍN</v>
      </c>
      <c r="K604" s="35"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54" t="s">
        <v>4561</v>
      </c>
      <c r="O604" s="6">
        <f>OBRA!Q606</f>
        <v>44572</v>
      </c>
      <c r="P604" s="4">
        <f>OBRA!P606</f>
        <v>69600</v>
      </c>
      <c r="Q604" s="4" t="s">
        <v>68</v>
      </c>
      <c r="R604" s="5">
        <f>OBRA!R606</f>
        <v>44578</v>
      </c>
      <c r="S604" s="12">
        <f>OBRA!S606</f>
        <v>44581</v>
      </c>
      <c r="T604" s="1601" t="s">
        <v>5755</v>
      </c>
      <c r="U604" s="415" t="s">
        <v>1431</v>
      </c>
      <c r="V604" s="558"/>
      <c r="W604" s="559"/>
      <c r="X604" s="306">
        <f>OBRA!AP606</f>
        <v>0</v>
      </c>
      <c r="Y604" s="341"/>
      <c r="Z604" s="341"/>
      <c r="AA604" s="5"/>
      <c r="AB604" s="351">
        <f>OBRA!BT606</f>
        <v>0</v>
      </c>
      <c r="AC604" s="569"/>
      <c r="AE604"/>
      <c r="AF604"/>
      <c r="AG604"/>
      <c r="AH604"/>
      <c r="AI604"/>
      <c r="AJ604"/>
      <c r="AK604"/>
      <c r="AL604"/>
    </row>
    <row r="605" spans="1:38" ht="15" hidden="1" customHeight="1">
      <c r="A605" s="23" t="s">
        <v>2239</v>
      </c>
      <c r="B605" s="933">
        <f>GRAL!B793</f>
        <v>0</v>
      </c>
      <c r="C605" s="17">
        <f>OBRA!I607</f>
        <v>2022</v>
      </c>
      <c r="D605" s="18" t="str">
        <f>OBRA!K607</f>
        <v>CUENTA CORRIENTE</v>
      </c>
      <c r="E605" s="525" t="s">
        <v>1431</v>
      </c>
      <c r="F605" s="1541" t="s">
        <v>1431</v>
      </c>
      <c r="G605" s="239"/>
      <c r="H605" s="390" t="s">
        <v>1431</v>
      </c>
      <c r="I605" s="56" t="str">
        <f>OBRA!U607</f>
        <v>PEDRO MACHUCA SAAVEDRA</v>
      </c>
      <c r="J605" s="57" t="str">
        <f>OBRA!V607</f>
        <v>LIC. SALVADOR CONTRERAS OLGUÍN</v>
      </c>
      <c r="K605" s="20"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97"/>
      <c r="O605" s="6">
        <f>OBRA!Q607</f>
        <v>44575</v>
      </c>
      <c r="P605" s="4">
        <f>OBRA!P607</f>
        <v>12000</v>
      </c>
      <c r="Q605" s="4"/>
      <c r="R605" s="5">
        <f>OBRA!R607</f>
        <v>44578</v>
      </c>
      <c r="S605" s="12">
        <f>OBRA!S607</f>
        <v>44582</v>
      </c>
      <c r="T605" s="227" t="s">
        <v>3859</v>
      </c>
      <c r="U605" s="415" t="s">
        <v>1431</v>
      </c>
      <c r="V605" s="344" t="s">
        <v>1431</v>
      </c>
      <c r="W605" s="559"/>
      <c r="X605" s="306">
        <f>OBRA!AP607</f>
        <v>0</v>
      </c>
      <c r="Y605" s="341"/>
      <c r="Z605" s="341"/>
      <c r="AA605" s="5"/>
      <c r="AB605" s="351">
        <f>OBRA!BT607</f>
        <v>0</v>
      </c>
      <c r="AC605" s="569"/>
      <c r="AE605"/>
      <c r="AF605"/>
      <c r="AG605"/>
      <c r="AH605"/>
      <c r="AI605"/>
      <c r="AJ605"/>
      <c r="AK605"/>
      <c r="AL605"/>
    </row>
    <row r="606" spans="1:38" ht="157.5" hidden="1" customHeight="1">
      <c r="A606" s="23" t="s">
        <v>2239</v>
      </c>
      <c r="B606" s="933">
        <f>GRAL!B794</f>
        <v>0</v>
      </c>
      <c r="C606" s="17">
        <f>OBRA!I608</f>
        <v>2022</v>
      </c>
      <c r="D606" s="18" t="str">
        <f>OBRA!K608</f>
        <v>CUENTA CORRIENTE</v>
      </c>
      <c r="E606" s="525" t="s">
        <v>1431</v>
      </c>
      <c r="F606" s="1300"/>
      <c r="G606" s="239"/>
      <c r="H606" s="1300"/>
      <c r="I606" s="56" t="str">
        <f>OBRA!U608</f>
        <v>OSCAR CASTILLO LEDEZMA</v>
      </c>
      <c r="J606" s="57">
        <f>OBRA!V608</f>
        <v>0</v>
      </c>
      <c r="K606" s="35"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54" t="s">
        <v>4561</v>
      </c>
      <c r="O606" s="6">
        <f>OBRA!Q608</f>
        <v>44592</v>
      </c>
      <c r="P606" s="4" t="str">
        <f>OBRA!P608</f>
        <v>vie</v>
      </c>
      <c r="Q606" s="4" t="s">
        <v>68</v>
      </c>
      <c r="R606" s="5">
        <f>OBRA!R608</f>
        <v>44593</v>
      </c>
      <c r="S606" s="12">
        <f>OBRA!S608</f>
        <v>44607</v>
      </c>
      <c r="T606" s="1601" t="s">
        <v>5755</v>
      </c>
      <c r="U606" s="415" t="s">
        <v>1431</v>
      </c>
      <c r="V606" s="558"/>
      <c r="W606" s="559"/>
      <c r="X606" s="306">
        <f>OBRA!AP608</f>
        <v>0</v>
      </c>
      <c r="Y606" s="341"/>
      <c r="Z606" s="341"/>
      <c r="AA606" s="5"/>
      <c r="AB606" s="351">
        <f>OBRA!BT608</f>
        <v>0</v>
      </c>
      <c r="AC606" s="569"/>
      <c r="AE606"/>
      <c r="AF606"/>
      <c r="AG606"/>
      <c r="AH606"/>
      <c r="AI606"/>
      <c r="AJ606"/>
      <c r="AK606"/>
      <c r="AL606"/>
    </row>
    <row r="607" spans="1:38" ht="91.5" hidden="1" customHeight="1">
      <c r="A607" s="23" t="s">
        <v>2239</v>
      </c>
      <c r="B607" s="933">
        <f>GRAL!B795</f>
        <v>0</v>
      </c>
      <c r="C607" s="17">
        <f>OBRA!I609</f>
        <v>2022</v>
      </c>
      <c r="D607" s="18" t="str">
        <f>OBRA!K609</f>
        <v>CUENTA CORRIENTE</v>
      </c>
      <c r="E607" s="525" t="s">
        <v>1431</v>
      </c>
      <c r="F607" s="1300"/>
      <c r="G607" s="239"/>
      <c r="H607" s="1300"/>
      <c r="I607" s="56" t="str">
        <f>OBRA!U609</f>
        <v>ING. SERGIO CABRERA</v>
      </c>
      <c r="J607" s="57">
        <f>OBRA!V609</f>
        <v>0</v>
      </c>
      <c r="K607" s="35"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54" t="s">
        <v>4561</v>
      </c>
      <c r="O607" s="6">
        <f>OBRA!Q609</f>
        <v>44634</v>
      </c>
      <c r="P607" s="4">
        <f>OBRA!P609</f>
        <v>10000.000400000001</v>
      </c>
      <c r="Q607" s="4" t="s">
        <v>68</v>
      </c>
      <c r="R607" s="5" t="str">
        <f>OBRA!R609</f>
        <v>-</v>
      </c>
      <c r="S607" s="12" t="str">
        <f>OBRA!S609</f>
        <v>-</v>
      </c>
      <c r="T607" s="1601" t="s">
        <v>5755</v>
      </c>
      <c r="U607" s="415" t="s">
        <v>1431</v>
      </c>
      <c r="V607" s="558"/>
      <c r="W607" s="559"/>
      <c r="X607" s="306">
        <f>OBRA!AP609</f>
        <v>0</v>
      </c>
      <c r="Y607" s="341"/>
      <c r="Z607" s="341"/>
      <c r="AA607" s="5"/>
      <c r="AB607" s="351">
        <f>OBRA!BT609</f>
        <v>0</v>
      </c>
      <c r="AC607" s="569"/>
      <c r="AE607"/>
      <c r="AF607"/>
      <c r="AG607"/>
      <c r="AH607"/>
      <c r="AI607"/>
      <c r="AJ607"/>
      <c r="AK607"/>
      <c r="AL607"/>
    </row>
    <row r="608" spans="1:38" ht="15" hidden="1" customHeight="1">
      <c r="A608" s="23" t="s">
        <v>2239</v>
      </c>
      <c r="B608" s="933">
        <f>GRAL!B796</f>
        <v>0</v>
      </c>
      <c r="C608" s="17">
        <f>OBRA!I610</f>
        <v>2022</v>
      </c>
      <c r="D608" s="18" t="str">
        <f>OBRA!K610</f>
        <v>CUENTA CORRIENTE</v>
      </c>
      <c r="E608" s="525" t="s">
        <v>1431</v>
      </c>
      <c r="F608" s="1541" t="s">
        <v>1431</v>
      </c>
      <c r="G608" s="239"/>
      <c r="H608" s="390" t="s">
        <v>1431</v>
      </c>
      <c r="I608" s="56" t="str">
        <f>OBRA!U610</f>
        <v>-</v>
      </c>
      <c r="J608" s="57">
        <f>OBRA!V610</f>
        <v>0</v>
      </c>
      <c r="K608" s="20" t="str">
        <f>OBRA!L610</f>
        <v>CPSP DOP 005/2022</v>
      </c>
      <c r="L608" s="2" t="str">
        <f>OBRA!M610</f>
        <v>SERVICIOS (CANCELADO)</v>
      </c>
      <c r="M608" s="3" t="str">
        <f>OBRA!N610</f>
        <v>-</v>
      </c>
      <c r="N608" s="597"/>
      <c r="O608" s="6">
        <f>OBRA!Q610</f>
        <v>0</v>
      </c>
      <c r="P608" s="4">
        <f>OBRA!P610</f>
        <v>0</v>
      </c>
      <c r="Q608" s="4"/>
      <c r="R608" s="5">
        <f>OBRA!R610</f>
        <v>0</v>
      </c>
      <c r="S608" s="12">
        <f>OBRA!S610</f>
        <v>0</v>
      </c>
      <c r="T608" s="227" t="s">
        <v>3859</v>
      </c>
      <c r="U608" s="415" t="s">
        <v>1431</v>
      </c>
      <c r="V608" s="344" t="s">
        <v>1431</v>
      </c>
      <c r="W608" s="559"/>
      <c r="X608" s="306">
        <f>OBRA!AP610</f>
        <v>0</v>
      </c>
      <c r="Y608" s="341"/>
      <c r="Z608" s="341"/>
      <c r="AA608" s="5"/>
      <c r="AB608" s="351">
        <f>OBRA!BT610</f>
        <v>0</v>
      </c>
      <c r="AC608" s="569"/>
      <c r="AE608"/>
      <c r="AF608"/>
      <c r="AG608"/>
      <c r="AH608"/>
      <c r="AI608"/>
      <c r="AJ608"/>
      <c r="AK608"/>
      <c r="AL608"/>
    </row>
    <row r="609" spans="1:38" ht="85.5" hidden="1" customHeight="1">
      <c r="A609" s="23" t="s">
        <v>2239</v>
      </c>
      <c r="B609" s="933">
        <f>GRAL!B797</f>
        <v>0</v>
      </c>
      <c r="C609" s="17">
        <f>OBRA!I611</f>
        <v>2022</v>
      </c>
      <c r="D609" s="18" t="str">
        <f>OBRA!K611</f>
        <v>CUENTA CORRIENTE</v>
      </c>
      <c r="E609" s="525" t="s">
        <v>1431</v>
      </c>
      <c r="F609" s="1300"/>
      <c r="G609" s="239"/>
      <c r="H609" s="1300"/>
      <c r="I609" s="56" t="str">
        <f>OBRA!U611</f>
        <v>ING. SERGIO CABRERA</v>
      </c>
      <c r="J609" s="57">
        <f>OBRA!V611</f>
        <v>0</v>
      </c>
      <c r="K609" s="35"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54" t="s">
        <v>4561</v>
      </c>
      <c r="O609" s="6">
        <f>OBRA!Q611</f>
        <v>44634</v>
      </c>
      <c r="P609" s="4">
        <f>OBRA!P611</f>
        <v>10000.000400000001</v>
      </c>
      <c r="Q609" s="4" t="s">
        <v>68</v>
      </c>
      <c r="R609" s="5" t="str">
        <f>OBRA!R611</f>
        <v>-</v>
      </c>
      <c r="S609" s="12" t="str">
        <f>OBRA!S611</f>
        <v>-</v>
      </c>
      <c r="T609" s="1601" t="s">
        <v>5755</v>
      </c>
      <c r="U609" s="415" t="s">
        <v>1431</v>
      </c>
      <c r="V609" s="558"/>
      <c r="W609" s="559"/>
      <c r="X609" s="306">
        <f>OBRA!AP611</f>
        <v>0</v>
      </c>
      <c r="Y609" s="341"/>
      <c r="Z609" s="341"/>
      <c r="AA609" s="5"/>
      <c r="AB609" s="351">
        <f>OBRA!BT611</f>
        <v>0</v>
      </c>
      <c r="AC609" s="569"/>
      <c r="AE609"/>
      <c r="AF609"/>
      <c r="AG609"/>
      <c r="AH609"/>
      <c r="AI609"/>
      <c r="AJ609"/>
      <c r="AK609"/>
      <c r="AL609"/>
    </row>
    <row r="610" spans="1:38" ht="12.75" hidden="1" customHeight="1">
      <c r="A610" s="23" t="s">
        <v>2239</v>
      </c>
      <c r="B610" s="933">
        <f>GRAL!B798</f>
        <v>0</v>
      </c>
      <c r="C610" s="17">
        <f>OBRA!I612</f>
        <v>2022</v>
      </c>
      <c r="D610" s="18" t="str">
        <f>OBRA!K612</f>
        <v>CUENTA CORRIENTE</v>
      </c>
      <c r="E610" s="525" t="s">
        <v>1431</v>
      </c>
      <c r="F610" s="1541" t="s">
        <v>1431</v>
      </c>
      <c r="G610" s="239"/>
      <c r="H610" s="390" t="s">
        <v>1431</v>
      </c>
      <c r="I610" s="56" t="str">
        <f>OBRA!U612</f>
        <v>-</v>
      </c>
      <c r="J610" s="57">
        <f>OBRA!V612</f>
        <v>0</v>
      </c>
      <c r="K610" s="20" t="str">
        <f>OBRA!L612</f>
        <v>CPSP DOP 007/2022</v>
      </c>
      <c r="L610" s="2" t="str">
        <f>OBRA!M612</f>
        <v>SERVICIOS (CANCELADO)</v>
      </c>
      <c r="M610" s="3" t="str">
        <f>OBRA!N612</f>
        <v>-</v>
      </c>
      <c r="N610" s="597"/>
      <c r="O610" s="6">
        <f>OBRA!Q612</f>
        <v>0</v>
      </c>
      <c r="P610" s="4">
        <f>OBRA!P612</f>
        <v>0</v>
      </c>
      <c r="Q610" s="4"/>
      <c r="R610" s="5">
        <f>OBRA!R612</f>
        <v>0</v>
      </c>
      <c r="S610" s="12">
        <f>OBRA!S612</f>
        <v>0</v>
      </c>
      <c r="T610" s="227" t="s">
        <v>3859</v>
      </c>
      <c r="U610" s="415" t="s">
        <v>1431</v>
      </c>
      <c r="V610" s="344" t="s">
        <v>1431</v>
      </c>
      <c r="W610" s="559"/>
      <c r="X610" s="306">
        <f>OBRA!AP612</f>
        <v>0</v>
      </c>
      <c r="Y610" s="341"/>
      <c r="Z610" s="341"/>
      <c r="AA610" s="5"/>
      <c r="AB610" s="351">
        <f>OBRA!BT612</f>
        <v>0</v>
      </c>
      <c r="AC610" s="569"/>
      <c r="AE610"/>
      <c r="AF610"/>
      <c r="AG610"/>
      <c r="AH610"/>
      <c r="AI610"/>
      <c r="AJ610"/>
      <c r="AK610"/>
      <c r="AL610"/>
    </row>
    <row r="611" spans="1:38" ht="70.5" hidden="1" customHeight="1">
      <c r="A611" s="23" t="s">
        <v>2239</v>
      </c>
      <c r="B611" s="933">
        <f>GRAL!B799</f>
        <v>0</v>
      </c>
      <c r="C611" s="17">
        <f>OBRA!I613</f>
        <v>2022</v>
      </c>
      <c r="D611" s="18" t="str">
        <f>OBRA!K613</f>
        <v>CUENTA CORRIENTE</v>
      </c>
      <c r="E611" s="525" t="s">
        <v>1431</v>
      </c>
      <c r="F611" s="1300"/>
      <c r="G611" s="239"/>
      <c r="H611" s="1300"/>
      <c r="I611" s="56" t="str">
        <f>OBRA!U613</f>
        <v>ING. SERGIO CABRERA</v>
      </c>
      <c r="J611" s="57">
        <f>OBRA!V613</f>
        <v>0</v>
      </c>
      <c r="K611" s="35"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54" t="s">
        <v>4561</v>
      </c>
      <c r="O611" s="6">
        <f>OBRA!Q613</f>
        <v>44634</v>
      </c>
      <c r="P611" s="4">
        <f>OBRA!P613</f>
        <v>7000.0199999999995</v>
      </c>
      <c r="Q611" s="4" t="s">
        <v>68</v>
      </c>
      <c r="R611" s="5" t="str">
        <f>OBRA!R613</f>
        <v>-</v>
      </c>
      <c r="S611" s="12" t="str">
        <f>OBRA!S613</f>
        <v>-</v>
      </c>
      <c r="T611" s="1601" t="s">
        <v>5755</v>
      </c>
      <c r="U611" s="415" t="s">
        <v>1431</v>
      </c>
      <c r="V611" s="558"/>
      <c r="W611" s="559"/>
      <c r="X611" s="306">
        <f>OBRA!AP613</f>
        <v>0</v>
      </c>
      <c r="Y611" s="341"/>
      <c r="Z611" s="341"/>
      <c r="AA611" s="5"/>
      <c r="AB611" s="351">
        <f>OBRA!BT613</f>
        <v>0</v>
      </c>
      <c r="AC611" s="569"/>
      <c r="AE611"/>
      <c r="AF611"/>
      <c r="AG611"/>
      <c r="AH611"/>
      <c r="AI611"/>
      <c r="AJ611"/>
      <c r="AK611"/>
      <c r="AL611"/>
    </row>
    <row r="612" spans="1:38" ht="93" hidden="1" customHeight="1">
      <c r="A612" s="23" t="s">
        <v>2239</v>
      </c>
      <c r="B612" s="933">
        <f>GRAL!B800</f>
        <v>0</v>
      </c>
      <c r="C612" s="17">
        <f>OBRA!I614</f>
        <v>2022</v>
      </c>
      <c r="D612" s="18" t="str">
        <f>OBRA!K614</f>
        <v>CUENTA CORRIENTE</v>
      </c>
      <c r="E612" s="525" t="s">
        <v>1431</v>
      </c>
      <c r="F612" s="1300"/>
      <c r="G612" s="239"/>
      <c r="H612" s="1300"/>
      <c r="I612" s="56" t="str">
        <f>OBRA!U614</f>
        <v>ECCOC DE GUADALAJARA, S.A. DE C.V.</v>
      </c>
      <c r="J612" s="57">
        <f>OBRA!V614</f>
        <v>0</v>
      </c>
      <c r="K612" s="35"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54" t="s">
        <v>4561</v>
      </c>
      <c r="O612" s="6">
        <f>OBRA!Q614</f>
        <v>44635</v>
      </c>
      <c r="P612" s="4">
        <f>OBRA!P614</f>
        <v>15659.999999999998</v>
      </c>
      <c r="Q612" s="4" t="s">
        <v>68</v>
      </c>
      <c r="R612" s="5" t="str">
        <f>OBRA!R614</f>
        <v>-</v>
      </c>
      <c r="S612" s="12" t="str">
        <f>OBRA!S614</f>
        <v>-</v>
      </c>
      <c r="T612" s="1601" t="s">
        <v>5755</v>
      </c>
      <c r="U612" s="415" t="s">
        <v>1431</v>
      </c>
      <c r="V612" s="558"/>
      <c r="W612" s="559"/>
      <c r="X612" s="306">
        <f>OBRA!AP614</f>
        <v>0</v>
      </c>
      <c r="Y612" s="341"/>
      <c r="Z612" s="341"/>
      <c r="AA612" s="5"/>
      <c r="AB612" s="351">
        <f>OBRA!BT614</f>
        <v>0</v>
      </c>
      <c r="AC612" s="569"/>
      <c r="AE612"/>
      <c r="AF612"/>
      <c r="AG612"/>
      <c r="AH612"/>
      <c r="AI612"/>
      <c r="AJ612"/>
      <c r="AK612"/>
      <c r="AL612"/>
    </row>
    <row r="613" spans="1:38" ht="82.5" hidden="1" customHeight="1">
      <c r="A613" s="23" t="s">
        <v>2239</v>
      </c>
      <c r="B613" s="933">
        <f>GRAL!B801</f>
        <v>0</v>
      </c>
      <c r="C613" s="17">
        <f>OBRA!I615</f>
        <v>2022</v>
      </c>
      <c r="D613" s="18" t="str">
        <f>OBRA!K615</f>
        <v>CUENTA CORRIENTE</v>
      </c>
      <c r="E613" s="525" t="s">
        <v>1431</v>
      </c>
      <c r="F613" s="1300"/>
      <c r="G613" s="239"/>
      <c r="H613" s="1300"/>
      <c r="I613" s="56" t="str">
        <f>OBRA!U615</f>
        <v>PEDRO MACHUCA SAAVEDRA</v>
      </c>
      <c r="J613" s="57">
        <f>OBRA!V615</f>
        <v>0</v>
      </c>
      <c r="K613" s="35"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54" t="s">
        <v>4561</v>
      </c>
      <c r="O613" s="6">
        <f>OBRA!Q615</f>
        <v>44658</v>
      </c>
      <c r="P613" s="4">
        <f>OBRA!P615</f>
        <v>4000</v>
      </c>
      <c r="Q613" s="4" t="s">
        <v>68</v>
      </c>
      <c r="R613" s="5">
        <f>OBRA!R615</f>
        <v>44660</v>
      </c>
      <c r="S613" s="12">
        <f>OBRA!S615</f>
        <v>44660</v>
      </c>
      <c r="T613" s="1601" t="s">
        <v>5755</v>
      </c>
      <c r="U613" s="415" t="s">
        <v>1431</v>
      </c>
      <c r="V613" s="558"/>
      <c r="W613" s="559"/>
      <c r="X613" s="306">
        <f>OBRA!AP615</f>
        <v>0</v>
      </c>
      <c r="Y613" s="341"/>
      <c r="Z613" s="341"/>
      <c r="AA613" s="5"/>
      <c r="AB613" s="351">
        <f>OBRA!BT615</f>
        <v>0</v>
      </c>
      <c r="AC613" s="569"/>
      <c r="AE613"/>
      <c r="AF613"/>
      <c r="AG613"/>
      <c r="AH613"/>
      <c r="AI613"/>
      <c r="AJ613"/>
      <c r="AK613"/>
      <c r="AL613"/>
    </row>
    <row r="614" spans="1:38" ht="82.5" hidden="1" customHeight="1">
      <c r="A614" s="23" t="s">
        <v>2239</v>
      </c>
      <c r="B614" s="933">
        <f>GRAL!B802</f>
        <v>0</v>
      </c>
      <c r="C614" s="17">
        <f>OBRA!I616</f>
        <v>2022</v>
      </c>
      <c r="D614" s="18" t="str">
        <f>OBRA!K616</f>
        <v>CUENTA CORRIENTE</v>
      </c>
      <c r="E614" s="525" t="s">
        <v>1431</v>
      </c>
      <c r="F614" s="1300"/>
      <c r="G614" s="239"/>
      <c r="H614" s="1300"/>
      <c r="I614" s="56" t="str">
        <f>OBRA!U616</f>
        <v>J. TRINIDAD NÚÑEZ BRITO</v>
      </c>
      <c r="J614" s="57">
        <f>OBRA!V616</f>
        <v>0</v>
      </c>
      <c r="K614" s="35"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54" t="s">
        <v>4562</v>
      </c>
      <c r="O614" s="6">
        <f>OBRA!Q616</f>
        <v>44690</v>
      </c>
      <c r="P614" s="4">
        <f>OBRA!P616</f>
        <v>17400</v>
      </c>
      <c r="Q614" s="4" t="s">
        <v>68</v>
      </c>
      <c r="R614" s="5">
        <f>OBRA!R616</f>
        <v>44693</v>
      </c>
      <c r="S614" s="12">
        <f>OBRA!S616</f>
        <v>44695</v>
      </c>
      <c r="T614" s="1601" t="s">
        <v>5755</v>
      </c>
      <c r="U614" s="415" t="s">
        <v>1431</v>
      </c>
      <c r="V614" s="558"/>
      <c r="W614" s="559"/>
      <c r="X614" s="306">
        <f>OBRA!AP616</f>
        <v>0</v>
      </c>
      <c r="Y614" s="341"/>
      <c r="Z614" s="341"/>
      <c r="AA614" s="5"/>
      <c r="AB614" s="351">
        <f>OBRA!BT616</f>
        <v>0</v>
      </c>
      <c r="AC614" s="569"/>
      <c r="AE614"/>
      <c r="AF614"/>
      <c r="AG614"/>
      <c r="AH614"/>
      <c r="AI614"/>
      <c r="AJ614"/>
      <c r="AK614"/>
      <c r="AL614"/>
    </row>
    <row r="615" spans="1:38" ht="101.25" hidden="1" customHeight="1">
      <c r="A615" s="23" t="s">
        <v>2239</v>
      </c>
      <c r="B615" s="933">
        <f>GRAL!B803</f>
        <v>0</v>
      </c>
      <c r="C615" s="17">
        <f>OBRA!I617</f>
        <v>2022</v>
      </c>
      <c r="D615" s="18" t="str">
        <f>OBRA!K617</f>
        <v>CUENTA CORRIENTE</v>
      </c>
      <c r="E615" s="525" t="s">
        <v>1431</v>
      </c>
      <c r="F615" s="1300"/>
      <c r="G615" s="239"/>
      <c r="H615" s="1300"/>
      <c r="I615" s="56" t="str">
        <f>OBRA!U617</f>
        <v>ECCOC DE GUADALAJARA, S.A. DE C.V.</v>
      </c>
      <c r="J615" s="57">
        <f>OBRA!V617</f>
        <v>0</v>
      </c>
      <c r="K615" s="35"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54" t="s">
        <v>4562</v>
      </c>
      <c r="O615" s="6">
        <f>OBRA!Q617</f>
        <v>44662</v>
      </c>
      <c r="P615" s="4">
        <f>OBRA!P617</f>
        <v>32886</v>
      </c>
      <c r="Q615" s="4" t="s">
        <v>68</v>
      </c>
      <c r="R615" s="5" t="str">
        <f>OBRA!R617</f>
        <v>-</v>
      </c>
      <c r="S615" s="12" t="str">
        <f>OBRA!S617</f>
        <v>-</v>
      </c>
      <c r="T615" s="1601" t="s">
        <v>5755</v>
      </c>
      <c r="U615" s="415" t="s">
        <v>1431</v>
      </c>
      <c r="V615" s="558"/>
      <c r="W615" s="559"/>
      <c r="X615" s="306">
        <f>OBRA!AP617</f>
        <v>0</v>
      </c>
      <c r="Y615" s="341"/>
      <c r="Z615" s="341"/>
      <c r="AA615" s="5"/>
      <c r="AB615" s="351">
        <f>OBRA!BT617</f>
        <v>0</v>
      </c>
      <c r="AC615" s="569"/>
      <c r="AE615"/>
      <c r="AF615"/>
      <c r="AG615"/>
      <c r="AH615"/>
      <c r="AI615"/>
      <c r="AJ615"/>
      <c r="AK615"/>
      <c r="AL615"/>
    </row>
    <row r="616" spans="1:38" ht="137.25" hidden="1" customHeight="1">
      <c r="A616" s="23" t="s">
        <v>2239</v>
      </c>
      <c r="B616" s="933">
        <f>GRAL!B804</f>
        <v>0</v>
      </c>
      <c r="C616" s="17">
        <f>OBRA!I618</f>
        <v>2022</v>
      </c>
      <c r="D616" s="18" t="str">
        <f>OBRA!K618</f>
        <v>CUENTA CORRIENTE</v>
      </c>
      <c r="E616" s="525" t="s">
        <v>1431</v>
      </c>
      <c r="F616" s="1300"/>
      <c r="G616" s="239"/>
      <c r="H616" s="1300"/>
      <c r="I616" s="56" t="str">
        <f>OBRA!U618</f>
        <v>ECCOC DE GUADALAJARA, S.A. DE C.V.</v>
      </c>
      <c r="J616" s="57">
        <f>OBRA!V618</f>
        <v>0</v>
      </c>
      <c r="K616" s="35"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54" t="s">
        <v>4562</v>
      </c>
      <c r="O616" s="6">
        <f>OBRA!Q618</f>
        <v>44690</v>
      </c>
      <c r="P616" s="4">
        <f>OBRA!P618</f>
        <v>18270</v>
      </c>
      <c r="Q616" s="4" t="s">
        <v>68</v>
      </c>
      <c r="R616" s="5" t="str">
        <f>OBRA!R618</f>
        <v>-</v>
      </c>
      <c r="S616" s="12" t="str">
        <f>OBRA!S618</f>
        <v>-</v>
      </c>
      <c r="T616" s="1601" t="s">
        <v>5755</v>
      </c>
      <c r="U616" s="415" t="s">
        <v>1431</v>
      </c>
      <c r="V616" s="558"/>
      <c r="W616" s="559"/>
      <c r="X616" s="306">
        <f>OBRA!AP618</f>
        <v>0</v>
      </c>
      <c r="Y616" s="341"/>
      <c r="Z616" s="341"/>
      <c r="AA616" s="5"/>
      <c r="AB616" s="351">
        <f>OBRA!BT618</f>
        <v>0</v>
      </c>
      <c r="AC616" s="569"/>
      <c r="AE616"/>
      <c r="AF616"/>
      <c r="AG616"/>
      <c r="AH616"/>
      <c r="AI616"/>
      <c r="AJ616"/>
      <c r="AK616"/>
      <c r="AL616"/>
    </row>
    <row r="617" spans="1:38" ht="117" hidden="1" customHeight="1">
      <c r="A617" s="23" t="s">
        <v>2239</v>
      </c>
      <c r="B617" s="933">
        <f>GRAL!B805</f>
        <v>0</v>
      </c>
      <c r="C617" s="17">
        <f>OBRA!I619</f>
        <v>2022</v>
      </c>
      <c r="D617" s="18" t="str">
        <f>OBRA!K619</f>
        <v>CUENTA CORRIENTE</v>
      </c>
      <c r="E617" s="525" t="s">
        <v>1431</v>
      </c>
      <c r="F617" s="1300"/>
      <c r="G617" s="239"/>
      <c r="H617" s="1300"/>
      <c r="I617" s="56" t="str">
        <f>OBRA!U619</f>
        <v>PEDRO MACHUCA SAAVEDRA</v>
      </c>
      <c r="J617" s="57">
        <f>OBRA!V619</f>
        <v>0</v>
      </c>
      <c r="K617" s="35"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OBRA!Q619</f>
        <v>44714</v>
      </c>
      <c r="P617" s="4">
        <f>OBRA!P619</f>
        <v>3500</v>
      </c>
      <c r="Q617" s="4" t="s">
        <v>68</v>
      </c>
      <c r="R617" s="5">
        <f>OBRA!R619</f>
        <v>44716</v>
      </c>
      <c r="S617" s="12">
        <f>OBRA!S619</f>
        <v>44716</v>
      </c>
      <c r="T617" s="1601" t="s">
        <v>5755</v>
      </c>
      <c r="U617" s="415" t="s">
        <v>1431</v>
      </c>
      <c r="V617" s="558"/>
      <c r="W617" s="559"/>
      <c r="X617" s="306">
        <f>OBRA!AP619</f>
        <v>0</v>
      </c>
      <c r="Y617" s="341"/>
      <c r="Z617" s="341"/>
      <c r="AA617" s="5"/>
      <c r="AB617" s="351">
        <f>OBRA!BT619</f>
        <v>0</v>
      </c>
      <c r="AC617" s="569"/>
      <c r="AE617"/>
      <c r="AF617"/>
      <c r="AG617"/>
      <c r="AH617"/>
      <c r="AI617"/>
      <c r="AJ617"/>
      <c r="AK617"/>
      <c r="AL617"/>
    </row>
    <row r="618" spans="1:38" ht="15" hidden="1" customHeight="1">
      <c r="A618" s="23" t="s">
        <v>2239</v>
      </c>
      <c r="B618" s="933">
        <f>GRAL!B806</f>
        <v>0</v>
      </c>
      <c r="C618" s="17">
        <f>OBRA!I620</f>
        <v>2022</v>
      </c>
      <c r="D618" s="18" t="str">
        <f>OBRA!K620</f>
        <v>CUENTA CORRIENTE</v>
      </c>
      <c r="E618" s="525" t="s">
        <v>1431</v>
      </c>
      <c r="F618" s="1541" t="s">
        <v>1431</v>
      </c>
      <c r="G618" s="239"/>
      <c r="H618" s="390" t="s">
        <v>1431</v>
      </c>
      <c r="I618" s="56" t="str">
        <f>OBRA!U620</f>
        <v>-</v>
      </c>
      <c r="J618" s="57">
        <f>OBRA!V620</f>
        <v>0</v>
      </c>
      <c r="K618" s="20" t="str">
        <f>OBRA!L620</f>
        <v>CPSP DOP 015/2022</v>
      </c>
      <c r="L618" s="2" t="str">
        <f>OBRA!M620</f>
        <v>SERVICIOS (CANCELADO)</v>
      </c>
      <c r="M618" s="3" t="str">
        <f>OBRA!N620</f>
        <v>-</v>
      </c>
      <c r="N618" s="597"/>
      <c r="O618" s="6">
        <f>OBRA!Q620</f>
        <v>0</v>
      </c>
      <c r="P618" s="4">
        <f>OBRA!P620</f>
        <v>0</v>
      </c>
      <c r="Q618" s="4"/>
      <c r="R618" s="5">
        <f>OBRA!R620</f>
        <v>0</v>
      </c>
      <c r="S618" s="12">
        <f>OBRA!S620</f>
        <v>0</v>
      </c>
      <c r="T618" s="227" t="s">
        <v>3859</v>
      </c>
      <c r="U618" s="415" t="s">
        <v>1431</v>
      </c>
      <c r="V618" s="344" t="s">
        <v>1431</v>
      </c>
      <c r="W618" s="559"/>
      <c r="X618" s="306">
        <f>OBRA!AP620</f>
        <v>0</v>
      </c>
      <c r="Y618" s="341"/>
      <c r="Z618" s="341"/>
      <c r="AA618" s="5"/>
      <c r="AB618" s="351">
        <f>OBRA!BT620</f>
        <v>0</v>
      </c>
      <c r="AC618" s="569"/>
      <c r="AE618"/>
      <c r="AF618"/>
      <c r="AG618"/>
      <c r="AH618"/>
      <c r="AI618"/>
      <c r="AJ618"/>
      <c r="AK618"/>
      <c r="AL618"/>
    </row>
    <row r="619" spans="1:38" ht="44.25" hidden="1" customHeight="1">
      <c r="A619" s="23" t="s">
        <v>2239</v>
      </c>
      <c r="B619" s="933">
        <f>GRAL!B807</f>
        <v>0</v>
      </c>
      <c r="C619" s="17">
        <f>OBRA!I621</f>
        <v>2022</v>
      </c>
      <c r="D619" s="18" t="str">
        <f>OBRA!K621</f>
        <v>CUENTA CORRIENTE</v>
      </c>
      <c r="E619" s="525" t="s">
        <v>1431</v>
      </c>
      <c r="F619" s="1541" t="s">
        <v>1431</v>
      </c>
      <c r="G619" s="239"/>
      <c r="H619" s="390" t="s">
        <v>1431</v>
      </c>
      <c r="I619" s="56" t="str">
        <f>OBRA!U621</f>
        <v>-</v>
      </c>
      <c r="J619" s="57">
        <f>OBRA!V621</f>
        <v>0</v>
      </c>
      <c r="K619" s="20" t="str">
        <f>OBRA!L621</f>
        <v>CPSP DOP 016/2022</v>
      </c>
      <c r="L619" s="2" t="str">
        <f>OBRA!M621</f>
        <v>SERVICIOS (CANCELADO)</v>
      </c>
      <c r="M619" s="3" t="str">
        <f>OBRA!N621</f>
        <v>-</v>
      </c>
      <c r="N619" s="597"/>
      <c r="O619" s="6">
        <f>OBRA!Q621</f>
        <v>0</v>
      </c>
      <c r="P619" s="4">
        <f>OBRA!P621</f>
        <v>0</v>
      </c>
      <c r="Q619" s="4"/>
      <c r="R619" s="5">
        <f>OBRA!R621</f>
        <v>0</v>
      </c>
      <c r="S619" s="12">
        <f>OBRA!S621</f>
        <v>0</v>
      </c>
      <c r="T619" s="227" t="s">
        <v>3859</v>
      </c>
      <c r="U619" s="415" t="s">
        <v>1431</v>
      </c>
      <c r="V619" s="344" t="s">
        <v>1431</v>
      </c>
      <c r="W619" s="559"/>
      <c r="X619" s="306">
        <f>OBRA!AP621</f>
        <v>0</v>
      </c>
      <c r="Y619" s="341"/>
      <c r="Z619" s="341"/>
      <c r="AA619" s="5"/>
      <c r="AB619" s="351">
        <f>OBRA!BT621</f>
        <v>0</v>
      </c>
      <c r="AC619" s="569"/>
      <c r="AE619"/>
      <c r="AF619"/>
      <c r="AG619"/>
      <c r="AH619"/>
      <c r="AI619"/>
      <c r="AJ619"/>
      <c r="AK619"/>
      <c r="AL619"/>
    </row>
    <row r="620" spans="1:38" ht="36.75" hidden="1" customHeight="1">
      <c r="A620" s="23" t="s">
        <v>2239</v>
      </c>
      <c r="B620" s="933">
        <f>GRAL!B808</f>
        <v>0</v>
      </c>
      <c r="C620" s="17">
        <f>OBRA!I622</f>
        <v>2022</v>
      </c>
      <c r="D620" s="18" t="str">
        <f>OBRA!K622</f>
        <v>CUENTA CORRIENTE</v>
      </c>
      <c r="E620" s="525" t="s">
        <v>1431</v>
      </c>
      <c r="F620" s="1541" t="s">
        <v>1431</v>
      </c>
      <c r="G620" s="239"/>
      <c r="H620" s="390" t="s">
        <v>1431</v>
      </c>
      <c r="I620" s="56" t="str">
        <f>OBRA!U622</f>
        <v>-</v>
      </c>
      <c r="J620" s="57">
        <f>OBRA!V622</f>
        <v>0</v>
      </c>
      <c r="K620" s="20" t="str">
        <f>OBRA!L622</f>
        <v>CPSP DOP 017/2022</v>
      </c>
      <c r="L620" s="2" t="str">
        <f>OBRA!M622</f>
        <v>SERVICIOS (CANCELADO)</v>
      </c>
      <c r="M620" s="3" t="str">
        <f>OBRA!N622</f>
        <v>-</v>
      </c>
      <c r="N620" s="597"/>
      <c r="O620" s="6">
        <f>OBRA!Q622</f>
        <v>0</v>
      </c>
      <c r="P620" s="4">
        <f>OBRA!P622</f>
        <v>0</v>
      </c>
      <c r="Q620" s="4"/>
      <c r="R620" s="5">
        <f>OBRA!R622</f>
        <v>0</v>
      </c>
      <c r="S620" s="12">
        <f>OBRA!S622</f>
        <v>0</v>
      </c>
      <c r="T620" s="227" t="s">
        <v>3859</v>
      </c>
      <c r="U620" s="415" t="s">
        <v>1431</v>
      </c>
      <c r="V620" s="344" t="s">
        <v>1431</v>
      </c>
      <c r="W620" s="559"/>
      <c r="X620" s="306">
        <f>OBRA!AP622</f>
        <v>0</v>
      </c>
      <c r="Y620" s="341"/>
      <c r="Z620" s="341"/>
      <c r="AA620" s="5"/>
      <c r="AB620" s="351">
        <f>OBRA!BT622</f>
        <v>0</v>
      </c>
      <c r="AC620" s="569"/>
      <c r="AE620"/>
      <c r="AF620"/>
      <c r="AG620"/>
      <c r="AH620"/>
      <c r="AI620"/>
      <c r="AJ620"/>
      <c r="AK620"/>
      <c r="AL620"/>
    </row>
    <row r="621" spans="1:38" ht="38.25" hidden="1" customHeight="1">
      <c r="A621" s="23" t="s">
        <v>2239</v>
      </c>
      <c r="B621" s="933">
        <f>GRAL!B809</f>
        <v>0</v>
      </c>
      <c r="C621" s="17">
        <f>OBRA!I623</f>
        <v>2022</v>
      </c>
      <c r="D621" s="18" t="str">
        <f>OBRA!K623</f>
        <v>CUENTA CORRIENTE</v>
      </c>
      <c r="E621" s="525" t="s">
        <v>1431</v>
      </c>
      <c r="F621" s="1541" t="s">
        <v>1431</v>
      </c>
      <c r="G621" s="239"/>
      <c r="H621" s="390" t="s">
        <v>1431</v>
      </c>
      <c r="I621" s="56" t="str">
        <f>OBRA!U623</f>
        <v>-</v>
      </c>
      <c r="J621" s="57">
        <f>OBRA!V623</f>
        <v>0</v>
      </c>
      <c r="K621" s="20" t="str">
        <f>OBRA!L623</f>
        <v>CPSP DOP 018/2022</v>
      </c>
      <c r="L621" s="2" t="str">
        <f>OBRA!M623</f>
        <v>SERVICIOS (CANCELADO)</v>
      </c>
      <c r="M621" s="3" t="str">
        <f>OBRA!N623</f>
        <v>-</v>
      </c>
      <c r="N621" s="597"/>
      <c r="O621" s="6">
        <f>OBRA!Q623</f>
        <v>0</v>
      </c>
      <c r="P621" s="4">
        <f>OBRA!P623</f>
        <v>0</v>
      </c>
      <c r="Q621" s="4"/>
      <c r="R621" s="5">
        <f>OBRA!R623</f>
        <v>0</v>
      </c>
      <c r="S621" s="12">
        <f>OBRA!S623</f>
        <v>0</v>
      </c>
      <c r="T621" s="227" t="s">
        <v>3859</v>
      </c>
      <c r="U621" s="415" t="s">
        <v>1431</v>
      </c>
      <c r="V621" s="344" t="s">
        <v>1431</v>
      </c>
      <c r="W621" s="559"/>
      <c r="X621" s="306">
        <f>OBRA!AP623</f>
        <v>0</v>
      </c>
      <c r="Y621" s="341"/>
      <c r="Z621" s="341"/>
      <c r="AA621" s="5"/>
      <c r="AB621" s="351">
        <f>OBRA!BT623</f>
        <v>0</v>
      </c>
      <c r="AC621" s="569"/>
      <c r="AE621"/>
      <c r="AF621"/>
      <c r="AG621"/>
      <c r="AH621"/>
      <c r="AI621"/>
      <c r="AJ621"/>
      <c r="AK621"/>
      <c r="AL621"/>
    </row>
    <row r="622" spans="1:38" ht="43.5" hidden="1" customHeight="1">
      <c r="A622" s="23" t="s">
        <v>2239</v>
      </c>
      <c r="B622" s="933">
        <f>GRAL!B810</f>
        <v>0</v>
      </c>
      <c r="C622" s="17">
        <f>OBRA!I624</f>
        <v>2022</v>
      </c>
      <c r="D622" s="18" t="str">
        <f>OBRA!K624</f>
        <v>CUENTA CORRIENTE</v>
      </c>
      <c r="E622" s="525" t="s">
        <v>1431</v>
      </c>
      <c r="F622" s="1541" t="s">
        <v>1431</v>
      </c>
      <c r="G622" s="239"/>
      <c r="H622" s="390" t="s">
        <v>1431</v>
      </c>
      <c r="I622" s="56" t="str">
        <f>OBRA!U624</f>
        <v>-</v>
      </c>
      <c r="J622" s="57">
        <f>OBRA!V624</f>
        <v>0</v>
      </c>
      <c r="K622" s="20" t="str">
        <f>OBRA!L624</f>
        <v>CPSP DOP 019/2022</v>
      </c>
      <c r="L622" s="2" t="str">
        <f>OBRA!M624</f>
        <v>SERVICIOS (CANCELADO)</v>
      </c>
      <c r="M622" s="3" t="str">
        <f>OBRA!N624</f>
        <v>-</v>
      </c>
      <c r="N622" s="597"/>
      <c r="O622" s="6">
        <f>OBRA!Q624</f>
        <v>0</v>
      </c>
      <c r="P622" s="4">
        <f>OBRA!P624</f>
        <v>0</v>
      </c>
      <c r="Q622" s="4"/>
      <c r="R622" s="5">
        <f>OBRA!R624</f>
        <v>0</v>
      </c>
      <c r="S622" s="12">
        <f>OBRA!S624</f>
        <v>0</v>
      </c>
      <c r="T622" s="227" t="s">
        <v>3859</v>
      </c>
      <c r="U622" s="415" t="s">
        <v>1431</v>
      </c>
      <c r="V622" s="344" t="s">
        <v>1431</v>
      </c>
      <c r="W622" s="559"/>
      <c r="X622" s="306">
        <f>OBRA!AP624</f>
        <v>0</v>
      </c>
      <c r="Y622" s="341"/>
      <c r="Z622" s="341"/>
      <c r="AA622" s="5"/>
      <c r="AB622" s="351">
        <f>OBRA!BT624</f>
        <v>0</v>
      </c>
      <c r="AC622" s="569"/>
      <c r="AE622"/>
      <c r="AF622"/>
      <c r="AG622"/>
      <c r="AH622"/>
      <c r="AI622"/>
      <c r="AJ622"/>
      <c r="AK622"/>
      <c r="AL622"/>
    </row>
    <row r="623" spans="1:38" ht="41.25" hidden="1" customHeight="1">
      <c r="A623" s="23" t="s">
        <v>2239</v>
      </c>
      <c r="B623" s="933">
        <f>GRAL!B811</f>
        <v>0</v>
      </c>
      <c r="C623" s="17">
        <f>OBRA!I625</f>
        <v>2022</v>
      </c>
      <c r="D623" s="18" t="str">
        <f>OBRA!K625</f>
        <v>CUENTA CORRIENTE</v>
      </c>
      <c r="E623" s="525" t="s">
        <v>1431</v>
      </c>
      <c r="F623" s="1541" t="s">
        <v>1431</v>
      </c>
      <c r="G623" s="239"/>
      <c r="H623" s="390" t="s">
        <v>1431</v>
      </c>
      <c r="I623" s="56" t="str">
        <f>OBRA!U625</f>
        <v>-</v>
      </c>
      <c r="J623" s="57">
        <f>OBRA!V625</f>
        <v>0</v>
      </c>
      <c r="K623" s="20" t="str">
        <f>OBRA!L625</f>
        <v>CPSP DOP 020/2022</v>
      </c>
      <c r="L623" s="2" t="str">
        <f>OBRA!M625</f>
        <v>SERVICIOS (CANCELADO)</v>
      </c>
      <c r="M623" s="3" t="str">
        <f>OBRA!N625</f>
        <v>-</v>
      </c>
      <c r="N623" s="597"/>
      <c r="O623" s="6">
        <f>OBRA!Q625</f>
        <v>0</v>
      </c>
      <c r="P623" s="4">
        <f>OBRA!P625</f>
        <v>0</v>
      </c>
      <c r="Q623" s="4"/>
      <c r="R623" s="5">
        <f>OBRA!R625</f>
        <v>0</v>
      </c>
      <c r="S623" s="12">
        <f>OBRA!S625</f>
        <v>0</v>
      </c>
      <c r="T623" s="227" t="s">
        <v>3859</v>
      </c>
      <c r="U623" s="415" t="s">
        <v>1431</v>
      </c>
      <c r="V623" s="344" t="s">
        <v>1431</v>
      </c>
      <c r="W623" s="559"/>
      <c r="X623" s="306">
        <f>OBRA!AP625</f>
        <v>0</v>
      </c>
      <c r="Y623" s="341"/>
      <c r="Z623" s="341"/>
      <c r="AA623" s="5"/>
      <c r="AB623" s="351">
        <f>OBRA!BT625</f>
        <v>0</v>
      </c>
      <c r="AC623" s="569"/>
      <c r="AE623"/>
      <c r="AF623"/>
      <c r="AG623"/>
      <c r="AH623"/>
      <c r="AI623"/>
      <c r="AJ623"/>
      <c r="AK623"/>
      <c r="AL623"/>
    </row>
    <row r="624" spans="1:38" ht="94.5" hidden="1" customHeight="1">
      <c r="A624" s="23" t="s">
        <v>2239</v>
      </c>
      <c r="B624" s="933">
        <f>GRAL!B812</f>
        <v>0</v>
      </c>
      <c r="C624" s="17">
        <f>OBRA!I626</f>
        <v>2022</v>
      </c>
      <c r="D624" s="18" t="str">
        <f>OBRA!K626</f>
        <v>CUENTA CORRIENTE</v>
      </c>
      <c r="E624" s="525" t="s">
        <v>1431</v>
      </c>
      <c r="F624" s="1300"/>
      <c r="G624" s="239"/>
      <c r="H624" s="1300"/>
      <c r="I624" s="56" t="str">
        <f>OBRA!U626</f>
        <v>ALSERCON SA DE CV</v>
      </c>
      <c r="J624" s="57" t="str">
        <f>OBRA!V626</f>
        <v>C. DANIEL RODRIGUEZ VALENZUELA</v>
      </c>
      <c r="K624" s="35"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54" t="s">
        <v>4939</v>
      </c>
      <c r="O624" s="6">
        <f>OBRA!Q626</f>
        <v>44655</v>
      </c>
      <c r="P624" s="4">
        <f>OBRA!P626</f>
        <v>1739.9999999999998</v>
      </c>
      <c r="Q624" s="4" t="s">
        <v>5668</v>
      </c>
      <c r="R624" s="5">
        <f>OBRA!R626</f>
        <v>44658</v>
      </c>
      <c r="S624" s="12">
        <f>OBRA!S626</f>
        <v>44662</v>
      </c>
      <c r="T624" s="227" t="s">
        <v>5756</v>
      </c>
      <c r="U624" s="415" t="s">
        <v>1431</v>
      </c>
      <c r="V624" s="558"/>
      <c r="W624" s="559"/>
      <c r="X624" s="306">
        <f>OBRA!AP626</f>
        <v>0</v>
      </c>
      <c r="Y624" s="341"/>
      <c r="Z624" s="341"/>
      <c r="AA624" s="5"/>
      <c r="AB624" s="351">
        <f>OBRA!BT626</f>
        <v>0</v>
      </c>
      <c r="AC624" s="569"/>
      <c r="AE624"/>
      <c r="AF624"/>
      <c r="AG624"/>
      <c r="AH624"/>
      <c r="AI624"/>
      <c r="AJ624"/>
      <c r="AK624"/>
      <c r="AL624"/>
    </row>
    <row r="625" spans="1:38" ht="96.75" hidden="1" customHeight="1">
      <c r="A625" s="23" t="s">
        <v>2239</v>
      </c>
      <c r="B625" s="933">
        <f>GRAL!B813</f>
        <v>0</v>
      </c>
      <c r="C625" s="17">
        <f>OBRA!I627</f>
        <v>2022</v>
      </c>
      <c r="D625" s="18" t="str">
        <f>OBRA!K627</f>
        <v>CUENTA CORRIENTE</v>
      </c>
      <c r="E625" s="525" t="s">
        <v>1431</v>
      </c>
      <c r="F625" s="1300"/>
      <c r="G625" s="239"/>
      <c r="H625" s="1300"/>
      <c r="I625" s="56" t="str">
        <f>OBRA!U627</f>
        <v xml:space="preserve">DORIA &amp; SAMPIER CONSTRUCTORA, S.A. DE C.V. </v>
      </c>
      <c r="J625" s="57" t="str">
        <f>OBRA!V627</f>
        <v>C. DANIEL RODRIGUEZ VALENZUELA</v>
      </c>
      <c r="K625" s="35"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54" t="s">
        <v>4939</v>
      </c>
      <c r="O625" s="6">
        <f>OBRA!Q627</f>
        <v>44594</v>
      </c>
      <c r="P625" s="4">
        <f>OBRA!P627</f>
        <v>638</v>
      </c>
      <c r="Q625" s="4" t="s">
        <v>2328</v>
      </c>
      <c r="R625" s="5" t="str">
        <f>OBRA!R627</f>
        <v>-</v>
      </c>
      <c r="S625" s="12" t="str">
        <f>OBRA!S627</f>
        <v>-</v>
      </c>
      <c r="T625" s="227" t="s">
        <v>5756</v>
      </c>
      <c r="U625" s="415" t="s">
        <v>1431</v>
      </c>
      <c r="V625" s="558"/>
      <c r="W625" s="559"/>
      <c r="X625" s="306">
        <f>OBRA!AP627</f>
        <v>0</v>
      </c>
      <c r="Y625" s="341"/>
      <c r="Z625" s="341"/>
      <c r="AA625" s="5"/>
      <c r="AB625" s="351">
        <f>OBRA!BT627</f>
        <v>0</v>
      </c>
      <c r="AC625" s="569"/>
      <c r="AE625"/>
      <c r="AF625"/>
      <c r="AG625"/>
      <c r="AH625"/>
      <c r="AI625"/>
      <c r="AJ625"/>
      <c r="AK625"/>
      <c r="AL625"/>
    </row>
    <row r="626" spans="1:38" ht="100.5" hidden="1" customHeight="1">
      <c r="A626" s="23" t="s">
        <v>2239</v>
      </c>
      <c r="B626" s="933">
        <f>GRAL!B814</f>
        <v>0</v>
      </c>
      <c r="C626" s="17">
        <f>OBRA!I628</f>
        <v>2022</v>
      </c>
      <c r="D626" s="18" t="str">
        <f>OBRA!K628</f>
        <v>CUENTA CORRIENTE</v>
      </c>
      <c r="E626" s="525" t="s">
        <v>1431</v>
      </c>
      <c r="F626" s="1300"/>
      <c r="G626" s="239"/>
      <c r="H626" s="1300"/>
      <c r="I626" s="56" t="str">
        <f>OBRA!U628</f>
        <v>ALSERCON SA DE CV</v>
      </c>
      <c r="J626" s="57" t="str">
        <f>OBRA!V628</f>
        <v>C. DANIEL RODRIGUEZ VALENZUELA</v>
      </c>
      <c r="K626" s="35"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54" t="s">
        <v>4939</v>
      </c>
      <c r="O626" s="6">
        <f>OBRA!Q628</f>
        <v>44673</v>
      </c>
      <c r="P626" s="4">
        <f>OBRA!P628</f>
        <v>1739.9999999999998</v>
      </c>
      <c r="Q626" s="4" t="s">
        <v>5668</v>
      </c>
      <c r="R626" s="5">
        <f>OBRA!R628</f>
        <v>44677</v>
      </c>
      <c r="S626" s="12">
        <f>OBRA!S628</f>
        <v>44707</v>
      </c>
      <c r="T626" s="227" t="s">
        <v>5756</v>
      </c>
      <c r="U626" s="415" t="s">
        <v>1431</v>
      </c>
      <c r="V626" s="558"/>
      <c r="W626" s="559"/>
      <c r="X626" s="306">
        <f>OBRA!AP628</f>
        <v>0</v>
      </c>
      <c r="Y626" s="341"/>
      <c r="Z626" s="341"/>
      <c r="AA626" s="5"/>
      <c r="AB626" s="351">
        <f>OBRA!BT628</f>
        <v>0</v>
      </c>
      <c r="AC626" s="569"/>
      <c r="AE626"/>
      <c r="AF626"/>
      <c r="AG626"/>
      <c r="AH626"/>
      <c r="AI626"/>
      <c r="AJ626"/>
      <c r="AK626"/>
      <c r="AL626"/>
    </row>
    <row r="627" spans="1:38" ht="107.25" hidden="1" customHeight="1">
      <c r="A627" s="23" t="s">
        <v>2239</v>
      </c>
      <c r="B627" s="933">
        <f>GRAL!B815</f>
        <v>0</v>
      </c>
      <c r="C627" s="17">
        <f>OBRA!I629</f>
        <v>2022</v>
      </c>
      <c r="D627" s="18" t="str">
        <f>OBRA!K629</f>
        <v>CUENTA CORRIENTE</v>
      </c>
      <c r="E627" s="525" t="s">
        <v>1431</v>
      </c>
      <c r="F627" s="1300"/>
      <c r="G627" s="239"/>
      <c r="H627" s="1300"/>
      <c r="I627" s="56" t="str">
        <f>OBRA!U629</f>
        <v>ING. SERGIO CABRERA</v>
      </c>
      <c r="J627" s="57" t="str">
        <f>OBRA!V629</f>
        <v>C. DANIEL RODRIGUEZ VALENZUELA</v>
      </c>
      <c r="K627" s="35"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54" t="s">
        <v>4939</v>
      </c>
      <c r="O627" s="6">
        <f>OBRA!Q629</f>
        <v>44594</v>
      </c>
      <c r="P627" s="4">
        <f>OBRA!P629</f>
        <v>1144.8851999999999</v>
      </c>
      <c r="Q627" s="4" t="s">
        <v>2328</v>
      </c>
      <c r="R627" s="5" t="str">
        <f>OBRA!R629</f>
        <v>-</v>
      </c>
      <c r="S627" s="12" t="str">
        <f>OBRA!S629</f>
        <v>-</v>
      </c>
      <c r="T627" s="227" t="s">
        <v>5756</v>
      </c>
      <c r="U627" s="415" t="s">
        <v>1431</v>
      </c>
      <c r="V627" s="558"/>
      <c r="W627" s="559"/>
      <c r="X627" s="306">
        <f>OBRA!AP629</f>
        <v>0</v>
      </c>
      <c r="Y627" s="341"/>
      <c r="Z627" s="341"/>
      <c r="AA627" s="5"/>
      <c r="AB627" s="351">
        <f>OBRA!BT629</f>
        <v>0</v>
      </c>
      <c r="AC627" s="569"/>
      <c r="AE627"/>
      <c r="AF627"/>
      <c r="AG627"/>
      <c r="AH627"/>
      <c r="AI627"/>
      <c r="AJ627"/>
      <c r="AK627"/>
      <c r="AL627"/>
    </row>
    <row r="628" spans="1:38" ht="106.5" hidden="1" customHeight="1">
      <c r="A628" s="23" t="s">
        <v>2239</v>
      </c>
      <c r="B628" s="933">
        <f>GRAL!B816</f>
        <v>0</v>
      </c>
      <c r="C628" s="17">
        <f>OBRA!I630</f>
        <v>2022</v>
      </c>
      <c r="D628" s="18" t="str">
        <f>OBRA!K630</f>
        <v>CUENTA CORRIENTE</v>
      </c>
      <c r="E628" s="525" t="s">
        <v>1431</v>
      </c>
      <c r="F628" s="1300"/>
      <c r="G628" s="239"/>
      <c r="H628" s="1300"/>
      <c r="I628" s="56" t="str">
        <f>OBRA!U630</f>
        <v>ING. SERGIO CABRERA</v>
      </c>
      <c r="J628" s="57" t="str">
        <f>OBRA!V630</f>
        <v>C. DANIEL RODRIGUEZ VALENZUELA</v>
      </c>
      <c r="K628" s="35"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54" t="s">
        <v>4939</v>
      </c>
      <c r="O628" s="6">
        <f>OBRA!Q630</f>
        <v>44641</v>
      </c>
      <c r="P628" s="4">
        <f>OBRA!P630</f>
        <v>1850.8843999999997</v>
      </c>
      <c r="Q628" s="4" t="s">
        <v>2328</v>
      </c>
      <c r="R628" s="5" t="str">
        <f>OBRA!R630</f>
        <v>-</v>
      </c>
      <c r="S628" s="12" t="str">
        <f>OBRA!S630</f>
        <v>-</v>
      </c>
      <c r="T628" s="227" t="s">
        <v>5756</v>
      </c>
      <c r="U628" s="415" t="s">
        <v>1431</v>
      </c>
      <c r="V628" s="558"/>
      <c r="W628" s="559"/>
      <c r="X628" s="306">
        <f>OBRA!AP630</f>
        <v>0</v>
      </c>
      <c r="Y628" s="341"/>
      <c r="Z628" s="341"/>
      <c r="AA628" s="5"/>
      <c r="AB628" s="351">
        <f>OBRA!BT630</f>
        <v>0</v>
      </c>
      <c r="AC628" s="569"/>
      <c r="AE628"/>
      <c r="AF628"/>
      <c r="AG628"/>
      <c r="AH628"/>
      <c r="AI628"/>
      <c r="AJ628"/>
      <c r="AK628"/>
      <c r="AL628"/>
    </row>
    <row r="629" spans="1:38" ht="102" hidden="1" customHeight="1">
      <c r="A629" s="23" t="s">
        <v>2239</v>
      </c>
      <c r="B629" s="933">
        <f>GRAL!B817</f>
        <v>0</v>
      </c>
      <c r="C629" s="17">
        <f>OBRA!I631</f>
        <v>2022</v>
      </c>
      <c r="D629" s="18" t="str">
        <f>OBRA!K631</f>
        <v>CUENTA CORRIENTE</v>
      </c>
      <c r="E629" s="525" t="s">
        <v>1431</v>
      </c>
      <c r="F629" s="1300"/>
      <c r="G629" s="239"/>
      <c r="H629" s="1300"/>
      <c r="I629" s="56" t="str">
        <f>OBRA!U631</f>
        <v>ING. SERGIO CABRERA</v>
      </c>
      <c r="J629" s="57" t="str">
        <f>OBRA!V631</f>
        <v>C. DANIEL RODRIGUEZ VALENZUELA</v>
      </c>
      <c r="K629" s="35"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54" t="s">
        <v>4939</v>
      </c>
      <c r="O629" s="6">
        <f>OBRA!Q631</f>
        <v>44642</v>
      </c>
      <c r="P629" s="4">
        <f>OBRA!P631</f>
        <v>854.74599999999998</v>
      </c>
      <c r="Q629" s="4" t="s">
        <v>2328</v>
      </c>
      <c r="R629" s="5">
        <f>OBRA!R631</f>
        <v>0</v>
      </c>
      <c r="S629" s="12">
        <f>OBRA!S631</f>
        <v>0</v>
      </c>
      <c r="T629" s="227" t="s">
        <v>5756</v>
      </c>
      <c r="U629" s="415" t="s">
        <v>1431</v>
      </c>
      <c r="V629" s="558"/>
      <c r="W629" s="559"/>
      <c r="X629" s="306">
        <f>OBRA!AP631</f>
        <v>0</v>
      </c>
      <c r="Y629" s="341"/>
      <c r="Z629" s="341"/>
      <c r="AA629" s="5"/>
      <c r="AB629" s="351">
        <f>OBRA!BT631</f>
        <v>0</v>
      </c>
      <c r="AC629" s="569"/>
      <c r="AE629"/>
      <c r="AF629"/>
      <c r="AG629"/>
      <c r="AH629"/>
      <c r="AI629"/>
      <c r="AJ629"/>
      <c r="AK629"/>
      <c r="AL629"/>
    </row>
    <row r="630" spans="1:38" ht="111" hidden="1" customHeight="1">
      <c r="A630" s="23" t="s">
        <v>2239</v>
      </c>
      <c r="B630" s="933">
        <f>GRAL!B818</f>
        <v>0</v>
      </c>
      <c r="C630" s="17">
        <f>OBRA!I632</f>
        <v>2022</v>
      </c>
      <c r="D630" s="18" t="str">
        <f>OBRA!K632</f>
        <v>CUENTA CORRIENTE</v>
      </c>
      <c r="E630" s="525" t="s">
        <v>1431</v>
      </c>
      <c r="F630" s="1300"/>
      <c r="G630" s="239"/>
      <c r="H630" s="1300"/>
      <c r="I630" s="56" t="str">
        <f>OBRA!U632</f>
        <v>ING. SERGIO CABRERA</v>
      </c>
      <c r="J630" s="57" t="str">
        <f>OBRA!V632</f>
        <v>C. DANIEL RODRIGUEZ VALENZUELA</v>
      </c>
      <c r="K630" s="35"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54" t="s">
        <v>4939</v>
      </c>
      <c r="O630" s="6">
        <f>OBRA!Q632</f>
        <v>44648</v>
      </c>
      <c r="P630" s="4">
        <f>OBRA!P632</f>
        <v>818.2639999999999</v>
      </c>
      <c r="Q630" s="4" t="s">
        <v>2328</v>
      </c>
      <c r="R630" s="5">
        <f>OBRA!R632</f>
        <v>0</v>
      </c>
      <c r="S630" s="12">
        <f>OBRA!S632</f>
        <v>0</v>
      </c>
      <c r="T630" s="227" t="s">
        <v>5756</v>
      </c>
      <c r="U630" s="415" t="s">
        <v>1431</v>
      </c>
      <c r="V630" s="558"/>
      <c r="W630" s="559"/>
      <c r="X630" s="306">
        <f>OBRA!AP632</f>
        <v>0</v>
      </c>
      <c r="Y630" s="341"/>
      <c r="Z630" s="341"/>
      <c r="AA630" s="5"/>
      <c r="AB630" s="351">
        <f>OBRA!BT632</f>
        <v>0</v>
      </c>
      <c r="AC630" s="569"/>
      <c r="AE630"/>
      <c r="AF630"/>
      <c r="AG630"/>
      <c r="AH630"/>
      <c r="AI630"/>
      <c r="AJ630"/>
      <c r="AK630"/>
      <c r="AL630"/>
    </row>
    <row r="631" spans="1:38" ht="108.75" hidden="1" customHeight="1">
      <c r="A631" s="23" t="s">
        <v>2239</v>
      </c>
      <c r="B631" s="933">
        <f>GRAL!B819</f>
        <v>0</v>
      </c>
      <c r="C631" s="17">
        <f>OBRA!I633</f>
        <v>2022</v>
      </c>
      <c r="D631" s="18" t="str">
        <f>OBRA!K633</f>
        <v>CUENTA CORRIENTE</v>
      </c>
      <c r="E631" s="525" t="s">
        <v>1431</v>
      </c>
      <c r="F631" s="1300"/>
      <c r="G631" s="239"/>
      <c r="H631" s="1300"/>
      <c r="I631" s="56" t="str">
        <f>OBRA!U633</f>
        <v>ING. SERGIO CABRERA</v>
      </c>
      <c r="J631" s="57" t="str">
        <f>OBRA!V633</f>
        <v>C. DANIEL RODRIGUEZ VALENZUELA</v>
      </c>
      <c r="K631" s="20"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54" t="s">
        <v>4939</v>
      </c>
      <c r="O631" s="6">
        <f>OBRA!Q633</f>
        <v>44642</v>
      </c>
      <c r="P631" s="4">
        <f>OBRA!P633</f>
        <v>376.51279999999997</v>
      </c>
      <c r="Q631" s="4" t="s">
        <v>2328</v>
      </c>
      <c r="R631" s="5">
        <f>OBRA!R633</f>
        <v>0</v>
      </c>
      <c r="S631" s="12">
        <f>OBRA!S633</f>
        <v>0</v>
      </c>
      <c r="T631" s="227" t="s">
        <v>5756</v>
      </c>
      <c r="U631" s="415" t="s">
        <v>1431</v>
      </c>
      <c r="V631" s="558"/>
      <c r="W631" s="559"/>
      <c r="X631" s="306">
        <f>OBRA!AP633</f>
        <v>0</v>
      </c>
      <c r="Y631" s="341"/>
      <c r="Z631" s="341"/>
      <c r="AA631" s="5"/>
      <c r="AB631" s="351">
        <f>OBRA!BT633</f>
        <v>0</v>
      </c>
      <c r="AC631" s="569"/>
      <c r="AE631"/>
      <c r="AF631"/>
      <c r="AG631"/>
      <c r="AH631"/>
      <c r="AI631"/>
      <c r="AJ631"/>
      <c r="AK631"/>
      <c r="AL631"/>
    </row>
    <row r="632" spans="1:38" ht="15" hidden="1" customHeight="1">
      <c r="A632" s="23" t="s">
        <v>2239</v>
      </c>
      <c r="B632" s="933">
        <f>GRAL!B820</f>
        <v>0</v>
      </c>
      <c r="C632" s="17">
        <f>OBRA!I634</f>
        <v>2022</v>
      </c>
      <c r="D632" s="18">
        <f>OBRA!K634</f>
        <v>0</v>
      </c>
      <c r="E632" s="525" t="s">
        <v>1431</v>
      </c>
      <c r="F632" s="1541" t="s">
        <v>1431</v>
      </c>
      <c r="G632" s="239"/>
      <c r="H632" s="390" t="s">
        <v>1431</v>
      </c>
      <c r="I632" s="56" t="str">
        <f>OBRA!U634</f>
        <v>-</v>
      </c>
      <c r="J632" s="57">
        <f>OBRA!V634</f>
        <v>0</v>
      </c>
      <c r="K632" s="20" t="str">
        <f>OBRA!L634</f>
        <v>C- OP 009/2022</v>
      </c>
      <c r="L632" s="2" t="str">
        <f>OBRA!M634</f>
        <v>ARRENDAMIENTO (CANCELADO)</v>
      </c>
      <c r="M632" s="3" t="str">
        <f>OBRA!N634</f>
        <v>-</v>
      </c>
      <c r="N632" s="597"/>
      <c r="O632" s="6">
        <f>OBRA!Q634</f>
        <v>0</v>
      </c>
      <c r="P632" s="4">
        <f>OBRA!P634</f>
        <v>0</v>
      </c>
      <c r="Q632" s="4"/>
      <c r="R632" s="5">
        <f>OBRA!R634</f>
        <v>0</v>
      </c>
      <c r="S632" s="12">
        <f>OBRA!S634</f>
        <v>0</v>
      </c>
      <c r="T632" s="227" t="s">
        <v>3859</v>
      </c>
      <c r="U632" s="415" t="s">
        <v>1431</v>
      </c>
      <c r="V632" s="344" t="s">
        <v>1431</v>
      </c>
      <c r="W632" s="559"/>
      <c r="X632" s="306">
        <f>OBRA!AP634</f>
        <v>0</v>
      </c>
      <c r="Y632" s="341"/>
      <c r="Z632" s="341"/>
      <c r="AA632" s="5"/>
      <c r="AB632" s="351">
        <f>OBRA!BT634</f>
        <v>0</v>
      </c>
      <c r="AC632" s="569"/>
      <c r="AE632"/>
      <c r="AF632"/>
      <c r="AG632"/>
      <c r="AH632"/>
      <c r="AI632"/>
      <c r="AJ632"/>
      <c r="AK632"/>
      <c r="AL632"/>
    </row>
    <row r="633" spans="1:38" ht="15" hidden="1" customHeight="1">
      <c r="A633" s="23" t="s">
        <v>2239</v>
      </c>
      <c r="B633" s="933">
        <f>GRAL!B821</f>
        <v>0</v>
      </c>
      <c r="C633" s="17">
        <f>OBRA!I635</f>
        <v>2022</v>
      </c>
      <c r="D633" s="18">
        <f>OBRA!K635</f>
        <v>0</v>
      </c>
      <c r="E633" s="525" t="s">
        <v>1431</v>
      </c>
      <c r="F633" s="1541" t="s">
        <v>1431</v>
      </c>
      <c r="G633" s="239"/>
      <c r="H633" s="390" t="s">
        <v>1431</v>
      </c>
      <c r="I633" s="56" t="str">
        <f>OBRA!U635</f>
        <v>-</v>
      </c>
      <c r="J633" s="57">
        <f>OBRA!V635</f>
        <v>0</v>
      </c>
      <c r="K633" s="20" t="str">
        <f>OBRA!L635</f>
        <v>C- OP 010/2022</v>
      </c>
      <c r="L633" s="2" t="str">
        <f>OBRA!M635</f>
        <v>ARRENDAMIENTO (CANCELADO)</v>
      </c>
      <c r="M633" s="3" t="str">
        <f>OBRA!N635</f>
        <v>-</v>
      </c>
      <c r="N633" s="597"/>
      <c r="O633" s="6">
        <f>OBRA!Q635</f>
        <v>0</v>
      </c>
      <c r="P633" s="4">
        <f>OBRA!P635</f>
        <v>0</v>
      </c>
      <c r="Q633" s="4"/>
      <c r="R633" s="5">
        <f>OBRA!R635</f>
        <v>0</v>
      </c>
      <c r="S633" s="12">
        <f>OBRA!S635</f>
        <v>0</v>
      </c>
      <c r="T633" s="227" t="s">
        <v>3859</v>
      </c>
      <c r="U633" s="415" t="s">
        <v>1431</v>
      </c>
      <c r="V633" s="344" t="s">
        <v>1431</v>
      </c>
      <c r="W633" s="559"/>
      <c r="X633" s="306">
        <f>OBRA!AP635</f>
        <v>0</v>
      </c>
      <c r="Y633" s="341"/>
      <c r="Z633" s="341"/>
      <c r="AA633" s="5"/>
      <c r="AB633" s="351">
        <f>OBRA!BT635</f>
        <v>0</v>
      </c>
      <c r="AC633" s="569"/>
      <c r="AE633"/>
      <c r="AF633"/>
      <c r="AG633"/>
      <c r="AH633"/>
      <c r="AI633"/>
      <c r="AJ633"/>
      <c r="AK633"/>
      <c r="AL633"/>
    </row>
    <row r="634" spans="1:38" ht="15" hidden="1" customHeight="1">
      <c r="A634" s="23" t="s">
        <v>2239</v>
      </c>
      <c r="B634" s="933">
        <f>GRAL!B822</f>
        <v>0</v>
      </c>
      <c r="C634" s="17">
        <f>OBRA!I636</f>
        <v>2022</v>
      </c>
      <c r="D634" s="18" t="str">
        <f>OBRA!K636</f>
        <v>RAMO 33</v>
      </c>
      <c r="E634" s="1374"/>
      <c r="F634" s="1300"/>
      <c r="G634" s="239"/>
      <c r="H634" s="1300"/>
      <c r="I634" s="56" t="str">
        <f>OBRA!U636</f>
        <v xml:space="preserve">SERVICIOS Y CONSTRUCCIONES NATENIO, S.A. DE C.V. </v>
      </c>
      <c r="J634" s="57" t="str">
        <f>OBRA!V636</f>
        <v>C. DANIEL RODRIGUEZ VALENZUELA</v>
      </c>
      <c r="K634" s="20"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97"/>
      <c r="O634" s="6">
        <f>OBRA!Q636</f>
        <v>44628</v>
      </c>
      <c r="P634" s="4">
        <f>OBRA!P636</f>
        <v>98067.87</v>
      </c>
      <c r="Q634" s="4"/>
      <c r="R634" s="5">
        <f>OBRA!R636</f>
        <v>44634</v>
      </c>
      <c r="S634" s="12">
        <f>OBRA!S636</f>
        <v>44639</v>
      </c>
      <c r="T634" s="792"/>
      <c r="U634" s="223"/>
      <c r="V634" s="558"/>
      <c r="W634" s="559"/>
      <c r="X634" s="590">
        <f>OBRA!AP636</f>
        <v>19613.560000000001</v>
      </c>
      <c r="Y634" s="341"/>
      <c r="Z634" s="341"/>
      <c r="AA634" s="5"/>
      <c r="AB634" s="351">
        <f>OBRA!BT636</f>
        <v>0</v>
      </c>
      <c r="AC634" s="569"/>
      <c r="AE634"/>
      <c r="AF634"/>
      <c r="AG634"/>
      <c r="AH634"/>
      <c r="AI634"/>
      <c r="AJ634"/>
      <c r="AK634"/>
      <c r="AL634"/>
    </row>
    <row r="635" spans="1:38" ht="15" hidden="1" customHeight="1">
      <c r="A635" s="23" t="s">
        <v>2239</v>
      </c>
      <c r="B635" s="933">
        <f>GRAL!B823</f>
        <v>0</v>
      </c>
      <c r="C635" s="17">
        <f>OBRA!I637</f>
        <v>2022</v>
      </c>
      <c r="D635" s="18" t="str">
        <f>OBRA!K637</f>
        <v>RAMO 33</v>
      </c>
      <c r="E635" s="1374"/>
      <c r="F635" s="1300"/>
      <c r="G635" s="239"/>
      <c r="H635" s="1300"/>
      <c r="I635" s="56" t="str">
        <f>OBRA!U637</f>
        <v xml:space="preserve">DORIA &amp; SAMPIER CONSTRUCTORA, S.A. DE C.V. </v>
      </c>
      <c r="J635" s="57" t="str">
        <f>OBRA!V637</f>
        <v>C. DANIEL RODRIGUEZ VALENZUELA</v>
      </c>
      <c r="K635" s="20"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97"/>
      <c r="O635" s="6">
        <f>OBRA!Q637</f>
        <v>44628</v>
      </c>
      <c r="P635" s="4">
        <f>OBRA!P637</f>
        <v>160513.82999999999</v>
      </c>
      <c r="Q635" s="4"/>
      <c r="R635" s="5">
        <f>OBRA!R637</f>
        <v>44634</v>
      </c>
      <c r="S635" s="12">
        <f>OBRA!S637</f>
        <v>44653</v>
      </c>
      <c r="T635" s="792"/>
      <c r="U635" s="223"/>
      <c r="V635" s="558"/>
      <c r="W635" s="559"/>
      <c r="X635" s="590">
        <f>OBRA!AP637</f>
        <v>32102.76</v>
      </c>
      <c r="Y635" s="341"/>
      <c r="Z635" s="341"/>
      <c r="AA635" s="5"/>
      <c r="AB635" s="351">
        <f>OBRA!BT637</f>
        <v>0</v>
      </c>
      <c r="AC635" s="569"/>
      <c r="AE635"/>
      <c r="AF635"/>
      <c r="AG635"/>
      <c r="AH635"/>
      <c r="AI635"/>
      <c r="AJ635"/>
      <c r="AK635"/>
      <c r="AL635"/>
    </row>
    <row r="636" spans="1:38" ht="15" hidden="1" customHeight="1">
      <c r="A636" s="23" t="s">
        <v>2239</v>
      </c>
      <c r="B636" s="933">
        <f>GRAL!B824</f>
        <v>0</v>
      </c>
      <c r="C636" s="17">
        <f>OBRA!I638</f>
        <v>2022</v>
      </c>
      <c r="D636" s="18" t="str">
        <f>OBRA!K638</f>
        <v>RAMO 33</v>
      </c>
      <c r="E636" s="1374"/>
      <c r="F636" s="1300"/>
      <c r="G636" s="239"/>
      <c r="H636" s="1300"/>
      <c r="I636" s="56" t="str">
        <f>OBRA!U638</f>
        <v xml:space="preserve">DORIA &amp; SAMPIER CONSTRUCTORA, S.A. DE C.V. </v>
      </c>
      <c r="J636" s="57" t="str">
        <f>OBRA!V638</f>
        <v>C. DANIEL RODRIGUEZ VALENZUELA</v>
      </c>
      <c r="K636" s="20"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97"/>
      <c r="O636" s="6">
        <f>OBRA!Q638</f>
        <v>44628</v>
      </c>
      <c r="P636" s="4">
        <f>OBRA!P638</f>
        <v>236056.39</v>
      </c>
      <c r="Q636" s="4"/>
      <c r="R636" s="5">
        <f>OBRA!R638</f>
        <v>44634</v>
      </c>
      <c r="S636" s="12">
        <f>OBRA!S638</f>
        <v>44653</v>
      </c>
      <c r="T636" s="792"/>
      <c r="U636" s="223"/>
      <c r="V636" s="558"/>
      <c r="W636" s="559"/>
      <c r="X636" s="590">
        <f>OBRA!AP638</f>
        <v>23605.64</v>
      </c>
      <c r="Y636" s="341"/>
      <c r="Z636" s="341"/>
      <c r="AA636" s="5"/>
      <c r="AB636" s="351">
        <f>OBRA!BT638</f>
        <v>0</v>
      </c>
      <c r="AC636" s="569"/>
      <c r="AE636"/>
      <c r="AF636"/>
      <c r="AG636"/>
      <c r="AH636"/>
      <c r="AI636"/>
      <c r="AJ636"/>
      <c r="AK636"/>
      <c r="AL636"/>
    </row>
    <row r="637" spans="1:38" ht="15" hidden="1" customHeight="1">
      <c r="A637" s="23" t="s">
        <v>2239</v>
      </c>
      <c r="B637" s="933">
        <f>GRAL!B825</f>
        <v>0</v>
      </c>
      <c r="C637" s="17">
        <f>OBRA!I639</f>
        <v>2022</v>
      </c>
      <c r="D637" s="18" t="str">
        <f>OBRA!K639</f>
        <v>RAMO 33</v>
      </c>
      <c r="E637" s="1374"/>
      <c r="F637" s="1300"/>
      <c r="G637" s="239"/>
      <c r="H637" s="1300"/>
      <c r="I637" s="56" t="str">
        <f>OBRA!U639</f>
        <v>EDUARDO VENTURA PADILLA</v>
      </c>
      <c r="J637" s="57" t="str">
        <f>OBRA!V639</f>
        <v>ING. J. GUADALUPE IBARRA RAMIREZ</v>
      </c>
      <c r="K637" s="20"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OBRA!Q639</f>
        <v>44690</v>
      </c>
      <c r="P637" s="4">
        <f>OBRA!P639</f>
        <v>2031883.8</v>
      </c>
      <c r="Q637" s="4"/>
      <c r="R637" s="5">
        <f>OBRA!R639</f>
        <v>44692</v>
      </c>
      <c r="S637" s="12">
        <f>OBRA!S639</f>
        <v>44765</v>
      </c>
      <c r="T637" s="792"/>
      <c r="U637" s="223"/>
      <c r="V637" s="558"/>
      <c r="W637" s="559"/>
      <c r="X637" s="590">
        <f>OBRA!AP639</f>
        <v>914347.71000000008</v>
      </c>
      <c r="Y637" s="341"/>
      <c r="Z637" s="341"/>
      <c r="AA637" s="5"/>
      <c r="AB637" s="351">
        <f>OBRA!BT639</f>
        <v>0</v>
      </c>
      <c r="AC637" s="569"/>
      <c r="AE637"/>
      <c r="AF637"/>
      <c r="AG637"/>
      <c r="AH637"/>
      <c r="AI637"/>
      <c r="AJ637"/>
      <c r="AK637"/>
      <c r="AL637"/>
    </row>
    <row r="638" spans="1:38" ht="15" hidden="1" customHeight="1">
      <c r="A638" s="23" t="s">
        <v>2239</v>
      </c>
      <c r="B638" s="933">
        <f>GRAL!B826</f>
        <v>0</v>
      </c>
      <c r="C638" s="17">
        <f>OBRA!I640</f>
        <v>2022</v>
      </c>
      <c r="D638" s="18" t="str">
        <f>OBRA!K640</f>
        <v>CUENTA CORRIENTE</v>
      </c>
      <c r="E638" s="1374"/>
      <c r="F638" s="1300"/>
      <c r="G638" s="239"/>
      <c r="H638" s="1300"/>
      <c r="I638" s="56" t="str">
        <f>OBRA!U640</f>
        <v>TERRACERÍAS Y PAVIMENTOS DE LA RIBERA, S.A. DE C.V.</v>
      </c>
      <c r="J638" s="57" t="str">
        <f>OBRA!V640</f>
        <v>C. DANIEL RODRIGUEZ VALENZUELA</v>
      </c>
      <c r="K638" s="20"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97"/>
      <c r="O638" s="6">
        <f>OBRA!Q640</f>
        <v>44704</v>
      </c>
      <c r="P638" s="4">
        <f>OBRA!P640</f>
        <v>793754.52</v>
      </c>
      <c r="Q638" s="4"/>
      <c r="R638" s="5">
        <f>OBRA!R640</f>
        <v>44705</v>
      </c>
      <c r="S638" s="12">
        <f>OBRA!S640</f>
        <v>44712</v>
      </c>
      <c r="T638" s="792"/>
      <c r="U638" s="223"/>
      <c r="V638" s="558"/>
      <c r="W638" s="559"/>
      <c r="X638" s="590">
        <f>OBRA!AP640</f>
        <v>79375.45</v>
      </c>
      <c r="Y638" s="341"/>
      <c r="Z638" s="341"/>
      <c r="AA638" s="5"/>
      <c r="AB638" s="351">
        <f>OBRA!BT640</f>
        <v>0</v>
      </c>
      <c r="AC638" s="569"/>
      <c r="AE638"/>
      <c r="AF638"/>
      <c r="AG638"/>
      <c r="AH638"/>
      <c r="AI638"/>
      <c r="AJ638"/>
      <c r="AK638"/>
      <c r="AL638"/>
    </row>
    <row r="639" spans="1:38" ht="15" hidden="1" customHeight="1">
      <c r="A639" s="23" t="s">
        <v>2239</v>
      </c>
      <c r="B639" s="933">
        <f>GRAL!B827</f>
        <v>0</v>
      </c>
      <c r="C639" s="17">
        <f>OBRA!I641</f>
        <v>2022</v>
      </c>
      <c r="D639" s="18" t="str">
        <f>OBRA!K641</f>
        <v>RAMO 33</v>
      </c>
      <c r="E639" s="1374"/>
      <c r="F639" s="1300"/>
      <c r="G639" s="239"/>
      <c r="H639" s="1300"/>
      <c r="I639" s="56" t="str">
        <f>OBRA!U641</f>
        <v>TERRACERÍAS Y PAVIMENTOS DE LA RIBERA, S.A. DE C.V.</v>
      </c>
      <c r="J639" s="57" t="str">
        <f>OBRA!V641</f>
        <v>C. DANIEL RODRIGUEZ VALENZUELA</v>
      </c>
      <c r="K639" s="20"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97"/>
      <c r="O639" s="6">
        <f>OBRA!Q641</f>
        <v>44704</v>
      </c>
      <c r="P639" s="4">
        <f>OBRA!P641</f>
        <v>579637.71</v>
      </c>
      <c r="Q639" s="4"/>
      <c r="R639" s="5">
        <f>OBRA!R641</f>
        <v>44712</v>
      </c>
      <c r="S639" s="12">
        <f>OBRA!S641</f>
        <v>44722</v>
      </c>
      <c r="T639" s="792"/>
      <c r="U639" s="223"/>
      <c r="V639" s="558"/>
      <c r="W639" s="559"/>
      <c r="X639" s="590">
        <f>OBRA!AP641</f>
        <v>57963.77</v>
      </c>
      <c r="Y639" s="341"/>
      <c r="Z639" s="341"/>
      <c r="AA639" s="5"/>
      <c r="AB639" s="351">
        <f>OBRA!BT641</f>
        <v>0</v>
      </c>
      <c r="AC639" s="569"/>
      <c r="AE639"/>
      <c r="AF639"/>
      <c r="AG639"/>
      <c r="AH639"/>
      <c r="AI639"/>
      <c r="AJ639"/>
      <c r="AK639"/>
      <c r="AL639"/>
    </row>
    <row r="640" spans="1:38" ht="15" hidden="1" customHeight="1">
      <c r="A640" s="23" t="s">
        <v>2239</v>
      </c>
      <c r="B640" s="933">
        <f>GRAL!B828</f>
        <v>0</v>
      </c>
      <c r="C640" s="17">
        <f>OBRA!I642</f>
        <v>2022</v>
      </c>
      <c r="D640" s="18" t="str">
        <f>OBRA!K642</f>
        <v>RAMO 33</v>
      </c>
      <c r="E640" s="1374"/>
      <c r="F640" s="1300"/>
      <c r="G640" s="239"/>
      <c r="H640" s="1300"/>
      <c r="I640" s="56" t="str">
        <f>OBRA!U642</f>
        <v>ESTRUCTURAS PLANEADAS DE OCCIDENTE, S.A. DE C.V.</v>
      </c>
      <c r="J640" s="57" t="str">
        <f>OBRA!V642</f>
        <v>C. DANIEL RODRIGUEZ VALENZUELA</v>
      </c>
      <c r="K640" s="20"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97"/>
      <c r="O640" s="6">
        <f>OBRA!Q642</f>
        <v>44704</v>
      </c>
      <c r="P640" s="4">
        <f>OBRA!P642</f>
        <v>627108.43000000005</v>
      </c>
      <c r="Q640" s="4"/>
      <c r="R640" s="5">
        <f>OBRA!R642</f>
        <v>44705</v>
      </c>
      <c r="S640" s="12">
        <f>OBRA!S642</f>
        <v>44742</v>
      </c>
      <c r="T640" s="792"/>
      <c r="U640" s="223"/>
      <c r="V640" s="558"/>
      <c r="W640" s="559"/>
      <c r="X640" s="590">
        <f>OBRA!AP642</f>
        <v>125421.68</v>
      </c>
      <c r="Y640" s="341"/>
      <c r="Z640" s="341"/>
      <c r="AA640" s="5"/>
      <c r="AB640" s="351">
        <f>OBRA!BT642</f>
        <v>0</v>
      </c>
      <c r="AC640" s="569"/>
      <c r="AE640"/>
      <c r="AF640"/>
      <c r="AG640"/>
      <c r="AH640"/>
      <c r="AI640"/>
      <c r="AJ640"/>
      <c r="AK640"/>
      <c r="AL640"/>
    </row>
    <row r="641" spans="1:38" ht="15" hidden="1" customHeight="1">
      <c r="A641" s="23" t="s">
        <v>2239</v>
      </c>
      <c r="B641" s="933">
        <f>GRAL!B829</f>
        <v>0</v>
      </c>
      <c r="C641" s="17">
        <f>OBRA!I643</f>
        <v>2022</v>
      </c>
      <c r="D641" s="18" t="str">
        <f>OBRA!K643</f>
        <v>RAMO 33</v>
      </c>
      <c r="E641" s="1374"/>
      <c r="F641" s="1300"/>
      <c r="G641" s="239"/>
      <c r="H641" s="1300"/>
      <c r="I641" s="56" t="str">
        <f>OBRA!U643</f>
        <v xml:space="preserve">SERVICIOS Y CONSTRUCCIONES NATENIO, S.A. DE C.V. </v>
      </c>
      <c r="J641" s="57" t="str">
        <f>OBRA!V643</f>
        <v>C. DANIEL RODRIGUEZ VALENZUELA</v>
      </c>
      <c r="K641" s="20"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97"/>
      <c r="O641" s="6">
        <f>OBRA!Q643</f>
        <v>44707</v>
      </c>
      <c r="P641" s="4">
        <f>OBRA!P643</f>
        <v>168470.35</v>
      </c>
      <c r="Q641" s="4"/>
      <c r="R641" s="5">
        <f>OBRA!R643</f>
        <v>44711</v>
      </c>
      <c r="S641" s="12">
        <f>OBRA!S643</f>
        <v>44722</v>
      </c>
      <c r="T641" s="792"/>
      <c r="U641" s="223"/>
      <c r="V641" s="558"/>
      <c r="W641" s="559"/>
      <c r="X641" s="590">
        <f>OBRA!AP643</f>
        <v>33694.06</v>
      </c>
      <c r="Y641" s="341"/>
      <c r="Z641" s="341"/>
      <c r="AA641" s="5"/>
      <c r="AB641" s="351">
        <f>OBRA!BT643</f>
        <v>0</v>
      </c>
      <c r="AC641" s="569"/>
      <c r="AE641"/>
      <c r="AF641"/>
      <c r="AG641"/>
      <c r="AH641"/>
      <c r="AI641"/>
      <c r="AJ641"/>
      <c r="AK641"/>
      <c r="AL641"/>
    </row>
    <row r="642" spans="1:38" ht="15" hidden="1" customHeight="1">
      <c r="A642" s="23" t="s">
        <v>2239</v>
      </c>
      <c r="B642" s="933">
        <f>GRAL!B830</f>
        <v>0</v>
      </c>
      <c r="C642" s="17">
        <f>OBRA!I644</f>
        <v>2022</v>
      </c>
      <c r="D642" s="18" t="str">
        <f>OBRA!K644</f>
        <v>RAMO 33</v>
      </c>
      <c r="E642" s="1374"/>
      <c r="F642" s="1300"/>
      <c r="G642" s="239"/>
      <c r="H642" s="1300"/>
      <c r="I642" s="56" t="str">
        <f>OBRA!U644</f>
        <v>SOLEC ENERGY, S.A. DE C.V.</v>
      </c>
      <c r="J642" s="57" t="str">
        <f>OBRA!V644</f>
        <v>C. DANIEL RODRIGUEZ VALENZUELA</v>
      </c>
      <c r="K642" s="20"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97"/>
      <c r="O642" s="6">
        <f>OBRA!Q644</f>
        <v>44736</v>
      </c>
      <c r="P642" s="4">
        <f>OBRA!P644</f>
        <v>809084.8</v>
      </c>
      <c r="Q642" s="4"/>
      <c r="R642" s="5">
        <f>OBRA!R644</f>
        <v>44760</v>
      </c>
      <c r="S642" s="12">
        <f>OBRA!S644</f>
        <v>44804</v>
      </c>
      <c r="T642" s="792"/>
      <c r="U642" s="223"/>
      <c r="V642" s="558"/>
      <c r="W642" s="559"/>
      <c r="X642" s="590">
        <f>OBRA!AP644</f>
        <v>80908.479999999996</v>
      </c>
      <c r="Y642" s="341"/>
      <c r="Z642" s="341"/>
      <c r="AA642" s="5"/>
      <c r="AB642" s="351">
        <f>OBRA!BT644</f>
        <v>0</v>
      </c>
      <c r="AC642" s="569"/>
      <c r="AE642"/>
      <c r="AF642"/>
      <c r="AG642"/>
      <c r="AH642"/>
      <c r="AI642"/>
      <c r="AJ642"/>
      <c r="AK642"/>
      <c r="AL642"/>
    </row>
    <row r="643" spans="1:38" ht="15" hidden="1" customHeight="1">
      <c r="A643" s="23" t="s">
        <v>2239</v>
      </c>
      <c r="B643" s="933">
        <f>GRAL!B831</f>
        <v>0</v>
      </c>
      <c r="C643" s="17">
        <f>OBRA!I645</f>
        <v>2022</v>
      </c>
      <c r="D643" s="18" t="str">
        <f>OBRA!K645</f>
        <v>RAMO 33</v>
      </c>
      <c r="E643" s="1374"/>
      <c r="F643" s="1300"/>
      <c r="G643" s="239"/>
      <c r="H643" s="1300"/>
      <c r="I643" s="56" t="str">
        <f>OBRA!U645</f>
        <v>ING. SERGIO CABRERA</v>
      </c>
      <c r="J643" s="57" t="str">
        <f>OBRA!V645</f>
        <v>C. DANIEL RODRIGUEZ VALENZUELA</v>
      </c>
      <c r="K643" s="20"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97"/>
      <c r="O643" s="6">
        <f>OBRA!Q645</f>
        <v>44763</v>
      </c>
      <c r="P643" s="4">
        <f>OBRA!P645</f>
        <v>1697255.04</v>
      </c>
      <c r="Q643" s="4"/>
      <c r="R643" s="5">
        <f>OBRA!R645</f>
        <v>44767</v>
      </c>
      <c r="S643" s="12">
        <f>OBRA!S645</f>
        <v>44814</v>
      </c>
      <c r="T643" s="792"/>
      <c r="U643" s="223"/>
      <c r="V643" s="558"/>
      <c r="W643" s="559"/>
      <c r="X643" s="590">
        <f>OBRA!AP645</f>
        <v>848627.51</v>
      </c>
      <c r="Y643" s="341"/>
      <c r="Z643" s="341"/>
      <c r="AA643" s="5"/>
      <c r="AB643" s="351">
        <f>OBRA!BT645</f>
        <v>0</v>
      </c>
      <c r="AC643" s="569"/>
      <c r="AE643"/>
      <c r="AF643"/>
      <c r="AG643"/>
      <c r="AH643"/>
      <c r="AI643"/>
      <c r="AJ643"/>
      <c r="AK643"/>
      <c r="AL643"/>
    </row>
    <row r="644" spans="1:38" ht="15" hidden="1" customHeight="1">
      <c r="A644" s="23" t="s">
        <v>2239</v>
      </c>
      <c r="B644" s="933">
        <f>GRAL!B832</f>
        <v>0</v>
      </c>
      <c r="C644" s="17">
        <f>OBRA!I646</f>
        <v>2022</v>
      </c>
      <c r="D644" s="18" t="str">
        <f>OBRA!K646</f>
        <v>CUENTA CORRIENTE</v>
      </c>
      <c r="E644" s="1374"/>
      <c r="F644" s="1300"/>
      <c r="G644" s="239"/>
      <c r="H644" s="1300"/>
      <c r="I644" s="56" t="str">
        <f>OBRA!U646</f>
        <v>ING. SERGIO CABRERA</v>
      </c>
      <c r="J644" s="57" t="str">
        <f>OBRA!V646</f>
        <v>ING. J. GUADALUPE IBARRA RAMIREZ</v>
      </c>
      <c r="K644" s="20"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97"/>
      <c r="O644" s="6">
        <f>OBRA!Q646</f>
        <v>44767</v>
      </c>
      <c r="P644" s="4">
        <f>OBRA!P646</f>
        <v>1343062.53</v>
      </c>
      <c r="Q644" s="4"/>
      <c r="R644" s="5">
        <f>OBRA!R646</f>
        <v>44770</v>
      </c>
      <c r="S644" s="12">
        <f>OBRA!S646</f>
        <v>44814</v>
      </c>
      <c r="T644" s="792"/>
      <c r="U644" s="223"/>
      <c r="V644" s="558"/>
      <c r="W644" s="559"/>
      <c r="X644" s="590">
        <f>OBRA!AP646</f>
        <v>671531.25</v>
      </c>
      <c r="Y644" s="341"/>
      <c r="Z644" s="341"/>
      <c r="AA644" s="5"/>
      <c r="AB644" s="351">
        <f>OBRA!BT646</f>
        <v>0</v>
      </c>
      <c r="AC644" s="569"/>
      <c r="AE644"/>
      <c r="AF644"/>
      <c r="AG644"/>
      <c r="AH644"/>
      <c r="AI644"/>
      <c r="AJ644"/>
      <c r="AK644"/>
      <c r="AL644"/>
    </row>
    <row r="645" spans="1:38" ht="15" hidden="1" customHeight="1">
      <c r="A645" s="23" t="s">
        <v>2239</v>
      </c>
      <c r="B645" s="933">
        <f>GRAL!B833</f>
        <v>0</v>
      </c>
      <c r="C645" s="17">
        <f>OBRA!I647</f>
        <v>2022</v>
      </c>
      <c r="D645" s="18" t="str">
        <f>OBRA!K647</f>
        <v>CUENTA CORRIENTE</v>
      </c>
      <c r="E645" s="1374"/>
      <c r="F645" s="1300"/>
      <c r="G645" s="239"/>
      <c r="H645" s="1300"/>
      <c r="I645" s="56" t="str">
        <f>OBRA!U647</f>
        <v>ESTRUCTURAS PLANEADAS DE OCCIDENTE, S.A. DE C.V.</v>
      </c>
      <c r="J645" s="57" t="str">
        <f>OBRA!V647</f>
        <v>ING. J. GUADALUPE IBARRA RAMIREZ</v>
      </c>
      <c r="K645" s="20" t="str">
        <f>OBRA!L647</f>
        <v>GMJ 012 C-OP/2022</v>
      </c>
      <c r="L645" s="2" t="str">
        <f>OBRA!M647</f>
        <v>ADJUDICACIÓN DIRECTA</v>
      </c>
      <c r="M645" s="3" t="str">
        <f>OBRA!N647</f>
        <v>"REPARACIÓN DE BANQUETA PERIMETRAL EN LA PLAZA PRINCIPAL" DE LA CABECERA MUNICPAL DE JOCOTEPEC, JALISCO.</v>
      </c>
      <c r="N645" s="597"/>
      <c r="O645" s="6">
        <f>OBRA!Q647</f>
        <v>44816</v>
      </c>
      <c r="P645" s="4">
        <f>OBRA!P647</f>
        <v>85733.34</v>
      </c>
      <c r="Q645" s="4"/>
      <c r="R645" s="5">
        <f>OBRA!R647</f>
        <v>44817</v>
      </c>
      <c r="S645" s="12">
        <f>OBRA!S647</f>
        <v>44834</v>
      </c>
      <c r="T645" s="792"/>
      <c r="U645" s="223"/>
      <c r="V645" s="558"/>
      <c r="W645" s="559"/>
      <c r="X645" s="590">
        <f>OBRA!AP647</f>
        <v>0</v>
      </c>
      <c r="Y645" s="341"/>
      <c r="Z645" s="341"/>
      <c r="AA645" s="5"/>
      <c r="AB645" s="351">
        <f>OBRA!BT647</f>
        <v>0</v>
      </c>
      <c r="AC645" s="569"/>
      <c r="AE645"/>
      <c r="AF645"/>
      <c r="AG645"/>
      <c r="AH645"/>
      <c r="AI645"/>
      <c r="AJ645"/>
      <c r="AK645"/>
      <c r="AL645"/>
    </row>
    <row r="646" spans="1:38" ht="15" hidden="1" customHeight="1">
      <c r="A646" s="23" t="s">
        <v>2239</v>
      </c>
      <c r="B646" s="933">
        <f>GRAL!B834</f>
        <v>0</v>
      </c>
      <c r="C646" s="17">
        <f>OBRA!I648</f>
        <v>2022</v>
      </c>
      <c r="D646" s="18" t="str">
        <f>OBRA!K648</f>
        <v>RAMO 33</v>
      </c>
      <c r="E646" s="1374"/>
      <c r="F646" s="1300"/>
      <c r="G646" s="239"/>
      <c r="H646" s="1300"/>
      <c r="I646" s="56" t="str">
        <f>OBRA!U648</f>
        <v>PIERO MASCORRO OLMOS</v>
      </c>
      <c r="J646" s="57" t="str">
        <f>OBRA!V648</f>
        <v>C. DANIEL RODRIGUEZ VALENZUELA</v>
      </c>
      <c r="K646" s="20" t="str">
        <f>OBRA!L648</f>
        <v>FAIS-RAMO/33-OP-CSS-013/2022</v>
      </c>
      <c r="L646" s="2" t="str">
        <f>OBRA!M648</f>
        <v>CONCURSO SIMPLIFICADO SUMARIO</v>
      </c>
      <c r="M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OBRA!Q648</f>
        <v>44810</v>
      </c>
      <c r="P646" s="4">
        <f>OBRA!P648</f>
        <v>4165845.27</v>
      </c>
      <c r="Q646" s="4"/>
      <c r="R646" s="5">
        <f>OBRA!R648</f>
        <v>44812</v>
      </c>
      <c r="S646" s="12">
        <f>OBRA!S648</f>
        <v>44834</v>
      </c>
      <c r="T646" s="792"/>
      <c r="U646" s="223"/>
      <c r="V646" s="558"/>
      <c r="W646" s="559"/>
      <c r="X646" s="590">
        <f>OBRA!AP648</f>
        <v>2115489.1800000002</v>
      </c>
      <c r="Y646" s="341"/>
      <c r="Z646" s="341"/>
      <c r="AA646" s="5"/>
      <c r="AB646" s="351">
        <f>OBRA!BT648</f>
        <v>0</v>
      </c>
      <c r="AC646" s="569"/>
      <c r="AE646"/>
      <c r="AF646"/>
      <c r="AG646"/>
      <c r="AH646"/>
      <c r="AI646"/>
      <c r="AJ646"/>
      <c r="AK646"/>
      <c r="AL646"/>
    </row>
    <row r="647" spans="1:38" ht="15" hidden="1" customHeight="1">
      <c r="A647" s="23" t="s">
        <v>2239</v>
      </c>
      <c r="B647" s="933">
        <f>GRAL!B835</f>
        <v>0</v>
      </c>
      <c r="C647" s="17">
        <f>OBRA!I649</f>
        <v>2022</v>
      </c>
      <c r="D647" s="18" t="str">
        <f>OBRA!K649</f>
        <v>RAMO 33</v>
      </c>
      <c r="E647" s="1374"/>
      <c r="F647" s="1300"/>
      <c r="G647" s="239"/>
      <c r="H647" s="1300"/>
      <c r="I647" s="56" t="str">
        <f>OBRA!U649</f>
        <v>RAMPER DRILLINGS S.A. DE C.V.</v>
      </c>
      <c r="J647" s="57" t="str">
        <f>OBRA!V649</f>
        <v>ING. J. GUADALUPE IBARRA RAMIREZ</v>
      </c>
      <c r="K647" s="20"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97"/>
      <c r="O647" s="6">
        <f>OBRA!Q649</f>
        <v>44839</v>
      </c>
      <c r="P647" s="4">
        <f>OBRA!P649</f>
        <v>4216204.78</v>
      </c>
      <c r="Q647" s="4"/>
      <c r="R647" s="5">
        <f>OBRA!R649</f>
        <v>44847</v>
      </c>
      <c r="S647" s="12">
        <f>OBRA!S649</f>
        <v>44895</v>
      </c>
      <c r="T647" s="792"/>
      <c r="U647" s="223"/>
      <c r="V647" s="558"/>
      <c r="W647" s="559"/>
      <c r="X647" s="590">
        <f>OBRA!AP649</f>
        <v>2229168.31</v>
      </c>
      <c r="Y647" s="341"/>
      <c r="Z647" s="341"/>
      <c r="AA647" s="5"/>
      <c r="AB647" s="351">
        <f>OBRA!BT649</f>
        <v>0</v>
      </c>
      <c r="AC647" s="569"/>
      <c r="AE647"/>
      <c r="AF647"/>
      <c r="AG647"/>
      <c r="AH647"/>
      <c r="AI647"/>
      <c r="AJ647"/>
      <c r="AK647"/>
      <c r="AL647"/>
    </row>
    <row r="648" spans="1:38" ht="15" hidden="1" customHeight="1">
      <c r="A648" s="23" t="s">
        <v>2239</v>
      </c>
      <c r="B648" s="933">
        <f>GRAL!B836</f>
        <v>0</v>
      </c>
      <c r="C648" s="17">
        <f>OBRA!I650</f>
        <v>2022</v>
      </c>
      <c r="D648" s="18" t="str">
        <f>OBRA!K650</f>
        <v>CUENTA CORRIENTE</v>
      </c>
      <c r="E648" s="1374"/>
      <c r="F648" s="1300"/>
      <c r="G648" s="239"/>
      <c r="H648" s="1300"/>
      <c r="I648" s="56" t="str">
        <f>OBRA!U650</f>
        <v>GRUPO ARANGE, S.A. DE C.V.</v>
      </c>
      <c r="J648" s="57" t="str">
        <f>OBRA!V650</f>
        <v>ING. J. GUADALUPE IBARRA RAMIREZ</v>
      </c>
      <c r="K648" s="20"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97"/>
      <c r="O648" s="6">
        <f>OBRA!Q650</f>
        <v>44839</v>
      </c>
      <c r="P648" s="4">
        <f>OBRA!P650</f>
        <v>3845696.93</v>
      </c>
      <c r="Q648" s="4"/>
      <c r="R648" s="5">
        <f>OBRA!R650</f>
        <v>44847</v>
      </c>
      <c r="S648" s="12">
        <f>OBRA!S650</f>
        <v>44895</v>
      </c>
      <c r="T648" s="792"/>
      <c r="U648" s="223"/>
      <c r="V648" s="558"/>
      <c r="W648" s="559"/>
      <c r="X648" s="590">
        <f>OBRA!AP650</f>
        <v>1922848.46</v>
      </c>
      <c r="Y648" s="341"/>
      <c r="Z648" s="341"/>
      <c r="AA648" s="5"/>
      <c r="AB648" s="351">
        <f>OBRA!BT650</f>
        <v>0</v>
      </c>
      <c r="AC648" s="569"/>
      <c r="AE648"/>
      <c r="AF648"/>
      <c r="AG648"/>
      <c r="AH648"/>
      <c r="AI648"/>
      <c r="AJ648"/>
      <c r="AK648"/>
      <c r="AL648"/>
    </row>
    <row r="649" spans="1:38" ht="15" hidden="1" customHeight="1">
      <c r="A649" s="23" t="s">
        <v>2239</v>
      </c>
      <c r="B649" s="933">
        <f>GRAL!B837</f>
        <v>0</v>
      </c>
      <c r="C649" s="17">
        <f>OBRA!I651</f>
        <v>2022</v>
      </c>
      <c r="D649" s="18" t="str">
        <f>OBRA!K651</f>
        <v>RAMO 33</v>
      </c>
      <c r="E649" s="1374"/>
      <c r="F649" s="1300"/>
      <c r="G649" s="239"/>
      <c r="H649" s="1300"/>
      <c r="I649" s="56" t="str">
        <f>OBRA!U651</f>
        <v xml:space="preserve">INFRAESTRUCTURA Y EDIFICACIONES OROZCO S.A. DE C.V. </v>
      </c>
      <c r="J649" s="57" t="str">
        <f>OBRA!V651</f>
        <v>C. DANIEL RODRIGUEZ VALENZUELA</v>
      </c>
      <c r="K649" s="20"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97"/>
      <c r="O649" s="6">
        <f>OBRA!Q651</f>
        <v>44851</v>
      </c>
      <c r="P649" s="4">
        <f>OBRA!P651</f>
        <v>645484.5</v>
      </c>
      <c r="Q649" s="4"/>
      <c r="R649" s="5">
        <f>OBRA!R651</f>
        <v>44865</v>
      </c>
      <c r="S649" s="12">
        <f>OBRA!S651</f>
        <v>44883</v>
      </c>
      <c r="T649" s="792"/>
      <c r="U649" s="223"/>
      <c r="V649" s="558"/>
      <c r="W649" s="559"/>
      <c r="X649" s="590">
        <f>OBRA!AP651</f>
        <v>346035.52</v>
      </c>
      <c r="Y649" s="341"/>
      <c r="Z649" s="341"/>
      <c r="AA649" s="5"/>
      <c r="AB649" s="351">
        <f>OBRA!BT651</f>
        <v>0</v>
      </c>
      <c r="AC649" s="569"/>
      <c r="AE649"/>
      <c r="AF649"/>
      <c r="AG649"/>
      <c r="AH649"/>
      <c r="AI649"/>
      <c r="AJ649"/>
      <c r="AK649"/>
      <c r="AL649"/>
    </row>
    <row r="650" spans="1:38" ht="15" hidden="1" customHeight="1">
      <c r="A650" s="23" t="s">
        <v>2239</v>
      </c>
      <c r="B650" s="933">
        <f>GRAL!B838</f>
        <v>0</v>
      </c>
      <c r="C650" s="17">
        <f>OBRA!I652</f>
        <v>2022</v>
      </c>
      <c r="D650" s="18" t="str">
        <f>OBRA!K652</f>
        <v>RAMO 33</v>
      </c>
      <c r="E650" s="1374"/>
      <c r="F650" s="1300"/>
      <c r="G650" s="239"/>
      <c r="H650" s="1300"/>
      <c r="I650" s="56" t="str">
        <f>OBRA!U652</f>
        <v>C. JOSÉ LUIS RANGEL GÁLVEZ</v>
      </c>
      <c r="J650" s="57" t="str">
        <f>OBRA!V652</f>
        <v>C. DANIEL RODRIGUEZ VALENZUELA</v>
      </c>
      <c r="K650" s="20"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97"/>
      <c r="O650" s="6">
        <f>OBRA!Q652</f>
        <v>44859</v>
      </c>
      <c r="P650" s="4">
        <f>OBRA!P652</f>
        <v>2479806.63</v>
      </c>
      <c r="Q650" s="4"/>
      <c r="R650" s="5">
        <f>OBRA!R652</f>
        <v>44862</v>
      </c>
      <c r="S650" s="12">
        <f>OBRA!S652</f>
        <v>44898</v>
      </c>
      <c r="T650" s="792"/>
      <c r="U650" s="223"/>
      <c r="V650" s="558"/>
      <c r="W650" s="559"/>
      <c r="X650" s="590">
        <f>OBRA!AP652</f>
        <v>991922.65</v>
      </c>
      <c r="Y650" s="341"/>
      <c r="Z650" s="341"/>
      <c r="AA650" s="5"/>
      <c r="AB650" s="351">
        <f>OBRA!BT652</f>
        <v>0</v>
      </c>
      <c r="AC650" s="569"/>
      <c r="AE650"/>
      <c r="AF650"/>
      <c r="AG650"/>
      <c r="AH650"/>
      <c r="AI650"/>
      <c r="AJ650"/>
      <c r="AK650"/>
      <c r="AL650"/>
    </row>
    <row r="651" spans="1:38" ht="15" hidden="1" customHeight="1">
      <c r="A651" s="23" t="s">
        <v>2239</v>
      </c>
      <c r="B651" s="933">
        <f>GRAL!B839</f>
        <v>0</v>
      </c>
      <c r="C651" s="17">
        <f>OBRA!I653</f>
        <v>2022</v>
      </c>
      <c r="D651" s="18" t="str">
        <f>OBRA!K653</f>
        <v>RAMO 33</v>
      </c>
      <c r="E651" s="1374"/>
      <c r="F651" s="1300"/>
      <c r="G651" s="239"/>
      <c r="H651" s="1300"/>
      <c r="I651" s="56" t="str">
        <f>OBRA!U653</f>
        <v>C. REFUGIO GUTIÉRREZ NIEVES</v>
      </c>
      <c r="J651" s="57" t="str">
        <f>OBRA!V653</f>
        <v>C. DANIEL RODRIGUEZ VALENZUELA</v>
      </c>
      <c r="K651" s="20"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OBRA!Q653</f>
        <v>44859</v>
      </c>
      <c r="P651" s="4">
        <f>OBRA!P653</f>
        <v>2218847.77</v>
      </c>
      <c r="Q651" s="4"/>
      <c r="R651" s="5">
        <f>OBRA!R653</f>
        <v>44862</v>
      </c>
      <c r="S651" s="12">
        <f>OBRA!S653</f>
        <v>44898</v>
      </c>
      <c r="T651" s="792"/>
      <c r="U651" s="223"/>
      <c r="V651" s="558"/>
      <c r="W651" s="559"/>
      <c r="X651" s="590">
        <f>OBRA!AP653</f>
        <v>1060839.56</v>
      </c>
      <c r="Y651" s="341"/>
      <c r="Z651" s="341"/>
      <c r="AA651" s="5"/>
      <c r="AB651" s="351">
        <f>OBRA!BT653</f>
        <v>0</v>
      </c>
      <c r="AC651" s="569"/>
      <c r="AE651"/>
      <c r="AF651"/>
      <c r="AG651"/>
      <c r="AH651"/>
      <c r="AI651"/>
      <c r="AJ651"/>
      <c r="AK651"/>
      <c r="AL651"/>
    </row>
    <row r="652" spans="1:38" ht="15" hidden="1" customHeight="1">
      <c r="A652" s="23" t="s">
        <v>2239</v>
      </c>
      <c r="B652" s="933">
        <f>GRAL!B840</f>
        <v>0</v>
      </c>
      <c r="C652" s="17">
        <f>OBRA!I654</f>
        <v>2022</v>
      </c>
      <c r="D652" s="18" t="str">
        <f>OBRA!K654</f>
        <v>RAMO 33</v>
      </c>
      <c r="E652" s="1374"/>
      <c r="F652" s="1300"/>
      <c r="G652" s="239"/>
      <c r="H652" s="1300"/>
      <c r="I652" s="56" t="str">
        <f>OBRA!U654</f>
        <v>ESTRUCTURAS PLANEADAS DE OCCIDENTE, S.A. DE C.V.</v>
      </c>
      <c r="J652" s="57" t="str">
        <f>OBRA!V654</f>
        <v>C. DANIEL RODRIGUEZ VALENZUELA</v>
      </c>
      <c r="K652" s="20" t="str">
        <f>OBRA!L654</f>
        <v>GMJ 019 C-OP/2022</v>
      </c>
      <c r="L652" s="2" t="str">
        <f>OBRA!M654</f>
        <v>ADJUDICACIÓN DIRECTA</v>
      </c>
      <c r="M652" s="3" t="str">
        <f>OBRA!N654</f>
        <v>“CONSTRUCCIÓN DE REDES HIDROSANITARÍAS EN CALLE PRIV. JUAN PABLO II”, EN LA LOCALIDAD DE SAN JUAN COSALÁ, DEL MUNICIPIO DE JOCOTEPEC, JALISCO</v>
      </c>
      <c r="N652" s="597"/>
      <c r="O652" s="6">
        <f>OBRA!Q654</f>
        <v>44872</v>
      </c>
      <c r="P652" s="4">
        <f>OBRA!P654</f>
        <v>762057.5</v>
      </c>
      <c r="Q652" s="4"/>
      <c r="R652" s="5">
        <f>OBRA!R654</f>
        <v>44889</v>
      </c>
      <c r="S652" s="12">
        <f>OBRA!S654</f>
        <v>44900</v>
      </c>
      <c r="T652" s="792"/>
      <c r="U652" s="223"/>
      <c r="V652" s="558"/>
      <c r="W652" s="559"/>
      <c r="X652" s="590">
        <f>OBRA!AP654</f>
        <v>381028.75</v>
      </c>
      <c r="Y652" s="341"/>
      <c r="Z652" s="341"/>
      <c r="AA652" s="5"/>
      <c r="AB652" s="351">
        <f>OBRA!BT654</f>
        <v>0</v>
      </c>
      <c r="AC652" s="569"/>
      <c r="AE652"/>
      <c r="AF652"/>
      <c r="AG652"/>
      <c r="AH652"/>
      <c r="AI652"/>
      <c r="AJ652"/>
      <c r="AK652"/>
      <c r="AL652"/>
    </row>
    <row r="653" spans="1:38" ht="15" hidden="1" customHeight="1">
      <c r="A653" s="23" t="s">
        <v>2239</v>
      </c>
      <c r="B653" s="933">
        <f>GRAL!B841</f>
        <v>0</v>
      </c>
      <c r="C653" s="17">
        <f>OBRA!I655</f>
        <v>2022</v>
      </c>
      <c r="D653" s="18">
        <f>OBRA!K655</f>
        <v>0</v>
      </c>
      <c r="E653" s="1374"/>
      <c r="F653" s="1300"/>
      <c r="G653" s="239"/>
      <c r="H653" s="1300"/>
      <c r="I653" s="56">
        <f>OBRA!U655</f>
        <v>0</v>
      </c>
      <c r="J653" s="57">
        <f>OBRA!V655</f>
        <v>0</v>
      </c>
      <c r="K653" s="20" t="str">
        <f>OBRA!L655</f>
        <v>GMJ 020 C-OP/2022</v>
      </c>
      <c r="L653" s="2" t="str">
        <f>OBRA!M655</f>
        <v>CANCELADA</v>
      </c>
      <c r="M653" s="3">
        <f>OBRA!N655</f>
        <v>0</v>
      </c>
      <c r="N653" s="597"/>
      <c r="O653" s="6">
        <f>OBRA!Q655</f>
        <v>0</v>
      </c>
      <c r="P653" s="4">
        <f>OBRA!P655</f>
        <v>0</v>
      </c>
      <c r="Q653" s="4"/>
      <c r="R653" s="5">
        <f>OBRA!R655</f>
        <v>0</v>
      </c>
      <c r="S653" s="12">
        <f>OBRA!S655</f>
        <v>0</v>
      </c>
      <c r="T653" s="792"/>
      <c r="U653" s="223"/>
      <c r="V653" s="558"/>
      <c r="W653" s="559"/>
      <c r="X653" s="590">
        <f>OBRA!AP655</f>
        <v>0</v>
      </c>
      <c r="Y653" s="341"/>
      <c r="Z653" s="341"/>
      <c r="AA653" s="5"/>
      <c r="AB653" s="351">
        <f>OBRA!BT655</f>
        <v>0</v>
      </c>
      <c r="AC653" s="569"/>
      <c r="AE653"/>
      <c r="AF653"/>
      <c r="AG653"/>
      <c r="AH653"/>
      <c r="AI653"/>
      <c r="AJ653"/>
      <c r="AK653"/>
      <c r="AL653"/>
    </row>
    <row r="654" spans="1:38" ht="15" hidden="1" customHeight="1">
      <c r="A654" s="23" t="s">
        <v>2239</v>
      </c>
      <c r="B654" s="933">
        <f>GRAL!B842</f>
        <v>0</v>
      </c>
      <c r="C654" s="17">
        <f>OBRA!I656</f>
        <v>2022</v>
      </c>
      <c r="D654" s="18" t="str">
        <f>OBRA!K656</f>
        <v>CEA-FISE</v>
      </c>
      <c r="E654" s="1374"/>
      <c r="F654" s="1300"/>
      <c r="G654" s="239"/>
      <c r="H654" s="1300"/>
      <c r="I654" s="56" t="str">
        <f>OBRA!U656</f>
        <v>-</v>
      </c>
      <c r="J654" s="57" t="str">
        <f>OBRA!V656</f>
        <v>-</v>
      </c>
      <c r="K654" s="20" t="str">
        <f>OBRA!L656</f>
        <v>CEA-FISE-003/2022</v>
      </c>
      <c r="L654" s="2" t="str">
        <f>OBRA!M656</f>
        <v>CONVENIOS</v>
      </c>
      <c r="M654" s="3" t="str">
        <f>OBRA!N656</f>
        <v xml:space="preserve">CONSTRUCCIÓN DE LÍNEA DE CONDUCCIÓN DE AGUA POTABLE DEL POZO ALLENDE AL TANQUE EXISTENTE Y LÍNEA DE DE CONEXIÓN A RED DE DISTRIBUCCIÓN DE AGUA POTABLE, EN LA CABECERA MUNICIPAL DE JOCOTEPEC, JALISCO". </v>
      </c>
      <c r="N654" s="597"/>
      <c r="O654" s="6">
        <f>OBRA!Q656</f>
        <v>44848</v>
      </c>
      <c r="P654" s="4">
        <f>OBRA!P656</f>
        <v>4000000</v>
      </c>
      <c r="Q654" s="4"/>
      <c r="R654" s="5">
        <f>OBRA!R656</f>
        <v>45213</v>
      </c>
      <c r="S654" s="12">
        <f>OBRA!S656</f>
        <v>45565</v>
      </c>
      <c r="T654" s="792"/>
      <c r="U654" s="223"/>
      <c r="V654" s="558"/>
      <c r="W654" s="559"/>
      <c r="X654" s="590">
        <f>OBRA!AP656</f>
        <v>0</v>
      </c>
      <c r="Y654" s="341"/>
      <c r="Z654" s="341"/>
      <c r="AA654" s="5"/>
      <c r="AB654" s="351">
        <f>OBRA!BT656</f>
        <v>0</v>
      </c>
      <c r="AC654" s="569"/>
      <c r="AE654"/>
      <c r="AF654"/>
      <c r="AG654"/>
      <c r="AH654"/>
      <c r="AI654"/>
      <c r="AJ654"/>
      <c r="AK654"/>
      <c r="AL654"/>
    </row>
    <row r="655" spans="1:38" ht="15" hidden="1" customHeight="1">
      <c r="A655" s="23" t="s">
        <v>2239</v>
      </c>
      <c r="B655" s="933">
        <f>GRAL!B843</f>
        <v>0</v>
      </c>
      <c r="C655" s="17">
        <f>OBRA!I657</f>
        <v>2022</v>
      </c>
      <c r="D655" s="18" t="str">
        <f>OBRA!K657</f>
        <v>CEA-FISE</v>
      </c>
      <c r="E655" s="1374"/>
      <c r="F655" s="1300"/>
      <c r="G655" s="239"/>
      <c r="H655" s="1300"/>
      <c r="I655" s="56" t="str">
        <f>OBRA!U657</f>
        <v>-</v>
      </c>
      <c r="J655" s="57" t="str">
        <f>OBRA!V657</f>
        <v>-</v>
      </c>
      <c r="K655" s="20" t="str">
        <f>OBRA!L657</f>
        <v>CEA-FISE-004/2022</v>
      </c>
      <c r="L655" s="2" t="str">
        <f>OBRA!M657</f>
        <v>CONVENIOS</v>
      </c>
      <c r="M655" s="3" t="str">
        <f>OBRA!N657</f>
        <v>CONSTRUCCIÓN DE COLECTOR PRINCIPAL Y CARCAMO DE BOMBEO, ENTRE CALLE VICENTE GUERRERO Y PLANTA DE TRATAMIENTO DE LA LOCALIDAD DE SAN CRISTÓBAL ZAPOTITLÁN, MUNICIPIO DE JOCOTEPEC, JALISCO.</v>
      </c>
      <c r="N655" s="597"/>
      <c r="O655" s="6">
        <f>OBRA!Q657</f>
        <v>44848</v>
      </c>
      <c r="P655" s="4">
        <f>OBRA!P657</f>
        <v>4000000</v>
      </c>
      <c r="Q655" s="4"/>
      <c r="R655" s="5">
        <f>OBRA!R657</f>
        <v>44848</v>
      </c>
      <c r="S655" s="12">
        <f>OBRA!S657</f>
        <v>45565</v>
      </c>
      <c r="T655" s="792"/>
      <c r="U655" s="223"/>
      <c r="V655" s="558"/>
      <c r="W655" s="559"/>
      <c r="X655" s="590">
        <f>OBRA!AP657</f>
        <v>0</v>
      </c>
      <c r="Y655" s="341"/>
      <c r="Z655" s="341"/>
      <c r="AA655" s="5"/>
      <c r="AB655" s="351">
        <f>OBRA!BT657</f>
        <v>0</v>
      </c>
      <c r="AC655" s="569"/>
      <c r="AE655"/>
      <c r="AF655"/>
      <c r="AG655"/>
      <c r="AH655"/>
      <c r="AI655"/>
      <c r="AJ655"/>
      <c r="AK655"/>
      <c r="AL655"/>
    </row>
    <row r="656" spans="1:38" ht="15" hidden="1" customHeight="1">
      <c r="A656" s="23" t="s">
        <v>2239</v>
      </c>
      <c r="B656" s="933">
        <f>GRAL!B844</f>
        <v>0</v>
      </c>
      <c r="C656" s="17">
        <f>OBRA!I658</f>
        <v>2023</v>
      </c>
      <c r="D656" s="18" t="str">
        <f>OBRA!K658</f>
        <v>FOCOCI</v>
      </c>
      <c r="E656" s="1374"/>
      <c r="F656" s="1300"/>
      <c r="G656" s="239"/>
      <c r="H656" s="1300"/>
      <c r="I656" s="56">
        <f>OBRA!U658</f>
        <v>0</v>
      </c>
      <c r="J656" s="57">
        <f>OBRA!V658</f>
        <v>0</v>
      </c>
      <c r="K656" s="20" t="str">
        <f>OBRA!L658</f>
        <v>CONV/FOCOCI/014/2023</v>
      </c>
      <c r="L656" s="2" t="str">
        <f>OBRA!M658</f>
        <v>CONVENIOS</v>
      </c>
      <c r="M656" s="3" t="str">
        <f>OBRA!N658</f>
        <v>PAVIMENTACIÓN CON EMPEDRADO ZAMPEADO, EN CALLE LA PAZ EN LA DELEGACIÓN DE SAN JUAN COSALÁ, MUNICIPIO DE JOCOTPEC, JALISCO</v>
      </c>
      <c r="N656" s="597"/>
      <c r="O656" s="6">
        <f>OBRA!Q658</f>
        <v>45086</v>
      </c>
      <c r="P656" s="4">
        <f>OBRA!P658</f>
        <v>5000000</v>
      </c>
      <c r="Q656" s="4"/>
      <c r="R656" s="5">
        <f>OBRA!R658</f>
        <v>45086</v>
      </c>
      <c r="S656" s="12">
        <f>OBRA!S658</f>
        <v>45291</v>
      </c>
      <c r="T656" s="792"/>
      <c r="U656" s="223"/>
      <c r="V656" s="558"/>
      <c r="W656" s="559"/>
      <c r="X656" s="590">
        <f>OBRA!AP658</f>
        <v>0</v>
      </c>
      <c r="Y656" s="341"/>
      <c r="Z656" s="341"/>
      <c r="AA656" s="5"/>
      <c r="AB656" s="351">
        <f>OBRA!BT658</f>
        <v>0</v>
      </c>
      <c r="AC656" s="569"/>
      <c r="AE656"/>
      <c r="AF656"/>
      <c r="AG656"/>
      <c r="AH656"/>
      <c r="AI656"/>
      <c r="AJ656"/>
      <c r="AK656"/>
      <c r="AL656"/>
    </row>
    <row r="657" spans="1:38" ht="15" hidden="1" customHeight="1">
      <c r="A657" s="23" t="s">
        <v>2239</v>
      </c>
      <c r="B657" s="933">
        <f>GRAL!B845</f>
        <v>0</v>
      </c>
      <c r="C657" s="17">
        <f>OBRA!I659</f>
        <v>2023</v>
      </c>
      <c r="D657" s="18" t="str">
        <f>OBRA!K659</f>
        <v>CEA-FISE</v>
      </c>
      <c r="E657" s="1374"/>
      <c r="F657" s="1300"/>
      <c r="G657" s="239"/>
      <c r="H657" s="1300"/>
      <c r="I657" s="56">
        <f>OBRA!U659</f>
        <v>0</v>
      </c>
      <c r="J657" s="57">
        <f>OBRA!V659</f>
        <v>0</v>
      </c>
      <c r="K657" s="20" t="str">
        <f>OBRA!L659</f>
        <v>CEA-IHAP-FISE-021/2023</v>
      </c>
      <c r="L657" s="2" t="str">
        <f>OBRA!M659</f>
        <v>CONVENIOS</v>
      </c>
      <c r="M657" s="3" t="str">
        <f>OBRA!N659</f>
        <v>PERFORACIÓN DE POZO PROFUNDO PARA LA EXTRACCIÓN DE AGUA POTABLE, UBICADO EN LA LOCALIDAD DE SAN JUAN COSALÁ MUNICIPIO DE JOCOTEPEC, JALISCO.</v>
      </c>
      <c r="N657" s="597"/>
      <c r="O657" s="6">
        <f>OBRA!Q659</f>
        <v>45153</v>
      </c>
      <c r="P657" s="4">
        <f>OBRA!P659</f>
        <v>4000000</v>
      </c>
      <c r="Q657" s="4"/>
      <c r="R657" s="5">
        <f>OBRA!R659</f>
        <v>45153</v>
      </c>
      <c r="S657" s="12">
        <f>OBRA!S659</f>
        <v>45565</v>
      </c>
      <c r="T657" s="792"/>
      <c r="U657" s="223"/>
      <c r="V657" s="558"/>
      <c r="W657" s="559"/>
      <c r="X657" s="590">
        <f>OBRA!AP659</f>
        <v>0</v>
      </c>
      <c r="Y657" s="341"/>
      <c r="Z657" s="341"/>
      <c r="AA657" s="5"/>
      <c r="AB657" s="351">
        <f>OBRA!BT659</f>
        <v>0</v>
      </c>
      <c r="AC657" s="569"/>
      <c r="AE657"/>
      <c r="AF657"/>
      <c r="AG657"/>
      <c r="AH657"/>
      <c r="AI657"/>
      <c r="AJ657"/>
      <c r="AK657"/>
      <c r="AL657"/>
    </row>
    <row r="658" spans="1:38" ht="15" hidden="1" customHeight="1">
      <c r="A658" s="23" t="s">
        <v>2239</v>
      </c>
      <c r="B658" s="933">
        <f>GRAL!B846</f>
        <v>0</v>
      </c>
      <c r="C658" s="17">
        <f>OBRA!I660</f>
        <v>2023</v>
      </c>
      <c r="D658" s="18" t="str">
        <f>OBRA!K660</f>
        <v>CEA-FISE</v>
      </c>
      <c r="E658" s="1374"/>
      <c r="F658" s="1300"/>
      <c r="G658" s="239"/>
      <c r="H658" s="1300"/>
      <c r="I658" s="56">
        <f>OBRA!U660</f>
        <v>0</v>
      </c>
      <c r="J658" s="57">
        <f>OBRA!V660</f>
        <v>0</v>
      </c>
      <c r="K658" s="20" t="str">
        <f>OBRA!L660</f>
        <v>CEA-IHAP-FISE-022/2023</v>
      </c>
      <c r="L658" s="2" t="str">
        <f>OBRA!M660</f>
        <v>CONVENIOS</v>
      </c>
      <c r="M658" s="3" t="str">
        <f>OBRA!N660</f>
        <v>PERFORACIÓN DE POZO PROFUNDO PARA LA EXTRACCIÓN DE AGUA POTABLE, UBICADO EN LA CABECERA MUNICIPAL DE JOCOTEPEC, JALISCO.</v>
      </c>
      <c r="N658" s="597"/>
      <c r="O658" s="6">
        <f>OBRA!Q660</f>
        <v>45153</v>
      </c>
      <c r="P658" s="4">
        <f>OBRA!P660</f>
        <v>4000000</v>
      </c>
      <c r="Q658" s="4"/>
      <c r="R658" s="5">
        <f>OBRA!R660</f>
        <v>45153</v>
      </c>
      <c r="S658" s="12">
        <f>OBRA!S660</f>
        <v>45565</v>
      </c>
      <c r="T658" s="792"/>
      <c r="U658" s="223"/>
      <c r="V658" s="558"/>
      <c r="W658" s="559"/>
      <c r="X658" s="590">
        <f>OBRA!AP660</f>
        <v>0</v>
      </c>
      <c r="Y658" s="341"/>
      <c r="Z658" s="341"/>
      <c r="AA658" s="5"/>
      <c r="AB658" s="351">
        <f>OBRA!BT660</f>
        <v>0</v>
      </c>
      <c r="AC658" s="569"/>
      <c r="AE658"/>
      <c r="AF658"/>
      <c r="AG658"/>
      <c r="AH658"/>
      <c r="AI658"/>
      <c r="AJ658"/>
      <c r="AK658"/>
      <c r="AL658"/>
    </row>
    <row r="659" spans="1:38" ht="119.25" customHeight="1" thickTop="1">
      <c r="A659" s="335" t="s">
        <v>2239</v>
      </c>
      <c r="B659" s="1056">
        <f>GRAL!B847</f>
        <v>0</v>
      </c>
      <c r="C659" s="327">
        <f>OBRA!I661</f>
        <v>2023</v>
      </c>
      <c r="D659" s="532" t="str">
        <f>OBRA!K661</f>
        <v>CUENTA CORRIENTE</v>
      </c>
      <c r="E659" s="695" t="s">
        <v>1431</v>
      </c>
      <c r="F659" s="1541"/>
      <c r="G659" s="71"/>
      <c r="H659" s="1541"/>
      <c r="I659" s="339" t="str">
        <f>OBRA!U661</f>
        <v>ING. J. TRINIDAD NUÑEZ BRITO</v>
      </c>
      <c r="J659" s="172" t="str">
        <f>OBRA!V661</f>
        <v>ARQ. FRANCISCO SALAZAR</v>
      </c>
      <c r="K659" s="180" t="str">
        <f>OBRA!L661</f>
        <v>C.P.S.P. DOP 001/2023</v>
      </c>
      <c r="L659" s="202" t="str">
        <f>OBRA!M661</f>
        <v>SERVICIOS</v>
      </c>
      <c r="M659" s="328"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54" t="s">
        <v>4940</v>
      </c>
      <c r="O659" s="69">
        <f>OBRA!Q661</f>
        <v>44928</v>
      </c>
      <c r="P659" s="85">
        <f>OBRA!P661</f>
        <v>17400</v>
      </c>
      <c r="Q659" s="85" t="s">
        <v>68</v>
      </c>
      <c r="R659" s="255">
        <f>OBRA!R661</f>
        <v>44929</v>
      </c>
      <c r="S659" s="245">
        <f>OBRA!S661</f>
        <v>44931</v>
      </c>
      <c r="T659" s="1609" t="s">
        <v>5755</v>
      </c>
      <c r="U659" s="216" t="s">
        <v>1431</v>
      </c>
      <c r="V659" s="344"/>
      <c r="W659" s="245"/>
      <c r="X659" s="601">
        <f>OBRA!AP661</f>
        <v>0</v>
      </c>
      <c r="Y659" s="344"/>
      <c r="Z659" s="344"/>
      <c r="AA659" s="255"/>
      <c r="AB659" s="1057">
        <f>OBRA!BT661</f>
        <v>0</v>
      </c>
      <c r="AC659" s="569"/>
      <c r="AE659"/>
      <c r="AF659"/>
      <c r="AG659"/>
      <c r="AH659"/>
      <c r="AI659"/>
      <c r="AJ659"/>
      <c r="AK659"/>
      <c r="AL659"/>
    </row>
    <row r="660" spans="1:38" ht="98.25" customHeight="1">
      <c r="A660" s="335" t="s">
        <v>2239</v>
      </c>
      <c r="B660" s="1056">
        <f>GRAL!B848</f>
        <v>0</v>
      </c>
      <c r="C660" s="327">
        <f>OBRA!I662</f>
        <v>2023</v>
      </c>
      <c r="D660" s="532" t="str">
        <f>OBRA!K662</f>
        <v>CUENTA CORRIENTE</v>
      </c>
      <c r="E660" s="695" t="s">
        <v>1431</v>
      </c>
      <c r="F660" s="1541"/>
      <c r="G660" s="71"/>
      <c r="H660" s="1541"/>
      <c r="I660" s="339" t="str">
        <f>OBRA!U662</f>
        <v>ING. J. TRINIDAD NUÑEZ BRITO</v>
      </c>
      <c r="J660" s="172" t="str">
        <f>OBRA!V662</f>
        <v>ARQ. FRANCISCO SALAZAR</v>
      </c>
      <c r="K660" s="180" t="str">
        <f>OBRA!L662</f>
        <v>C.P.S.P. DOP 002/2023</v>
      </c>
      <c r="L660" s="202" t="str">
        <f>OBRA!M662</f>
        <v>SERVICIOS</v>
      </c>
      <c r="M660" s="328" t="str">
        <f>OBRA!N662</f>
        <v>CONTRATACIÓN DEL SERVICIO PARA LA REALIZACIÓN DE: ESTUDIO GEOHIDROLÓGICO-GEOFÍSICO Y PROSPECCIÓN GEOFÍSICA CON FINES DE LOCALIZAR AGUA SUBTERRÁNEA EN POZO LA ERMITA EN LA LOCALIDAD DE SAN PEDRO TESISTÁN, DEL MUNICIPIO DE JOCOTEPEC, JALISCO.</v>
      </c>
      <c r="N660" s="554" t="s">
        <v>4940</v>
      </c>
      <c r="O660" s="69">
        <f>OBRA!Q662</f>
        <v>44928</v>
      </c>
      <c r="P660" s="85">
        <f>OBRA!P662</f>
        <v>17400</v>
      </c>
      <c r="Q660" s="85" t="s">
        <v>68</v>
      </c>
      <c r="R660" s="255">
        <f>OBRA!R662</f>
        <v>44931</v>
      </c>
      <c r="S660" s="245">
        <f>OBRA!S662</f>
        <v>44932</v>
      </c>
      <c r="T660" s="1609" t="s">
        <v>5755</v>
      </c>
      <c r="U660" s="216" t="s">
        <v>1431</v>
      </c>
      <c r="V660" s="344"/>
      <c r="W660" s="245"/>
      <c r="X660" s="601">
        <f>OBRA!AP662</f>
        <v>0</v>
      </c>
      <c r="Y660" s="344"/>
      <c r="Z660" s="344"/>
      <c r="AA660" s="255"/>
      <c r="AB660" s="1057">
        <f>OBRA!BT662</f>
        <v>0</v>
      </c>
      <c r="AC660" s="569"/>
      <c r="AE660"/>
      <c r="AF660"/>
      <c r="AG660"/>
      <c r="AH660"/>
      <c r="AI660"/>
      <c r="AJ660"/>
      <c r="AK660"/>
      <c r="AL660"/>
    </row>
    <row r="661" spans="1:38" ht="101.25" customHeight="1">
      <c r="A661" s="335" t="s">
        <v>2239</v>
      </c>
      <c r="B661" s="1056">
        <f>GRAL!B849</f>
        <v>0</v>
      </c>
      <c r="C661" s="327">
        <f>OBRA!I663</f>
        <v>2023</v>
      </c>
      <c r="D661" s="532" t="str">
        <f>OBRA!K663</f>
        <v>CUENTA CORRIENTE</v>
      </c>
      <c r="E661" s="695" t="s">
        <v>1431</v>
      </c>
      <c r="F661" s="1541"/>
      <c r="G661" s="71"/>
      <c r="H661" s="1541"/>
      <c r="I661" s="339" t="str">
        <f>OBRA!U663</f>
        <v>ING. J. TRINIDAD NUÑEZ BRITO</v>
      </c>
      <c r="J661" s="172" t="str">
        <f>OBRA!V663</f>
        <v>ARQ. FRANCISCO SALAZAR</v>
      </c>
      <c r="K661" s="180" t="str">
        <f>OBRA!L663</f>
        <v>C.P.S.P. DOP 003/2023</v>
      </c>
      <c r="L661" s="202" t="str">
        <f>OBRA!M663</f>
        <v>SERVICIOS</v>
      </c>
      <c r="M661" s="328" t="str">
        <f>OBRA!N663</f>
        <v>CONTRATACIÓN DEL SERVICIO PARA LA REALIZACIÓN DE: ESTUDIO GEOHIDROLÓGICO-GEOFÍSICO Y PROSPECCIÓN GEOFÍSICA CON FINES DE LOCALIZAR AGUA SUBTERRÁNEA EN POZO LA AZOTERA EN LA LOCALIDAD DE SAN PEDRO TESISTÁN, DEL MUNICIPIO DE JOCOTEPEC, JALISCO.</v>
      </c>
      <c r="N661" s="554" t="s">
        <v>4940</v>
      </c>
      <c r="O661" s="69">
        <f>OBRA!Q663</f>
        <v>44928</v>
      </c>
      <c r="P661" s="85">
        <f>OBRA!P663</f>
        <v>17400</v>
      </c>
      <c r="Q661" s="85" t="s">
        <v>68</v>
      </c>
      <c r="R661" s="255">
        <f>OBRA!R663</f>
        <v>0</v>
      </c>
      <c r="S661" s="245">
        <f>OBRA!S663</f>
        <v>0</v>
      </c>
      <c r="T661" s="1609" t="s">
        <v>5755</v>
      </c>
      <c r="U661" s="216" t="s">
        <v>1431</v>
      </c>
      <c r="V661" s="344"/>
      <c r="W661" s="245"/>
      <c r="X661" s="601">
        <f>OBRA!AP663</f>
        <v>0</v>
      </c>
      <c r="Y661" s="344"/>
      <c r="Z661" s="344"/>
      <c r="AA661" s="255"/>
      <c r="AB661" s="1057">
        <f>OBRA!BT663</f>
        <v>0</v>
      </c>
      <c r="AC661" s="569"/>
      <c r="AE661"/>
      <c r="AF661"/>
      <c r="AG661"/>
      <c r="AH661"/>
      <c r="AI661"/>
      <c r="AJ661"/>
      <c r="AK661"/>
      <c r="AL661"/>
    </row>
    <row r="662" spans="1:38" ht="87" customHeight="1">
      <c r="A662" s="335" t="s">
        <v>2239</v>
      </c>
      <c r="B662" s="1056">
        <f>GRAL!B850</f>
        <v>0</v>
      </c>
      <c r="C662" s="327">
        <f>OBRA!I664</f>
        <v>2023</v>
      </c>
      <c r="D662" s="532" t="str">
        <f>OBRA!K664</f>
        <v>CUENTA CORRIENTE</v>
      </c>
      <c r="E662" s="695" t="s">
        <v>1431</v>
      </c>
      <c r="F662" s="1541"/>
      <c r="G662" s="71"/>
      <c r="H662" s="1541"/>
      <c r="I662" s="339" t="str">
        <f>OBRA!U664</f>
        <v>ING. SERGIO CABRERA</v>
      </c>
      <c r="J662" s="172" t="str">
        <f>OBRA!V664</f>
        <v>ARQ. FRANCISCO SALAZAR</v>
      </c>
      <c r="K662" s="180" t="str">
        <f>OBRA!L664</f>
        <v>C.P.S.P. DOP 004/2023</v>
      </c>
      <c r="L662" s="202" t="str">
        <f>OBRA!M664</f>
        <v>SERVICIOS</v>
      </c>
      <c r="M662" s="328" t="str">
        <f>OBRA!N664</f>
        <v>CONTRATACIÓN PARA LA REALIZACIÓN DEL SIGUIENTE LEVANTAMIENTO TOPOGRÁFICO: PARA EL PROYECTO; REHABILITACIÓN DE UNIDAD DEPORTIVA DONATO GUERRA SUR, EN LA CABECERA MUNICIPAL DE JOCOTEPEC, JALISCO.</v>
      </c>
      <c r="N662" s="554" t="s">
        <v>4940</v>
      </c>
      <c r="O662" s="69">
        <f>OBRA!Q664</f>
        <v>44953</v>
      </c>
      <c r="P662" s="85">
        <f>OBRA!P664</f>
        <v>25520</v>
      </c>
      <c r="Q662" s="85" t="s">
        <v>68</v>
      </c>
      <c r="R662" s="255">
        <f>OBRA!R664</f>
        <v>44958</v>
      </c>
      <c r="S662" s="245">
        <f>OBRA!S664</f>
        <v>44960</v>
      </c>
      <c r="T662" s="1609" t="s">
        <v>5755</v>
      </c>
      <c r="U662" s="216" t="s">
        <v>1431</v>
      </c>
      <c r="V662" s="344"/>
      <c r="W662" s="245"/>
      <c r="X662" s="601">
        <f>OBRA!AP664</f>
        <v>0</v>
      </c>
      <c r="Y662" s="344"/>
      <c r="Z662" s="344"/>
      <c r="AA662" s="255"/>
      <c r="AB662" s="1057">
        <f>OBRA!BT664</f>
        <v>0</v>
      </c>
      <c r="AC662" s="569"/>
      <c r="AE662"/>
      <c r="AF662"/>
      <c r="AG662"/>
      <c r="AH662"/>
      <c r="AI662"/>
      <c r="AJ662"/>
      <c r="AK662"/>
      <c r="AL662"/>
    </row>
    <row r="663" spans="1:38" ht="93" customHeight="1">
      <c r="A663" s="335" t="s">
        <v>2239</v>
      </c>
      <c r="B663" s="1056">
        <f>GRAL!B851</f>
        <v>0</v>
      </c>
      <c r="C663" s="327">
        <f>OBRA!I665</f>
        <v>2023</v>
      </c>
      <c r="D663" s="532" t="str">
        <f>OBRA!K665</f>
        <v>CUENTA CORRIENTE</v>
      </c>
      <c r="E663" s="695" t="s">
        <v>1431</v>
      </c>
      <c r="F663" s="1541"/>
      <c r="G663" s="71"/>
      <c r="H663" s="1541"/>
      <c r="I663" s="339" t="str">
        <f>OBRA!U665</f>
        <v>ING. SERGIO CABRERA</v>
      </c>
      <c r="J663" s="172" t="str">
        <f>OBRA!V665</f>
        <v>ARQ. FRANCISCO SALAZAR</v>
      </c>
      <c r="K663" s="180" t="str">
        <f>OBRA!L665</f>
        <v>C.P.S.P. DOP 005/2023</v>
      </c>
      <c r="L663" s="202" t="str">
        <f>OBRA!M665</f>
        <v>SERVICIOS</v>
      </c>
      <c r="M663" s="328" t="str">
        <f>OBRA!N665</f>
        <v>CONTRATACIÓN PARA LA REALIZACIÓN DEL SIGUIENTE LEVANTAMIENTO TOPOGRÁFICO: PARA EL PROYECTO; REHABILITACIÓN DE UNIDAD DEPORTIVA ZARAGOZA NORTE, EN LA CABECERA MUNICIPAL DE JOCOTEPEC, JALISCO.</v>
      </c>
      <c r="N663" s="554" t="s">
        <v>4940</v>
      </c>
      <c r="O663" s="69">
        <f>OBRA!Q665</f>
        <v>44953</v>
      </c>
      <c r="P663" s="85">
        <f>OBRA!P665</f>
        <v>17400</v>
      </c>
      <c r="Q663" s="85" t="s">
        <v>68</v>
      </c>
      <c r="R663" s="255">
        <f>OBRA!R665</f>
        <v>44960</v>
      </c>
      <c r="S663" s="245">
        <f>OBRA!S665</f>
        <v>44962</v>
      </c>
      <c r="T663" s="1609" t="s">
        <v>5755</v>
      </c>
      <c r="U663" s="216" t="s">
        <v>1431</v>
      </c>
      <c r="V663" s="344"/>
      <c r="W663" s="245"/>
      <c r="X663" s="601">
        <f>OBRA!AP665</f>
        <v>0</v>
      </c>
      <c r="Y663" s="344"/>
      <c r="Z663" s="344"/>
      <c r="AA663" s="255"/>
      <c r="AB663" s="1057">
        <f>OBRA!BT665</f>
        <v>0</v>
      </c>
      <c r="AC663" s="569"/>
      <c r="AE663"/>
      <c r="AF663"/>
      <c r="AG663"/>
      <c r="AH663"/>
      <c r="AI663"/>
      <c r="AJ663"/>
      <c r="AK663"/>
      <c r="AL663"/>
    </row>
    <row r="664" spans="1:38" ht="93.75" customHeight="1">
      <c r="A664" s="335" t="s">
        <v>2239</v>
      </c>
      <c r="B664" s="1056">
        <f>GRAL!B852</f>
        <v>0</v>
      </c>
      <c r="C664" s="327">
        <f>OBRA!I666</f>
        <v>2023</v>
      </c>
      <c r="D664" s="532" t="str">
        <f>OBRA!K666</f>
        <v>CUENTA CORRIENTE</v>
      </c>
      <c r="E664" s="695"/>
      <c r="F664" s="1541"/>
      <c r="G664" s="71"/>
      <c r="H664" s="1541"/>
      <c r="I664" s="339" t="str">
        <f>OBRA!U666</f>
        <v>PEDRO MACHUCA SAAVEDRA</v>
      </c>
      <c r="J664" s="172" t="str">
        <f>OBRA!V666</f>
        <v>ARQ. FRANCISCO SALAZAR</v>
      </c>
      <c r="K664" s="174" t="str">
        <f>OBRA!L666</f>
        <v>C.P.S.P. DOP 006/2023</v>
      </c>
      <c r="L664" s="202" t="str">
        <f>OBRA!M666</f>
        <v>SERVICIOS</v>
      </c>
      <c r="M664" s="328" t="str">
        <f>OBRA!N666</f>
        <v>CONTRACIÓN DEL SERVICIO PARA: LOCALIZACIÓN DE AGUA EN PREDIO PARA SU POSIBLE PERFORACIÓN DE POZO PROFUNDO POR MEDIO DE LA TÉCNICA DE RADIESTESIA UBICADO EN CALLE FLAMINGOS, EN LA LOCALIDAD DE NEXTIPAC, DEL MUNICIPIO DE JOCOTEPEC, JALISCO.</v>
      </c>
      <c r="N664" s="328"/>
      <c r="O664" s="69">
        <f>OBRA!Q666</f>
        <v>44929</v>
      </c>
      <c r="P664" s="85">
        <f>OBRA!P666</f>
        <v>3500</v>
      </c>
      <c r="Q664" s="85" t="s">
        <v>68</v>
      </c>
      <c r="R664" s="255">
        <f>OBRA!R666</f>
        <v>44931</v>
      </c>
      <c r="S664" s="245">
        <f>OBRA!S666</f>
        <v>44931</v>
      </c>
      <c r="T664" s="1609" t="s">
        <v>5755</v>
      </c>
      <c r="U664" s="216"/>
      <c r="V664" s="344"/>
      <c r="W664" s="245"/>
      <c r="X664" s="601">
        <f>OBRA!AP666</f>
        <v>0</v>
      </c>
      <c r="Y664" s="344"/>
      <c r="Z664" s="344"/>
      <c r="AA664" s="255"/>
      <c r="AB664" s="1057">
        <f>OBRA!BT666</f>
        <v>0</v>
      </c>
      <c r="AC664" s="569"/>
      <c r="AE664"/>
      <c r="AF664"/>
      <c r="AG664"/>
      <c r="AH664"/>
      <c r="AI664"/>
      <c r="AJ664"/>
      <c r="AK664"/>
      <c r="AL664"/>
    </row>
    <row r="665" spans="1:38" ht="108" customHeight="1">
      <c r="A665" s="335" t="s">
        <v>2239</v>
      </c>
      <c r="B665" s="1056">
        <f>GRAL!B853</f>
        <v>0</v>
      </c>
      <c r="C665" s="327">
        <f>OBRA!I667</f>
        <v>2023</v>
      </c>
      <c r="D665" s="532" t="str">
        <f>OBRA!K667</f>
        <v>CUENTA CORRIENTE</v>
      </c>
      <c r="E665" s="695"/>
      <c r="F665" s="1541"/>
      <c r="G665" s="71"/>
      <c r="H665" s="1541"/>
      <c r="I665" s="339" t="str">
        <f>OBRA!U667</f>
        <v>PEDRO MACHUCA SAAVEDRA</v>
      </c>
      <c r="J665" s="172" t="str">
        <f>OBRA!V667</f>
        <v>ARQ. FRANCISCO SALAZAR</v>
      </c>
      <c r="K665" s="180" t="str">
        <f>OBRA!L667</f>
        <v>C.P.S.P. DOP 007/2023</v>
      </c>
      <c r="L665" s="202" t="str">
        <f>OBRA!M667</f>
        <v>SERVICIOS</v>
      </c>
      <c r="M665" s="328" t="str">
        <f>OBRA!N667</f>
        <v>CONTRACIÓN DEL SERVICIO PARA: LOCALIZACIÓN DE AGUA EN PREDIO PARA SU POSIBLE PERFORACIÓN DE POZO PROFUNDO POR MEDIO DE LA TÉCNICA DE RADIESTESIA UBICADO EN CALLE LA PUERTA, EN LA LOCALIDAD DE SAN JUAN COSALÁ, DEL MUNICIPIO DE JOCOTEPEC, JALISCO.</v>
      </c>
      <c r="N665" s="328"/>
      <c r="O665" s="69">
        <f>OBRA!Q667</f>
        <v>44970</v>
      </c>
      <c r="P665" s="85">
        <f>OBRA!P667</f>
        <v>3500</v>
      </c>
      <c r="Q665" s="85" t="s">
        <v>68</v>
      </c>
      <c r="R665" s="255">
        <f>OBRA!R667</f>
        <v>44972</v>
      </c>
      <c r="S665" s="245">
        <f>OBRA!S667</f>
        <v>44972</v>
      </c>
      <c r="T665" s="1609" t="s">
        <v>5755</v>
      </c>
      <c r="U665" s="216"/>
      <c r="V665" s="344"/>
      <c r="W665" s="245"/>
      <c r="X665" s="601">
        <f>OBRA!AP667</f>
        <v>0</v>
      </c>
      <c r="Y665" s="344"/>
      <c r="Z665" s="344"/>
      <c r="AA665" s="255"/>
      <c r="AB665" s="1057">
        <f>OBRA!BT667</f>
        <v>0</v>
      </c>
      <c r="AC665" s="569"/>
      <c r="AE665"/>
      <c r="AF665"/>
      <c r="AG665"/>
      <c r="AH665"/>
      <c r="AI665"/>
      <c r="AJ665"/>
      <c r="AK665"/>
      <c r="AL665"/>
    </row>
    <row r="666" spans="1:38" ht="141.75" customHeight="1">
      <c r="A666" s="335" t="s">
        <v>2239</v>
      </c>
      <c r="B666" s="1056">
        <f>GRAL!B854</f>
        <v>0</v>
      </c>
      <c r="C666" s="327">
        <f>OBRA!I668</f>
        <v>2023</v>
      </c>
      <c r="D666" s="532" t="str">
        <f>OBRA!K668</f>
        <v>CUENTA CORRIENTE</v>
      </c>
      <c r="E666" s="695"/>
      <c r="F666" s="1541"/>
      <c r="G666" s="71"/>
      <c r="H666" s="1541"/>
      <c r="I666" s="339" t="str">
        <f>OBRA!U668</f>
        <v>ECCOC DE GUADALAJARA, S.A. DE C.V.</v>
      </c>
      <c r="J666" s="172" t="str">
        <f>OBRA!V668</f>
        <v>ARQ. FRANCISCO SALAZAR</v>
      </c>
      <c r="K666" s="180" t="str">
        <f>OBRA!L668</f>
        <v>C.P.S.P. DOP 008/2023</v>
      </c>
      <c r="L666" s="202" t="str">
        <f>OBRA!M668</f>
        <v>SERVICIOS</v>
      </c>
      <c r="M666" s="328"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28"/>
      <c r="O666" s="69">
        <f>OBRA!Q668</f>
        <v>44978</v>
      </c>
      <c r="P666" s="85">
        <f>OBRA!P668</f>
        <v>22272</v>
      </c>
      <c r="Q666" s="85" t="s">
        <v>68</v>
      </c>
      <c r="R666" s="255">
        <f>OBRA!R668</f>
        <v>44979</v>
      </c>
      <c r="S666" s="245">
        <f>OBRA!S668</f>
        <v>44979</v>
      </c>
      <c r="T666" s="1609" t="s">
        <v>5755</v>
      </c>
      <c r="U666" s="216"/>
      <c r="V666" s="344"/>
      <c r="W666" s="245"/>
      <c r="X666" s="601">
        <f>OBRA!AP668</f>
        <v>0</v>
      </c>
      <c r="Y666" s="344"/>
      <c r="Z666" s="344"/>
      <c r="AA666" s="255"/>
      <c r="AB666" s="1057">
        <f>OBRA!BT668</f>
        <v>0</v>
      </c>
      <c r="AC666" s="569"/>
      <c r="AE666"/>
      <c r="AF666"/>
      <c r="AG666"/>
      <c r="AH666"/>
      <c r="AI666"/>
      <c r="AJ666"/>
      <c r="AK666"/>
      <c r="AL666"/>
    </row>
    <row r="667" spans="1:38" ht="172.5" customHeight="1">
      <c r="A667" s="335" t="s">
        <v>2239</v>
      </c>
      <c r="B667" s="1056">
        <f>GRAL!B855</f>
        <v>0</v>
      </c>
      <c r="C667" s="327">
        <f>OBRA!I669</f>
        <v>2023</v>
      </c>
      <c r="D667" s="532" t="str">
        <f>OBRA!K669</f>
        <v>CUENTA CORRIENTE</v>
      </c>
      <c r="E667" s="695"/>
      <c r="F667" s="1541"/>
      <c r="G667" s="71"/>
      <c r="H667" s="1541"/>
      <c r="I667" s="339" t="str">
        <f>OBRA!U669</f>
        <v>ECCOC DE GUADALAJARA, S.A. DE C.V.</v>
      </c>
      <c r="J667" s="172" t="str">
        <f>OBRA!V669</f>
        <v>ARQ. FRANCISCO SALAZAR</v>
      </c>
      <c r="K667" s="180" t="str">
        <f>OBRA!L669</f>
        <v>C.P.S.P. DOP 009/2023</v>
      </c>
      <c r="L667" s="202" t="str">
        <f>OBRA!M669</f>
        <v>SERVICIOS</v>
      </c>
      <c r="M667" s="328"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28"/>
      <c r="O667" s="69">
        <f>OBRA!Q669</f>
        <v>45007</v>
      </c>
      <c r="P667" s="85">
        <f>OBRA!P669</f>
        <v>20880</v>
      </c>
      <c r="Q667" s="85" t="s">
        <v>68</v>
      </c>
      <c r="R667" s="255">
        <f>OBRA!R669</f>
        <v>45009</v>
      </c>
      <c r="S667" s="245">
        <f>OBRA!S669</f>
        <v>45016</v>
      </c>
      <c r="T667" s="1609" t="s">
        <v>5755</v>
      </c>
      <c r="U667" s="216"/>
      <c r="V667" s="344"/>
      <c r="W667" s="245"/>
      <c r="X667" s="601">
        <f>OBRA!AP669</f>
        <v>0</v>
      </c>
      <c r="Y667" s="344"/>
      <c r="Z667" s="344"/>
      <c r="AA667" s="255"/>
      <c r="AB667" s="1057">
        <f>OBRA!BT669</f>
        <v>0</v>
      </c>
      <c r="AC667" s="569"/>
      <c r="AE667"/>
      <c r="AF667"/>
      <c r="AG667"/>
      <c r="AH667"/>
      <c r="AI667"/>
      <c r="AJ667"/>
      <c r="AK667"/>
      <c r="AL667"/>
    </row>
    <row r="668" spans="1:38" ht="136.5" customHeight="1">
      <c r="A668" s="335" t="s">
        <v>2239</v>
      </c>
      <c r="B668" s="1056">
        <f>GRAL!B856</f>
        <v>0</v>
      </c>
      <c r="C668" s="327">
        <f>OBRA!I670</f>
        <v>2023</v>
      </c>
      <c r="D668" s="532" t="str">
        <f>OBRA!K670</f>
        <v>CUENTA CORRIENTE</v>
      </c>
      <c r="E668" s="695"/>
      <c r="F668" s="1541"/>
      <c r="G668" s="71"/>
      <c r="H668" s="1541"/>
      <c r="I668" s="339" t="str">
        <f>OBRA!U670</f>
        <v>ECCOC DE GUADALAJARA, S.A. DE C.V.</v>
      </c>
      <c r="J668" s="172" t="str">
        <f>OBRA!V670</f>
        <v>ARQ. FRANCISCO SALAZAR</v>
      </c>
      <c r="K668" s="180" t="str">
        <f>OBRA!L670</f>
        <v>C.P.S.P. DOP 010/2023</v>
      </c>
      <c r="L668" s="202" t="str">
        <f>OBRA!M670</f>
        <v>SERVICIOS</v>
      </c>
      <c r="M668" s="328"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28"/>
      <c r="O668" s="69">
        <f>OBRA!Q670</f>
        <v>45009</v>
      </c>
      <c r="P668" s="85">
        <f>OBRA!P670</f>
        <v>27839.999999999996</v>
      </c>
      <c r="Q668" s="85" t="s">
        <v>68</v>
      </c>
      <c r="R668" s="255">
        <f>OBRA!R670</f>
        <v>45013</v>
      </c>
      <c r="S668" s="245">
        <f>OBRA!S670</f>
        <v>45016</v>
      </c>
      <c r="T668" s="1609" t="s">
        <v>5755</v>
      </c>
      <c r="U668" s="216"/>
      <c r="V668" s="344"/>
      <c r="W668" s="245"/>
      <c r="X668" s="601">
        <f>OBRA!AP670</f>
        <v>0</v>
      </c>
      <c r="Y668" s="344"/>
      <c r="Z668" s="344"/>
      <c r="AA668" s="255"/>
      <c r="AB668" s="1057">
        <f>OBRA!BT670</f>
        <v>0</v>
      </c>
      <c r="AC668" s="569"/>
      <c r="AE668"/>
      <c r="AF668"/>
      <c r="AG668"/>
      <c r="AH668"/>
      <c r="AI668"/>
      <c r="AJ668"/>
      <c r="AK668"/>
      <c r="AL668"/>
    </row>
    <row r="669" spans="1:38" ht="91.5" customHeight="1">
      <c r="A669" s="335" t="s">
        <v>2239</v>
      </c>
      <c r="B669" s="1056">
        <f>GRAL!B857</f>
        <v>0</v>
      </c>
      <c r="C669" s="327">
        <f>OBRA!I671</f>
        <v>2023</v>
      </c>
      <c r="D669" s="532" t="str">
        <f>OBRA!K671</f>
        <v>CUENTA CORRIENTE</v>
      </c>
      <c r="E669" s="695"/>
      <c r="F669" s="1541"/>
      <c r="G669" s="71"/>
      <c r="H669" s="1541"/>
      <c r="I669" s="339" t="str">
        <f>OBRA!U671</f>
        <v>LEXCLI, S. DE R.L. DE C.V.</v>
      </c>
      <c r="J669" s="172" t="str">
        <f>OBRA!V671</f>
        <v>ARQ. FRANCISCO SALAZAR</v>
      </c>
      <c r="K669" s="180" t="str">
        <f>OBRA!L671</f>
        <v>C.P.S.P. DOP 011/2023</v>
      </c>
      <c r="L669" s="202" t="str">
        <f>OBRA!M671</f>
        <v>SERVICIOS</v>
      </c>
      <c r="M669" s="328" t="str">
        <f>OBRA!N671</f>
        <v>CONTRATACIÓN PARA LA REALIZACIÓN DE: ESTUDIO GEOHIDROLÓGICO-GEOFÍSICO CON FINES DE LOCALIZAR AGUA SUBTERRÁNEA EN PREDIO DENOMINADO "LA AZOTERA" UBICADO EN LA LOCALIDAD DE SAN PEDRO TESISTÁN, DEL MUNICIPIO DE JOCOTEPEC, JALISCO.</v>
      </c>
      <c r="N669" s="328"/>
      <c r="O669" s="69">
        <f>OBRA!Q671</f>
        <v>44988</v>
      </c>
      <c r="P669" s="85">
        <f>OBRA!P671</f>
        <v>18560</v>
      </c>
      <c r="Q669" s="85" t="s">
        <v>68</v>
      </c>
      <c r="R669" s="255">
        <f>OBRA!R671</f>
        <v>44991</v>
      </c>
      <c r="S669" s="245">
        <f>OBRA!S671</f>
        <v>44995</v>
      </c>
      <c r="T669" s="1609" t="s">
        <v>5755</v>
      </c>
      <c r="U669" s="216"/>
      <c r="V669" s="344"/>
      <c r="W669" s="245"/>
      <c r="X669" s="601">
        <f>OBRA!AP671</f>
        <v>0</v>
      </c>
      <c r="Y669" s="344"/>
      <c r="Z669" s="344"/>
      <c r="AA669" s="255"/>
      <c r="AB669" s="1057">
        <f>OBRA!BT671</f>
        <v>0</v>
      </c>
      <c r="AC669" s="569"/>
      <c r="AE669"/>
      <c r="AF669"/>
      <c r="AG669"/>
      <c r="AH669"/>
      <c r="AI669"/>
      <c r="AJ669"/>
      <c r="AK669"/>
      <c r="AL669"/>
    </row>
    <row r="670" spans="1:38" ht="93.75" customHeight="1">
      <c r="A670" s="335" t="s">
        <v>2239</v>
      </c>
      <c r="B670" s="1056">
        <f>GRAL!B858</f>
        <v>0</v>
      </c>
      <c r="C670" s="327">
        <f>OBRA!I672</f>
        <v>2023</v>
      </c>
      <c r="D670" s="532" t="str">
        <f>OBRA!K672</f>
        <v>CUENTA CORRIENTE</v>
      </c>
      <c r="E670" s="695"/>
      <c r="F670" s="1541"/>
      <c r="G670" s="71"/>
      <c r="H670" s="1541"/>
      <c r="I670" s="339" t="str">
        <f>OBRA!U672</f>
        <v>LEXCLI, S. DE R.L. DE C.V.</v>
      </c>
      <c r="J670" s="172" t="str">
        <f>OBRA!V672</f>
        <v>ARQ. FRANCISCO SALAZAR</v>
      </c>
      <c r="K670" s="180" t="str">
        <f>OBRA!L672</f>
        <v>C.P.S.P. DOP 012/2023</v>
      </c>
      <c r="L670" s="202" t="str">
        <f>OBRA!M672</f>
        <v>SERVICIOS</v>
      </c>
      <c r="M670" s="328" t="str">
        <f>OBRA!N672</f>
        <v>CONTRATACIÓN PARA LA REALIZACIÓN DE: ESTUDIO GEOHIDROLÓGICO-GEOFÍSICO CON FINES DE LOCALIZAR AGUA SUBTERRÁNEA EN PREDIO DENOMINADO "LA PUERTA" UBICADO EN LA LOCALIDAD DE SAN JUAN COSALÁ, DEL MUNICIPIO DE JOCOTEPEC, JALISCO.</v>
      </c>
      <c r="N670" s="328"/>
      <c r="O670" s="69">
        <f>OBRA!Q672</f>
        <v>44995</v>
      </c>
      <c r="P670" s="85">
        <f>OBRA!P672</f>
        <v>18560</v>
      </c>
      <c r="Q670" s="85" t="s">
        <v>68</v>
      </c>
      <c r="R670" s="255">
        <f>OBRA!R672</f>
        <v>44998</v>
      </c>
      <c r="S670" s="245">
        <f>OBRA!S672</f>
        <v>45002</v>
      </c>
      <c r="T670" s="1609" t="s">
        <v>5755</v>
      </c>
      <c r="U670" s="216"/>
      <c r="V670" s="344"/>
      <c r="W670" s="245"/>
      <c r="X670" s="601">
        <f>OBRA!AP672</f>
        <v>0</v>
      </c>
      <c r="Y670" s="344"/>
      <c r="Z670" s="344"/>
      <c r="AA670" s="255"/>
      <c r="AB670" s="1057">
        <f>OBRA!BT672</f>
        <v>0</v>
      </c>
      <c r="AC670" s="569"/>
      <c r="AE670"/>
      <c r="AF670"/>
      <c r="AG670"/>
      <c r="AH670"/>
      <c r="AI670"/>
      <c r="AJ670"/>
      <c r="AK670"/>
      <c r="AL670"/>
    </row>
    <row r="671" spans="1:38" ht="78" customHeight="1">
      <c r="A671" s="335" t="s">
        <v>2239</v>
      </c>
      <c r="B671" s="1056">
        <f>GRAL!B859</f>
        <v>0</v>
      </c>
      <c r="C671" s="327">
        <f>OBRA!I673</f>
        <v>2023</v>
      </c>
      <c r="D671" s="532" t="str">
        <f>OBRA!K673</f>
        <v>CUENTA CORRIENTE</v>
      </c>
      <c r="E671" s="695"/>
      <c r="F671" s="1541"/>
      <c r="G671" s="71"/>
      <c r="H671" s="1541"/>
      <c r="I671" s="339" t="str">
        <f>OBRA!U673</f>
        <v>LEXCLI, S. DE R.L. DE C.V.</v>
      </c>
      <c r="J671" s="172" t="str">
        <f>OBRA!V673</f>
        <v>ARQ. FRANCISCO SALAZAR</v>
      </c>
      <c r="K671" s="180" t="str">
        <f>OBRA!L673</f>
        <v>C.P.S.P. DOP 013/2023</v>
      </c>
      <c r="L671" s="202" t="str">
        <f>OBRA!M673</f>
        <v>SERVICIOS</v>
      </c>
      <c r="M671" s="328" t="str">
        <f>OBRA!N673</f>
        <v>CONTRATACIÓN PARA LA REALIZACIÓN DE: ESTUDIO GEOHIDROLÓGICO-GEOFÍSICO CON FINES DE LOCALIZAR AGUA SUBTERRÁNEA EN ATRIO DEL TEMPLO DEL SR. DEL MONTE UBICADO EN LA CABECERA MUNICIPAL DE JOCOTEPEC, JALISCO.</v>
      </c>
      <c r="N671" s="328"/>
      <c r="O671" s="69">
        <f>OBRA!Q673</f>
        <v>45002</v>
      </c>
      <c r="P671" s="85">
        <f>OBRA!P673</f>
        <v>18560</v>
      </c>
      <c r="Q671" s="85" t="s">
        <v>68</v>
      </c>
      <c r="R671" s="255">
        <f>OBRA!R673</f>
        <v>45005</v>
      </c>
      <c r="S671" s="245">
        <f>OBRA!S673</f>
        <v>45009</v>
      </c>
      <c r="T671" s="1609" t="s">
        <v>5755</v>
      </c>
      <c r="U671" s="216"/>
      <c r="V671" s="344"/>
      <c r="W671" s="245"/>
      <c r="X671" s="601">
        <f>OBRA!AP673</f>
        <v>0</v>
      </c>
      <c r="Y671" s="344"/>
      <c r="Z671" s="344"/>
      <c r="AA671" s="255"/>
      <c r="AB671" s="1057">
        <f>OBRA!BT673</f>
        <v>0</v>
      </c>
      <c r="AC671" s="569"/>
      <c r="AE671"/>
      <c r="AF671"/>
      <c r="AG671"/>
      <c r="AH671"/>
      <c r="AI671"/>
      <c r="AJ671"/>
      <c r="AK671"/>
      <c r="AL671"/>
    </row>
    <row r="672" spans="1:38" ht="91.5" customHeight="1">
      <c r="A672" s="335" t="s">
        <v>2239</v>
      </c>
      <c r="B672" s="1056">
        <f>GRAL!B860</f>
        <v>0</v>
      </c>
      <c r="C672" s="327">
        <f>OBRA!I674</f>
        <v>2023</v>
      </c>
      <c r="D672" s="532" t="str">
        <f>OBRA!K674</f>
        <v>CUENTA CORRIENTE</v>
      </c>
      <c r="E672" s="695"/>
      <c r="F672" s="1541"/>
      <c r="G672" s="71"/>
      <c r="H672" s="1541"/>
      <c r="I672" s="339" t="str">
        <f>OBRA!U674</f>
        <v>LEXCLI, S. DE R.L. DE C.V.</v>
      </c>
      <c r="J672" s="172" t="str">
        <f>OBRA!V674</f>
        <v>ARQ. FRANCISCO SALAZAR</v>
      </c>
      <c r="K672" s="180" t="str">
        <f>OBRA!L674</f>
        <v>C.P.S.P. DOP 014/2023</v>
      </c>
      <c r="L672" s="202" t="str">
        <f>OBRA!M674</f>
        <v>SERVICIOS</v>
      </c>
      <c r="M672" s="328" t="str">
        <f>OBRA!N674</f>
        <v>CONTRATACIÓN PARA LA REALIZACIÓN DE: ESTUDIO GEOHIDROLÓGICO-GEOFÍSICO CON FINES DE LOCALIZAR AGUA SUBTERRÁNEA EN CALLE VICENTE GUERRERO NORTE UBICADO EN LA LOCALICAS DE SAN JUAN COSALÁ, DEL MUNICIPIO DE JOCOTEPEC, JALISCO.</v>
      </c>
      <c r="N672" s="328"/>
      <c r="O672" s="69">
        <f>OBRA!Q674</f>
        <v>45001</v>
      </c>
      <c r="P672" s="85">
        <f>OBRA!P674</f>
        <v>18560</v>
      </c>
      <c r="Q672" s="85" t="s">
        <v>68</v>
      </c>
      <c r="R672" s="255">
        <f>OBRA!R674</f>
        <v>45005</v>
      </c>
      <c r="S672" s="245">
        <f>OBRA!S674</f>
        <v>45009</v>
      </c>
      <c r="T672" s="1609" t="s">
        <v>5755</v>
      </c>
      <c r="U672" s="216"/>
      <c r="V672" s="344"/>
      <c r="W672" s="245"/>
      <c r="X672" s="601">
        <f>OBRA!AP674</f>
        <v>0</v>
      </c>
      <c r="Y672" s="344"/>
      <c r="Z672" s="344"/>
      <c r="AA672" s="255"/>
      <c r="AB672" s="1057">
        <f>OBRA!BT674</f>
        <v>0</v>
      </c>
      <c r="AC672" s="569"/>
      <c r="AE672"/>
      <c r="AF672"/>
      <c r="AG672"/>
      <c r="AH672"/>
      <c r="AI672"/>
      <c r="AJ672"/>
      <c r="AK672"/>
      <c r="AL672"/>
    </row>
    <row r="673" spans="1:38" ht="75" customHeight="1">
      <c r="A673" s="335" t="s">
        <v>2239</v>
      </c>
      <c r="B673" s="1056">
        <f>GRAL!B861</f>
        <v>0</v>
      </c>
      <c r="C673" s="327">
        <f>OBRA!I675</f>
        <v>2023</v>
      </c>
      <c r="D673" s="532" t="str">
        <f>OBRA!K675</f>
        <v>CUENTA CORRIENTE</v>
      </c>
      <c r="E673" s="695"/>
      <c r="F673" s="1541"/>
      <c r="G673" s="71"/>
      <c r="H673" s="1541"/>
      <c r="I673" s="339" t="str">
        <f>OBRA!U675</f>
        <v>ING. SERGIO CABRERA</v>
      </c>
      <c r="J673" s="172" t="str">
        <f>OBRA!V675</f>
        <v>ARQ. FRANCISCO SALAZAR</v>
      </c>
      <c r="K673" s="180" t="str">
        <f>OBRA!L675</f>
        <v>C.P.S.P. DOP 015/2023</v>
      </c>
      <c r="L673" s="202" t="str">
        <f>OBRA!M675</f>
        <v>SERVICIOS</v>
      </c>
      <c r="M673" s="328" t="str">
        <f>OBRA!N675</f>
        <v>CONTRATACIÓN PARA LA REALIZACIÓN DEL SIGUIENTE LEVANTAMIENTO TOPOGRAFICO: PARA EL PROYECTO DE; REMODELACIÓN DE LA PLAZA PRINCIPAL DE HUEJOTITÁN, DEL MUNICIPIO DE JOCOTEPEC, JALISCO.</v>
      </c>
      <c r="N673" s="328"/>
      <c r="O673" s="69">
        <f>OBRA!Q675</f>
        <v>45005</v>
      </c>
      <c r="P673" s="85">
        <f>OBRA!P675</f>
        <v>11600</v>
      </c>
      <c r="Q673" s="85" t="s">
        <v>68</v>
      </c>
      <c r="R673" s="255">
        <f>OBRA!R675</f>
        <v>45012</v>
      </c>
      <c r="S673" s="245">
        <f>OBRA!S675</f>
        <v>45016</v>
      </c>
      <c r="T673" s="1609" t="s">
        <v>5755</v>
      </c>
      <c r="U673" s="216"/>
      <c r="V673" s="344"/>
      <c r="W673" s="245"/>
      <c r="X673" s="601">
        <f>OBRA!AP675</f>
        <v>0</v>
      </c>
      <c r="Y673" s="344"/>
      <c r="Z673" s="344"/>
      <c r="AA673" s="255"/>
      <c r="AB673" s="1057">
        <f>OBRA!BT675</f>
        <v>0</v>
      </c>
      <c r="AC673" s="569"/>
      <c r="AE673"/>
      <c r="AF673"/>
      <c r="AG673"/>
      <c r="AH673"/>
      <c r="AI673"/>
      <c r="AJ673"/>
      <c r="AK673"/>
      <c r="AL673"/>
    </row>
    <row r="674" spans="1:38" ht="80.25" customHeight="1">
      <c r="A674" s="335" t="s">
        <v>2239</v>
      </c>
      <c r="B674" s="1056">
        <f>GRAL!B862</f>
        <v>0</v>
      </c>
      <c r="C674" s="327">
        <f>OBRA!I676</f>
        <v>2023</v>
      </c>
      <c r="D674" s="532" t="str">
        <f>OBRA!K676</f>
        <v>CUENTA CORRIENTE</v>
      </c>
      <c r="E674" s="695"/>
      <c r="F674" s="1541"/>
      <c r="G674" s="71"/>
      <c r="H674" s="1541"/>
      <c r="I674" s="339" t="str">
        <f>OBRA!U676</f>
        <v>ING. SERGIO CABRERA</v>
      </c>
      <c r="J674" s="172" t="str">
        <f>OBRA!V676</f>
        <v>ARQ. FRANCISCO SALAZAR</v>
      </c>
      <c r="K674" s="180" t="str">
        <f>OBRA!L676</f>
        <v>C.P.S.P. DOP 016/2023</v>
      </c>
      <c r="L674" s="202" t="str">
        <f>OBRA!M676</f>
        <v>SERVICIOS</v>
      </c>
      <c r="M674" s="328" t="str">
        <f>OBRA!N680</f>
        <v>CONTRATACIÓN PARA LA REALIZACIÓN DE LOS SIGUIENTES LEVANTAMIENTOS TOPOGRAFICOS: DE LAS OBRAS DEL PROGRAMA "EMPEDRADOS PARA LA REACTIVACIÓN ECONÓMICA EN MUNICIPIOS" EJERCICIO FISCAL 2022.</v>
      </c>
      <c r="N674" s="328"/>
      <c r="O674" s="69">
        <f>OBRA!Q680</f>
        <v>45118</v>
      </c>
      <c r="P674" s="85">
        <f>OBRA!P680</f>
        <v>96447.573600000003</v>
      </c>
      <c r="Q674" s="85" t="s">
        <v>68</v>
      </c>
      <c r="R674" s="255">
        <f>OBRA!R680</f>
        <v>45120</v>
      </c>
      <c r="S674" s="245">
        <f>OBRA!S680</f>
        <v>45129</v>
      </c>
      <c r="T674" s="1609" t="s">
        <v>5755</v>
      </c>
      <c r="U674" s="216"/>
      <c r="V674" s="344"/>
      <c r="W674" s="245"/>
      <c r="X674" s="601">
        <f>OBRA!AP676</f>
        <v>0</v>
      </c>
      <c r="Y674" s="344"/>
      <c r="Z674" s="344"/>
      <c r="AA674" s="255"/>
      <c r="AB674" s="1057">
        <f>OBRA!BT676</f>
        <v>0</v>
      </c>
      <c r="AC674" s="569"/>
      <c r="AE674"/>
      <c r="AF674"/>
      <c r="AG674"/>
      <c r="AH674"/>
      <c r="AI674"/>
      <c r="AJ674"/>
      <c r="AK674"/>
      <c r="AL674"/>
    </row>
    <row r="675" spans="1:38" ht="114.75" customHeight="1">
      <c r="A675" s="335" t="s">
        <v>2239</v>
      </c>
      <c r="B675" s="1056">
        <f>GRAL!B863</f>
        <v>0</v>
      </c>
      <c r="C675" s="327">
        <f>OBRA!I677</f>
        <v>2023</v>
      </c>
      <c r="D675" s="532" t="str">
        <f>OBRA!K677</f>
        <v>CUENTA CORRIENTE</v>
      </c>
      <c r="E675" s="695"/>
      <c r="F675" s="1541"/>
      <c r="G675" s="71"/>
      <c r="H675" s="1541"/>
      <c r="I675" s="339" t="str">
        <f>OBRA!U677</f>
        <v xml:space="preserve">CICLOS GIP SC </v>
      </c>
      <c r="J675" s="172" t="str">
        <f>OBRA!V677</f>
        <v>ARQ. FRANCISCO SALAZAR</v>
      </c>
      <c r="K675" s="180" t="str">
        <f>OBRA!L677</f>
        <v>C.P.S.P. DOP 017/2023</v>
      </c>
      <c r="L675" s="202" t="str">
        <f>OBRA!M677</f>
        <v>SERVICIOS</v>
      </c>
      <c r="M675" s="328" t="str">
        <f>OBRA!N677</f>
        <v>CONTRATACIÓN PARA LA REALIZACIÓN DE: ESTUDIOS DE EVALUACIÓN GEOLÓGICA-GEOHIDROLÓGICA REFORZADA CON INVESTIGACIÓNES GEOFÍSICAS-ELECTROMAGNÉTICAS REALIZADAS EN EL PROYECTO PARA EL POZO LOS ARCOS, EN LA CABECERA MUNICIPAL DE JOCOTEPEC, JALISCO.</v>
      </c>
      <c r="N675" s="328"/>
      <c r="O675" s="69">
        <f>OBRA!Q677</f>
        <v>45065</v>
      </c>
      <c r="P675" s="85">
        <f>OBRA!P677</f>
        <v>23200</v>
      </c>
      <c r="Q675" s="85" t="s">
        <v>68</v>
      </c>
      <c r="R675" s="255">
        <f>OBRA!R677</f>
        <v>45068</v>
      </c>
      <c r="S675" s="245">
        <f>OBRA!S677</f>
        <v>45070</v>
      </c>
      <c r="T675" s="1609" t="s">
        <v>5755</v>
      </c>
      <c r="U675" s="216"/>
      <c r="V675" s="344"/>
      <c r="W675" s="245"/>
      <c r="X675" s="601">
        <f>OBRA!AP677</f>
        <v>0</v>
      </c>
      <c r="Y675" s="344"/>
      <c r="Z675" s="344"/>
      <c r="AA675" s="255"/>
      <c r="AB675" s="1057">
        <f>OBRA!BT677</f>
        <v>0</v>
      </c>
      <c r="AC675" s="569"/>
      <c r="AE675"/>
      <c r="AF675"/>
      <c r="AG675"/>
      <c r="AH675"/>
      <c r="AI675"/>
      <c r="AJ675"/>
      <c r="AK675"/>
      <c r="AL675"/>
    </row>
    <row r="676" spans="1:38" ht="116.25" customHeight="1">
      <c r="A676" s="335" t="s">
        <v>2239</v>
      </c>
      <c r="B676" s="1056">
        <f>GRAL!B864</f>
        <v>0</v>
      </c>
      <c r="C676" s="327">
        <f>OBRA!I678</f>
        <v>2023</v>
      </c>
      <c r="D676" s="532" t="str">
        <f>OBRA!K678</f>
        <v>CUENTA CORRIENTE</v>
      </c>
      <c r="E676" s="695"/>
      <c r="F676" s="1541"/>
      <c r="G676" s="71"/>
      <c r="H676" s="1541"/>
      <c r="I676" s="339" t="str">
        <f>OBRA!U678</f>
        <v xml:space="preserve">CICLOS GIP SC </v>
      </c>
      <c r="J676" s="172" t="str">
        <f>OBRA!V678</f>
        <v>ARQ. FRANCISCO SALAZAR</v>
      </c>
      <c r="K676" s="180" t="str">
        <f>OBRA!L678</f>
        <v>C.P.S.P. DOP 018/2023</v>
      </c>
      <c r="L676" s="202" t="str">
        <f>OBRA!M678</f>
        <v>SERVICIOS</v>
      </c>
      <c r="M676" s="328" t="str">
        <f>OBRA!N678</f>
        <v>CONTRATACIÓN PARA LA REALIZACIÓN DE: ESTUDIOS DE EVALUACIÓN GEOLÓGICA-GEOHIDROLÓGICA REFORZADA CON INVESTIGACIÓNES GEOFÍSICAS-ELECTROMAGNÉTICAS REALIZADAS EN EL PROYECTO PARA EL POZO CAMICHINES, EN LA CABECERA MUNICIPAL DE JOCOTEPEC, JALISCO.</v>
      </c>
      <c r="N676" s="328"/>
      <c r="O676" s="69">
        <f>OBRA!Q678</f>
        <v>45069</v>
      </c>
      <c r="P676" s="85">
        <f>OBRA!P678</f>
        <v>23200</v>
      </c>
      <c r="Q676" s="85" t="s">
        <v>68</v>
      </c>
      <c r="R676" s="255">
        <f>OBRA!R678</f>
        <v>45071</v>
      </c>
      <c r="S676" s="245">
        <f>OBRA!S678</f>
        <v>45072</v>
      </c>
      <c r="T676" s="1609" t="s">
        <v>5755</v>
      </c>
      <c r="U676" s="216"/>
      <c r="V676" s="344"/>
      <c r="W676" s="245"/>
      <c r="X676" s="601">
        <f>OBRA!AP678</f>
        <v>0</v>
      </c>
      <c r="Y676" s="344"/>
      <c r="Z676" s="344"/>
      <c r="AA676" s="255"/>
      <c r="AB676" s="1057">
        <f>OBRA!BT678</f>
        <v>0</v>
      </c>
      <c r="AC676" s="569"/>
      <c r="AE676"/>
      <c r="AF676"/>
      <c r="AG676"/>
      <c r="AH676"/>
      <c r="AI676"/>
      <c r="AJ676"/>
      <c r="AK676"/>
      <c r="AL676"/>
    </row>
    <row r="677" spans="1:38" ht="58.5" customHeight="1">
      <c r="A677" s="335" t="s">
        <v>2239</v>
      </c>
      <c r="B677" s="1056">
        <f>GRAL!B865</f>
        <v>0</v>
      </c>
      <c r="C677" s="327">
        <f>OBRA!I679</f>
        <v>2023</v>
      </c>
      <c r="D677" s="532" t="str">
        <f>OBRA!K679</f>
        <v>CUENTA CORRIENTE</v>
      </c>
      <c r="E677" s="695"/>
      <c r="F677" s="1541"/>
      <c r="G677" s="71"/>
      <c r="H677" s="1541"/>
      <c r="I677" s="339" t="str">
        <f>OBRA!U679</f>
        <v>ING. LUIS JOEL HUERTA LOMA</v>
      </c>
      <c r="J677" s="172" t="str">
        <f>OBRA!V679</f>
        <v>ARQ. FRANCISCO SALAZAR</v>
      </c>
      <c r="K677" s="180" t="str">
        <f>OBRA!L679</f>
        <v>C.P.S.P. DOP 019/2023</v>
      </c>
      <c r="L677" s="202" t="str">
        <f>OBRA!M679</f>
        <v>SERVICIOS</v>
      </c>
      <c r="M677" s="328" t="str">
        <f>OBRA!N679</f>
        <v>CONTRATACIÓN PARA LA REALIZACIÓN DEL SIGUIENTE LEVANTAMIENTO TOPOGRAFICO: PARA EL PROYECTO EJECUTIVO DEL COLECTOR DE LA CABECERA MUNICIPAL DE JOCOTEPEC, JALISCO.</v>
      </c>
      <c r="N677" s="328"/>
      <c r="O677" s="69">
        <f>OBRA!Q679</f>
        <v>45099</v>
      </c>
      <c r="P677" s="85">
        <f>OBRA!P679</f>
        <v>5999.9955999999993</v>
      </c>
      <c r="Q677" s="85" t="s">
        <v>68</v>
      </c>
      <c r="R677" s="255">
        <f>OBRA!R679</f>
        <v>45099</v>
      </c>
      <c r="S677" s="245">
        <f>OBRA!S679</f>
        <v>45103</v>
      </c>
      <c r="T677" s="1609" t="s">
        <v>5755</v>
      </c>
      <c r="U677" s="216"/>
      <c r="V677" s="344"/>
      <c r="W677" s="245"/>
      <c r="X677" s="601">
        <f>OBRA!AP679</f>
        <v>0</v>
      </c>
      <c r="Y677" s="344"/>
      <c r="Z677" s="344"/>
      <c r="AA677" s="255"/>
      <c r="AB677" s="1057">
        <f>OBRA!BT679</f>
        <v>0</v>
      </c>
      <c r="AC677" s="569"/>
      <c r="AE677"/>
      <c r="AF677"/>
      <c r="AG677"/>
      <c r="AH677"/>
      <c r="AI677"/>
      <c r="AJ677"/>
      <c r="AK677"/>
      <c r="AL677"/>
    </row>
    <row r="678" spans="1:38" ht="76.5" customHeight="1">
      <c r="A678" s="335" t="s">
        <v>2239</v>
      </c>
      <c r="B678" s="1056">
        <f>GRAL!B866</f>
        <v>0</v>
      </c>
      <c r="C678" s="327">
        <f>OBRA!I680</f>
        <v>2023</v>
      </c>
      <c r="D678" s="532" t="str">
        <f>OBRA!K680</f>
        <v>CUENTA CORRIENTE</v>
      </c>
      <c r="E678" s="695"/>
      <c r="F678" s="1541"/>
      <c r="G678" s="71"/>
      <c r="H678" s="1541"/>
      <c r="I678" s="339" t="str">
        <f>OBRA!U680</f>
        <v>ING. LUIS JOEL HUERTA LOMA</v>
      </c>
      <c r="J678" s="172" t="str">
        <f>OBRA!V680</f>
        <v>ARQ. FRANCISCO SALAZAR</v>
      </c>
      <c r="K678" s="180" t="str">
        <f>OBRA!L680</f>
        <v>C.P.S.P. DOP 020/2023</v>
      </c>
      <c r="L678" s="202" t="str">
        <f>OBRA!M680</f>
        <v>SERVICIOS</v>
      </c>
      <c r="M678" s="328" t="str">
        <f>OBRA!N680</f>
        <v>CONTRATACIÓN PARA LA REALIZACIÓN DE LOS SIGUIENTES LEVANTAMIENTOS TOPOGRAFICOS: DE LAS OBRAS DEL PROGRAMA "EMPEDRADOS PARA LA REACTIVACIÓN ECONÓMICA EN MUNICIPIOS" EJERCICIO FISCAL 2022.</v>
      </c>
      <c r="N678" s="328"/>
      <c r="O678" s="69">
        <f>OBRA!Q680</f>
        <v>45118</v>
      </c>
      <c r="P678" s="85">
        <f>OBRA!P680</f>
        <v>96447.573600000003</v>
      </c>
      <c r="Q678" s="85" t="s">
        <v>68</v>
      </c>
      <c r="R678" s="255">
        <f>OBRA!R680</f>
        <v>45120</v>
      </c>
      <c r="S678" s="245">
        <f>OBRA!S680</f>
        <v>45129</v>
      </c>
      <c r="T678" s="1609" t="s">
        <v>5755</v>
      </c>
      <c r="U678" s="216"/>
      <c r="V678" s="344"/>
      <c r="W678" s="245"/>
      <c r="X678" s="601">
        <f>OBRA!AP680</f>
        <v>0</v>
      </c>
      <c r="Y678" s="344"/>
      <c r="Z678" s="344"/>
      <c r="AA678" s="255"/>
      <c r="AB678" s="1057">
        <f>OBRA!BT680</f>
        <v>0</v>
      </c>
      <c r="AC678" s="569"/>
      <c r="AE678"/>
      <c r="AF678"/>
      <c r="AG678"/>
      <c r="AH678"/>
      <c r="AI678"/>
      <c r="AJ678"/>
      <c r="AK678"/>
      <c r="AL678"/>
    </row>
    <row r="679" spans="1:38" ht="191.25" customHeight="1">
      <c r="A679" s="335" t="s">
        <v>2239</v>
      </c>
      <c r="B679" s="1056">
        <f>GRAL!B867</f>
        <v>0</v>
      </c>
      <c r="C679" s="327">
        <f>OBRA!I681</f>
        <v>2023</v>
      </c>
      <c r="D679" s="532" t="str">
        <f>OBRA!K681</f>
        <v>CUENTA CORRIENTE</v>
      </c>
      <c r="E679" s="695"/>
      <c r="F679" s="1541"/>
      <c r="G679" s="71"/>
      <c r="H679" s="1541"/>
      <c r="I679" s="339" t="str">
        <f>OBRA!U681</f>
        <v>SOLEC ENERGY, S.A. DE C.V.</v>
      </c>
      <c r="J679" s="172" t="str">
        <f>OBRA!V681</f>
        <v>ARQ. FRANCISCO SALAZAR</v>
      </c>
      <c r="K679" s="180" t="str">
        <f>OBRA!L681</f>
        <v>C.P.S.P. DOP 021/2023</v>
      </c>
      <c r="L679" s="202" t="str">
        <f>OBRA!M681</f>
        <v>SERVICIOS</v>
      </c>
      <c r="M679" s="328"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28"/>
      <c r="O679" s="69">
        <f>OBRA!Q681</f>
        <v>45131</v>
      </c>
      <c r="P679" s="85">
        <f>OBRA!P681</f>
        <v>17400</v>
      </c>
      <c r="Q679" s="85" t="s">
        <v>68</v>
      </c>
      <c r="R679" s="255">
        <f>OBRA!R681</f>
        <v>45138</v>
      </c>
      <c r="S679" s="245">
        <f>OBRA!S681</f>
        <v>45187</v>
      </c>
      <c r="T679" s="1609" t="s">
        <v>5755</v>
      </c>
      <c r="U679" s="216"/>
      <c r="V679" s="344"/>
      <c r="W679" s="245"/>
      <c r="X679" s="601">
        <f>OBRA!AP681</f>
        <v>0</v>
      </c>
      <c r="Y679" s="344"/>
      <c r="Z679" s="344"/>
      <c r="AA679" s="255"/>
      <c r="AB679" s="1057">
        <f>OBRA!BT681</f>
        <v>0</v>
      </c>
      <c r="AC679" s="569"/>
      <c r="AE679"/>
      <c r="AF679"/>
      <c r="AG679"/>
      <c r="AH679"/>
      <c r="AI679"/>
      <c r="AJ679"/>
      <c r="AK679"/>
      <c r="AL679"/>
    </row>
    <row r="680" spans="1:38" ht="81.75" customHeight="1">
      <c r="A680" s="335" t="s">
        <v>2239</v>
      </c>
      <c r="B680" s="1056">
        <f>GRAL!B868</f>
        <v>0</v>
      </c>
      <c r="C680" s="327">
        <f>OBRA!I682</f>
        <v>2023</v>
      </c>
      <c r="D680" s="532" t="str">
        <f>OBRA!K682</f>
        <v>CUENTA CORRIENTE</v>
      </c>
      <c r="E680" s="695"/>
      <c r="F680" s="1541"/>
      <c r="G680" s="71"/>
      <c r="H680" s="1541"/>
      <c r="I680" s="339" t="str">
        <f>OBRA!U682</f>
        <v>SOLEC ENERGY, S.A. DE C.V.</v>
      </c>
      <c r="J680" s="172" t="str">
        <f>OBRA!V682</f>
        <v>ARQ. FRANCISCO SALAZAR</v>
      </c>
      <c r="K680" s="180" t="str">
        <f>OBRA!L682</f>
        <v>C.P.S.P. DOP 022/2023</v>
      </c>
      <c r="L680" s="202" t="str">
        <f>OBRA!M682</f>
        <v>SERVICIOS</v>
      </c>
      <c r="M680" s="328" t="str">
        <f>OBRA!N682</f>
        <v>CONTRATACIÓN DE SERVICIOS PROFESIONALES PARA: REHABILITACIÓN DE ACOMETIDAS Y REACOMODO DE LA BAJA TENSIÓN EN CALLE PLAYAS DEL SOL EN LA LOCALIDAD DE CHANTEPEC, DEL MUNICIPIO DE JOCOTEPEC, JALISCO.</v>
      </c>
      <c r="N680" s="328"/>
      <c r="O680" s="69">
        <f>OBRA!Q682</f>
        <v>45133</v>
      </c>
      <c r="P680" s="85">
        <f>OBRA!P682</f>
        <v>73689.208799999993</v>
      </c>
      <c r="Q680" s="85" t="s">
        <v>68</v>
      </c>
      <c r="R680" s="255">
        <f>OBRA!R682</f>
        <v>45141</v>
      </c>
      <c r="S680" s="245">
        <f>OBRA!S682</f>
        <v>45155</v>
      </c>
      <c r="T680" s="1609" t="s">
        <v>5755</v>
      </c>
      <c r="U680" s="216"/>
      <c r="V680" s="344"/>
      <c r="W680" s="245"/>
      <c r="X680" s="601">
        <f>OBRA!AP682</f>
        <v>0</v>
      </c>
      <c r="Y680" s="344"/>
      <c r="Z680" s="344"/>
      <c r="AA680" s="255"/>
      <c r="AB680" s="1057">
        <f>OBRA!BT682</f>
        <v>0</v>
      </c>
      <c r="AC680" s="569"/>
      <c r="AE680"/>
      <c r="AF680"/>
      <c r="AG680"/>
      <c r="AH680"/>
      <c r="AI680"/>
      <c r="AJ680"/>
      <c r="AK680"/>
      <c r="AL680"/>
    </row>
    <row r="681" spans="1:38" ht="93" customHeight="1">
      <c r="A681" s="335" t="s">
        <v>2239</v>
      </c>
      <c r="B681" s="1056">
        <f>GRAL!B869</f>
        <v>0</v>
      </c>
      <c r="C681" s="327">
        <f>OBRA!I683</f>
        <v>2023</v>
      </c>
      <c r="D681" s="532" t="str">
        <f>OBRA!K683</f>
        <v>CUENTA CORRIENTE</v>
      </c>
      <c r="E681" s="695"/>
      <c r="F681" s="1541"/>
      <c r="G681" s="71"/>
      <c r="H681" s="1541"/>
      <c r="I681" s="339" t="str">
        <f>OBRA!U683</f>
        <v>SOLEC ENERGY, S.A. DE C.V.</v>
      </c>
      <c r="J681" s="172" t="str">
        <f>OBRA!V683</f>
        <v>ARQ. FRANCISCO SALAZAR</v>
      </c>
      <c r="K681" s="180" t="str">
        <f>OBRA!L683</f>
        <v>C.P.S.P. DOP 023/2023</v>
      </c>
      <c r="L681" s="202" t="str">
        <f>OBRA!M683</f>
        <v>SERVICIOS</v>
      </c>
      <c r="M681" s="328" t="str">
        <f>OBRA!N683</f>
        <v>CONTRATACIÓN DE SERVICIOS PROFESIONALES PARA LA: ADECUACIONES COMPLEMENTARIAS PARA EL BUEN FUNCIONAMIENTO EN EL SERVICIO DE ENERGÍA ELÉCTRICA EN LA CICLOVÍA EN EL TRAMO DE SAN JUAN COSALÁ A NEXTIPAC, DEL MUNICIPIO DE JOCOTEPEC, JALISCO.</v>
      </c>
      <c r="N681" s="328"/>
      <c r="O681" s="69">
        <f>OBRA!Q683</f>
        <v>45148</v>
      </c>
      <c r="P681" s="85">
        <f>OBRA!P683</f>
        <v>161863.23319999999</v>
      </c>
      <c r="Q681" s="85" t="s">
        <v>68</v>
      </c>
      <c r="R681" s="255">
        <f>OBRA!R683</f>
        <v>45152</v>
      </c>
      <c r="S681" s="245">
        <f>OBRA!S683</f>
        <v>45163</v>
      </c>
      <c r="T681" s="1609" t="s">
        <v>5755</v>
      </c>
      <c r="U681" s="216"/>
      <c r="V681" s="344"/>
      <c r="W681" s="245"/>
      <c r="X681" s="601">
        <f>OBRA!AP683</f>
        <v>0</v>
      </c>
      <c r="Y681" s="344"/>
      <c r="Z681" s="344"/>
      <c r="AA681" s="255"/>
      <c r="AB681" s="1057">
        <f>OBRA!BT683</f>
        <v>0</v>
      </c>
      <c r="AC681" s="569"/>
      <c r="AE681"/>
      <c r="AF681"/>
      <c r="AG681"/>
      <c r="AH681"/>
      <c r="AI681"/>
      <c r="AJ681"/>
      <c r="AK681"/>
      <c r="AL681"/>
    </row>
    <row r="682" spans="1:38" ht="128.25" customHeight="1">
      <c r="A682" s="335" t="s">
        <v>2239</v>
      </c>
      <c r="B682" s="1056">
        <f>GRAL!B870</f>
        <v>0</v>
      </c>
      <c r="C682" s="327">
        <f>OBRA!I684</f>
        <v>2023</v>
      </c>
      <c r="D682" s="532" t="str">
        <f>OBRA!K684</f>
        <v>CUENTA CORRIENTE</v>
      </c>
      <c r="E682" s="695"/>
      <c r="F682" s="1541"/>
      <c r="G682" s="71"/>
      <c r="H682" s="1541"/>
      <c r="I682" s="339" t="str">
        <f>OBRA!U684</f>
        <v>ING. LUIS JOEL HUERTA LOMA</v>
      </c>
      <c r="J682" s="172" t="str">
        <f>OBRA!V684</f>
        <v>ARQ. FRANCISCO SALAZAR</v>
      </c>
      <c r="K682" s="180" t="str">
        <f>OBRA!L684</f>
        <v>C.P.S.P. DOP 024/2023</v>
      </c>
      <c r="L682" s="202" t="str">
        <f>OBRA!M684</f>
        <v>SERVICIOS</v>
      </c>
      <c r="M682" s="328"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28"/>
      <c r="O682" s="69">
        <f>OBRA!Q684</f>
        <v>45140</v>
      </c>
      <c r="P682" s="85">
        <f>OBRA!P684</f>
        <v>34800</v>
      </c>
      <c r="Q682" s="85" t="s">
        <v>68</v>
      </c>
      <c r="R682" s="255">
        <f>OBRA!R684</f>
        <v>45141</v>
      </c>
      <c r="S682" s="245">
        <f>OBRA!S684</f>
        <v>45143</v>
      </c>
      <c r="T682" s="1609" t="s">
        <v>5755</v>
      </c>
      <c r="U682" s="216"/>
      <c r="V682" s="344"/>
      <c r="W682" s="245"/>
      <c r="X682" s="601">
        <f>OBRA!AP684</f>
        <v>0</v>
      </c>
      <c r="Y682" s="344"/>
      <c r="Z682" s="344"/>
      <c r="AA682" s="255"/>
      <c r="AB682" s="1057">
        <f>OBRA!BT684</f>
        <v>0</v>
      </c>
      <c r="AC682" s="569"/>
      <c r="AE682"/>
      <c r="AF682"/>
      <c r="AG682"/>
      <c r="AH682"/>
      <c r="AI682"/>
      <c r="AJ682"/>
      <c r="AK682"/>
      <c r="AL682"/>
    </row>
    <row r="683" spans="1:38" ht="138" customHeight="1">
      <c r="A683" s="335" t="s">
        <v>2239</v>
      </c>
      <c r="B683" s="1056">
        <f>GRAL!B871</f>
        <v>0</v>
      </c>
      <c r="C683" s="327">
        <f>OBRA!I685</f>
        <v>2023</v>
      </c>
      <c r="D683" s="532" t="str">
        <f>OBRA!K685</f>
        <v>CUENTA CORRIENTE</v>
      </c>
      <c r="E683" s="695"/>
      <c r="F683" s="1541"/>
      <c r="G683" s="71"/>
      <c r="H683" s="1541"/>
      <c r="I683" s="339" t="str">
        <f>OBRA!U685</f>
        <v>ING. LUIS JOEL HUERTA LOMA</v>
      </c>
      <c r="J683" s="172" t="str">
        <f>OBRA!V685</f>
        <v>ARQ. FRANCISCO SALAZAR</v>
      </c>
      <c r="K683" s="180" t="str">
        <f>OBRA!L685</f>
        <v>C.P.S.P. DOP 025/2023</v>
      </c>
      <c r="L683" s="202" t="str">
        <f>OBRA!M685</f>
        <v>SERVICIOS</v>
      </c>
      <c r="M683" s="328"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28"/>
      <c r="O683" s="69">
        <f>OBRA!Q685</f>
        <v>45140</v>
      </c>
      <c r="P683" s="85">
        <f>OBRA!P685</f>
        <v>54531.6</v>
      </c>
      <c r="Q683" s="85" t="s">
        <v>68</v>
      </c>
      <c r="R683" s="255">
        <f>OBRA!R685</f>
        <v>45152</v>
      </c>
      <c r="S683" s="245">
        <f>OBRA!S685</f>
        <v>45155</v>
      </c>
      <c r="T683" s="1609" t="s">
        <v>5755</v>
      </c>
      <c r="U683" s="216"/>
      <c r="V683" s="344"/>
      <c r="W683" s="245"/>
      <c r="X683" s="601">
        <f>OBRA!AP685</f>
        <v>0</v>
      </c>
      <c r="Y683" s="344"/>
      <c r="Z683" s="344"/>
      <c r="AA683" s="255"/>
      <c r="AB683" s="1057">
        <f>OBRA!BT685</f>
        <v>0</v>
      </c>
      <c r="AC683" s="569"/>
      <c r="AE683"/>
      <c r="AF683"/>
      <c r="AG683"/>
      <c r="AH683"/>
      <c r="AI683"/>
      <c r="AJ683"/>
      <c r="AK683"/>
      <c r="AL683"/>
    </row>
    <row r="684" spans="1:38" ht="124.5" customHeight="1">
      <c r="A684" s="335" t="s">
        <v>2239</v>
      </c>
      <c r="B684" s="1056">
        <f>GRAL!B872</f>
        <v>0</v>
      </c>
      <c r="C684" s="327">
        <f>OBRA!I686</f>
        <v>2023</v>
      </c>
      <c r="D684" s="532" t="str">
        <f>OBRA!K686</f>
        <v>CUENTA CORRIENTE</v>
      </c>
      <c r="E684" s="695"/>
      <c r="F684" s="1541"/>
      <c r="G684" s="71"/>
      <c r="H684" s="1541"/>
      <c r="I684" s="339" t="str">
        <f>OBRA!U686</f>
        <v>ING. LUIS JOEL HUERTA LOMA</v>
      </c>
      <c r="J684" s="172" t="str">
        <f>OBRA!V686</f>
        <v>ARQ. FRANCISCO SALAZAR</v>
      </c>
      <c r="K684" s="180" t="str">
        <f>OBRA!L686</f>
        <v>C.P.S.P. DOP 026/2023</v>
      </c>
      <c r="L684" s="202" t="str">
        <f>OBRA!M686</f>
        <v>SERVICIOS</v>
      </c>
      <c r="M684" s="328"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28"/>
      <c r="O684" s="69">
        <f>OBRA!Q686</f>
        <v>45140</v>
      </c>
      <c r="P684" s="85">
        <f>OBRA!P686</f>
        <v>34800</v>
      </c>
      <c r="Q684" s="85" t="s">
        <v>68</v>
      </c>
      <c r="R684" s="255">
        <f>OBRA!R686</f>
        <v>45144</v>
      </c>
      <c r="S684" s="245">
        <f>OBRA!S686</f>
        <v>45146</v>
      </c>
      <c r="T684" s="1609" t="s">
        <v>5755</v>
      </c>
      <c r="U684" s="216"/>
      <c r="V684" s="344"/>
      <c r="W684" s="245"/>
      <c r="X684" s="601">
        <f>OBRA!AP686</f>
        <v>0</v>
      </c>
      <c r="Y684" s="344"/>
      <c r="Z684" s="344"/>
      <c r="AA684" s="255"/>
      <c r="AB684" s="1057">
        <f>OBRA!BT686</f>
        <v>0</v>
      </c>
      <c r="AC684" s="569"/>
      <c r="AE684"/>
      <c r="AF684"/>
      <c r="AG684"/>
      <c r="AH684"/>
      <c r="AI684"/>
      <c r="AJ684"/>
      <c r="AK684"/>
      <c r="AL684"/>
    </row>
    <row r="685" spans="1:38" ht="15" hidden="1" customHeight="1">
      <c r="A685" s="335" t="s">
        <v>2239</v>
      </c>
      <c r="B685" s="1056">
        <f>GRAL!B873</f>
        <v>0</v>
      </c>
      <c r="C685" s="327">
        <f>OBRA!I687</f>
        <v>2023</v>
      </c>
      <c r="D685" s="532" t="str">
        <f>OBRA!K687</f>
        <v>CUENTA CORRIENTE</v>
      </c>
      <c r="E685" s="695"/>
      <c r="F685" s="1541"/>
      <c r="G685" s="71"/>
      <c r="H685" s="1541"/>
      <c r="I685" s="339">
        <f>OBRA!U687</f>
        <v>0</v>
      </c>
      <c r="J685" s="172">
        <f>OBRA!V687</f>
        <v>0</v>
      </c>
      <c r="K685" s="180" t="str">
        <f>OBRA!L687</f>
        <v>C.P.S.P. DOP 027/2023</v>
      </c>
      <c r="L685" s="202" t="str">
        <f>OBRA!M687</f>
        <v>SERVICIOS</v>
      </c>
      <c r="M685" s="328" t="str">
        <f>OBRA!N687</f>
        <v>-</v>
      </c>
      <c r="N685" s="328"/>
      <c r="O685" s="69">
        <f>OBRA!Q687</f>
        <v>0</v>
      </c>
      <c r="P685" s="85">
        <f>OBRA!P687</f>
        <v>0</v>
      </c>
      <c r="Q685" s="85" t="s">
        <v>68</v>
      </c>
      <c r="R685" s="255">
        <f>OBRA!R687</f>
        <v>0</v>
      </c>
      <c r="S685" s="245">
        <f>OBRA!S687</f>
        <v>0</v>
      </c>
      <c r="T685" s="758"/>
      <c r="U685" s="216"/>
      <c r="V685" s="344"/>
      <c r="W685" s="245"/>
      <c r="X685" s="601">
        <f>OBRA!AP687</f>
        <v>0</v>
      </c>
      <c r="Y685" s="344"/>
      <c r="Z685" s="344"/>
      <c r="AA685" s="255"/>
      <c r="AB685" s="1057">
        <f>OBRA!BT687</f>
        <v>0</v>
      </c>
      <c r="AC685" s="569"/>
      <c r="AE685"/>
      <c r="AF685"/>
      <c r="AG685"/>
      <c r="AH685"/>
      <c r="AI685"/>
      <c r="AJ685"/>
      <c r="AK685"/>
      <c r="AL685"/>
    </row>
    <row r="686" spans="1:38" ht="15" hidden="1" customHeight="1">
      <c r="A686" s="335" t="s">
        <v>2239</v>
      </c>
      <c r="B686" s="1056">
        <f>GRAL!B874</f>
        <v>0</v>
      </c>
      <c r="C686" s="327">
        <f>OBRA!I688</f>
        <v>2023</v>
      </c>
      <c r="D686" s="532" t="str">
        <f>OBRA!K688</f>
        <v>CUENTA CORRIENTE</v>
      </c>
      <c r="E686" s="695"/>
      <c r="F686" s="1541"/>
      <c r="G686" s="71"/>
      <c r="H686" s="1541"/>
      <c r="I686" s="339">
        <f>OBRA!U688</f>
        <v>0</v>
      </c>
      <c r="J686" s="172">
        <f>OBRA!V688</f>
        <v>0</v>
      </c>
      <c r="K686" s="180" t="str">
        <f>OBRA!L688</f>
        <v>C.P.S.P. DOP 028/2023</v>
      </c>
      <c r="L686" s="202" t="str">
        <f>OBRA!M688</f>
        <v>SERVICIOS</v>
      </c>
      <c r="M686" s="328" t="str">
        <f>OBRA!N688</f>
        <v>-</v>
      </c>
      <c r="N686" s="328"/>
      <c r="O686" s="69">
        <f>OBRA!Q688</f>
        <v>0</v>
      </c>
      <c r="P686" s="85">
        <f>OBRA!P688</f>
        <v>0</v>
      </c>
      <c r="Q686" s="85" t="s">
        <v>68</v>
      </c>
      <c r="R686" s="255">
        <f>OBRA!R688</f>
        <v>0</v>
      </c>
      <c r="S686" s="245">
        <f>OBRA!S688</f>
        <v>0</v>
      </c>
      <c r="T686" s="758"/>
      <c r="U686" s="216"/>
      <c r="V686" s="344"/>
      <c r="W686" s="245"/>
      <c r="X686" s="601">
        <f>OBRA!AP688</f>
        <v>0</v>
      </c>
      <c r="Y686" s="344"/>
      <c r="Z686" s="344"/>
      <c r="AA686" s="255"/>
      <c r="AB686" s="1057">
        <f>OBRA!BT688</f>
        <v>0</v>
      </c>
      <c r="AC686" s="569"/>
      <c r="AE686"/>
      <c r="AF686"/>
      <c r="AG686"/>
      <c r="AH686"/>
      <c r="AI686"/>
      <c r="AJ686"/>
      <c r="AK686"/>
      <c r="AL686"/>
    </row>
    <row r="687" spans="1:38" ht="15" hidden="1" customHeight="1">
      <c r="A687" s="335" t="s">
        <v>2239</v>
      </c>
      <c r="B687" s="1056">
        <f>GRAL!B875</f>
        <v>0</v>
      </c>
      <c r="C687" s="327">
        <f>OBRA!I689</f>
        <v>2023</v>
      </c>
      <c r="D687" s="532" t="str">
        <f>OBRA!K689</f>
        <v>CUENTA CORRIENTE</v>
      </c>
      <c r="E687" s="695"/>
      <c r="F687" s="1541"/>
      <c r="G687" s="71"/>
      <c r="H687" s="1541"/>
      <c r="I687" s="339">
        <f>OBRA!U689</f>
        <v>0</v>
      </c>
      <c r="J687" s="172">
        <f>OBRA!V689</f>
        <v>0</v>
      </c>
      <c r="K687" s="180" t="str">
        <f>OBRA!L689</f>
        <v>C.P.S.P. DOP 029/2023</v>
      </c>
      <c r="L687" s="202" t="str">
        <f>OBRA!M689</f>
        <v>SERVICIOS</v>
      </c>
      <c r="M687" s="328" t="str">
        <f>OBRA!N689</f>
        <v>-</v>
      </c>
      <c r="N687" s="328"/>
      <c r="O687" s="69">
        <f>OBRA!Q689</f>
        <v>0</v>
      </c>
      <c r="P687" s="85">
        <f>OBRA!P689</f>
        <v>0</v>
      </c>
      <c r="Q687" s="85" t="s">
        <v>68</v>
      </c>
      <c r="R687" s="255">
        <f>OBRA!R689</f>
        <v>0</v>
      </c>
      <c r="S687" s="245">
        <f>OBRA!S689</f>
        <v>0</v>
      </c>
      <c r="T687" s="758"/>
      <c r="U687" s="216"/>
      <c r="V687" s="344"/>
      <c r="W687" s="245"/>
      <c r="X687" s="601">
        <f>OBRA!AP689</f>
        <v>0</v>
      </c>
      <c r="Y687" s="344"/>
      <c r="Z687" s="344"/>
      <c r="AA687" s="255"/>
      <c r="AB687" s="1057">
        <f>OBRA!BT689</f>
        <v>0</v>
      </c>
      <c r="AC687" s="569"/>
      <c r="AE687"/>
      <c r="AF687"/>
      <c r="AG687"/>
      <c r="AH687"/>
      <c r="AI687"/>
      <c r="AJ687"/>
      <c r="AK687"/>
      <c r="AL687"/>
    </row>
    <row r="688" spans="1:38" ht="15" hidden="1" customHeight="1">
      <c r="A688" s="335" t="s">
        <v>2239</v>
      </c>
      <c r="B688" s="1056">
        <f>GRAL!B876</f>
        <v>0</v>
      </c>
      <c r="C688" s="327">
        <f>OBRA!I690</f>
        <v>2023</v>
      </c>
      <c r="D688" s="532" t="str">
        <f>OBRA!K690</f>
        <v>CUENTA CORRIENTE</v>
      </c>
      <c r="E688" s="695"/>
      <c r="F688" s="1541"/>
      <c r="G688" s="71"/>
      <c r="H688" s="1541"/>
      <c r="I688" s="339">
        <f>OBRA!U690</f>
        <v>0</v>
      </c>
      <c r="J688" s="172">
        <f>OBRA!V690</f>
        <v>0</v>
      </c>
      <c r="K688" s="180" t="str">
        <f>OBRA!L690</f>
        <v>C.P.S.P. DOP 030/2023</v>
      </c>
      <c r="L688" s="202" t="str">
        <f>OBRA!M690</f>
        <v>SERVICIOS</v>
      </c>
      <c r="M688" s="328" t="str">
        <f>OBRA!N690</f>
        <v>-</v>
      </c>
      <c r="N688" s="328"/>
      <c r="O688" s="69">
        <f>OBRA!Q690</f>
        <v>0</v>
      </c>
      <c r="P688" s="85">
        <f>OBRA!P690</f>
        <v>0</v>
      </c>
      <c r="Q688" s="85" t="s">
        <v>68</v>
      </c>
      <c r="R688" s="255">
        <f>OBRA!R690</f>
        <v>0</v>
      </c>
      <c r="S688" s="245">
        <f>OBRA!S690</f>
        <v>0</v>
      </c>
      <c r="T688" s="758"/>
      <c r="U688" s="216"/>
      <c r="V688" s="344"/>
      <c r="W688" s="245"/>
      <c r="X688" s="601">
        <f>OBRA!AP690</f>
        <v>0</v>
      </c>
      <c r="Y688" s="344"/>
      <c r="Z688" s="344"/>
      <c r="AA688" s="255"/>
      <c r="AB688" s="1057">
        <f>OBRA!BT690</f>
        <v>0</v>
      </c>
      <c r="AC688" s="569"/>
      <c r="AE688"/>
      <c r="AF688"/>
      <c r="AG688"/>
      <c r="AH688"/>
      <c r="AI688"/>
      <c r="AJ688"/>
      <c r="AK688"/>
      <c r="AL688"/>
    </row>
    <row r="689" spans="1:38" ht="91.5" customHeight="1">
      <c r="A689" s="335" t="s">
        <v>2239</v>
      </c>
      <c r="B689" s="1056">
        <f>GRAL!B857</f>
        <v>0</v>
      </c>
      <c r="C689" s="327">
        <f>OBRA!I691</f>
        <v>2023</v>
      </c>
      <c r="D689" s="532" t="str">
        <f>OBRA!K691</f>
        <v>CUENTA CORRIENTE</v>
      </c>
      <c r="E689" s="695" t="s">
        <v>1431</v>
      </c>
      <c r="F689" s="1541"/>
      <c r="G689" s="71"/>
      <c r="H689" s="1541"/>
      <c r="I689" s="339" t="str">
        <f>OBRA!U691</f>
        <v>URBANIZADORA Y PAVIMENTADORA MONLE S.A. DE C.V.</v>
      </c>
      <c r="J689" s="172" t="str">
        <f>OBRA!V691</f>
        <v>C. DANIEL RODRIGUEZ VALENZUELA</v>
      </c>
      <c r="K689" s="180" t="str">
        <f>OBRA!L691</f>
        <v>C- OP 001/2023</v>
      </c>
      <c r="L689" s="202" t="str">
        <f>OBRA!M691</f>
        <v>ARRENDAMIENTO</v>
      </c>
      <c r="M689" s="328" t="str">
        <f>OBRA!N691</f>
        <v>RENTA DE UNA RETROEXCAVADORA JHON DEERE 310SJ 4X4, PARA SER UTILIZADAEN DIVERSOS MANTENIMIENTOS REQUERIDOS POR LA DIRECCIÓN DE OBRAS PÚBLICAS DEL GOBIERNO MUNICIPAL DE JOCOTEPEC, JALISCO.</v>
      </c>
      <c r="N689" s="554" t="s">
        <v>4942</v>
      </c>
      <c r="O689" s="69">
        <f>OBRA!Q691</f>
        <v>44928</v>
      </c>
      <c r="P689" s="85">
        <f>OBRA!P691</f>
        <v>56839.999999999993</v>
      </c>
      <c r="Q689" s="85" t="str">
        <f>GRAL!Q693</f>
        <v>MES</v>
      </c>
      <c r="R689" s="255">
        <f>OBRA!R691</f>
        <v>44928</v>
      </c>
      <c r="S689" s="245">
        <f>OBRA!S691</f>
        <v>44957</v>
      </c>
      <c r="T689" s="1897" t="s">
        <v>5756</v>
      </c>
      <c r="U689" s="216" t="s">
        <v>1431</v>
      </c>
      <c r="V689" s="344"/>
      <c r="W689" s="245"/>
      <c r="X689" s="601">
        <f>OBRA!AP691</f>
        <v>0</v>
      </c>
      <c r="Y689" s="344"/>
      <c r="Z689" s="344"/>
      <c r="AA689" s="255"/>
      <c r="AB689" s="1057">
        <f>OBRA!BT691</f>
        <v>0</v>
      </c>
      <c r="AC689" s="569"/>
      <c r="AE689"/>
      <c r="AF689"/>
      <c r="AG689"/>
      <c r="AH689"/>
      <c r="AI689"/>
      <c r="AJ689"/>
      <c r="AK689"/>
      <c r="AL689"/>
    </row>
    <row r="690" spans="1:38" ht="94.5" customHeight="1">
      <c r="A690" s="335" t="s">
        <v>2239</v>
      </c>
      <c r="B690" s="1056">
        <f>GRAL!B858</f>
        <v>0</v>
      </c>
      <c r="C690" s="327">
        <f>OBRA!I692</f>
        <v>2023</v>
      </c>
      <c r="D690" s="532" t="str">
        <f>OBRA!K692</f>
        <v>CUENTA CORRIENTE</v>
      </c>
      <c r="E690" s="695" t="s">
        <v>1431</v>
      </c>
      <c r="F690" s="1541"/>
      <c r="G690" s="71"/>
      <c r="H690" s="1541"/>
      <c r="I690" s="339" t="str">
        <f>OBRA!U692</f>
        <v>BACHMEIER S.A. DE C.V.</v>
      </c>
      <c r="J690" s="172" t="str">
        <f>OBRA!V692</f>
        <v>ING. LUIS RIGOBERTO OLMEDO NAVARRO</v>
      </c>
      <c r="K690" s="180" t="str">
        <f>OBRA!L692</f>
        <v>C- OP 001A/2023</v>
      </c>
      <c r="L690" s="202" t="str">
        <f>OBRA!M692</f>
        <v>ARRENDAMIENTO</v>
      </c>
      <c r="M690" s="328" t="str">
        <f>OBRA!N692</f>
        <v>RENTA DE UN CAMIÓN (VOLTEO 7 M3) DODGE, MODELO 1989 CON PLACAS JL-0889, PARA SER UTILIZADO EN LAS OBRAS: MANTENIMIENTOS VARIOS EN LAS AGENCIAS, DELEGACIONES Y CABECERA MUNICIPAL DEL MUNICIPIO DE JOCOTEPEC, JALISCO.</v>
      </c>
      <c r="N690" s="554" t="s">
        <v>4942</v>
      </c>
      <c r="O690" s="69">
        <f>OBRA!Q692</f>
        <v>44929</v>
      </c>
      <c r="P690" s="85">
        <f>OBRA!P692</f>
        <v>3248</v>
      </c>
      <c r="Q690" s="85" t="str">
        <f>GRAL!Q694</f>
        <v>DÍA</v>
      </c>
      <c r="R690" s="255">
        <f>OBRA!R692</f>
        <v>44929</v>
      </c>
      <c r="S690" s="245">
        <f>OBRA!S692</f>
        <v>44985</v>
      </c>
      <c r="T690" s="1897" t="s">
        <v>5756</v>
      </c>
      <c r="U690" s="216" t="s">
        <v>1431</v>
      </c>
      <c r="V690" s="344"/>
      <c r="W690" s="245"/>
      <c r="X690" s="601">
        <f>OBRA!AP692</f>
        <v>0</v>
      </c>
      <c r="Y690" s="344"/>
      <c r="Z690" s="344"/>
      <c r="AA690" s="255"/>
      <c r="AB690" s="1057">
        <f>OBRA!BT692</f>
        <v>0</v>
      </c>
      <c r="AC690" s="569"/>
      <c r="AE690"/>
      <c r="AF690"/>
      <c r="AG690"/>
      <c r="AH690"/>
      <c r="AI690"/>
      <c r="AJ690"/>
      <c r="AK690"/>
      <c r="AL690"/>
    </row>
    <row r="691" spans="1:38" ht="111.75" customHeight="1">
      <c r="A691" s="335" t="s">
        <v>2239</v>
      </c>
      <c r="B691" s="1056">
        <f>GRAL!B859</f>
        <v>0</v>
      </c>
      <c r="C691" s="327">
        <f>OBRA!I693</f>
        <v>2023</v>
      </c>
      <c r="D691" s="532" t="str">
        <f>OBRA!K693</f>
        <v>CUENTA CORRIENTE</v>
      </c>
      <c r="E691" s="695"/>
      <c r="F691" s="1541"/>
      <c r="G691" s="71"/>
      <c r="H691" s="1541"/>
      <c r="I691" s="339" t="str">
        <f>OBRA!U693</f>
        <v>ALSERCON SA DE CV</v>
      </c>
      <c r="J691" s="172" t="str">
        <f>OBRA!V693</f>
        <v>C. DANIEL RODRIGUEZ VALENZUELA</v>
      </c>
      <c r="K691" s="180" t="str">
        <f>OBRA!L693</f>
        <v>C- OP 002/2023</v>
      </c>
      <c r="L691" s="202" t="str">
        <f>OBRA!M693</f>
        <v>ARRENDAMIENTO</v>
      </c>
      <c r="M691" s="328" t="str">
        <f>OBRA!N693</f>
        <v>RENTA DE CAMIÓN TIPO PIPA MARCA DODGE RAM 6500 MOD. 1996 PLACAS JM57075, CON CAPACIDAD DE 10,000 LITROS PARA ACARREOS DE AGUA, PARA SER UTILIZADA EN CALLES DE ZONA NORTE DE LA CABECERA MUNICIPAL DE JOCOTEPEC, JALISCO, DELEGACIONES Y AGENCIAS DEL MUNICIPIO.</v>
      </c>
      <c r="N691" s="328"/>
      <c r="O691" s="69">
        <f>OBRA!Q693</f>
        <v>45005</v>
      </c>
      <c r="P691" s="85">
        <f>OBRA!P693</f>
        <v>28999.999999999996</v>
      </c>
      <c r="Q691" s="85" t="str">
        <f>GRAL!Q695</f>
        <v>MES</v>
      </c>
      <c r="R691" s="255">
        <f>OBRA!R693</f>
        <v>45007</v>
      </c>
      <c r="S691" s="245">
        <f>OBRA!S693</f>
        <v>45038</v>
      </c>
      <c r="T691" s="1897" t="s">
        <v>5756</v>
      </c>
      <c r="U691" s="216"/>
      <c r="V691" s="344"/>
      <c r="W691" s="245"/>
      <c r="X691" s="601">
        <f>OBRA!AP693</f>
        <v>0</v>
      </c>
      <c r="Y691" s="344"/>
      <c r="Z691" s="344"/>
      <c r="AA691" s="255"/>
      <c r="AB691" s="1057">
        <f>OBRA!BT693</f>
        <v>0</v>
      </c>
      <c r="AC691" s="569"/>
      <c r="AE691"/>
      <c r="AF691"/>
      <c r="AG691"/>
      <c r="AH691"/>
      <c r="AI691"/>
      <c r="AJ691"/>
      <c r="AK691"/>
      <c r="AL691"/>
    </row>
    <row r="692" spans="1:38" ht="86.25" customHeight="1">
      <c r="A692" s="335" t="s">
        <v>2239</v>
      </c>
      <c r="B692" s="1056">
        <f>GRAL!B860</f>
        <v>0</v>
      </c>
      <c r="C692" s="327">
        <f>OBRA!I694</f>
        <v>2023</v>
      </c>
      <c r="D692" s="532" t="str">
        <f>OBRA!K694</f>
        <v>CUENTA CORRIENTE</v>
      </c>
      <c r="E692" s="695"/>
      <c r="F692" s="1541"/>
      <c r="G692" s="71"/>
      <c r="H692" s="1541"/>
      <c r="I692" s="339" t="str">
        <f>OBRA!U694</f>
        <v>URBANIZADORA Y PAVIMENTADORA MONLE S.A. DE C.V.</v>
      </c>
      <c r="J692" s="172" t="str">
        <f>OBRA!V694</f>
        <v>C. DANIEL RODRIGUEZ VALENZUELA</v>
      </c>
      <c r="K692" s="180" t="str">
        <f>OBRA!L694</f>
        <v>C- OP 003/2023</v>
      </c>
      <c r="L692" s="202" t="str">
        <f>OBRA!M694</f>
        <v>ARRENDAMIENTO</v>
      </c>
      <c r="M692" s="328" t="str">
        <f>OBRA!N694</f>
        <v>RENTA DE UNA RETROEXCAVADORA JHON DEERE 310SJ 4X4, PARA SER UTILIZADA EN DIVERSOS MANTENIMIENTOS REQUERIDOS POR LA DIRECCIÓN DE OBRAS PÚBLICAS DEL GOBIERNO MUNICIPAL DE JOCOTEPEC, JALISCO.</v>
      </c>
      <c r="N692" s="328"/>
      <c r="O692" s="69">
        <f>OBRA!Q694</f>
        <v>44956</v>
      </c>
      <c r="P692" s="85">
        <f>OBRA!P694</f>
        <v>59681.999999999993</v>
      </c>
      <c r="Q692" s="85" t="str">
        <f>GRAL!Q696</f>
        <v>MES</v>
      </c>
      <c r="R692" s="255">
        <f>OBRA!R694</f>
        <v>44958</v>
      </c>
      <c r="S692" s="245">
        <f>OBRA!S694</f>
        <v>44985</v>
      </c>
      <c r="T692" s="1897" t="s">
        <v>5756</v>
      </c>
      <c r="U692" s="216"/>
      <c r="V692" s="344"/>
      <c r="W692" s="245"/>
      <c r="X692" s="601">
        <f>OBRA!AP694</f>
        <v>0</v>
      </c>
      <c r="Y692" s="344"/>
      <c r="Z692" s="344"/>
      <c r="AA692" s="255"/>
      <c r="AB692" s="1057">
        <f>OBRA!BT694</f>
        <v>0</v>
      </c>
      <c r="AC692" s="569"/>
      <c r="AE692"/>
      <c r="AF692"/>
      <c r="AG692"/>
      <c r="AH692"/>
      <c r="AI692"/>
      <c r="AJ692"/>
      <c r="AK692"/>
      <c r="AL692"/>
    </row>
    <row r="693" spans="1:38" ht="96.75" customHeight="1">
      <c r="A693" s="335" t="s">
        <v>2239</v>
      </c>
      <c r="B693" s="1056">
        <f>GRAL!B861</f>
        <v>0</v>
      </c>
      <c r="C693" s="327">
        <f>OBRA!I695</f>
        <v>2023</v>
      </c>
      <c r="D693" s="532" t="str">
        <f>OBRA!K695</f>
        <v>CUENTA CORRIENTE</v>
      </c>
      <c r="E693" s="695"/>
      <c r="F693" s="1541"/>
      <c r="G693" s="71"/>
      <c r="H693" s="1541"/>
      <c r="I693" s="339" t="str">
        <f>OBRA!U695</f>
        <v xml:space="preserve">DORIA &amp; SAMPIER CONSTRUCTORA, S.A. DE C.V. </v>
      </c>
      <c r="J693" s="172" t="str">
        <f>OBRA!V695</f>
        <v>C. DANIEL RODRIGUEZ VALENZUELA</v>
      </c>
      <c r="K693" s="180" t="str">
        <f>OBRA!L695</f>
        <v>C- OP 004/2023</v>
      </c>
      <c r="L693" s="202" t="str">
        <f>OBRA!M695</f>
        <v>ARRENDAMIENTO</v>
      </c>
      <c r="M693" s="328" t="str">
        <f>OBRA!N695</f>
        <v>RENTA DE UNA RETROEXCAVADORA MARCA JCB MOD. 2000 SERIE 4214E, PARA SER UTILIZADA EN LA CONSTRUCCIÓN DE BASE PARA LA COLOCACIÓN DE LETRAS MONUMENTALES DE SAN JOSE POTRERILLOS, DEL MUNICIPIO DE JOCOTEPEC, JALISCO.</v>
      </c>
      <c r="N693" s="328"/>
      <c r="O693" s="69">
        <f>OBRA!Q695</f>
        <v>44981</v>
      </c>
      <c r="P693" s="85">
        <f>OBRA!P695</f>
        <v>638</v>
      </c>
      <c r="Q693" s="85" t="str">
        <f>GRAL!Q697</f>
        <v>HORA</v>
      </c>
      <c r="R693" s="255">
        <f>OBRA!R695</f>
        <v>44985</v>
      </c>
      <c r="S693" s="245">
        <f>OBRA!S695</f>
        <v>44989</v>
      </c>
      <c r="T693" s="1897" t="s">
        <v>5756</v>
      </c>
      <c r="U693" s="216"/>
      <c r="V693" s="344"/>
      <c r="W693" s="245"/>
      <c r="X693" s="601">
        <f>OBRA!AP695</f>
        <v>0</v>
      </c>
      <c r="Y693" s="344"/>
      <c r="Z693" s="344"/>
      <c r="AA693" s="255"/>
      <c r="AB693" s="1057">
        <f>OBRA!BT695</f>
        <v>0</v>
      </c>
      <c r="AC693" s="569"/>
      <c r="AE693"/>
      <c r="AF693"/>
      <c r="AG693"/>
      <c r="AH693"/>
      <c r="AI693"/>
      <c r="AJ693"/>
      <c r="AK693"/>
      <c r="AL693"/>
    </row>
    <row r="694" spans="1:38" ht="73.5" customHeight="1">
      <c r="A694" s="335" t="s">
        <v>2239</v>
      </c>
      <c r="B694" s="1056">
        <f>GRAL!B862</f>
        <v>0</v>
      </c>
      <c r="C694" s="327">
        <f>OBRA!I696</f>
        <v>2023</v>
      </c>
      <c r="D694" s="532" t="str">
        <f>OBRA!K696</f>
        <v>CUENTA CORRIENTE</v>
      </c>
      <c r="E694" s="695"/>
      <c r="F694" s="1541"/>
      <c r="G694" s="71"/>
      <c r="H694" s="1541"/>
      <c r="I694" s="339" t="str">
        <f>OBRA!U696</f>
        <v>ALSERCON SA DE CV</v>
      </c>
      <c r="J694" s="172" t="str">
        <f>OBRA!V696</f>
        <v>C. DANIEL RODRIGUEZ VALENZUELA</v>
      </c>
      <c r="K694" s="180" t="str">
        <f>OBRA!L696</f>
        <v>C- OP 005/2023</v>
      </c>
      <c r="L694" s="202" t="str">
        <f>OBRA!M696</f>
        <v>ARRENDAMIENTO</v>
      </c>
      <c r="M694" s="328" t="str">
        <f>OBRA!N696</f>
        <v>RENTA DE CAMIÓN TIPO PIPA MARCA DODGE RAM 6500 MOD. 1996 PLACAS JM57075, CON CAPACIDAD DE 10,000 LITROS PARA EL SERVICIO DE ACARREO DE AGUA EN EL MUNICIPIO DE JOCOTEPEC, JALISCO.</v>
      </c>
      <c r="N694" s="328"/>
      <c r="O694" s="69">
        <f>OBRA!Q696</f>
        <v>45037</v>
      </c>
      <c r="P694" s="85">
        <f>OBRA!P696</f>
        <v>28999.999999999996</v>
      </c>
      <c r="Q694" s="85" t="str">
        <f>GRAL!Q698</f>
        <v>MES</v>
      </c>
      <c r="R694" s="255">
        <f>OBRA!R696</f>
        <v>45039</v>
      </c>
      <c r="S694" s="245">
        <f>OBRA!S696</f>
        <v>45069</v>
      </c>
      <c r="T694" s="1897" t="s">
        <v>5756</v>
      </c>
      <c r="U694" s="216"/>
      <c r="V694" s="344"/>
      <c r="W694" s="245"/>
      <c r="X694" s="601">
        <f>OBRA!AP696</f>
        <v>0</v>
      </c>
      <c r="Y694" s="344"/>
      <c r="Z694" s="344"/>
      <c r="AA694" s="255"/>
      <c r="AB694" s="1057">
        <f>OBRA!BT696</f>
        <v>0</v>
      </c>
      <c r="AC694" s="569"/>
      <c r="AE694"/>
      <c r="AF694"/>
      <c r="AG694"/>
      <c r="AH694"/>
      <c r="AI694"/>
      <c r="AJ694"/>
      <c r="AK694"/>
      <c r="AL694"/>
    </row>
    <row r="695" spans="1:38" ht="80.25" customHeight="1">
      <c r="A695" s="335" t="s">
        <v>2239</v>
      </c>
      <c r="B695" s="1056">
        <f>GRAL!B863</f>
        <v>0</v>
      </c>
      <c r="C695" s="327">
        <f>OBRA!I697</f>
        <v>2023</v>
      </c>
      <c r="D695" s="532" t="str">
        <f>OBRA!K697</f>
        <v>CUENTA CORRIENTE</v>
      </c>
      <c r="E695" s="695"/>
      <c r="F695" s="1541"/>
      <c r="G695" s="71"/>
      <c r="H695" s="1541"/>
      <c r="I695" s="339" t="str">
        <f>OBRA!U697</f>
        <v>URBANIZADORA Y PAVIMENTADORA MONLE S.A. DE C.V.</v>
      </c>
      <c r="J695" s="172" t="str">
        <f>OBRA!V697</f>
        <v>C. DANIEL RODRIGUEZ VALENZUELA</v>
      </c>
      <c r="K695" s="180" t="str">
        <f>OBRA!L697</f>
        <v>C- OP 006/2023</v>
      </c>
      <c r="L695" s="202" t="str">
        <f>OBRA!M697</f>
        <v>ARRENDAMIENTO</v>
      </c>
      <c r="M695" s="328" t="str">
        <f>OBRA!N697</f>
        <v>RENTA DE UNA RETROEXCAVADORA DEE 310SJ 4X4, PARA SER UTILIZADA EN DIVERSOS MANTENIMIENTOS REQUERIDOS POR LA DIRECCIÓN DE OBRAS PÚBLICAS DEL GOBIERNO MUNICIPAL DE JOCOTEPEC, JALISCO.</v>
      </c>
      <c r="N695" s="328"/>
      <c r="O695" s="69">
        <f>OBRA!Q697</f>
        <v>45015</v>
      </c>
      <c r="P695" s="85">
        <f>OBRA!P697</f>
        <v>59681.999999999993</v>
      </c>
      <c r="Q695" s="85" t="str">
        <f>GRAL!Q699</f>
        <v>MES</v>
      </c>
      <c r="R695" s="255">
        <f>OBRA!R697</f>
        <v>45017</v>
      </c>
      <c r="S695" s="245">
        <f>OBRA!S697</f>
        <v>45046</v>
      </c>
      <c r="T695" s="1897" t="s">
        <v>5756</v>
      </c>
      <c r="U695" s="216"/>
      <c r="V695" s="344"/>
      <c r="W695" s="245"/>
      <c r="X695" s="601">
        <f>OBRA!AP697</f>
        <v>0</v>
      </c>
      <c r="Y695" s="344"/>
      <c r="Z695" s="344"/>
      <c r="AA695" s="255"/>
      <c r="AB695" s="1057">
        <f>OBRA!BT697</f>
        <v>0</v>
      </c>
      <c r="AC695" s="569"/>
      <c r="AE695"/>
      <c r="AF695"/>
      <c r="AG695"/>
      <c r="AH695"/>
      <c r="AI695"/>
      <c r="AJ695"/>
      <c r="AK695"/>
      <c r="AL695"/>
    </row>
    <row r="696" spans="1:38" ht="78" customHeight="1">
      <c r="A696" s="335" t="s">
        <v>2239</v>
      </c>
      <c r="B696" s="1056">
        <f>GRAL!B864</f>
        <v>0</v>
      </c>
      <c r="C696" s="327">
        <f>OBRA!I698</f>
        <v>2023</v>
      </c>
      <c r="D696" s="532" t="str">
        <f>OBRA!K698</f>
        <v>CUENTA CORRIENTE</v>
      </c>
      <c r="E696" s="695"/>
      <c r="F696" s="1541"/>
      <c r="G696" s="71"/>
      <c r="H696" s="1541"/>
      <c r="I696" s="339" t="str">
        <f>OBRA!U698</f>
        <v>CONSTRUCTORES BACHMEIER S.A. DE C.V.</v>
      </c>
      <c r="J696" s="172" t="str">
        <f>OBRA!V698</f>
        <v>ING. LUIS RIGOBERTO OLMEDO NAVARRO</v>
      </c>
      <c r="K696" s="180" t="str">
        <f>OBRA!L698</f>
        <v>C- OP 006A/2023</v>
      </c>
      <c r="L696" s="202" t="str">
        <f>OBRA!M698</f>
        <v>ARRENDAMIENTO</v>
      </c>
      <c r="M696" s="328" t="str">
        <f>OBRA!N698</f>
        <v>RENTA DE EXCAVADORA CAT 320, PARA SER UTILIZADA EN LAS OBRAS: DESAZOLVES EN ARROYOS, DE LAS DELEGACIONES Y DE LA CABECERA DEL MUNICIPIO DE JOCOTEPEC, JALISCO.</v>
      </c>
      <c r="N696" s="328"/>
      <c r="O696" s="69">
        <f>OBRA!Q698</f>
        <v>45033</v>
      </c>
      <c r="P696" s="85">
        <f>OBRA!P698</f>
        <v>4750.0027999999993</v>
      </c>
      <c r="Q696" s="2086" t="str">
        <f>GRAL!Q700</f>
        <v>DÍA</v>
      </c>
      <c r="R696" s="255">
        <f>OBRA!R698</f>
        <v>45033</v>
      </c>
      <c r="S696" s="245">
        <f>OBRA!S698</f>
        <v>45094</v>
      </c>
      <c r="T696" s="1897" t="s">
        <v>5756</v>
      </c>
      <c r="U696" s="216"/>
      <c r="V696" s="344"/>
      <c r="W696" s="245"/>
      <c r="X696" s="601">
        <f>OBRA!AP698</f>
        <v>0</v>
      </c>
      <c r="Y696" s="344"/>
      <c r="Z696" s="344"/>
      <c r="AA696" s="255"/>
      <c r="AB696" s="1057">
        <f>OBRA!BT698</f>
        <v>0</v>
      </c>
      <c r="AC696" s="569"/>
      <c r="AE696"/>
      <c r="AF696"/>
      <c r="AG696"/>
      <c r="AH696"/>
      <c r="AI696"/>
      <c r="AJ696"/>
      <c r="AK696"/>
      <c r="AL696"/>
    </row>
    <row r="697" spans="1:38" ht="72" customHeight="1">
      <c r="A697" s="335" t="s">
        <v>2239</v>
      </c>
      <c r="B697" s="1056">
        <f>GRAL!B865</f>
        <v>0</v>
      </c>
      <c r="C697" s="327">
        <f>OBRA!I699</f>
        <v>2023</v>
      </c>
      <c r="D697" s="532" t="str">
        <f>OBRA!K699</f>
        <v>CUENTA CORRIENTE</v>
      </c>
      <c r="E697" s="695"/>
      <c r="F697" s="1541"/>
      <c r="G697" s="71"/>
      <c r="H697" s="1541"/>
      <c r="I697" s="339" t="str">
        <f>OBRA!U699</f>
        <v>CONSTRUCTORES BACHMEIER S.A. DE C.V.</v>
      </c>
      <c r="J697" s="172" t="str">
        <f>OBRA!V699</f>
        <v>ING. LUIS RIGOBERTO OLMEDO NAVARRO</v>
      </c>
      <c r="K697" s="180" t="str">
        <f>OBRA!L699</f>
        <v>C- OP 006B/2023</v>
      </c>
      <c r="L697" s="202" t="str">
        <f>OBRA!M699</f>
        <v>ARRENDAMIENTO</v>
      </c>
      <c r="M697" s="328" t="str">
        <f>OBRA!N699</f>
        <v>RENTA DE UNA EXCAVADORA, PARA SER UTILIZADA EN LAS OBRAS: MANTENIMIENTOS VARIOS EN LAS AGENCIAS, DELEGACIONES Y CABECERA DEL MUNICIPIO DE JOCOTEPEC, JALISCO.</v>
      </c>
      <c r="N697" s="328"/>
      <c r="O697" s="69">
        <f>OBRA!Q699</f>
        <v>45033</v>
      </c>
      <c r="P697" s="85">
        <f>OBRA!P699</f>
        <v>1899.9987999999998</v>
      </c>
      <c r="Q697" s="2086" t="str">
        <f>GRAL!Q701</f>
        <v>DÍA</v>
      </c>
      <c r="R697" s="255">
        <f>OBRA!R699</f>
        <v>45033</v>
      </c>
      <c r="S697" s="245">
        <f>OBRA!S699</f>
        <v>45094</v>
      </c>
      <c r="T697" s="1897" t="s">
        <v>5756</v>
      </c>
      <c r="U697" s="216"/>
      <c r="V697" s="344"/>
      <c r="W697" s="245"/>
      <c r="X697" s="601">
        <f>OBRA!AP699</f>
        <v>0</v>
      </c>
      <c r="Y697" s="344"/>
      <c r="Z697" s="344"/>
      <c r="AA697" s="255"/>
      <c r="AB697" s="1057">
        <f>OBRA!BT699</f>
        <v>0</v>
      </c>
      <c r="AC697" s="569"/>
      <c r="AE697"/>
      <c r="AF697"/>
      <c r="AG697"/>
      <c r="AH697"/>
      <c r="AI697"/>
      <c r="AJ697"/>
      <c r="AK697"/>
      <c r="AL697"/>
    </row>
    <row r="698" spans="1:38" ht="105" customHeight="1">
      <c r="A698" s="335" t="s">
        <v>2239</v>
      </c>
      <c r="B698" s="1056">
        <f>GRAL!B864</f>
        <v>0</v>
      </c>
      <c r="C698" s="327">
        <f>OBRA!I700</f>
        <v>2023</v>
      </c>
      <c r="D698" s="532" t="str">
        <f>OBRA!K700</f>
        <v>CUENTA CORRIENTE</v>
      </c>
      <c r="E698" s="695"/>
      <c r="F698" s="1541"/>
      <c r="G698" s="71"/>
      <c r="H698" s="1541"/>
      <c r="I698" s="339" t="str">
        <f>OBRA!U700</f>
        <v xml:space="preserve">DORIA &amp; SAMPIER CONSTRUCTORA, S.A. DE C.V. </v>
      </c>
      <c r="J698" s="172" t="str">
        <f>OBRA!V700</f>
        <v>C. DANIEL RODRIGUEZ VALENZUELA</v>
      </c>
      <c r="K698" s="180" t="str">
        <f>OBRA!L700</f>
        <v>C- OP 007/2023</v>
      </c>
      <c r="L698" s="202" t="str">
        <f>OBRA!M700</f>
        <v>ARRENDAMIENTO</v>
      </c>
      <c r="M698" s="328" t="str">
        <f>OBRA!N700</f>
        <v>RENTA DE UN CAMIÓN VOLTEO MARCA KENWORTH COLOR AZUL PLACA JU00932 Y UN CAMIÓN VOLTEO MARCA INTERNACIONAL COLOR AMARILLO PLACA 09AF9U, PARA SER UTILIZADO EN EL ACARREO DE MATERIAL POR DESAZOLVES DE ARROYOS EN EL MUNICIPIO DE JOCOTEPEC, JALISCO.</v>
      </c>
      <c r="N698" s="328"/>
      <c r="O698" s="69">
        <f>OBRA!Q700</f>
        <v>45034</v>
      </c>
      <c r="P698" s="85">
        <f>OBRA!P700</f>
        <v>5220</v>
      </c>
      <c r="Q698" s="2086" t="str">
        <f>GRAL!Q702</f>
        <v>DÍA</v>
      </c>
      <c r="R698" s="255">
        <f>OBRA!R700</f>
        <v>45036</v>
      </c>
      <c r="S698" s="245">
        <f>OBRA!S700</f>
        <v>45066</v>
      </c>
      <c r="T698" s="1897" t="s">
        <v>5756</v>
      </c>
      <c r="U698" s="216"/>
      <c r="V698" s="344"/>
      <c r="W698" s="245"/>
      <c r="X698" s="601">
        <f>OBRA!AP700</f>
        <v>0</v>
      </c>
      <c r="Y698" s="344"/>
      <c r="Z698" s="344"/>
      <c r="AA698" s="255"/>
      <c r="AB698" s="1057">
        <f>OBRA!BT700</f>
        <v>0</v>
      </c>
      <c r="AC698" s="569"/>
      <c r="AE698"/>
      <c r="AF698"/>
      <c r="AG698"/>
      <c r="AH698"/>
      <c r="AI698"/>
      <c r="AJ698"/>
      <c r="AK698"/>
      <c r="AL698"/>
    </row>
    <row r="699" spans="1:38" ht="113.25" customHeight="1">
      <c r="A699" s="335" t="s">
        <v>2239</v>
      </c>
      <c r="B699" s="1056">
        <f>GRAL!B865</f>
        <v>0</v>
      </c>
      <c r="C699" s="327">
        <f>OBRA!I701</f>
        <v>2023</v>
      </c>
      <c r="D699" s="532" t="str">
        <f>OBRA!K701</f>
        <v>CUENTA CORRIENTE</v>
      </c>
      <c r="E699" s="695"/>
      <c r="F699" s="1541"/>
      <c r="G699" s="71"/>
      <c r="H699" s="1541"/>
      <c r="I699" s="339" t="str">
        <f>OBRA!U701</f>
        <v xml:space="preserve">DORIA &amp; SAMPIER CONSTRUCTORA, S.A. DE C.V. </v>
      </c>
      <c r="J699" s="172" t="str">
        <f>OBRA!V701</f>
        <v>C. DANIEL RODRIGUEZ VALENZUELA</v>
      </c>
      <c r="K699" s="180" t="str">
        <f>OBRA!L701</f>
        <v>C- OP 008/2023</v>
      </c>
      <c r="L699" s="202" t="str">
        <f>OBRA!M701</f>
        <v>ARRENDAMIENTO</v>
      </c>
      <c r="M699" s="328"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N699" s="328"/>
      <c r="O699" s="69">
        <f>OBRA!Q701</f>
        <v>45034</v>
      </c>
      <c r="P699" s="85">
        <f>OBRA!P701</f>
        <v>5220</v>
      </c>
      <c r="Q699" s="2086" t="str">
        <f>GRAL!Q703</f>
        <v>DÍA</v>
      </c>
      <c r="R699" s="255">
        <f>OBRA!R701</f>
        <v>45036</v>
      </c>
      <c r="S699" s="245">
        <f>OBRA!S701</f>
        <v>45066</v>
      </c>
      <c r="T699" s="1897" t="s">
        <v>5756</v>
      </c>
      <c r="U699" s="216"/>
      <c r="V699" s="344"/>
      <c r="W699" s="245"/>
      <c r="X699" s="601">
        <f>OBRA!AP701</f>
        <v>0</v>
      </c>
      <c r="Y699" s="344"/>
      <c r="Z699" s="344"/>
      <c r="AA699" s="255"/>
      <c r="AB699" s="1057">
        <f>OBRA!BT701</f>
        <v>0</v>
      </c>
      <c r="AC699" s="569"/>
      <c r="AE699"/>
      <c r="AF699"/>
      <c r="AG699"/>
      <c r="AH699"/>
      <c r="AI699"/>
      <c r="AJ699"/>
      <c r="AK699"/>
      <c r="AL699"/>
    </row>
    <row r="700" spans="1:38" ht="107.25" customHeight="1">
      <c r="A700" s="335" t="s">
        <v>2239</v>
      </c>
      <c r="B700" s="1056">
        <f>GRAL!B866</f>
        <v>0</v>
      </c>
      <c r="C700" s="327">
        <f>OBRA!I702</f>
        <v>2023</v>
      </c>
      <c r="D700" s="532" t="str">
        <f>OBRA!K702</f>
        <v>CUENTA CORRIENTE</v>
      </c>
      <c r="E700" s="695"/>
      <c r="F700" s="1541"/>
      <c r="G700" s="71"/>
      <c r="H700" s="1541"/>
      <c r="I700" s="339" t="str">
        <f>OBRA!U702</f>
        <v xml:space="preserve">DORIA &amp; SAMPIER CONSTRUCTORA, S.A. DE C.V. </v>
      </c>
      <c r="J700" s="172" t="str">
        <f>OBRA!V702</f>
        <v>C. DANIEL RODRIGUEZ VALENZUELA</v>
      </c>
      <c r="K700" s="180" t="str">
        <f>OBRA!L702</f>
        <v>C- OP 009/2023</v>
      </c>
      <c r="L700" s="202" t="str">
        <f>OBRA!M702</f>
        <v>ARRENDAMIENTO</v>
      </c>
      <c r="M700" s="328" t="str">
        <f>OBRA!N702</f>
        <v>RENTA DE UN CAMIÓN VOLTEO MARCA INTERNACIONAL BLANCO PLACA JH59267, PARA SER UTILIZADO EN LA OBRA REHABILITACIÓN DE REDES HIDROSANITARIAS EN CALLE FILÓSOFOS ENTRE JOSEFA ORTIZ DE DOMINGUEZ E HIDALGO EN LA CABECERA MUNICIPAL DE JOCOTEPEC, JALISCO. (DRENAJE)</v>
      </c>
      <c r="N700" s="328"/>
      <c r="O700" s="69">
        <f>OBRA!Q702</f>
        <v>44972</v>
      </c>
      <c r="P700" s="85">
        <f>OBRA!P702</f>
        <v>696</v>
      </c>
      <c r="Q700" s="2086" t="str">
        <f>GRAL!Q704</f>
        <v>HORA</v>
      </c>
      <c r="R700" s="255">
        <f>OBRA!R702</f>
        <v>44974</v>
      </c>
      <c r="S700" s="245">
        <f>OBRA!S702</f>
        <v>44976</v>
      </c>
      <c r="T700" s="1897" t="s">
        <v>5756</v>
      </c>
      <c r="U700" s="216"/>
      <c r="V700" s="344"/>
      <c r="W700" s="245"/>
      <c r="X700" s="601">
        <f>OBRA!AP702</f>
        <v>0</v>
      </c>
      <c r="Y700" s="344"/>
      <c r="Z700" s="344"/>
      <c r="AA700" s="255"/>
      <c r="AB700" s="1057">
        <f>OBRA!BT702</f>
        <v>0</v>
      </c>
      <c r="AC700" s="569"/>
      <c r="AE700"/>
      <c r="AF700"/>
      <c r="AG700"/>
      <c r="AH700"/>
      <c r="AI700"/>
      <c r="AJ700"/>
      <c r="AK700"/>
      <c r="AL700"/>
    </row>
    <row r="701" spans="1:38" ht="113.25" customHeight="1">
      <c r="A701" s="335" t="s">
        <v>2239</v>
      </c>
      <c r="B701" s="1056">
        <f>GRAL!B867</f>
        <v>0</v>
      </c>
      <c r="C701" s="327">
        <f>OBRA!I703</f>
        <v>2023</v>
      </c>
      <c r="D701" s="532" t="str">
        <f>OBRA!K703</f>
        <v>CUENTA CORRIENTE</v>
      </c>
      <c r="E701" s="695"/>
      <c r="F701" s="1541"/>
      <c r="G701" s="71"/>
      <c r="H701" s="1541"/>
      <c r="I701" s="339" t="str">
        <f>OBRA!U703</f>
        <v xml:space="preserve">DORIA &amp; SAMPIER CONSTRUCTORA, S.A. DE C.V. </v>
      </c>
      <c r="J701" s="172" t="str">
        <f>OBRA!V703</f>
        <v>C. DANIEL RODRIGUEZ VALENZUELA</v>
      </c>
      <c r="K701" s="180" t="str">
        <f>OBRA!L703</f>
        <v>C- OP 010/2023</v>
      </c>
      <c r="L701" s="202" t="str">
        <f>OBRA!M703</f>
        <v>ARRENDAMIENTO</v>
      </c>
      <c r="M701" s="328" t="str">
        <f>OBRA!N703</f>
        <v>RENTA DE UNA RETRO EXCAVADORA CATERPILLAR 416E 4X4 DE 77HP, PARA SER UTILAZADO EN LA OBRA REHABILITACIÓN DE REDES HIDROSANITARIAS EN CALLE FILÓSOFOS ENTRE CALLE JOSEFA ORTIZ DE DOMINGUEZ E HIDALGO EN LA CABECERA MUNICIPAL DE JOCOTEPEC. JALISCO (DRENAJE)</v>
      </c>
      <c r="N701" s="328"/>
      <c r="O701" s="69">
        <f>OBRA!Q703</f>
        <v>44966</v>
      </c>
      <c r="P701" s="85">
        <f>OBRA!P703</f>
        <v>754</v>
      </c>
      <c r="Q701" s="2086" t="str">
        <f>GRAL!Q705</f>
        <v>HORA</v>
      </c>
      <c r="R701" s="255">
        <f>OBRA!R703</f>
        <v>44970</v>
      </c>
      <c r="S701" s="245">
        <f>OBRA!S703</f>
        <v>44976</v>
      </c>
      <c r="T701" s="1897" t="s">
        <v>5756</v>
      </c>
      <c r="U701" s="216"/>
      <c r="V701" s="344"/>
      <c r="W701" s="245"/>
      <c r="X701" s="601">
        <f>OBRA!AP703</f>
        <v>0</v>
      </c>
      <c r="Y701" s="344"/>
      <c r="Z701" s="344"/>
      <c r="AA701" s="255"/>
      <c r="AB701" s="1057">
        <f>OBRA!BT703</f>
        <v>0</v>
      </c>
      <c r="AC701" s="569"/>
      <c r="AE701"/>
      <c r="AF701"/>
      <c r="AG701"/>
      <c r="AH701"/>
      <c r="AI701"/>
      <c r="AJ701"/>
      <c r="AK701"/>
      <c r="AL701"/>
    </row>
    <row r="702" spans="1:38" ht="108" customHeight="1">
      <c r="A702" s="335" t="s">
        <v>2239</v>
      </c>
      <c r="B702" s="1056">
        <f>GRAL!B868</f>
        <v>0</v>
      </c>
      <c r="C702" s="327">
        <f>OBRA!I704</f>
        <v>2023</v>
      </c>
      <c r="D702" s="532" t="str">
        <f>OBRA!K704</f>
        <v>CUENTA CORRIENTE</v>
      </c>
      <c r="E702" s="695"/>
      <c r="F702" s="1541"/>
      <c r="G702" s="71"/>
      <c r="H702" s="1541"/>
      <c r="I702" s="339" t="str">
        <f>OBRA!U704</f>
        <v xml:space="preserve">DORIA &amp; SAMPIER CONSTRUCTORA, S.A. DE C.V. </v>
      </c>
      <c r="J702" s="172" t="str">
        <f>OBRA!V704</f>
        <v>C. DANIEL RODRIGUEZ VALENZUELA</v>
      </c>
      <c r="K702" s="180" t="str">
        <f>OBRA!L704</f>
        <v>C- OP 011/2023</v>
      </c>
      <c r="L702" s="202" t="str">
        <f>OBRA!M704</f>
        <v>ARRENDAMIENTO</v>
      </c>
      <c r="M702" s="328"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02" s="328"/>
      <c r="O702" s="69">
        <f>OBRA!Q704</f>
        <v>44966</v>
      </c>
      <c r="P702" s="85">
        <f>OBRA!P704</f>
        <v>1020.8</v>
      </c>
      <c r="Q702" s="2086" t="str">
        <f>GRAL!Q706</f>
        <v>HORA</v>
      </c>
      <c r="R702" s="255">
        <f>OBRA!R704</f>
        <v>44970</v>
      </c>
      <c r="S702" s="245">
        <f>OBRA!S704</f>
        <v>44977</v>
      </c>
      <c r="T702" s="1897" t="s">
        <v>5756</v>
      </c>
      <c r="U702" s="216"/>
      <c r="V702" s="344"/>
      <c r="W702" s="245"/>
      <c r="X702" s="601">
        <f>OBRA!AP704</f>
        <v>0</v>
      </c>
      <c r="Y702" s="344"/>
      <c r="Z702" s="344"/>
      <c r="AA702" s="255"/>
      <c r="AB702" s="1057">
        <f>OBRA!BT704</f>
        <v>0</v>
      </c>
      <c r="AC702" s="569"/>
      <c r="AE702"/>
      <c r="AF702"/>
      <c r="AG702"/>
      <c r="AH702"/>
      <c r="AI702"/>
      <c r="AJ702"/>
      <c r="AK702"/>
      <c r="AL702"/>
    </row>
    <row r="703" spans="1:38" ht="100.5" customHeight="1">
      <c r="A703" s="335" t="s">
        <v>2239</v>
      </c>
      <c r="B703" s="1056">
        <f>GRAL!B869</f>
        <v>0</v>
      </c>
      <c r="C703" s="327">
        <f>OBRA!I705</f>
        <v>2023</v>
      </c>
      <c r="D703" s="532" t="str">
        <f>OBRA!K705</f>
        <v>CUENTA CORRIENTE</v>
      </c>
      <c r="E703" s="695"/>
      <c r="F703" s="1541"/>
      <c r="G703" s="71"/>
      <c r="H703" s="1541"/>
      <c r="I703" s="339" t="str">
        <f>OBRA!U705</f>
        <v xml:space="preserve">DORIA &amp; SAMPIER CONSTRUCTORA, S.A. DE C.V. </v>
      </c>
      <c r="J703" s="172" t="str">
        <f>OBRA!V705</f>
        <v>C. DANIEL RODRIGUEZ VALENZUELA</v>
      </c>
      <c r="K703" s="180" t="str">
        <f>OBRA!L705</f>
        <v>C- OP 012/2023</v>
      </c>
      <c r="L703" s="202" t="str">
        <f>OBRA!M705</f>
        <v>ARRENDAMIENTO</v>
      </c>
      <c r="M703" s="328"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N703" s="328"/>
      <c r="O703" s="69">
        <f>OBRA!Q705</f>
        <v>44974</v>
      </c>
      <c r="P703" s="85">
        <f>OBRA!P705</f>
        <v>754</v>
      </c>
      <c r="Q703" s="2086" t="str">
        <f>GRAL!Q707</f>
        <v>HORA</v>
      </c>
      <c r="R703" s="255">
        <f>OBRA!R705</f>
        <v>44977</v>
      </c>
      <c r="S703" s="245">
        <f>OBRA!S705</f>
        <v>44982</v>
      </c>
      <c r="T703" s="1897" t="s">
        <v>5756</v>
      </c>
      <c r="U703" s="216"/>
      <c r="V703" s="344"/>
      <c r="W703" s="245"/>
      <c r="X703" s="601">
        <f>OBRA!AP705</f>
        <v>0</v>
      </c>
      <c r="Y703" s="344"/>
      <c r="Z703" s="344"/>
      <c r="AA703" s="255"/>
      <c r="AB703" s="1057">
        <f>OBRA!BT705</f>
        <v>0</v>
      </c>
      <c r="AC703" s="569"/>
      <c r="AE703"/>
      <c r="AF703"/>
      <c r="AG703"/>
      <c r="AH703"/>
      <c r="AI703"/>
      <c r="AJ703"/>
      <c r="AK703"/>
      <c r="AL703"/>
    </row>
    <row r="704" spans="1:38" ht="117" customHeight="1">
      <c r="A704" s="335" t="s">
        <v>2239</v>
      </c>
      <c r="B704" s="1056">
        <f>GRAL!B870</f>
        <v>0</v>
      </c>
      <c r="C704" s="327">
        <f>OBRA!I706</f>
        <v>2023</v>
      </c>
      <c r="D704" s="532" t="str">
        <f>OBRA!K706</f>
        <v>CUENTA CORRIENTE</v>
      </c>
      <c r="E704" s="695"/>
      <c r="F704" s="1541"/>
      <c r="G704" s="71"/>
      <c r="H704" s="1541"/>
      <c r="I704" s="339" t="str">
        <f>OBRA!U706</f>
        <v xml:space="preserve">DORIA &amp; SAMPIER CONSTRUCTORA, S.A. DE C.V. </v>
      </c>
      <c r="J704" s="172" t="str">
        <f>OBRA!V706</f>
        <v>C. DANIEL RODRIGUEZ VALENZUELA</v>
      </c>
      <c r="K704" s="180" t="str">
        <f>OBRA!L706</f>
        <v>C- OP 013/2023</v>
      </c>
      <c r="L704" s="202" t="str">
        <f>OBRA!M706</f>
        <v>ARRENDAMIENTO</v>
      </c>
      <c r="M704" s="328"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N704" s="328"/>
      <c r="O704" s="69">
        <f>OBRA!Q706</f>
        <v>44974</v>
      </c>
      <c r="P704" s="85">
        <f>OBRA!P706</f>
        <v>1020.8</v>
      </c>
      <c r="Q704" s="2086" t="str">
        <f>GRAL!Q708</f>
        <v>HORA</v>
      </c>
      <c r="R704" s="255">
        <f>OBRA!R706</f>
        <v>44977</v>
      </c>
      <c r="S704" s="245">
        <f>OBRA!S706</f>
        <v>44982</v>
      </c>
      <c r="T704" s="1897" t="s">
        <v>5756</v>
      </c>
      <c r="U704" s="216"/>
      <c r="V704" s="344"/>
      <c r="W704" s="245"/>
      <c r="X704" s="601">
        <f>OBRA!AP706</f>
        <v>0</v>
      </c>
      <c r="Y704" s="344"/>
      <c r="Z704" s="344"/>
      <c r="AA704" s="255"/>
      <c r="AB704" s="1057">
        <f>OBRA!BT706</f>
        <v>0</v>
      </c>
      <c r="AC704" s="569"/>
      <c r="AE704"/>
      <c r="AF704"/>
      <c r="AG704"/>
      <c r="AH704"/>
      <c r="AI704"/>
      <c r="AJ704"/>
      <c r="AK704"/>
      <c r="AL704"/>
    </row>
    <row r="705" spans="1:38" ht="120.75" customHeight="1">
      <c r="A705" s="335" t="s">
        <v>2239</v>
      </c>
      <c r="B705" s="1056">
        <f>GRAL!B871</f>
        <v>0</v>
      </c>
      <c r="C705" s="327">
        <f>OBRA!I707</f>
        <v>2023</v>
      </c>
      <c r="D705" s="532" t="str">
        <f>OBRA!K707</f>
        <v>CUENTA CORRIENTE</v>
      </c>
      <c r="E705" s="695"/>
      <c r="F705" s="1541"/>
      <c r="G705" s="71"/>
      <c r="H705" s="1541"/>
      <c r="I705" s="339" t="str">
        <f>OBRA!U707</f>
        <v xml:space="preserve">DORIA &amp; SAMPIER CONSTRUCTORA, S.A. DE C.V. </v>
      </c>
      <c r="J705" s="172" t="str">
        <f>OBRA!V707</f>
        <v>C. DANIEL RODRIGUEZ VALENZUELA</v>
      </c>
      <c r="K705" s="180" t="str">
        <f>OBRA!L707</f>
        <v>C- OP 014/2023</v>
      </c>
      <c r="L705" s="202" t="str">
        <f>OBRA!M707</f>
        <v>ARRENDAMIENTO</v>
      </c>
      <c r="M705" s="328"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N705" s="328"/>
      <c r="O705" s="69">
        <f>OBRA!Q707</f>
        <v>44977</v>
      </c>
      <c r="P705" s="85">
        <f>OBRA!P707</f>
        <v>696</v>
      </c>
      <c r="Q705" s="2086" t="str">
        <f>GRAL!Q709</f>
        <v>HORA</v>
      </c>
      <c r="R705" s="255">
        <f>OBRA!R707</f>
        <v>44978</v>
      </c>
      <c r="S705" s="245">
        <f>OBRA!S707</f>
        <v>44982</v>
      </c>
      <c r="T705" s="1897" t="s">
        <v>5756</v>
      </c>
      <c r="U705" s="216"/>
      <c r="V705" s="344"/>
      <c r="W705" s="245"/>
      <c r="X705" s="601">
        <f>OBRA!AP707</f>
        <v>0</v>
      </c>
      <c r="Y705" s="344"/>
      <c r="Z705" s="344"/>
      <c r="AA705" s="255"/>
      <c r="AB705" s="1057">
        <f>OBRA!BT707</f>
        <v>0</v>
      </c>
      <c r="AC705" s="569"/>
      <c r="AE705"/>
      <c r="AF705"/>
      <c r="AG705"/>
      <c r="AH705"/>
      <c r="AI705"/>
      <c r="AJ705"/>
      <c r="AK705"/>
      <c r="AL705"/>
    </row>
    <row r="706" spans="1:38" ht="81.75" customHeight="1">
      <c r="A706" s="335" t="s">
        <v>2239</v>
      </c>
      <c r="B706" s="1056">
        <f>GRAL!B872</f>
        <v>0</v>
      </c>
      <c r="C706" s="327">
        <f>OBRA!I708</f>
        <v>2023</v>
      </c>
      <c r="D706" s="532" t="str">
        <f>OBRA!K708</f>
        <v>CUENTA CORRIENTE</v>
      </c>
      <c r="E706" s="695"/>
      <c r="F706" s="1541"/>
      <c r="G706" s="71"/>
      <c r="H706" s="1541"/>
      <c r="I706" s="339" t="str">
        <f>OBRA!U708</f>
        <v>URBANIZADORA Y PAVIMENTADORA MONLE S.A. DE C.V.</v>
      </c>
      <c r="J706" s="172" t="str">
        <f>OBRA!V708</f>
        <v>C. DANIEL RODRIGUEZ VALENZUELA</v>
      </c>
      <c r="K706" s="180" t="str">
        <f>OBRA!L708</f>
        <v>C- OP 015/2023</v>
      </c>
      <c r="L706" s="202" t="str">
        <f>OBRA!M708</f>
        <v>ARRENDAMIENTO</v>
      </c>
      <c r="M706" s="328" t="str">
        <f>OBRA!N708</f>
        <v>RENTA DE UNA RETROEXCAVADORA JHON DEERE 310SJ 4X4, PARA SER UTILIZADA EN DIVERSOS MANTENIMIENTOS REQUERIDOS POR LA DIRECCIÓN DE OBRAS PÚBLICAS DEL GOBIERNO MUNICIPAL DE JOCOTEPEC, JALISCO.</v>
      </c>
      <c r="N706" s="328"/>
      <c r="O706" s="69">
        <f>OBRA!Q708</f>
        <v>45044</v>
      </c>
      <c r="P706" s="85">
        <f>OBRA!P708</f>
        <v>59681.999999999993</v>
      </c>
      <c r="Q706" s="2086" t="str">
        <f>GRAL!Q710</f>
        <v>MES</v>
      </c>
      <c r="R706" s="255">
        <f>OBRA!R708</f>
        <v>45047</v>
      </c>
      <c r="S706" s="245">
        <f>OBRA!S708</f>
        <v>45077</v>
      </c>
      <c r="T706" s="1897" t="s">
        <v>5756</v>
      </c>
      <c r="U706" s="216"/>
      <c r="V706" s="344"/>
      <c r="W706" s="245"/>
      <c r="X706" s="601">
        <f>OBRA!AP708</f>
        <v>0</v>
      </c>
      <c r="Y706" s="344"/>
      <c r="Z706" s="344"/>
      <c r="AA706" s="255"/>
      <c r="AB706" s="1057">
        <f>OBRA!BT708</f>
        <v>0</v>
      </c>
      <c r="AC706" s="569"/>
      <c r="AE706"/>
      <c r="AF706"/>
      <c r="AG706"/>
      <c r="AH706"/>
      <c r="AI706"/>
      <c r="AJ706"/>
      <c r="AK706"/>
      <c r="AL706"/>
    </row>
    <row r="707" spans="1:38" ht="145.5" customHeight="1">
      <c r="A707" s="335" t="s">
        <v>2239</v>
      </c>
      <c r="B707" s="1056">
        <f>GRAL!B873</f>
        <v>0</v>
      </c>
      <c r="C707" s="327">
        <f>OBRA!I709</f>
        <v>2023</v>
      </c>
      <c r="D707" s="532" t="str">
        <f>OBRA!K709</f>
        <v>CUENTA CORRIENTE</v>
      </c>
      <c r="E707" s="695"/>
      <c r="F707" s="1541"/>
      <c r="G707" s="71"/>
      <c r="H707" s="1541"/>
      <c r="I707" s="339" t="str">
        <f>OBRA!U709</f>
        <v>GHR CONSTRUCTOR, S.A. DE C.V.</v>
      </c>
      <c r="J707" s="172" t="str">
        <f>OBRA!V709</f>
        <v>C. DANIEL RODRIGUEZ VALENZUELA</v>
      </c>
      <c r="K707" s="180" t="str">
        <f>OBRA!L709</f>
        <v>C- OP 016/2023</v>
      </c>
      <c r="L707" s="202" t="str">
        <f>OBRA!M709</f>
        <v>ARRENDAMIENTO</v>
      </c>
      <c r="M707" s="328"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07" s="328"/>
      <c r="O707" s="69">
        <f>OBRA!Q709</f>
        <v>45113</v>
      </c>
      <c r="P707" s="85">
        <f>OBRA!P709</f>
        <v>2900</v>
      </c>
      <c r="Q707" s="2086" t="str">
        <f>GRAL!Q711</f>
        <v>DÍA</v>
      </c>
      <c r="R707" s="255">
        <f>OBRA!R709</f>
        <v>45117</v>
      </c>
      <c r="S707" s="245">
        <f>OBRA!S709</f>
        <v>45127</v>
      </c>
      <c r="T707" s="1897" t="s">
        <v>5756</v>
      </c>
      <c r="U707" s="216"/>
      <c r="V707" s="344"/>
      <c r="W707" s="245"/>
      <c r="X707" s="601">
        <f>OBRA!AP709</f>
        <v>0</v>
      </c>
      <c r="Y707" s="344"/>
      <c r="Z707" s="344"/>
      <c r="AA707" s="255"/>
      <c r="AB707" s="1057">
        <f>OBRA!BT709</f>
        <v>0</v>
      </c>
      <c r="AC707" s="569"/>
      <c r="AE707"/>
      <c r="AF707"/>
      <c r="AG707"/>
      <c r="AH707"/>
      <c r="AI707"/>
      <c r="AJ707"/>
      <c r="AK707"/>
      <c r="AL707"/>
    </row>
    <row r="708" spans="1:38" ht="99.75" customHeight="1">
      <c r="A708" s="335" t="s">
        <v>2239</v>
      </c>
      <c r="B708" s="1056">
        <f>GRAL!B874</f>
        <v>0</v>
      </c>
      <c r="C708" s="327">
        <f>OBRA!I710</f>
        <v>2023</v>
      </c>
      <c r="D708" s="532" t="str">
        <f>OBRA!K710</f>
        <v>CUENTA CORRIENTE</v>
      </c>
      <c r="E708" s="695"/>
      <c r="F708" s="1541"/>
      <c r="G708" s="71"/>
      <c r="H708" s="1541"/>
      <c r="I708" s="339" t="str">
        <f>OBRA!U710</f>
        <v>GHR CONSTRUCTOR, S.A. DE C.V.</v>
      </c>
      <c r="J708" s="172" t="str">
        <f>OBRA!V710</f>
        <v>C. DANIEL RODRIGUEZ VALENZUELA</v>
      </c>
      <c r="K708" s="180" t="str">
        <f>OBRA!L710</f>
        <v>C- OP 017/2023</v>
      </c>
      <c r="L708" s="202" t="str">
        <f>OBRA!M710</f>
        <v>ARRENDAMIENTO</v>
      </c>
      <c r="M708" s="328" t="str">
        <f>OBRA!N710</f>
        <v>RENTA DE UNA RETROEXCAVADORA CATERPILLAR 416E 4X4 DE 77HP, PARA SER UTITLIZADO PARA LA CONSTRUCCIÓN DE BASE PARA COLOCACIÓN DE LETRAS MONUMENTALES EN LAS TROJES, MUNICIPIO DE JOCOTEPEC, JALISCO</v>
      </c>
      <c r="N708" s="328"/>
      <c r="O708" s="69">
        <f>OBRA!Q710</f>
        <v>45133</v>
      </c>
      <c r="P708" s="85">
        <f>OBRA!P710</f>
        <v>696</v>
      </c>
      <c r="Q708" s="2086" t="str">
        <f>GRAL!Q712</f>
        <v>HORA</v>
      </c>
      <c r="R708" s="255">
        <f>OBRA!R710</f>
        <v>45139</v>
      </c>
      <c r="S708" s="245">
        <f>OBRA!S710</f>
        <v>45148</v>
      </c>
      <c r="T708" s="1897" t="s">
        <v>5756</v>
      </c>
      <c r="U708" s="216"/>
      <c r="V708" s="344"/>
      <c r="W708" s="245"/>
      <c r="X708" s="601">
        <f>OBRA!AP710</f>
        <v>0</v>
      </c>
      <c r="Y708" s="344"/>
      <c r="Z708" s="344"/>
      <c r="AA708" s="255"/>
      <c r="AB708" s="1057">
        <f>OBRA!BT710</f>
        <v>0</v>
      </c>
      <c r="AC708" s="569"/>
      <c r="AE708"/>
      <c r="AF708"/>
      <c r="AG708"/>
      <c r="AH708"/>
      <c r="AI708"/>
      <c r="AJ708"/>
      <c r="AK708"/>
      <c r="AL708"/>
    </row>
    <row r="709" spans="1:38" ht="15" hidden="1" customHeight="1">
      <c r="A709" s="335" t="s">
        <v>2239</v>
      </c>
      <c r="B709" s="1056">
        <f>GRAL!B875</f>
        <v>0</v>
      </c>
      <c r="C709" s="327">
        <f>OBRA!I711</f>
        <v>2023</v>
      </c>
      <c r="D709" s="532" t="str">
        <f>OBRA!K711</f>
        <v>CUENTA CORRIENTE</v>
      </c>
      <c r="E709" s="695"/>
      <c r="F709" s="1541"/>
      <c r="G709" s="71"/>
      <c r="H709" s="1541"/>
      <c r="I709" s="339">
        <f>OBRA!U711</f>
        <v>0</v>
      </c>
      <c r="J709" s="172">
        <f>OBRA!V711</f>
        <v>0</v>
      </c>
      <c r="K709" s="180" t="str">
        <f>OBRA!L711</f>
        <v>C- OP 018/2023</v>
      </c>
      <c r="L709" s="202" t="str">
        <f>OBRA!M711</f>
        <v>ARRENDAMIENTO</v>
      </c>
      <c r="M709" s="328" t="str">
        <f>OBRA!N711</f>
        <v>-</v>
      </c>
      <c r="N709" s="328"/>
      <c r="O709" s="69">
        <f>OBRA!Q711</f>
        <v>0</v>
      </c>
      <c r="P709" s="85">
        <f>OBRA!P711</f>
        <v>0</v>
      </c>
      <c r="Q709" s="2086">
        <f>GRAL!Q713</f>
        <v>0</v>
      </c>
      <c r="R709" s="255">
        <f>OBRA!R711</f>
        <v>0</v>
      </c>
      <c r="S709" s="245">
        <f>OBRA!S711</f>
        <v>0</v>
      </c>
      <c r="T709" s="1897" t="s">
        <v>5756</v>
      </c>
      <c r="U709" s="216"/>
      <c r="V709" s="344"/>
      <c r="W709" s="245"/>
      <c r="X709" s="601">
        <f>OBRA!AP711</f>
        <v>0</v>
      </c>
      <c r="Y709" s="344"/>
      <c r="Z709" s="344"/>
      <c r="AA709" s="255"/>
      <c r="AB709" s="1057">
        <f>OBRA!BT711</f>
        <v>0</v>
      </c>
      <c r="AC709" s="569"/>
      <c r="AE709"/>
      <c r="AF709"/>
      <c r="AG709"/>
      <c r="AH709"/>
      <c r="AI709"/>
      <c r="AJ709"/>
      <c r="AK709"/>
      <c r="AL709"/>
    </row>
    <row r="710" spans="1:38" ht="15" hidden="1" customHeight="1">
      <c r="A710" s="335" t="s">
        <v>2239</v>
      </c>
      <c r="B710" s="1056">
        <f>GRAL!B876</f>
        <v>0</v>
      </c>
      <c r="C710" s="327">
        <f>OBRA!I712</f>
        <v>2023</v>
      </c>
      <c r="D710" s="532" t="str">
        <f>OBRA!K712</f>
        <v>CUENTA CORRIENTE</v>
      </c>
      <c r="E710" s="695"/>
      <c r="F710" s="1541"/>
      <c r="G710" s="71"/>
      <c r="H710" s="1541"/>
      <c r="I710" s="339">
        <f>OBRA!U712</f>
        <v>0</v>
      </c>
      <c r="J710" s="172">
        <f>OBRA!V712</f>
        <v>0</v>
      </c>
      <c r="K710" s="180" t="str">
        <f>OBRA!L712</f>
        <v>C- OP 019/2023</v>
      </c>
      <c r="L710" s="202" t="str">
        <f>OBRA!M712</f>
        <v>ARRENDAMIENTO</v>
      </c>
      <c r="M710" s="328" t="str">
        <f>OBRA!N712</f>
        <v>-</v>
      </c>
      <c r="N710" s="328"/>
      <c r="O710" s="69">
        <f>OBRA!Q712</f>
        <v>0</v>
      </c>
      <c r="P710" s="85">
        <f>OBRA!P712</f>
        <v>0</v>
      </c>
      <c r="Q710" s="2086">
        <f>GRAL!Q714</f>
        <v>0</v>
      </c>
      <c r="R710" s="255">
        <f>OBRA!R712</f>
        <v>0</v>
      </c>
      <c r="S710" s="245">
        <f>OBRA!S712</f>
        <v>0</v>
      </c>
      <c r="T710" s="1897" t="s">
        <v>5756</v>
      </c>
      <c r="U710" s="216"/>
      <c r="V710" s="344"/>
      <c r="W710" s="245"/>
      <c r="X710" s="601">
        <f>OBRA!AP712</f>
        <v>0</v>
      </c>
      <c r="Y710" s="344"/>
      <c r="Z710" s="344"/>
      <c r="AA710" s="255"/>
      <c r="AB710" s="1057">
        <f>OBRA!BT712</f>
        <v>0</v>
      </c>
      <c r="AC710" s="569"/>
      <c r="AE710"/>
      <c r="AF710"/>
      <c r="AG710"/>
      <c r="AH710"/>
      <c r="AI710"/>
      <c r="AJ710"/>
      <c r="AK710"/>
      <c r="AL710"/>
    </row>
    <row r="711" spans="1:38" ht="15" hidden="1" customHeight="1">
      <c r="A711" s="335" t="s">
        <v>2239</v>
      </c>
      <c r="B711" s="1056">
        <f>GRAL!B877</f>
        <v>0</v>
      </c>
      <c r="C711" s="327">
        <f>OBRA!I713</f>
        <v>2023</v>
      </c>
      <c r="D711" s="532" t="str">
        <f>OBRA!K713</f>
        <v>CUENTA CORRIENTE</v>
      </c>
      <c r="E711" s="695"/>
      <c r="F711" s="1541"/>
      <c r="G711" s="71"/>
      <c r="H711" s="1541"/>
      <c r="I711" s="339">
        <f>OBRA!U713</f>
        <v>0</v>
      </c>
      <c r="J711" s="172">
        <f>OBRA!V713</f>
        <v>0</v>
      </c>
      <c r="K711" s="180" t="str">
        <f>OBRA!L713</f>
        <v>C- OP 020/2023</v>
      </c>
      <c r="L711" s="202" t="str">
        <f>OBRA!M713</f>
        <v>ARRENDAMIENTO</v>
      </c>
      <c r="M711" s="328" t="str">
        <f>OBRA!N713</f>
        <v>-</v>
      </c>
      <c r="N711" s="328"/>
      <c r="O711" s="69">
        <f>OBRA!Q713</f>
        <v>0</v>
      </c>
      <c r="P711" s="85">
        <f>OBRA!P713</f>
        <v>0</v>
      </c>
      <c r="Q711" s="2086">
        <f>GRAL!Q715</f>
        <v>0</v>
      </c>
      <c r="R711" s="255">
        <f>OBRA!R713</f>
        <v>0</v>
      </c>
      <c r="S711" s="245">
        <f>OBRA!S713</f>
        <v>0</v>
      </c>
      <c r="T711" s="1897" t="s">
        <v>5756</v>
      </c>
      <c r="U711" s="216"/>
      <c r="V711" s="344"/>
      <c r="W711" s="245"/>
      <c r="X711" s="601">
        <f>OBRA!AP713</f>
        <v>0</v>
      </c>
      <c r="Y711" s="344"/>
      <c r="Z711" s="344"/>
      <c r="AA711" s="255"/>
      <c r="AB711" s="1057">
        <f>OBRA!BT713</f>
        <v>0</v>
      </c>
      <c r="AC711" s="569"/>
      <c r="AE711"/>
      <c r="AF711"/>
      <c r="AG711"/>
      <c r="AH711"/>
      <c r="AI711"/>
      <c r="AJ711"/>
      <c r="AK711"/>
      <c r="AL711"/>
    </row>
    <row r="712" spans="1:38" ht="15" hidden="1" customHeight="1">
      <c r="A712" s="23" t="s">
        <v>2239</v>
      </c>
      <c r="B712" s="933">
        <f>GRAL!B868</f>
        <v>0</v>
      </c>
      <c r="C712" s="17">
        <f>OBRA!I714</f>
        <v>2023</v>
      </c>
      <c r="D712" s="18" t="str">
        <f>OBRA!K714</f>
        <v>CUENTA CORRIENTE</v>
      </c>
      <c r="E712" s="1374"/>
      <c r="F712" s="1300"/>
      <c r="G712" s="239"/>
      <c r="H712" s="1300"/>
      <c r="I712" s="56" t="str">
        <f>OBRA!U714</f>
        <v>-</v>
      </c>
      <c r="J712" s="57" t="str">
        <f>OBRA!V714</f>
        <v>C. DANIEL RODRIGUEZ VALENZUELA</v>
      </c>
      <c r="K712" s="20" t="str">
        <f>OBRA!L714</f>
        <v>DOP/AD/001/2023</v>
      </c>
      <c r="L712" s="2" t="str">
        <f>OBRA!M714</f>
        <v>ADMINISTRACIÓN DIRECTA</v>
      </c>
      <c r="M712" s="3" t="str">
        <f>OBRA!N714</f>
        <v>"CONSTRUCCIÓN DE REDES HIDROSANITARIAS EN CALLE FILÓSOFOS ENTRE CALLE JOSEFA ORTÍZ DE DOMINGUEZ E HIDALGO", EN LA CABECERA MUNICIPAL DE JOCOTEPEC, JALISCO</v>
      </c>
      <c r="N712" s="597"/>
      <c r="O712" s="6">
        <f>OBRA!Q714</f>
        <v>44967</v>
      </c>
      <c r="P712" s="4">
        <f>OBRA!P714</f>
        <v>307647.35999999999</v>
      </c>
      <c r="Q712" s="4"/>
      <c r="R712" s="5">
        <f>OBRA!R714</f>
        <v>44968</v>
      </c>
      <c r="S712" s="12">
        <f>OBRA!S714</f>
        <v>44985</v>
      </c>
      <c r="T712" s="792"/>
      <c r="U712" s="223"/>
      <c r="V712" s="558"/>
      <c r="W712" s="559"/>
      <c r="X712" s="590">
        <f>OBRA!AP714</f>
        <v>0</v>
      </c>
      <c r="Y712" s="341"/>
      <c r="Z712" s="341"/>
      <c r="AA712" s="5"/>
      <c r="AB712" s="351">
        <f>OBRA!BT714</f>
        <v>0</v>
      </c>
      <c r="AC712" s="569"/>
      <c r="AE712"/>
      <c r="AF712"/>
      <c r="AG712"/>
      <c r="AH712"/>
      <c r="AI712"/>
      <c r="AJ712"/>
      <c r="AK712"/>
      <c r="AL712"/>
    </row>
    <row r="713" spans="1:38" ht="15" hidden="1" customHeight="1">
      <c r="A713" s="23" t="s">
        <v>2239</v>
      </c>
      <c r="B713" s="933">
        <f>GRAL!B869</f>
        <v>0</v>
      </c>
      <c r="C713" s="17">
        <f>OBRA!I715</f>
        <v>2023</v>
      </c>
      <c r="D713" s="18" t="str">
        <f>OBRA!K715</f>
        <v>REGULARIZACIÓN DE VEHÍCULOS DE PROCEDENCIA EXTRANJERA, 2022</v>
      </c>
      <c r="E713" s="1374"/>
      <c r="F713" s="1300"/>
      <c r="G713" s="239"/>
      <c r="H713" s="1300"/>
      <c r="I713" s="56" t="str">
        <f>OBRA!U715</f>
        <v>-</v>
      </c>
      <c r="J713" s="57" t="str">
        <f>OBRA!V715</f>
        <v>ING. LUIS RIGOBERTO OLMEDO NAVARRO</v>
      </c>
      <c r="K713" s="20" t="str">
        <f>OBRA!L715</f>
        <v>DOP/AD/002/2023</v>
      </c>
      <c r="L713" s="2" t="str">
        <f>OBRA!M715</f>
        <v>ADMINISTRACIÓN DIRECTA</v>
      </c>
      <c r="M713" s="3" t="str">
        <f>OBRA!N715</f>
        <v>"BACHEO SUPERFICIAL AISLADO EN CALLE INDEPENDENCIA NORTE ENTRE C. MORELOS Y C. DEGOLLADO", EN LA CABECERA MUNICIPAL DE JOCOTEPEC, JALISCO.</v>
      </c>
      <c r="N713" s="597"/>
      <c r="O713" s="6">
        <f>OBRA!Q715</f>
        <v>45033</v>
      </c>
      <c r="P713" s="4">
        <f>OBRA!P715</f>
        <v>27472.5</v>
      </c>
      <c r="Q713" s="4"/>
      <c r="R713" s="5">
        <f>OBRA!R715</f>
        <v>45036</v>
      </c>
      <c r="S713" s="12">
        <f>OBRA!S715</f>
        <v>45038</v>
      </c>
      <c r="T713" s="792"/>
      <c r="U713" s="223"/>
      <c r="V713" s="558"/>
      <c r="W713" s="559"/>
      <c r="X713" s="590">
        <f>OBRA!AP715</f>
        <v>0</v>
      </c>
      <c r="Y713" s="341"/>
      <c r="Z713" s="341"/>
      <c r="AA713" s="5"/>
      <c r="AB713" s="351">
        <f>OBRA!BT715</f>
        <v>0</v>
      </c>
      <c r="AC713" s="569"/>
      <c r="AE713"/>
      <c r="AF713"/>
      <c r="AG713"/>
      <c r="AH713"/>
      <c r="AI713"/>
      <c r="AJ713"/>
      <c r="AK713"/>
      <c r="AL713"/>
    </row>
    <row r="714" spans="1:38" ht="15" hidden="1" customHeight="1">
      <c r="A714" s="23" t="s">
        <v>2239</v>
      </c>
      <c r="B714" s="933">
        <f>GRAL!B870</f>
        <v>0</v>
      </c>
      <c r="C714" s="17">
        <f>OBRA!I716</f>
        <v>2023</v>
      </c>
      <c r="D714" s="18">
        <f>OBRA!K716</f>
        <v>0</v>
      </c>
      <c r="E714" s="1374"/>
      <c r="F714" s="1300"/>
      <c r="G714" s="239"/>
      <c r="H714" s="1300"/>
      <c r="I714" s="56" t="str">
        <f>OBRA!U716</f>
        <v>-</v>
      </c>
      <c r="J714" s="57">
        <f>OBRA!V716</f>
        <v>0</v>
      </c>
      <c r="K714" s="20" t="str">
        <f>OBRA!L716</f>
        <v>DOP/AD/003/2023</v>
      </c>
      <c r="L714" s="2" t="str">
        <f>OBRA!M716</f>
        <v>ADMINISTRACIÓN DIRECTA</v>
      </c>
      <c r="M714" s="3" t="str">
        <f>OBRA!N716</f>
        <v>-</v>
      </c>
      <c r="N714" s="597"/>
      <c r="O714" s="6">
        <f>OBRA!Q716</f>
        <v>0</v>
      </c>
      <c r="P714" s="4">
        <f>OBRA!P716</f>
        <v>0</v>
      </c>
      <c r="Q714" s="4"/>
      <c r="R714" s="5">
        <f>OBRA!R716</f>
        <v>0</v>
      </c>
      <c r="S714" s="12">
        <f>OBRA!S716</f>
        <v>0</v>
      </c>
      <c r="T714" s="792"/>
      <c r="U714" s="223"/>
      <c r="V714" s="558"/>
      <c r="W714" s="559"/>
      <c r="X714" s="590">
        <f>OBRA!AP716</f>
        <v>0</v>
      </c>
      <c r="Y714" s="341"/>
      <c r="Z714" s="341"/>
      <c r="AA714" s="5"/>
      <c r="AB714" s="351">
        <f>OBRA!BT716</f>
        <v>0</v>
      </c>
      <c r="AC714" s="569"/>
      <c r="AE714"/>
      <c r="AF714"/>
      <c r="AG714"/>
      <c r="AH714"/>
      <c r="AI714"/>
      <c r="AJ714"/>
      <c r="AK714"/>
      <c r="AL714"/>
    </row>
    <row r="715" spans="1:38" ht="15" hidden="1" customHeight="1">
      <c r="A715" s="23" t="s">
        <v>2239</v>
      </c>
      <c r="B715" s="933">
        <f>GRAL!B871</f>
        <v>0</v>
      </c>
      <c r="C715" s="17">
        <f>OBRA!I717</f>
        <v>2023</v>
      </c>
      <c r="D715" s="18">
        <f>OBRA!K717</f>
        <v>0</v>
      </c>
      <c r="E715" s="1374"/>
      <c r="F715" s="1300"/>
      <c r="G715" s="239"/>
      <c r="H715" s="1300"/>
      <c r="I715" s="56" t="str">
        <f>OBRA!U717</f>
        <v>-</v>
      </c>
      <c r="J715" s="57">
        <f>OBRA!V717</f>
        <v>0</v>
      </c>
      <c r="K715" s="20" t="str">
        <f>OBRA!L717</f>
        <v>DOP/AD/004/2023</v>
      </c>
      <c r="L715" s="2" t="str">
        <f>OBRA!M717</f>
        <v>ADMINISTRACIÓN DIRECTA</v>
      </c>
      <c r="M715" s="3" t="str">
        <f>OBRA!N717</f>
        <v>-</v>
      </c>
      <c r="N715" s="597"/>
      <c r="O715" s="6">
        <f>OBRA!Q717</f>
        <v>0</v>
      </c>
      <c r="P715" s="4">
        <f>OBRA!P717</f>
        <v>0</v>
      </c>
      <c r="Q715" s="4"/>
      <c r="R715" s="5">
        <f>OBRA!R717</f>
        <v>0</v>
      </c>
      <c r="S715" s="12">
        <f>OBRA!S717</f>
        <v>0</v>
      </c>
      <c r="T715" s="792"/>
      <c r="U715" s="223"/>
      <c r="V715" s="558"/>
      <c r="W715" s="559"/>
      <c r="X715" s="590">
        <f>OBRA!AP717</f>
        <v>0</v>
      </c>
      <c r="Y715" s="341"/>
      <c r="Z715" s="341"/>
      <c r="AA715" s="5"/>
      <c r="AB715" s="351">
        <f>OBRA!BT717</f>
        <v>0</v>
      </c>
      <c r="AC715" s="569"/>
      <c r="AE715"/>
      <c r="AF715"/>
      <c r="AG715"/>
      <c r="AH715"/>
      <c r="AI715"/>
      <c r="AJ715"/>
      <c r="AK715"/>
      <c r="AL715"/>
    </row>
    <row r="716" spans="1:38" ht="15" hidden="1" customHeight="1">
      <c r="A716" s="23" t="s">
        <v>2239</v>
      </c>
      <c r="B716" s="933">
        <f>GRAL!B872</f>
        <v>0</v>
      </c>
      <c r="C716" s="17">
        <f>OBRA!I718</f>
        <v>2023</v>
      </c>
      <c r="D716" s="18" t="str">
        <f>OBRA!K718</f>
        <v>REGULARIZACIÓN DE VEHÍCULOS DE PROCEDENCIA EXTRANJERA, 2022</v>
      </c>
      <c r="E716" s="1374"/>
      <c r="F716" s="1300"/>
      <c r="G716" s="239"/>
      <c r="H716" s="1300"/>
      <c r="I716" s="56" t="str">
        <f>OBRA!U718</f>
        <v>-</v>
      </c>
      <c r="J716" s="57" t="str">
        <f>OBRA!V718</f>
        <v>ING. LUIS RIGOBERTO OLMEDO NAVARRO</v>
      </c>
      <c r="K716" s="20" t="str">
        <f>OBRA!L718</f>
        <v>DOP/AD/005/2023</v>
      </c>
      <c r="L716" s="2" t="str">
        <f>OBRA!M718</f>
        <v>ADMINISTRACIÓN DIRECTA</v>
      </c>
      <c r="M716" s="3" t="str">
        <f>OBRA!N718</f>
        <v>"BACHEO SUPERFICIAL AISLADO DE MEZCLA ASFÁLTICA EN LA CALLE MORELOS ENTRE CALLE NIÑOS HÉROES YCALLE ZARAGOZA EN EL BARRIO LA CALABAZA" DE LA CABECERA MUNICIPAL DE JOCOTEPEC, MUNICIPIO DE JOCOTEPEC, JALISCO.</v>
      </c>
      <c r="N716" s="597"/>
      <c r="O716" s="6">
        <f>OBRA!Q718</f>
        <v>45244</v>
      </c>
      <c r="P716" s="4">
        <f>OBRA!P718</f>
        <v>92407.5</v>
      </c>
      <c r="Q716" s="4"/>
      <c r="R716" s="5">
        <f>OBRA!R718</f>
        <v>45264</v>
      </c>
      <c r="S716" s="12">
        <f>OBRA!S718</f>
        <v>45268</v>
      </c>
      <c r="T716" s="792"/>
      <c r="U716" s="223"/>
      <c r="V716" s="558"/>
      <c r="W716" s="559"/>
      <c r="X716" s="590">
        <f>OBRA!AP718</f>
        <v>0</v>
      </c>
      <c r="Y716" s="341"/>
      <c r="Z716" s="341"/>
      <c r="AA716" s="5"/>
      <c r="AB716" s="351">
        <f>OBRA!BT718</f>
        <v>0</v>
      </c>
      <c r="AC716" s="569"/>
      <c r="AE716"/>
      <c r="AF716"/>
      <c r="AG716"/>
      <c r="AH716"/>
      <c r="AI716"/>
      <c r="AJ716"/>
      <c r="AK716"/>
      <c r="AL716"/>
    </row>
    <row r="717" spans="1:38" ht="15" hidden="1" customHeight="1">
      <c r="A717" s="23" t="s">
        <v>2239</v>
      </c>
      <c r="B717" s="933">
        <f>GRAL!B873</f>
        <v>0</v>
      </c>
      <c r="C717" s="17">
        <f>OBRA!I719</f>
        <v>2023</v>
      </c>
      <c r="D717" s="18">
        <f>OBRA!K719</f>
        <v>0</v>
      </c>
      <c r="E717" s="1374"/>
      <c r="F717" s="1300"/>
      <c r="G717" s="239"/>
      <c r="H717" s="1300"/>
      <c r="I717" s="56" t="str">
        <f>OBRA!U719</f>
        <v>-</v>
      </c>
      <c r="J717" s="57">
        <f>OBRA!V719</f>
        <v>0</v>
      </c>
      <c r="K717" s="20" t="str">
        <f>OBRA!L719</f>
        <v>DOP/AD/006/2023</v>
      </c>
      <c r="L717" s="2" t="str">
        <f>OBRA!M719</f>
        <v>CANCELADA</v>
      </c>
      <c r="M717" s="3" t="str">
        <f>OBRA!N719</f>
        <v>-</v>
      </c>
      <c r="N717" s="597"/>
      <c r="O717" s="6">
        <f>OBRA!Q719</f>
        <v>0</v>
      </c>
      <c r="P717" s="4">
        <f>OBRA!P719</f>
        <v>0</v>
      </c>
      <c r="Q717" s="4"/>
      <c r="R717" s="5">
        <f>OBRA!R719</f>
        <v>0</v>
      </c>
      <c r="S717" s="12">
        <f>OBRA!S719</f>
        <v>0</v>
      </c>
      <c r="T717" s="792"/>
      <c r="U717" s="223"/>
      <c r="V717" s="558"/>
      <c r="W717" s="559"/>
      <c r="X717" s="590">
        <f>OBRA!AP719</f>
        <v>0</v>
      </c>
      <c r="Y717" s="341"/>
      <c r="Z717" s="341"/>
      <c r="AA717" s="5"/>
      <c r="AB717" s="351">
        <f>OBRA!BT719</f>
        <v>0</v>
      </c>
      <c r="AC717" s="569"/>
      <c r="AE717"/>
      <c r="AF717"/>
      <c r="AG717"/>
      <c r="AH717"/>
      <c r="AI717"/>
      <c r="AJ717"/>
      <c r="AK717"/>
      <c r="AL717"/>
    </row>
    <row r="718" spans="1:38" ht="15" hidden="1" customHeight="1">
      <c r="A718" s="23" t="s">
        <v>2239</v>
      </c>
      <c r="B718" s="933">
        <f>GRAL!B874</f>
        <v>0</v>
      </c>
      <c r="C718" s="17">
        <f>OBRA!I720</f>
        <v>2023</v>
      </c>
      <c r="D718" s="18">
        <f>OBRA!K720</f>
        <v>0</v>
      </c>
      <c r="E718" s="1374"/>
      <c r="F718" s="1300"/>
      <c r="G718" s="239"/>
      <c r="H718" s="1300"/>
      <c r="I718" s="56" t="str">
        <f>OBRA!U720</f>
        <v>-</v>
      </c>
      <c r="J718" s="57">
        <f>OBRA!V720</f>
        <v>0</v>
      </c>
      <c r="K718" s="20" t="str">
        <f>OBRA!L720</f>
        <v>DOP/AD/007/2023</v>
      </c>
      <c r="L718" s="2" t="str">
        <f>OBRA!M720</f>
        <v>CANCELADA</v>
      </c>
      <c r="M718" s="3" t="str">
        <f>OBRA!N720</f>
        <v>-</v>
      </c>
      <c r="N718" s="597"/>
      <c r="O718" s="6">
        <f>OBRA!Q720</f>
        <v>0</v>
      </c>
      <c r="P718" s="4">
        <f>OBRA!P720</f>
        <v>0</v>
      </c>
      <c r="Q718" s="4"/>
      <c r="R718" s="5">
        <f>OBRA!R720</f>
        <v>0</v>
      </c>
      <c r="S718" s="12">
        <f>OBRA!S720</f>
        <v>0</v>
      </c>
      <c r="T718" s="792"/>
      <c r="U718" s="223"/>
      <c r="V718" s="558"/>
      <c r="W718" s="559"/>
      <c r="X718" s="590">
        <f>OBRA!AP720</f>
        <v>0</v>
      </c>
      <c r="Y718" s="341"/>
      <c r="Z718" s="341"/>
      <c r="AA718" s="5"/>
      <c r="AB718" s="351">
        <f>OBRA!BT720</f>
        <v>0</v>
      </c>
      <c r="AC718" s="569"/>
      <c r="AE718"/>
      <c r="AF718"/>
      <c r="AG718"/>
      <c r="AH718"/>
      <c r="AI718"/>
      <c r="AJ718"/>
      <c r="AK718"/>
      <c r="AL718"/>
    </row>
    <row r="719" spans="1:38" ht="15" hidden="1" customHeight="1">
      <c r="A719" s="23" t="s">
        <v>2239</v>
      </c>
      <c r="B719" s="933">
        <f>GRAL!B875</f>
        <v>0</v>
      </c>
      <c r="C719" s="17">
        <f>OBRA!I721</f>
        <v>2023</v>
      </c>
      <c r="D719" s="18">
        <f>OBRA!K721</f>
        <v>0</v>
      </c>
      <c r="E719" s="1374"/>
      <c r="F719" s="1300"/>
      <c r="G719" s="239"/>
      <c r="H719" s="1300"/>
      <c r="I719" s="56" t="str">
        <f>OBRA!U721</f>
        <v>-</v>
      </c>
      <c r="J719" s="57">
        <f>OBRA!V721</f>
        <v>0</v>
      </c>
      <c r="K719" s="20" t="str">
        <f>OBRA!L721</f>
        <v>DOP/AD/008/2023</v>
      </c>
      <c r="L719" s="2" t="str">
        <f>OBRA!M721</f>
        <v>CANCELADA</v>
      </c>
      <c r="M719" s="3" t="str">
        <f>OBRA!N721</f>
        <v>-</v>
      </c>
      <c r="N719" s="597"/>
      <c r="O719" s="6">
        <f>OBRA!Q721</f>
        <v>0</v>
      </c>
      <c r="P719" s="4">
        <f>OBRA!P721</f>
        <v>0</v>
      </c>
      <c r="Q719" s="4"/>
      <c r="R719" s="5">
        <f>OBRA!R721</f>
        <v>0</v>
      </c>
      <c r="S719" s="12">
        <f>OBRA!S721</f>
        <v>0</v>
      </c>
      <c r="T719" s="792"/>
      <c r="U719" s="223"/>
      <c r="V719" s="558"/>
      <c r="W719" s="559"/>
      <c r="X719" s="590">
        <f>OBRA!AP721</f>
        <v>0</v>
      </c>
      <c r="Y719" s="341"/>
      <c r="Z719" s="341"/>
      <c r="AA719" s="5"/>
      <c r="AB719" s="351">
        <f>OBRA!BT721</f>
        <v>0</v>
      </c>
      <c r="AC719" s="569"/>
      <c r="AE719"/>
      <c r="AF719"/>
      <c r="AG719"/>
      <c r="AH719"/>
      <c r="AI719"/>
      <c r="AJ719"/>
      <c r="AK719"/>
      <c r="AL719"/>
    </row>
    <row r="720" spans="1:38" ht="15" hidden="1" customHeight="1">
      <c r="A720" s="23" t="s">
        <v>2239</v>
      </c>
      <c r="B720" s="933">
        <f>GRAL!B876</f>
        <v>0</v>
      </c>
      <c r="C720" s="17">
        <f>OBRA!I722</f>
        <v>2023</v>
      </c>
      <c r="D720" s="18">
        <f>OBRA!K722</f>
        <v>0</v>
      </c>
      <c r="E720" s="1374"/>
      <c r="F720" s="1300"/>
      <c r="G720" s="239"/>
      <c r="H720" s="1300"/>
      <c r="I720" s="56" t="str">
        <f>OBRA!U722</f>
        <v>-</v>
      </c>
      <c r="J720" s="57">
        <f>OBRA!V722</f>
        <v>0</v>
      </c>
      <c r="K720" s="20" t="str">
        <f>OBRA!L722</f>
        <v>DOP/AD/009/2023</v>
      </c>
      <c r="L720" s="2" t="str">
        <f>OBRA!M722</f>
        <v>CANCELADA</v>
      </c>
      <c r="M720" s="3" t="str">
        <f>OBRA!N722</f>
        <v>-</v>
      </c>
      <c r="N720" s="597"/>
      <c r="O720" s="6">
        <f>OBRA!Q722</f>
        <v>0</v>
      </c>
      <c r="P720" s="4">
        <f>OBRA!P722</f>
        <v>0</v>
      </c>
      <c r="Q720" s="4"/>
      <c r="R720" s="5">
        <f>OBRA!R722</f>
        <v>0</v>
      </c>
      <c r="S720" s="12">
        <f>OBRA!S722</f>
        <v>0</v>
      </c>
      <c r="T720" s="792"/>
      <c r="U720" s="223"/>
      <c r="V720" s="558"/>
      <c r="W720" s="559"/>
      <c r="X720" s="590">
        <f>OBRA!AP722</f>
        <v>0</v>
      </c>
      <c r="Y720" s="341"/>
      <c r="Z720" s="341"/>
      <c r="AA720" s="5"/>
      <c r="AB720" s="351">
        <f>OBRA!BT722</f>
        <v>0</v>
      </c>
      <c r="AC720" s="569"/>
      <c r="AE720"/>
      <c r="AF720"/>
      <c r="AG720"/>
      <c r="AH720"/>
      <c r="AI720"/>
      <c r="AJ720"/>
      <c r="AK720"/>
      <c r="AL720"/>
    </row>
    <row r="721" spans="1:38" ht="15" hidden="1" customHeight="1">
      <c r="A721" s="23" t="s">
        <v>2239</v>
      </c>
      <c r="B721" s="933">
        <f>GRAL!B877</f>
        <v>0</v>
      </c>
      <c r="C721" s="17">
        <f>OBRA!I723</f>
        <v>2023</v>
      </c>
      <c r="D721" s="18">
        <f>OBRA!K723</f>
        <v>0</v>
      </c>
      <c r="E721" s="1374"/>
      <c r="F721" s="1300"/>
      <c r="G721" s="239"/>
      <c r="H721" s="1300"/>
      <c r="I721" s="56" t="str">
        <f>OBRA!U723</f>
        <v>-</v>
      </c>
      <c r="J721" s="57">
        <f>OBRA!V723</f>
        <v>0</v>
      </c>
      <c r="K721" s="20" t="str">
        <f>OBRA!L723</f>
        <v>DOP/AD/010/2023</v>
      </c>
      <c r="L721" s="2" t="str">
        <f>OBRA!M723</f>
        <v>CANCELADA</v>
      </c>
      <c r="M721" s="3" t="str">
        <f>OBRA!N723</f>
        <v>-</v>
      </c>
      <c r="N721" s="597"/>
      <c r="O721" s="6">
        <f>OBRA!Q723</f>
        <v>0</v>
      </c>
      <c r="P721" s="4">
        <f>OBRA!P723</f>
        <v>0</v>
      </c>
      <c r="Q721" s="4"/>
      <c r="R721" s="5">
        <f>OBRA!R723</f>
        <v>0</v>
      </c>
      <c r="S721" s="12">
        <f>OBRA!S723</f>
        <v>0</v>
      </c>
      <c r="T721" s="792"/>
      <c r="U721" s="223"/>
      <c r="V721" s="558"/>
      <c r="W721" s="559"/>
      <c r="X721" s="590">
        <f>OBRA!AP723</f>
        <v>0</v>
      </c>
      <c r="Y721" s="341"/>
      <c r="Z721" s="341"/>
      <c r="AA721" s="5"/>
      <c r="AB721" s="351">
        <f>OBRA!BT723</f>
        <v>0</v>
      </c>
      <c r="AC721" s="569"/>
      <c r="AE721"/>
      <c r="AF721"/>
      <c r="AG721"/>
      <c r="AH721"/>
      <c r="AI721"/>
      <c r="AJ721"/>
      <c r="AK721"/>
      <c r="AL721"/>
    </row>
    <row r="722" spans="1:38" ht="15" hidden="1" customHeight="1">
      <c r="A722" s="23" t="s">
        <v>2239</v>
      </c>
      <c r="B722" s="933">
        <f>GRAL!B878</f>
        <v>0</v>
      </c>
      <c r="C722" s="17">
        <f>OBRA!I724</f>
        <v>2023</v>
      </c>
      <c r="D722" s="18" t="str">
        <f>OBRA!K724</f>
        <v>RAMO 33</v>
      </c>
      <c r="E722" s="1374"/>
      <c r="F722" s="1300"/>
      <c r="G722" s="239"/>
      <c r="H722" s="1300"/>
      <c r="I722" s="56" t="str">
        <f>OBRA!U724</f>
        <v>EDIFICACIONES Y TERRACERIAS CH, S.A. DE C.V.</v>
      </c>
      <c r="J722" s="57" t="str">
        <f>OBRA!V724</f>
        <v>C. DANIEL RODRIGUEZ VALENZUELA</v>
      </c>
      <c r="K722" s="20" t="str">
        <f>OBRA!L724</f>
        <v>GMJ 001C OP/2023</v>
      </c>
      <c r="L722" s="2" t="str">
        <f>OBRA!M724</f>
        <v>ADJUDICACIÓN DIRECTA</v>
      </c>
      <c r="M722" s="3" t="str">
        <f>OBRA!N724</f>
        <v>"CONSTRUCCIÓN DE LÍNEA DE DRENAJE SANITARIO, LÍNEA DE AGUA POTABLE, HUELLA DE CONCRETO Y EMPEDRADO AHOGADO EN CONCRETO EN LA CALLE JOSEFA ORTIZ DE DOMINGUEZ DE CALLE ALDAMA PONIENTE A CALLE FILÓSOFOS", EN LA CABECERA MUNICIPAL DE JOCOTEPEC, JALISCO.</v>
      </c>
      <c r="N722" s="597"/>
      <c r="O722" s="6">
        <f>OBRA!Q724</f>
        <v>44974</v>
      </c>
      <c r="P722" s="4">
        <f>OBRA!P724</f>
        <v>1211066.4099999999</v>
      </c>
      <c r="Q722" s="4"/>
      <c r="R722" s="5">
        <f>OBRA!R724</f>
        <v>44977</v>
      </c>
      <c r="S722" s="12">
        <f>OBRA!S724</f>
        <v>45021</v>
      </c>
      <c r="T722" s="792"/>
      <c r="U722" s="223"/>
      <c r="V722" s="558"/>
      <c r="W722" s="559"/>
      <c r="X722" s="590">
        <f>OBRA!AP724</f>
        <v>242213.28</v>
      </c>
      <c r="Y722" s="341"/>
      <c r="Z722" s="341"/>
      <c r="AA722" s="5"/>
      <c r="AB722" s="351">
        <f>OBRA!BT724</f>
        <v>0</v>
      </c>
      <c r="AC722" s="569"/>
      <c r="AE722"/>
      <c r="AF722"/>
      <c r="AG722"/>
      <c r="AH722"/>
      <c r="AI722"/>
      <c r="AJ722"/>
      <c r="AK722"/>
      <c r="AL722"/>
    </row>
    <row r="723" spans="1:38" ht="15" hidden="1" customHeight="1">
      <c r="A723" s="23" t="s">
        <v>2239</v>
      </c>
      <c r="B723" s="933">
        <f>GRAL!B879</f>
        <v>0</v>
      </c>
      <c r="C723" s="17">
        <f>OBRA!I725</f>
        <v>2023</v>
      </c>
      <c r="D723" s="18" t="str">
        <f>OBRA!K725</f>
        <v>RAMO 33</v>
      </c>
      <c r="E723" s="1374"/>
      <c r="F723" s="1300"/>
      <c r="G723" s="239"/>
      <c r="H723" s="1300"/>
      <c r="I723" s="56" t="str">
        <f>OBRA!U725</f>
        <v>ING. SERGIO CABRERA</v>
      </c>
      <c r="J723" s="57" t="str">
        <f>OBRA!V725</f>
        <v>C. DANIEL RODRIGUEZ VALENZUELA</v>
      </c>
      <c r="K723" s="20" t="str">
        <f>OBRA!L725</f>
        <v>GMJ 002C OP/2023</v>
      </c>
      <c r="L723" s="2" t="str">
        <f>OBRA!M725</f>
        <v>ADJUDICACIÓN DIRECTA</v>
      </c>
      <c r="M723" s="3" t="str">
        <f>OBRA!N725</f>
        <v>"CONSTRUCCIÓN DE HUELLAS DE CONCRETO Y EMPEDRADO AHOGADO EN CEMENTO EN LA CALLE JOSEFA ORTIZ DE DOMINGUEZ DE CALLE ALDAMA PONIENTE A CALLE FILÓSOFOS", EN LA CABECERA MUNICIPAL DE JOCOTEPEC, JALISCO.</v>
      </c>
      <c r="N723" s="597"/>
      <c r="O723" s="6">
        <f>OBRA!Q725</f>
        <v>45022</v>
      </c>
      <c r="P723" s="4">
        <f>OBRA!P725</f>
        <v>1810170.95</v>
      </c>
      <c r="Q723" s="4"/>
      <c r="R723" s="5">
        <f>OBRA!R725</f>
        <v>45024</v>
      </c>
      <c r="S723" s="12">
        <f>OBRA!S725</f>
        <v>45061</v>
      </c>
      <c r="T723" s="792"/>
      <c r="U723" s="223"/>
      <c r="V723" s="558"/>
      <c r="W723" s="559"/>
      <c r="X723" s="590">
        <f>OBRA!AP725</f>
        <v>362034.18</v>
      </c>
      <c r="Y723" s="341"/>
      <c r="Z723" s="341"/>
      <c r="AA723" s="5"/>
      <c r="AB723" s="351">
        <f>OBRA!BT725</f>
        <v>0</v>
      </c>
      <c r="AC723" s="569"/>
      <c r="AE723"/>
      <c r="AF723"/>
      <c r="AG723"/>
      <c r="AH723"/>
      <c r="AI723"/>
      <c r="AJ723"/>
      <c r="AK723"/>
      <c r="AL723"/>
    </row>
    <row r="724" spans="1:38" ht="15" hidden="1" customHeight="1">
      <c r="A724" s="23" t="s">
        <v>2239</v>
      </c>
      <c r="B724" s="933">
        <f>GRAL!B880</f>
        <v>0</v>
      </c>
      <c r="C724" s="17">
        <f>OBRA!I726</f>
        <v>2023</v>
      </c>
      <c r="D724" s="18" t="str">
        <f>OBRA!K726</f>
        <v>CUENTA CORRIENTE</v>
      </c>
      <c r="E724" s="1374"/>
      <c r="F724" s="1300"/>
      <c r="G724" s="239"/>
      <c r="H724" s="1300"/>
      <c r="I724" s="56" t="str">
        <f>OBRA!U726</f>
        <v>TERRACERÍAS Y PAVIMENTOS DE LA RIBERA, S.A. DE C.V.</v>
      </c>
      <c r="J724" s="57" t="str">
        <f>OBRA!V726</f>
        <v>C. DANIEL RODRIGUEZ VALENZUELA</v>
      </c>
      <c r="K724" s="20" t="str">
        <f>OBRA!L726</f>
        <v>CSS-OP-CC-003/2023</v>
      </c>
      <c r="L724" s="2" t="str">
        <f>OBRA!M726</f>
        <v>CONCURSO SIMPLIFICADO SUMARIO</v>
      </c>
      <c r="M724" s="3" t="str">
        <f>OBRA!N726</f>
        <v>“CONSTRUCCIÓN DE LINEA DE DRENAJE, LINEA DE AGUA POTABLE, HUELLA DE CONCRETO Y EMPEDRADO AHOGADO EN CONCRETO EN LA CALLE JOSEFA ORTIZ DE DOMINGUEZ DE CALLE FILÓSOFOS HASTA EL LIBRAMIENTO”, EN LA CABECERA MUNICIPAL DE JOCOTEPEC, JALISCO.</v>
      </c>
      <c r="N724" s="597"/>
      <c r="O724" s="6">
        <f>OBRA!Q726</f>
        <v>44981</v>
      </c>
      <c r="P724" s="4">
        <f>OBRA!P726</f>
        <v>4378573.75</v>
      </c>
      <c r="Q724" s="4"/>
      <c r="R724" s="5">
        <f>OBRA!R726</f>
        <v>44987</v>
      </c>
      <c r="S724" s="12">
        <f>OBRA!S726</f>
        <v>45048</v>
      </c>
      <c r="T724" s="792"/>
      <c r="U724" s="223"/>
      <c r="V724" s="558"/>
      <c r="W724" s="559"/>
      <c r="X724" s="590">
        <f>OBRA!AP726</f>
        <v>875714.74</v>
      </c>
      <c r="Y724" s="341"/>
      <c r="Z724" s="341"/>
      <c r="AA724" s="5"/>
      <c r="AB724" s="351">
        <f>OBRA!BT726</f>
        <v>0</v>
      </c>
      <c r="AC724" s="569"/>
      <c r="AE724"/>
      <c r="AF724"/>
      <c r="AG724"/>
      <c r="AH724"/>
      <c r="AI724"/>
      <c r="AJ724"/>
      <c r="AK724"/>
      <c r="AL724"/>
    </row>
    <row r="725" spans="1:38" ht="15" hidden="1" customHeight="1">
      <c r="A725" s="23" t="s">
        <v>2239</v>
      </c>
      <c r="B725" s="933">
        <f>GRAL!B881</f>
        <v>0</v>
      </c>
      <c r="C725" s="17">
        <f>OBRA!I727</f>
        <v>2023</v>
      </c>
      <c r="D725" s="18" t="str">
        <f>OBRA!K727</f>
        <v>RAMO 33</v>
      </c>
      <c r="E725" s="1374"/>
      <c r="F725" s="1300"/>
      <c r="G725" s="239"/>
      <c r="H725" s="1300"/>
      <c r="I725" s="56" t="str">
        <f>OBRA!U727</f>
        <v>URBANIZADORA Y PAVIMENTADORA MONLE S.A. DE C.V.</v>
      </c>
      <c r="J725" s="57" t="str">
        <f>OBRA!V727</f>
        <v>ING. J. GUADALUPE IBARRA RAMIREZ</v>
      </c>
      <c r="K725" s="20" t="str">
        <f>OBRA!L727</f>
        <v>GMJ 004C OP/2023</v>
      </c>
      <c r="L725" s="2" t="str">
        <f>OBRA!M727</f>
        <v>ADJUDICACIÓN DIRECTA</v>
      </c>
      <c r="M725" s="3" t="str">
        <f>OBRA!N727</f>
        <v>"COMPLEMENTO DE OBRA: EQUIPAMIENTO, ELECTRIFICACIÓN, TREN DE DESCARGA, CASETA DE CLORACIÓN, CERCADO PERIMETRAL Y PUESTA EN MARCHA DEL POZO DE AGUA", EN LA LOCALIDAD DE CHANTEPEC DEL MUNICIPIO DE JOCOTEPEC, JALISCO.</v>
      </c>
      <c r="N725" s="597"/>
      <c r="O725" s="6">
        <f>OBRA!Q727</f>
        <v>45036</v>
      </c>
      <c r="P725" s="4">
        <f>OBRA!P727</f>
        <v>1196296.56</v>
      </c>
      <c r="Q725" s="4"/>
      <c r="R725" s="5">
        <f>OBRA!R727</f>
        <v>45048</v>
      </c>
      <c r="S725" s="12">
        <f>OBRA!S727</f>
        <v>45079</v>
      </c>
      <c r="T725" s="792"/>
      <c r="U725" s="223"/>
      <c r="V725" s="558"/>
      <c r="W725" s="559"/>
      <c r="X725" s="590">
        <f>OBRA!AP727</f>
        <v>584851.71</v>
      </c>
      <c r="Y725" s="341"/>
      <c r="Z725" s="341"/>
      <c r="AA725" s="5"/>
      <c r="AB725" s="351">
        <f>OBRA!BT727</f>
        <v>0</v>
      </c>
      <c r="AC725" s="569"/>
      <c r="AE725"/>
      <c r="AF725"/>
      <c r="AG725"/>
      <c r="AH725"/>
      <c r="AI725"/>
      <c r="AJ725"/>
      <c r="AK725"/>
      <c r="AL725"/>
    </row>
    <row r="726" spans="1:38" ht="15" hidden="1" customHeight="1">
      <c r="A726" s="23" t="s">
        <v>2239</v>
      </c>
      <c r="B726" s="933">
        <f>GRAL!B882</f>
        <v>0</v>
      </c>
      <c r="C726" s="17">
        <f>OBRA!I728</f>
        <v>2023</v>
      </c>
      <c r="D726" s="18" t="str">
        <f>OBRA!K728</f>
        <v>RAMO 33</v>
      </c>
      <c r="E726" s="1374"/>
      <c r="F726" s="1300"/>
      <c r="G726" s="239"/>
      <c r="H726" s="1300"/>
      <c r="I726" s="56" t="str">
        <f>OBRA!U728</f>
        <v>CONSTRUCTORA ELÉCTRICA DEL LAGO S.A. DE C.V.</v>
      </c>
      <c r="J726" s="57" t="str">
        <f>OBRA!V728</f>
        <v>ING. J. GUADALUPE IBARRA RAMIREZ</v>
      </c>
      <c r="K726" s="20" t="str">
        <f>OBRA!L728</f>
        <v>GMJ 005C OP/2023</v>
      </c>
      <c r="L726" s="2" t="str">
        <f>OBRA!M728</f>
        <v>ADJUDICACIÓN DIRECTA</v>
      </c>
      <c r="M726" s="3" t="str">
        <f>OBRA!N728</f>
        <v>"COMPLEMENTO DE OBRA: EQUIPAMIENTO, ELECTRIFICACIÓN, TREN DE DESCARGA, CASETA DE CLORACIÓN, CERCADO PERIMETRAL Y PUESTA EN MARCHA DEL POZO DE AGUA", EN LA LOCALIDAD DE CHANTEPEC DEL MUNICIPIO DE JOCOTEPEC, JALISCO.</v>
      </c>
      <c r="N726" s="597"/>
      <c r="O726" s="6">
        <f>OBRA!Q728</f>
        <v>45044</v>
      </c>
      <c r="P726" s="4">
        <f>OBRA!P728</f>
        <v>544139.78</v>
      </c>
      <c r="Q726" s="4"/>
      <c r="R726" s="5">
        <f>OBRA!R728</f>
        <v>45054</v>
      </c>
      <c r="S726" s="12">
        <f>OBRA!S728</f>
        <v>45086</v>
      </c>
      <c r="T726" s="792"/>
      <c r="U726" s="223"/>
      <c r="V726" s="558"/>
      <c r="W726" s="559"/>
      <c r="X726" s="590">
        <f>OBRA!AP728</f>
        <v>272069.87</v>
      </c>
      <c r="Y726" s="341"/>
      <c r="Z726" s="341"/>
      <c r="AA726" s="5"/>
      <c r="AB726" s="351">
        <f>OBRA!BT728</f>
        <v>0</v>
      </c>
      <c r="AC726" s="569"/>
      <c r="AE726"/>
      <c r="AF726"/>
      <c r="AG726"/>
      <c r="AH726"/>
      <c r="AI726"/>
      <c r="AJ726"/>
      <c r="AK726"/>
      <c r="AL726"/>
    </row>
    <row r="727" spans="1:38" ht="15" hidden="1" customHeight="1">
      <c r="A727" s="23" t="s">
        <v>2239</v>
      </c>
      <c r="B727" s="933">
        <f>GRAL!B883</f>
        <v>0</v>
      </c>
      <c r="C727" s="17">
        <f>OBRA!I729</f>
        <v>2023</v>
      </c>
      <c r="D727" s="18" t="str">
        <f>OBRA!K729</f>
        <v>CUENTA CORRIENTE</v>
      </c>
      <c r="E727" s="1374"/>
      <c r="F727" s="1300"/>
      <c r="G727" s="239"/>
      <c r="H727" s="1300"/>
      <c r="I727" s="56" t="str">
        <f>OBRA!U729</f>
        <v>ESTRUCTURAS PLANEADAS DE OCCIDENTE, S.A. DE C.V.</v>
      </c>
      <c r="J727" s="57" t="str">
        <f>OBRA!V729</f>
        <v>ARQ. JAIME CONDE GOMEZ</v>
      </c>
      <c r="K727" s="20" t="str">
        <f>OBRA!L729</f>
        <v>GMJ 006C OP/2023</v>
      </c>
      <c r="L727" s="2" t="str">
        <f>OBRA!M729</f>
        <v>ADJUDICACIÓN DIRECTA</v>
      </c>
      <c r="M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N727" s="597"/>
      <c r="O727" s="6">
        <f>OBRA!Q729</f>
        <v>45042</v>
      </c>
      <c r="P727" s="4">
        <f>OBRA!P729</f>
        <v>584259.75</v>
      </c>
      <c r="Q727" s="4"/>
      <c r="R727" s="5">
        <f>OBRA!R729</f>
        <v>45048</v>
      </c>
      <c r="S727" s="12">
        <f>OBRA!S729</f>
        <v>45168</v>
      </c>
      <c r="T727" s="792"/>
      <c r="U727" s="223"/>
      <c r="V727" s="558"/>
      <c r="W727" s="559"/>
      <c r="X727" s="590">
        <f>OBRA!AP729</f>
        <v>77410.84</v>
      </c>
      <c r="Y727" s="341"/>
      <c r="Z727" s="341"/>
      <c r="AA727" s="5"/>
      <c r="AB727" s="351">
        <f>OBRA!BT729</f>
        <v>0</v>
      </c>
      <c r="AC727" s="569"/>
      <c r="AE727"/>
      <c r="AF727"/>
      <c r="AG727"/>
      <c r="AH727"/>
      <c r="AI727"/>
      <c r="AJ727"/>
      <c r="AK727"/>
      <c r="AL727"/>
    </row>
    <row r="728" spans="1:38" ht="15" hidden="1" customHeight="1">
      <c r="A728" s="23" t="s">
        <v>2239</v>
      </c>
      <c r="B728" s="933">
        <f>GRAL!B884</f>
        <v>0</v>
      </c>
      <c r="C728" s="17">
        <f>OBRA!I730</f>
        <v>2023</v>
      </c>
      <c r="D728" s="18" t="str">
        <f>OBRA!K730</f>
        <v>CUENTA CORRIENTE</v>
      </c>
      <c r="E728" s="1374"/>
      <c r="F728" s="1300"/>
      <c r="G728" s="239"/>
      <c r="H728" s="1300"/>
      <c r="I728" s="56" t="str">
        <f>OBRA!U730</f>
        <v>EDIFICACIONES Y TERRACERIAS CH, S.A. DE C.V.</v>
      </c>
      <c r="J728" s="57" t="str">
        <f>OBRA!V730</f>
        <v>C. DANIEL RODRIGUEZ VALENZUELA</v>
      </c>
      <c r="K728" s="20" t="str">
        <f>OBRA!L730</f>
        <v>GMJ 007C OP/2023</v>
      </c>
      <c r="L728" s="2" t="str">
        <f>OBRA!M730</f>
        <v>ADJUDICACIÓN DIRECTA</v>
      </c>
      <c r="M728" s="3" t="str">
        <f>OBRA!N730</f>
        <v>“CONSTRUCCIÓN DE LÍNEA DE ABASTECIMIENTO DE AGUA POTABLE DE 6” EN CALLE JOSEFA ORTÍZ DE DOMINGUEZ DEL LIBRAMIENTO AL DEPÓSITO DE AGUA”, EN LA CABECERA MUNICIPAL DE JOCOTEPEC, JALISCO.</v>
      </c>
      <c r="N728" s="597"/>
      <c r="O728" s="6">
        <f>OBRA!Q730</f>
        <v>45056</v>
      </c>
      <c r="P728" s="4">
        <f>OBRA!P730</f>
        <v>387303.55</v>
      </c>
      <c r="Q728" s="4"/>
      <c r="R728" s="5">
        <f>OBRA!R730</f>
        <v>45061</v>
      </c>
      <c r="S728" s="12">
        <f>OBRA!S730</f>
        <v>45090</v>
      </c>
      <c r="T728" s="792"/>
      <c r="U728" s="223"/>
      <c r="V728" s="558"/>
      <c r="W728" s="559"/>
      <c r="X728" s="590">
        <f>OBRA!AP730</f>
        <v>77460.7</v>
      </c>
      <c r="Y728" s="341"/>
      <c r="Z728" s="341"/>
      <c r="AA728" s="5"/>
      <c r="AB728" s="351">
        <f>OBRA!BT730</f>
        <v>0</v>
      </c>
      <c r="AC728" s="569"/>
      <c r="AE728"/>
      <c r="AF728"/>
      <c r="AG728"/>
      <c r="AH728"/>
      <c r="AI728"/>
      <c r="AJ728"/>
      <c r="AK728"/>
      <c r="AL728"/>
    </row>
    <row r="729" spans="1:38" ht="15" hidden="1" customHeight="1">
      <c r="A729" s="23" t="s">
        <v>2239</v>
      </c>
      <c r="B729" s="933">
        <f>GRAL!B885</f>
        <v>0</v>
      </c>
      <c r="C729" s="17">
        <f>OBRA!I731</f>
        <v>2023</v>
      </c>
      <c r="D729" s="18" t="str">
        <f>OBRA!K731</f>
        <v>CUENTA CORRIENTE</v>
      </c>
      <c r="E729" s="1374"/>
      <c r="F729" s="1300"/>
      <c r="G729" s="239"/>
      <c r="H729" s="1300"/>
      <c r="I729" s="56" t="str">
        <f>OBRA!U731</f>
        <v>ESTRUCTURAS PLANEADAS DE OCCIDENTE, S.A. DE C.V.</v>
      </c>
      <c r="J729" s="57" t="str">
        <f>OBRA!V731</f>
        <v>ING. J. GUADALUPE IBARRA RAMIREZ</v>
      </c>
      <c r="K729" s="20" t="str">
        <f>OBRA!L731</f>
        <v>GMJ 008C OP/2023</v>
      </c>
      <c r="L729" s="2" t="str">
        <f>OBRA!M731</f>
        <v>ADJUDICACIÓN DIRECTA</v>
      </c>
      <c r="M729" s="3" t="str">
        <f>OBRA!N731</f>
        <v>“REPARACIÓN DE TANQUE ALMACENAMIENTO DE AGUA POTABLE ZONA NORTE”, EN LA CABECERA MUNICIPAL DE JOCOTEPEC, JALISCO</v>
      </c>
      <c r="N729" s="597"/>
      <c r="O729" s="6">
        <f>OBRA!Q731</f>
        <v>45056</v>
      </c>
      <c r="P729" s="4">
        <f>OBRA!P731</f>
        <v>374761.47</v>
      </c>
      <c r="Q729" s="4"/>
      <c r="R729" s="5">
        <f>OBRA!R731</f>
        <v>45061</v>
      </c>
      <c r="S729" s="12">
        <f>OBRA!S731</f>
        <v>45086</v>
      </c>
      <c r="T729" s="792"/>
      <c r="U729" s="223"/>
      <c r="V729" s="558"/>
      <c r="W729" s="559"/>
      <c r="X729" s="590">
        <f>OBRA!AP731</f>
        <v>86551.25</v>
      </c>
      <c r="Y729" s="341"/>
      <c r="Z729" s="341"/>
      <c r="AA729" s="5"/>
      <c r="AB729" s="351">
        <f>OBRA!BT731</f>
        <v>0</v>
      </c>
      <c r="AC729" s="569"/>
      <c r="AE729"/>
      <c r="AF729"/>
      <c r="AG729"/>
      <c r="AH729"/>
      <c r="AI729"/>
      <c r="AJ729"/>
      <c r="AK729"/>
      <c r="AL729"/>
    </row>
    <row r="730" spans="1:38" ht="15" hidden="1" customHeight="1">
      <c r="A730" s="23" t="s">
        <v>2239</v>
      </c>
      <c r="B730" s="933">
        <f>GRAL!B886</f>
        <v>0</v>
      </c>
      <c r="C730" s="17">
        <f>OBRA!I732</f>
        <v>2023</v>
      </c>
      <c r="D730" s="18" t="str">
        <f>OBRA!K732</f>
        <v>CUENTA CORRIENTE</v>
      </c>
      <c r="E730" s="1374"/>
      <c r="F730" s="1300"/>
      <c r="G730" s="239"/>
      <c r="H730" s="1300"/>
      <c r="I730" s="56" t="str">
        <f>OBRA!U732</f>
        <v>EDIFICACIONES Y TERRACERIAS CH, S.A. DE C.V.</v>
      </c>
      <c r="J730" s="57" t="str">
        <f>OBRA!V732</f>
        <v>C. DANIEL RODRIGUEZ VALENZUELA</v>
      </c>
      <c r="K730" s="20" t="str">
        <f>OBRA!L732</f>
        <v>GMJ 009C OP/2023</v>
      </c>
      <c r="L730" s="2" t="str">
        <f>OBRA!M732</f>
        <v>ADJUDICACIÓN DIRECTA</v>
      </c>
      <c r="M730" s="3" t="str">
        <f>OBRA!N732</f>
        <v>“CONSTRUCCIÓN DE LÍNEA DE ABASTECIMIENTO DE AGUA POTABLE DE 6” EN CALLE JOSEFA ORTÍZ DE DOMINGUEZ DEL LIBRAMIENTO A CALLE FILÓSOFOS”, EN LA CABECERA MUNICIPAL DE JOCOTEPEC, JALISCO</v>
      </c>
      <c r="N730" s="597"/>
      <c r="O730" s="6">
        <f>OBRA!Q732</f>
        <v>45056</v>
      </c>
      <c r="P730" s="4">
        <f>OBRA!P732</f>
        <v>835320.31999999995</v>
      </c>
      <c r="Q730" s="4"/>
      <c r="R730" s="5">
        <f>OBRA!R732</f>
        <v>45061</v>
      </c>
      <c r="S730" s="12">
        <f>OBRA!S732</f>
        <v>45090</v>
      </c>
      <c r="T730" s="792"/>
      <c r="U730" s="223"/>
      <c r="V730" s="558"/>
      <c r="W730" s="559"/>
      <c r="X730" s="590">
        <f>OBRA!AP732</f>
        <v>0</v>
      </c>
      <c r="Y730" s="341"/>
      <c r="Z730" s="341"/>
      <c r="AA730" s="5"/>
      <c r="AB730" s="351">
        <f>OBRA!BT732</f>
        <v>0</v>
      </c>
      <c r="AC730" s="569"/>
      <c r="AE730"/>
      <c r="AF730"/>
      <c r="AG730"/>
      <c r="AH730"/>
      <c r="AI730"/>
      <c r="AJ730"/>
      <c r="AK730"/>
      <c r="AL730"/>
    </row>
    <row r="731" spans="1:38" ht="15" hidden="1" customHeight="1">
      <c r="A731" s="23" t="s">
        <v>2239</v>
      </c>
      <c r="B731" s="933">
        <f>GRAL!B887</f>
        <v>0</v>
      </c>
      <c r="C731" s="17">
        <f>OBRA!I733</f>
        <v>2023</v>
      </c>
      <c r="D731" s="18" t="str">
        <f>OBRA!K733</f>
        <v>CUENTA CORRIENTE</v>
      </c>
      <c r="E731" s="1374"/>
      <c r="F731" s="1300"/>
      <c r="G731" s="239"/>
      <c r="H731" s="1300"/>
      <c r="I731" s="56" t="str">
        <f>OBRA!U733</f>
        <v>ESTRUCTURAS PLANEADAS DE OCCIDENTE, S.A. DE C.V.</v>
      </c>
      <c r="J731" s="57" t="str">
        <f>OBRA!V733</f>
        <v>ING. J. GUADALUPE IBARRA RAMIREZ</v>
      </c>
      <c r="K731" s="20" t="str">
        <f>OBRA!L733</f>
        <v>GMJ 010C OP/2023</v>
      </c>
      <c r="L731" s="2" t="str">
        <f>OBRA!M733</f>
        <v>ADJUDICACIÓN DIRECTA</v>
      </c>
      <c r="M731" s="3" t="str">
        <f>OBRA!N733</f>
        <v>“REPARACIÓN DE TANQUE ALMACENAMIENTO DE AGUA POTABLE”, EN LA LOCALIDAD DE SAN CRISTÓBAL ZAPOTITLÁN DEL MUNICIPIO DE JOCOTEPEC, JALISCO</v>
      </c>
      <c r="N731" s="597"/>
      <c r="O731" s="6">
        <f>OBRA!Q733</f>
        <v>45059</v>
      </c>
      <c r="P731" s="4">
        <f>OBRA!P733</f>
        <v>168796.66</v>
      </c>
      <c r="Q731" s="4"/>
      <c r="R731" s="5">
        <f>OBRA!R733</f>
        <v>45075</v>
      </c>
      <c r="S731" s="12">
        <f>OBRA!S733</f>
        <v>45094</v>
      </c>
      <c r="T731" s="792"/>
      <c r="U731" s="223"/>
      <c r="V731" s="558"/>
      <c r="W731" s="559"/>
      <c r="X731" s="590">
        <f>OBRA!AP733</f>
        <v>42295.46</v>
      </c>
      <c r="Y731" s="341"/>
      <c r="Z731" s="341"/>
      <c r="AA731" s="5"/>
      <c r="AB731" s="351">
        <f>OBRA!BT733</f>
        <v>0</v>
      </c>
      <c r="AC731" s="569"/>
      <c r="AE731"/>
      <c r="AF731"/>
      <c r="AG731"/>
      <c r="AH731"/>
      <c r="AI731"/>
      <c r="AJ731"/>
      <c r="AK731"/>
      <c r="AL731"/>
    </row>
    <row r="732" spans="1:38" ht="15" hidden="1" customHeight="1">
      <c r="A732" s="23" t="s">
        <v>2239</v>
      </c>
      <c r="B732" s="933">
        <f>GRAL!B888</f>
        <v>0</v>
      </c>
      <c r="C732" s="17">
        <f>OBRA!I734</f>
        <v>2023</v>
      </c>
      <c r="D732" s="18" t="str">
        <f>OBRA!K734</f>
        <v>CUENTA CORRIENTE</v>
      </c>
      <c r="E732" s="1374"/>
      <c r="F732" s="1300"/>
      <c r="G732" s="239"/>
      <c r="H732" s="1300"/>
      <c r="I732" s="56" t="str">
        <f>OBRA!U734</f>
        <v>MANUEL PALOS VACA</v>
      </c>
      <c r="J732" s="57" t="str">
        <f>OBRA!V734</f>
        <v>C. DANIEL RODRIGUEZ VALENZUELA</v>
      </c>
      <c r="K732" s="20" t="str">
        <f>OBRA!L734</f>
        <v>GMJ 011C OP/2023</v>
      </c>
      <c r="L732" s="2" t="str">
        <f>OBRA!M734</f>
        <v>ADJUDICACIÓN DIRECTA</v>
      </c>
      <c r="M732" s="3" t="str">
        <f>OBRA!N734</f>
        <v>“CONSTRUCCIÓN DE REDES HIDROSANITARIAS EN CALLE FILÓSOFOS ENTRE CALLE HIDALGO NORTE Y CALLE ALLENDE”, EN LA CABECERA MUNICIPAL DE JOCOTEPEC, JALISCO</v>
      </c>
      <c r="N732" s="597"/>
      <c r="O732" s="6">
        <f>OBRA!Q734</f>
        <v>45141</v>
      </c>
      <c r="P732" s="4">
        <f>OBRA!P734</f>
        <v>254339.78</v>
      </c>
      <c r="Q732" s="4"/>
      <c r="R732" s="5">
        <f>OBRA!R734</f>
        <v>45187</v>
      </c>
      <c r="S732" s="12">
        <f>OBRA!S734</f>
        <v>45219</v>
      </c>
      <c r="T732" s="792"/>
      <c r="U732" s="223"/>
      <c r="V732" s="558"/>
      <c r="W732" s="559"/>
      <c r="X732" s="590">
        <f>OBRA!AP734</f>
        <v>135867.75</v>
      </c>
      <c r="Y732" s="341"/>
      <c r="Z732" s="341"/>
      <c r="AA732" s="5"/>
      <c r="AB732" s="351">
        <f>OBRA!BT734</f>
        <v>0</v>
      </c>
      <c r="AC732" s="569"/>
      <c r="AE732"/>
      <c r="AF732"/>
      <c r="AG732"/>
      <c r="AH732"/>
      <c r="AI732"/>
      <c r="AJ732"/>
      <c r="AK732"/>
      <c r="AL732"/>
    </row>
    <row r="733" spans="1:38" ht="15" hidden="1" customHeight="1">
      <c r="A733" s="23" t="s">
        <v>2239</v>
      </c>
      <c r="B733" s="933">
        <f>GRAL!B889</f>
        <v>0</v>
      </c>
      <c r="C733" s="17">
        <f>OBRA!I735</f>
        <v>2023</v>
      </c>
      <c r="D733" s="18" t="str">
        <f>OBRA!K735</f>
        <v>RAMO 33</v>
      </c>
      <c r="E733" s="1374"/>
      <c r="F733" s="1300"/>
      <c r="G733" s="239"/>
      <c r="H733" s="1300"/>
      <c r="I733" s="56" t="str">
        <f>OBRA!U735</f>
        <v>MANUEL PALOS VACA</v>
      </c>
      <c r="J733" s="57" t="str">
        <f>OBRA!V735</f>
        <v>C. DANIEL RODRIGUEZ VALENZUELA</v>
      </c>
      <c r="K733" s="20" t="str">
        <f>OBRA!L735</f>
        <v>GMJ 012C OP/2023</v>
      </c>
      <c r="L733" s="2" t="str">
        <f>OBRA!M735</f>
        <v>ADJUDICACIÓN DIRECTA</v>
      </c>
      <c r="M733" s="3" t="str">
        <f>OBRA!N735</f>
        <v>“CONSTRUCCIÓN DE REDES HIDROSANITARIAS EN CALLE FILÓSOFOS ENTRE CALLE INDEPENDENCIA Y CALLE JOSEFA ORTÍZ DE DOMÍNGUEZ”, EN LA CABECERA MUNICIPAL DE JOCOTEPEC, JALISCO</v>
      </c>
      <c r="N733" s="597"/>
      <c r="O733" s="6">
        <f>OBRA!Q735</f>
        <v>45141</v>
      </c>
      <c r="P733" s="4">
        <f>OBRA!P735</f>
        <v>553159.56000000006</v>
      </c>
      <c r="Q733" s="4"/>
      <c r="R733" s="5">
        <f>OBRA!R735</f>
        <v>45148</v>
      </c>
      <c r="S733" s="12">
        <f>OBRA!S735</f>
        <v>45170</v>
      </c>
      <c r="T733" s="792"/>
      <c r="U733" s="223"/>
      <c r="V733" s="558"/>
      <c r="W733" s="559"/>
      <c r="X733" s="590">
        <f>OBRA!AP735</f>
        <v>292025.84999999998</v>
      </c>
      <c r="Y733" s="341"/>
      <c r="Z733" s="341"/>
      <c r="AA733" s="5"/>
      <c r="AB733" s="351">
        <f>OBRA!BT735</f>
        <v>0</v>
      </c>
      <c r="AC733" s="569"/>
      <c r="AE733"/>
      <c r="AF733"/>
      <c r="AG733"/>
      <c r="AH733"/>
      <c r="AI733"/>
      <c r="AJ733"/>
      <c r="AK733"/>
      <c r="AL733"/>
    </row>
    <row r="734" spans="1:38" ht="15" hidden="1" customHeight="1">
      <c r="A734" s="23" t="s">
        <v>2239</v>
      </c>
      <c r="B734" s="933">
        <f>GRAL!B890</f>
        <v>0</v>
      </c>
      <c r="C734" s="17">
        <f>OBRA!I736</f>
        <v>2023</v>
      </c>
      <c r="D734" s="18" t="str">
        <f>OBRA!K736</f>
        <v>RAMO 33</v>
      </c>
      <c r="E734" s="1374"/>
      <c r="F734" s="1300"/>
      <c r="G734" s="239"/>
      <c r="H734" s="1300"/>
      <c r="I734" s="56" t="str">
        <f>OBRA!U736</f>
        <v>EDIFICACIONES Y TERRACERIAS CH, S.A. DE C.V.</v>
      </c>
      <c r="J734" s="57" t="str">
        <f>OBRA!V736</f>
        <v>C. DANIEL RODRIGUEZ VALENZUELA</v>
      </c>
      <c r="K734" s="20" t="str">
        <f>OBRA!L736</f>
        <v>GMJ 013C OP/2023</v>
      </c>
      <c r="L734" s="2" t="str">
        <f>OBRA!M736</f>
        <v>ADJUDICACIÓN DIRECTA</v>
      </c>
      <c r="M734" s="3" t="str">
        <f>OBRA!N736</f>
        <v>“CONSTRUCCIÓN DE RED DE DRENAJE SANITARIO Y RED DE AGUA POTABLE EN CALLE PLAYAS DE LA LAGUNA”, EN LA LOCALIDAD DE CHANTEPEC DEL MUNICIPIO DE JOCOTEPEC, JALISCO</v>
      </c>
      <c r="N734" s="597"/>
      <c r="O734" s="6">
        <f>OBRA!Q736</f>
        <v>45105</v>
      </c>
      <c r="P734" s="4">
        <f>OBRA!P736</f>
        <v>724743.66</v>
      </c>
      <c r="Q734" s="4"/>
      <c r="R734" s="5">
        <f>OBRA!R736</f>
        <v>45110</v>
      </c>
      <c r="S734" s="12">
        <f>OBRA!S736</f>
        <v>45141</v>
      </c>
      <c r="T734" s="792"/>
      <c r="U734" s="223"/>
      <c r="V734" s="558"/>
      <c r="W734" s="559"/>
      <c r="X734" s="590">
        <f>OBRA!AP736</f>
        <v>362371.81</v>
      </c>
      <c r="Y734" s="341"/>
      <c r="Z734" s="341"/>
      <c r="AA734" s="5"/>
      <c r="AB734" s="351">
        <f>OBRA!BT736</f>
        <v>0</v>
      </c>
      <c r="AC734" s="569"/>
      <c r="AE734"/>
      <c r="AF734"/>
      <c r="AG734"/>
      <c r="AH734"/>
      <c r="AI734"/>
      <c r="AJ734"/>
      <c r="AK734"/>
      <c r="AL734"/>
    </row>
    <row r="735" spans="1:38" ht="15" hidden="1" customHeight="1">
      <c r="A735" s="23" t="s">
        <v>2239</v>
      </c>
      <c r="B735" s="933">
        <f>GRAL!B891</f>
        <v>0</v>
      </c>
      <c r="C735" s="17">
        <f>OBRA!I737</f>
        <v>2023</v>
      </c>
      <c r="D735" s="18" t="str">
        <f>OBRA!K737</f>
        <v>RAMO 33</v>
      </c>
      <c r="E735" s="1374"/>
      <c r="F735" s="1300"/>
      <c r="G735" s="239"/>
      <c r="H735" s="1300"/>
      <c r="I735" s="56" t="str">
        <f>OBRA!U737</f>
        <v>EDIFICACIONES Y TERRACERIAS CH, S.A. DE C.V.</v>
      </c>
      <c r="J735" s="57" t="str">
        <f>OBRA!V737</f>
        <v>C. DANIEL RODRIGUEZ VALENZUELA</v>
      </c>
      <c r="K735" s="20" t="str">
        <f>OBRA!L737</f>
        <v>GMJ 014C OP/2023</v>
      </c>
      <c r="L735" s="2" t="str">
        <f>OBRA!M737</f>
        <v>ADJUDICACIÓN DIRECTA</v>
      </c>
      <c r="M735" s="3" t="str">
        <f>OBRA!N737</f>
        <v>“CONSTRUCCIÓN DE RED DE DRENAJE SANITARIO Y RED DE AGUA POTABLE EN CALLE PLAYA AZUL”, EN LA LOCALIDAD DE CHANTEPEC DEL MUNICIPIO DE JOCOTEPEC, JALISCO</v>
      </c>
      <c r="N735" s="597"/>
      <c r="O735" s="6">
        <f>OBRA!Q737</f>
        <v>45105</v>
      </c>
      <c r="P735" s="4">
        <f>OBRA!P737</f>
        <v>543995.47</v>
      </c>
      <c r="Q735" s="4"/>
      <c r="R735" s="5">
        <f>OBRA!R737</f>
        <v>45110</v>
      </c>
      <c r="S735" s="12">
        <f>OBRA!S737</f>
        <v>45141</v>
      </c>
      <c r="T735" s="792"/>
      <c r="U735" s="223"/>
      <c r="V735" s="558"/>
      <c r="W735" s="559"/>
      <c r="X735" s="590">
        <f>OBRA!AP737</f>
        <v>163198.62</v>
      </c>
      <c r="Y735" s="341"/>
      <c r="Z735" s="341"/>
      <c r="AA735" s="5"/>
      <c r="AB735" s="351">
        <f>OBRA!BT737</f>
        <v>0</v>
      </c>
      <c r="AC735" s="569"/>
      <c r="AE735"/>
      <c r="AF735"/>
      <c r="AG735"/>
      <c r="AH735"/>
      <c r="AI735"/>
      <c r="AJ735"/>
      <c r="AK735"/>
      <c r="AL735"/>
    </row>
    <row r="736" spans="1:38" ht="15" hidden="1" customHeight="1">
      <c r="A736" s="23" t="s">
        <v>2239</v>
      </c>
      <c r="B736" s="933">
        <f>GRAL!B892</f>
        <v>0</v>
      </c>
      <c r="C736" s="17">
        <f>OBRA!I738</f>
        <v>2023</v>
      </c>
      <c r="D736" s="18" t="str">
        <f>OBRA!K738</f>
        <v>CUENTA CORRIENTE</v>
      </c>
      <c r="E736" s="1374"/>
      <c r="F736" s="1300"/>
      <c r="G736" s="239"/>
      <c r="H736" s="1300"/>
      <c r="I736" s="56" t="str">
        <f>OBRA!U738</f>
        <v>ALSERCON SA DE CV</v>
      </c>
      <c r="J736" s="57" t="str">
        <f>OBRA!V738</f>
        <v>C. DANIEL RODRIGUEZ VALENZUELA</v>
      </c>
      <c r="K736" s="20" t="str">
        <f>OBRA!L738</f>
        <v>GMJ 015C OP/2023</v>
      </c>
      <c r="L736" s="2" t="str">
        <f>OBRA!M738</f>
        <v>ADJUDICACIÓN DIRECTA</v>
      </c>
      <c r="M736" s="3" t="str">
        <f>OBRA!N738</f>
        <v>“TERMINACIÓN DE DEPÓSITO DE AGUA, LÍNEA DE LLENADO Y DISTRIBUCIÓN DE AGUA POTABLE EN CUARTEL DE LA GUARDIA NACIONAL (OBRA CIVIL)”, EN LA LOCALIDAD DE POTRERILLOS DEL MUNICIPIO DE JOCOTEPEC, JALISCO</v>
      </c>
      <c r="N736" s="597"/>
      <c r="O736" s="6">
        <f>OBRA!Q738</f>
        <v>45105</v>
      </c>
      <c r="P736" s="4">
        <f>OBRA!P738</f>
        <v>703136.32</v>
      </c>
      <c r="Q736" s="4"/>
      <c r="R736" s="5">
        <f>OBRA!R738</f>
        <v>45113</v>
      </c>
      <c r="S736" s="12">
        <f>OBRA!S738</f>
        <v>45168</v>
      </c>
      <c r="T736" s="792"/>
      <c r="U736" s="223"/>
      <c r="V736" s="558"/>
      <c r="W736" s="559"/>
      <c r="X736" s="590">
        <f>OBRA!AP738</f>
        <v>368380.80000000005</v>
      </c>
      <c r="Y736" s="341"/>
      <c r="Z736" s="341"/>
      <c r="AA736" s="5"/>
      <c r="AB736" s="351">
        <f>OBRA!BT738</f>
        <v>0</v>
      </c>
      <c r="AC736" s="569"/>
      <c r="AE736"/>
      <c r="AF736"/>
      <c r="AG736"/>
      <c r="AH736"/>
      <c r="AI736"/>
      <c r="AJ736"/>
      <c r="AK736"/>
      <c r="AL736"/>
    </row>
    <row r="737" spans="1:38" ht="15" hidden="1" customHeight="1">
      <c r="A737" s="23" t="s">
        <v>2239</v>
      </c>
      <c r="B737" s="933">
        <f>GRAL!B893</f>
        <v>0</v>
      </c>
      <c r="C737" s="17">
        <f>OBRA!I739</f>
        <v>2023</v>
      </c>
      <c r="D737" s="18" t="str">
        <f>OBRA!K739</f>
        <v>CUENTA CORRIENTE</v>
      </c>
      <c r="E737" s="1374"/>
      <c r="F737" s="1300"/>
      <c r="G737" s="239"/>
      <c r="H737" s="1300"/>
      <c r="I737" s="56" t="str">
        <f>OBRA!U739</f>
        <v>C. ANA LUZ HIDALGO VELA</v>
      </c>
      <c r="J737" s="57" t="str">
        <f>OBRA!V739</f>
        <v>ARQ. JAIME CONDE GOMEZ</v>
      </c>
      <c r="K737" s="20" t="str">
        <f>OBRA!L739</f>
        <v>GMJ 016C OP/2023</v>
      </c>
      <c r="L737" s="2" t="str">
        <f>OBRA!M739</f>
        <v>ADJUDICACIÓN DIRECTA</v>
      </c>
      <c r="M737" s="3" t="str">
        <f>OBRA!N739</f>
        <v>“INTALACIÓN DE RIELERIA PARA EL PROCESO DE MATANZA EN RASTRO MUNICIPAL”, EN LA CABECERA MUNICIPAL DE JOCOTEPEC, JALISCO</v>
      </c>
      <c r="N737" s="597"/>
      <c r="O737" s="6">
        <f>OBRA!Q739</f>
        <v>45134</v>
      </c>
      <c r="P737" s="4">
        <f>OBRA!P739</f>
        <v>821212.44</v>
      </c>
      <c r="Q737" s="4"/>
      <c r="R737" s="5">
        <f>OBRA!R739</f>
        <v>45145</v>
      </c>
      <c r="S737" s="12">
        <f>OBRA!S739</f>
        <v>45169</v>
      </c>
      <c r="T737" s="792"/>
      <c r="U737" s="223"/>
      <c r="V737" s="558"/>
      <c r="W737" s="559"/>
      <c r="X737" s="590">
        <f>OBRA!AP739</f>
        <v>328484.97000000003</v>
      </c>
      <c r="Y737" s="341"/>
      <c r="Z737" s="341"/>
      <c r="AA737" s="5"/>
      <c r="AB737" s="351">
        <f>OBRA!BT739</f>
        <v>0</v>
      </c>
      <c r="AC737" s="569"/>
      <c r="AE737"/>
      <c r="AF737"/>
      <c r="AG737"/>
      <c r="AH737"/>
      <c r="AI737"/>
      <c r="AJ737"/>
      <c r="AK737"/>
      <c r="AL737"/>
    </row>
    <row r="738" spans="1:38" ht="15" hidden="1" customHeight="1">
      <c r="A738" s="23" t="s">
        <v>2239</v>
      </c>
      <c r="B738" s="933">
        <f>GRAL!B894</f>
        <v>0</v>
      </c>
      <c r="C738" s="17">
        <f>OBRA!I740</f>
        <v>2023</v>
      </c>
      <c r="D738" s="18" t="str">
        <f>OBRA!K740</f>
        <v>FOCOCI</v>
      </c>
      <c r="E738" s="1374"/>
      <c r="F738" s="1300"/>
      <c r="G738" s="239"/>
      <c r="H738" s="1300"/>
      <c r="I738" s="56" t="str">
        <f>OBRA!U740</f>
        <v>C. SERGIO CABRERA</v>
      </c>
      <c r="J738" s="57" t="str">
        <f>OBRA!V740</f>
        <v>C. DANIEL RODRIGUEZ VALENZUELA</v>
      </c>
      <c r="K738" s="20" t="str">
        <f>OBRA!L740</f>
        <v>CSS-OP-CC-017/2023</v>
      </c>
      <c r="L738" s="2" t="str">
        <f>OBRA!M740</f>
        <v>CONCURSO SIMPLIFICADO SUMARIO</v>
      </c>
      <c r="M738" s="3" t="str">
        <f>OBRA!N740</f>
        <v>“PAVIMENTACIÓN CON EMPEDRADO ZAMPEADO, EN CALLE LA PAZ EN LA DELEGACIÓN DE SAN JUAN COSALÁ, MUNICIPIO DE JOCOTEPEC, JALISCO”</v>
      </c>
      <c r="N738" s="597"/>
      <c r="O738" s="6">
        <f>OBRA!Q740</f>
        <v>45152</v>
      </c>
      <c r="P738" s="4">
        <f>OBRA!P740</f>
        <v>4998360.84</v>
      </c>
      <c r="Q738" s="4"/>
      <c r="R738" s="5">
        <f>OBRA!R740</f>
        <v>45155</v>
      </c>
      <c r="S738" s="12">
        <f>OBRA!S740</f>
        <v>45274</v>
      </c>
      <c r="T738" s="792"/>
      <c r="U738" s="223"/>
      <c r="V738" s="558"/>
      <c r="W738" s="559"/>
      <c r="X738" s="590">
        <f>OBRA!AP740</f>
        <v>0</v>
      </c>
      <c r="Y738" s="341"/>
      <c r="Z738" s="341"/>
      <c r="AA738" s="5"/>
      <c r="AB738" s="351">
        <f>OBRA!BT740</f>
        <v>0</v>
      </c>
      <c r="AC738" s="569"/>
      <c r="AE738"/>
      <c r="AF738"/>
      <c r="AG738"/>
      <c r="AH738"/>
      <c r="AI738"/>
      <c r="AJ738"/>
      <c r="AK738"/>
      <c r="AL738"/>
    </row>
    <row r="739" spans="1:38" ht="15" hidden="1" customHeight="1">
      <c r="A739" s="23" t="s">
        <v>2239</v>
      </c>
      <c r="B739" s="933">
        <f>GRAL!B895</f>
        <v>0</v>
      </c>
      <c r="C739" s="17">
        <f>OBRA!I741</f>
        <v>2023</v>
      </c>
      <c r="D739" s="18" t="str">
        <f>OBRA!K741</f>
        <v>RAMO 33</v>
      </c>
      <c r="E739" s="1374"/>
      <c r="F739" s="1300"/>
      <c r="G739" s="239"/>
      <c r="H739" s="1300"/>
      <c r="I739" s="56" t="str">
        <f>OBRA!U741</f>
        <v>ALSERCON SA DE CV</v>
      </c>
      <c r="J739" s="57" t="str">
        <f>OBRA!V741</f>
        <v>C. DANIEL RODRIGUEZ VALENZUELA</v>
      </c>
      <c r="K739" s="20" t="str">
        <f>OBRA!L741</f>
        <v>CSS-OP-CC-018/2023</v>
      </c>
      <c r="L739" s="2" t="str">
        <f>OBRA!M741</f>
        <v>CONCURSO SIMPLIFICADO SUMARIO</v>
      </c>
      <c r="M739" s="3" t="str">
        <f>OBRA!N741</f>
        <v>“CONSTRUCCIÓN DE SUPERFICIE DE RODAMIENTO EN CALLE PLAYAS DE LA LAGUNA”, EN LA LOCALIDAD DE CHANTEPEC, MUNICIPIO DE JOCOTEPEC, JALISCO</v>
      </c>
      <c r="N739" s="597"/>
      <c r="O739" s="6">
        <f>OBRA!Q741</f>
        <v>45168</v>
      </c>
      <c r="P739" s="4">
        <f>OBRA!P741</f>
        <v>2808816.17</v>
      </c>
      <c r="Q739" s="4"/>
      <c r="R739" s="5">
        <f>OBRA!R741</f>
        <v>45173</v>
      </c>
      <c r="S739" s="12">
        <f>OBRA!S741</f>
        <v>45237</v>
      </c>
      <c r="T739" s="792"/>
      <c r="U739" s="223"/>
      <c r="V739" s="558"/>
      <c r="W739" s="559"/>
      <c r="X739" s="590">
        <f>OBRA!AP741</f>
        <v>0</v>
      </c>
      <c r="Y739" s="341"/>
      <c r="Z739" s="341"/>
      <c r="AA739" s="5"/>
      <c r="AB739" s="351">
        <f>OBRA!BT741</f>
        <v>0</v>
      </c>
      <c r="AC739" s="569"/>
      <c r="AE739"/>
      <c r="AF739"/>
      <c r="AG739"/>
      <c r="AH739"/>
      <c r="AI739"/>
      <c r="AJ739"/>
      <c r="AK739"/>
      <c r="AL739"/>
    </row>
    <row r="740" spans="1:38" ht="15" hidden="1" customHeight="1">
      <c r="A740" s="23" t="s">
        <v>2239</v>
      </c>
      <c r="B740" s="933">
        <f>GRAL!B896</f>
        <v>0</v>
      </c>
      <c r="C740" s="17">
        <f>OBRA!I742</f>
        <v>2023</v>
      </c>
      <c r="D740" s="18" t="str">
        <f>OBRA!K742</f>
        <v>RAMO 33</v>
      </c>
      <c r="E740" s="1374"/>
      <c r="F740" s="1300"/>
      <c r="G740" s="239"/>
      <c r="H740" s="1300"/>
      <c r="I740" s="56" t="str">
        <f>OBRA!U742</f>
        <v>C. REFUGIO GUTIÉRREZ NIEVES</v>
      </c>
      <c r="J740" s="57" t="str">
        <f>OBRA!V742</f>
        <v>C. DANIEL RODRIGUEZ VALENZUELA</v>
      </c>
      <c r="K740" s="20" t="str">
        <f>OBRA!L742</f>
        <v>GMJ 019C OP/2023</v>
      </c>
      <c r="L740" s="2" t="str">
        <f>OBRA!M742</f>
        <v>ADJUDICACIÓN DIRECTA</v>
      </c>
      <c r="M740" s="3" t="str">
        <f>OBRA!N742</f>
        <v>“CONSTRUCCIÓN DE SUPERFICIE DE RODAMIENTO EN CALLE PLAYA AZUL”, EN LA LOCALIDAD DE CHANTEPEC, MUNICIPIO DE JOCOTEPEC, JALISCO</v>
      </c>
      <c r="N740" s="597"/>
      <c r="O740" s="6">
        <f>OBRA!Q742</f>
        <v>45168</v>
      </c>
      <c r="P740" s="4">
        <f>OBRA!P742</f>
        <v>2049615.46</v>
      </c>
      <c r="Q740" s="4"/>
      <c r="R740" s="5">
        <f>OBRA!R742</f>
        <v>45180</v>
      </c>
      <c r="S740" s="12">
        <f>OBRA!S742</f>
        <v>45230</v>
      </c>
      <c r="T740" s="792"/>
      <c r="U740" s="223"/>
      <c r="V740" s="558"/>
      <c r="W740" s="559"/>
      <c r="X740" s="590">
        <f>OBRA!AP742</f>
        <v>819846.19</v>
      </c>
      <c r="Y740" s="341"/>
      <c r="Z740" s="341"/>
      <c r="AA740" s="5"/>
      <c r="AB740" s="351">
        <f>OBRA!BT742</f>
        <v>0</v>
      </c>
      <c r="AC740" s="569"/>
      <c r="AE740"/>
      <c r="AF740"/>
      <c r="AG740"/>
      <c r="AH740"/>
      <c r="AI740"/>
      <c r="AJ740"/>
      <c r="AK740"/>
      <c r="AL740"/>
    </row>
    <row r="741" spans="1:38" ht="15" hidden="1" customHeight="1">
      <c r="A741" s="23" t="s">
        <v>2239</v>
      </c>
      <c r="B741" s="933">
        <f>GRAL!B897</f>
        <v>0</v>
      </c>
      <c r="C741" s="17">
        <f>OBRA!I743</f>
        <v>2023</v>
      </c>
      <c r="D741" s="18" t="str">
        <f>OBRA!K743</f>
        <v>CUENTA CORRIENTE</v>
      </c>
      <c r="E741" s="1374"/>
      <c r="F741" s="1300"/>
      <c r="G741" s="239"/>
      <c r="H741" s="1300"/>
      <c r="I741" s="56" t="str">
        <f>OBRA!U743</f>
        <v xml:space="preserve">DORIA &amp; SAMPIER CONSTRUCTORA, S.A. DE C.V. </v>
      </c>
      <c r="J741" s="57" t="str">
        <f>OBRA!V743</f>
        <v>ARQ. JAIME CONDE GOMEZ</v>
      </c>
      <c r="K741" s="20" t="str">
        <f>OBRA!L743</f>
        <v>GMJ 020C OP/2023</v>
      </c>
      <c r="L741" s="2" t="str">
        <f>OBRA!M743</f>
        <v>ADJUDICACIÓN DIRECTA</v>
      </c>
      <c r="M741" s="3" t="str">
        <f>OBRA!N743</f>
        <v>“REHABILITACIÓN DE PLAZA PRINCIPAL”, EN LA LOCALIDAD DE HUEJOTITÁN, MUNICIPIO DE JOCOTEPEC, JALISCO</v>
      </c>
      <c r="N741" s="597"/>
      <c r="O741" s="6">
        <f>OBRA!Q743</f>
        <v>45166</v>
      </c>
      <c r="P741" s="4">
        <f>OBRA!P743</f>
        <v>304838.93</v>
      </c>
      <c r="Q741" s="4"/>
      <c r="R741" s="5">
        <f>OBRA!R743</f>
        <v>45168</v>
      </c>
      <c r="S741" s="12">
        <f>OBRA!S743</f>
        <v>45199</v>
      </c>
      <c r="T741" s="792"/>
      <c r="U741" s="223"/>
      <c r="V741" s="558"/>
      <c r="W741" s="559"/>
      <c r="X741" s="590">
        <f>OBRA!AP743</f>
        <v>0</v>
      </c>
      <c r="Y741" s="341"/>
      <c r="Z741" s="341"/>
      <c r="AA741" s="5"/>
      <c r="AB741" s="351">
        <f>OBRA!BT743</f>
        <v>0</v>
      </c>
      <c r="AC741" s="569"/>
      <c r="AE741"/>
      <c r="AF741"/>
      <c r="AG741"/>
      <c r="AH741"/>
      <c r="AI741"/>
      <c r="AJ741"/>
      <c r="AK741"/>
      <c r="AL741"/>
    </row>
    <row r="742" spans="1:38" ht="15" hidden="1" customHeight="1">
      <c r="A742" s="23" t="s">
        <v>2239</v>
      </c>
      <c r="B742" s="933">
        <f>GRAL!B898</f>
        <v>0</v>
      </c>
      <c r="C742" s="17">
        <f>OBRA!I744</f>
        <v>2023</v>
      </c>
      <c r="D742" s="18" t="str">
        <f>OBRA!K744</f>
        <v>RAMO 33</v>
      </c>
      <c r="E742" s="1374"/>
      <c r="F742" s="1300"/>
      <c r="G742" s="239"/>
      <c r="H742" s="1300"/>
      <c r="I742" s="56" t="str">
        <f>OBRA!U744</f>
        <v>ING. SERGIO CABRERA</v>
      </c>
      <c r="J742" s="57" t="str">
        <f>OBRA!V744</f>
        <v>C. DANIEL RODRIGUEZ VALENZUELA</v>
      </c>
      <c r="K742" s="20" t="str">
        <f>OBRA!L744</f>
        <v>GMJ 021- OP/2023</v>
      </c>
      <c r="L742" s="2" t="str">
        <f>OBRA!M744</f>
        <v>ADJUDICACIÓN DIRECTA</v>
      </c>
      <c r="M742" s="3" t="str">
        <f>OBRA!N744</f>
        <v>"CONSTRUCCIÓN DE BANQUETAS E IMAGEN URBANA EN CALLE LA PAZ DE CALLE HIDALGO A CALLE ROTARIO Y CALLE ROTARIO DE CALLE LA PAZ A CARRETERA JOCOTEPEC-CHAPALA", EN LA LOCALIDAD DE SAN JUAN COSALÁ, MUNICIPIO DE JOCOTEPEC, JALISCO.</v>
      </c>
      <c r="N742" s="597"/>
      <c r="O742" s="6">
        <f>OBRA!Q744</f>
        <v>45203</v>
      </c>
      <c r="P742" s="4">
        <f>OBRA!P744</f>
        <v>853249.52</v>
      </c>
      <c r="Q742" s="4"/>
      <c r="R742" s="5">
        <f>OBRA!R744</f>
        <v>45209</v>
      </c>
      <c r="S742" s="12">
        <f>OBRA!S744</f>
        <v>45222</v>
      </c>
      <c r="T742" s="792"/>
      <c r="U742" s="223"/>
      <c r="V742" s="558"/>
      <c r="W742" s="559"/>
      <c r="X742" s="590">
        <f>OBRA!AP744</f>
        <v>341299.8</v>
      </c>
      <c r="Y742" s="341"/>
      <c r="Z742" s="341"/>
      <c r="AA742" s="5"/>
      <c r="AB742" s="351">
        <f>OBRA!BT744</f>
        <v>0</v>
      </c>
      <c r="AC742" s="569"/>
      <c r="AE742"/>
      <c r="AF742"/>
      <c r="AG742"/>
      <c r="AH742"/>
      <c r="AI742"/>
      <c r="AJ742"/>
      <c r="AK742"/>
      <c r="AL742"/>
    </row>
    <row r="743" spans="1:38" ht="15" hidden="1" customHeight="1">
      <c r="A743" s="23" t="s">
        <v>2239</v>
      </c>
      <c r="B743" s="933">
        <f>GRAL!B899</f>
        <v>0</v>
      </c>
      <c r="C743" s="17">
        <f>OBRA!I745</f>
        <v>2023</v>
      </c>
      <c r="D743" s="18" t="str">
        <f>OBRA!K745</f>
        <v>CUENTA CORRIENTE</v>
      </c>
      <c r="E743" s="1374"/>
      <c r="F743" s="1300"/>
      <c r="G743" s="239"/>
      <c r="H743" s="1300"/>
      <c r="I743" s="56" t="str">
        <f>OBRA!U745</f>
        <v>SOLEC ENERGY, S.A. DE C.V.</v>
      </c>
      <c r="J743" s="57" t="str">
        <f>OBRA!V745</f>
        <v>C. DANIEL RODRIGUEZ VALENZUELA</v>
      </c>
      <c r="K743" s="20" t="str">
        <f>OBRA!L745</f>
        <v>GMJ 022 OP/2023</v>
      </c>
      <c r="L743" s="2" t="str">
        <f>OBRA!M745</f>
        <v>ADJUDICACIÓN DIRECTA</v>
      </c>
      <c r="M743" s="3" t="str">
        <f>OBRA!N745</f>
        <v>"ELECTRIFICACIÓN DE POZO CAMICHINES UBICADO EN CALLE FRANCISCO VILLA", EN LA CABECERA MUNICIPAL DE JOCOTEPEC, JALISCO.</v>
      </c>
      <c r="N743" s="597"/>
      <c r="O743" s="6">
        <f>OBRA!Q745</f>
        <v>45212</v>
      </c>
      <c r="P743" s="4">
        <f>OBRA!P745</f>
        <v>247646.07999999999</v>
      </c>
      <c r="Q743" s="4"/>
      <c r="R743" s="5">
        <f>OBRA!R745</f>
        <v>45215</v>
      </c>
      <c r="S743" s="12">
        <f>OBRA!S745</f>
        <v>45258</v>
      </c>
      <c r="T743" s="792"/>
      <c r="U743" s="223"/>
      <c r="V743" s="558"/>
      <c r="W743" s="559"/>
      <c r="X743" s="590">
        <f>OBRA!AP745</f>
        <v>0</v>
      </c>
      <c r="Y743" s="341"/>
      <c r="Z743" s="341"/>
      <c r="AA743" s="5"/>
      <c r="AB743" s="351">
        <f>OBRA!BT745</f>
        <v>0</v>
      </c>
      <c r="AC743" s="569"/>
      <c r="AE743"/>
      <c r="AF743"/>
      <c r="AG743"/>
      <c r="AH743"/>
      <c r="AI743"/>
      <c r="AJ743"/>
      <c r="AK743"/>
      <c r="AL743"/>
    </row>
    <row r="744" spans="1:38" ht="15" hidden="1" customHeight="1">
      <c r="A744" s="23" t="s">
        <v>2239</v>
      </c>
      <c r="B744" s="933">
        <f>GRAL!B900</f>
        <v>0</v>
      </c>
      <c r="C744" s="17">
        <f>OBRA!I746</f>
        <v>2023</v>
      </c>
      <c r="D744" s="18" t="str">
        <f>OBRA!K746</f>
        <v>CUENTA CORRIENTE</v>
      </c>
      <c r="E744" s="1374"/>
      <c r="F744" s="1300"/>
      <c r="G744" s="239"/>
      <c r="H744" s="1300"/>
      <c r="I744" s="56" t="str">
        <f>OBRA!U746</f>
        <v>SOLEC ENERGY, S.A. DE C.V.</v>
      </c>
      <c r="J744" s="57" t="str">
        <f>OBRA!V746</f>
        <v>C. DANIEL RODRIGUEZ VALENZUELA</v>
      </c>
      <c r="K744" s="20" t="str">
        <f>OBRA!L746</f>
        <v>GMJ 023 OP/2023</v>
      </c>
      <c r="L744" s="2" t="str">
        <f>OBRA!M746</f>
        <v>ADJUDICACIÓN DIRECTA</v>
      </c>
      <c r="M744" s="3" t="str">
        <f>OBRA!N746</f>
        <v>"ELECTRIFICACIÓN DE POZO EN PRIVADA GUADALUPE VICTORIA", EN LA LOCALIDAD DE SAN JUAN COSALÁ, MUNICIPIO DE JOCOTEPEC, JALISCO.</v>
      </c>
      <c r="N744" s="597"/>
      <c r="O744" s="6">
        <f>OBRA!Q746</f>
        <v>45212</v>
      </c>
      <c r="P744" s="4">
        <f>OBRA!P746</f>
        <v>330252</v>
      </c>
      <c r="Q744" s="4"/>
      <c r="R744" s="5">
        <f>OBRA!R746</f>
        <v>45222</v>
      </c>
      <c r="S744" s="12">
        <f>OBRA!S746</f>
        <v>45282</v>
      </c>
      <c r="T744" s="792"/>
      <c r="U744" s="223"/>
      <c r="V744" s="558"/>
      <c r="W744" s="559"/>
      <c r="X744" s="590">
        <f>OBRA!AP746</f>
        <v>0</v>
      </c>
      <c r="Y744" s="341"/>
      <c r="Z744" s="341"/>
      <c r="AA744" s="5"/>
      <c r="AB744" s="351">
        <f>OBRA!BT746</f>
        <v>0</v>
      </c>
      <c r="AC744" s="569"/>
      <c r="AE744"/>
      <c r="AF744"/>
      <c r="AG744"/>
      <c r="AH744"/>
      <c r="AI744"/>
      <c r="AJ744"/>
      <c r="AK744"/>
      <c r="AL744"/>
    </row>
    <row r="745" spans="1:38" ht="15" hidden="1" customHeight="1">
      <c r="A745" s="23" t="s">
        <v>2239</v>
      </c>
      <c r="B745" s="933">
        <f>GRAL!B901</f>
        <v>0</v>
      </c>
      <c r="C745" s="17">
        <f>OBRA!I747</f>
        <v>2023</v>
      </c>
      <c r="D745" s="18" t="str">
        <f>OBRA!K747</f>
        <v>CUENTA CORRIENTE</v>
      </c>
      <c r="E745" s="1374"/>
      <c r="F745" s="1300"/>
      <c r="G745" s="239"/>
      <c r="H745" s="1300"/>
      <c r="I745" s="56" t="str">
        <f>OBRA!U747</f>
        <v>OCTAVA CUATRO VISITAS, S.A. DE C.V.</v>
      </c>
      <c r="J745" s="57" t="str">
        <f>OBRA!V747</f>
        <v>ING. J. GUADALUPE IBARRA RAMIREZ</v>
      </c>
      <c r="K745" s="20" t="str">
        <f>OBRA!L747</f>
        <v>CSS-OP-CC-024/2023</v>
      </c>
      <c r="L745" s="2" t="str">
        <f>OBRA!M747</f>
        <v>CONCURSO SIMPLIFICADO SUMARIO</v>
      </c>
      <c r="M745" s="3" t="str">
        <f>OBRA!N747</f>
        <v>"CONSTRUCCIÓN DE 29 LOCALES COMERCIALES EN PLAZOLETA", EN LA LOCALIDAD DE CHANTEPEC, MUNICIPIO DE JOCOTEPEC, JALISCO.</v>
      </c>
      <c r="N745" s="597"/>
      <c r="O745" s="6">
        <f>OBRA!Q747</f>
        <v>45245</v>
      </c>
      <c r="P745" s="4">
        <f>OBRA!P747</f>
        <v>5281923.58</v>
      </c>
      <c r="Q745" s="4"/>
      <c r="R745" s="5">
        <f>OBRA!R747</f>
        <v>45251</v>
      </c>
      <c r="S745" s="12">
        <f>OBRA!S747</f>
        <v>45004</v>
      </c>
      <c r="T745" s="792"/>
      <c r="U745" s="223"/>
      <c r="V745" s="558"/>
      <c r="W745" s="559"/>
      <c r="X745" s="590">
        <f>OBRA!AP747</f>
        <v>0</v>
      </c>
      <c r="Y745" s="341"/>
      <c r="Z745" s="341"/>
      <c r="AA745" s="5"/>
      <c r="AB745" s="351">
        <f>OBRA!BT747</f>
        <v>0</v>
      </c>
      <c r="AC745" s="569"/>
      <c r="AE745"/>
      <c r="AF745"/>
      <c r="AG745"/>
      <c r="AH745"/>
      <c r="AI745"/>
      <c r="AJ745"/>
      <c r="AK745"/>
      <c r="AL745"/>
    </row>
    <row r="746" spans="1:38" ht="15" hidden="1" customHeight="1">
      <c r="A746" s="23" t="s">
        <v>2239</v>
      </c>
      <c r="B746" s="933">
        <f>GRAL!B902</f>
        <v>0</v>
      </c>
      <c r="C746" s="17">
        <f>OBRA!I748</f>
        <v>2023</v>
      </c>
      <c r="D746" s="18" t="str">
        <f>OBRA!K748</f>
        <v>CUENTA CORRIENTE</v>
      </c>
      <c r="E746" s="1374"/>
      <c r="F746" s="1300"/>
      <c r="G746" s="239"/>
      <c r="H746" s="1300"/>
      <c r="I746" s="56" t="str">
        <f>OBRA!U748</f>
        <v xml:space="preserve">DORIA &amp; SAMPIER CONSTRUCTORA, S.A. DE C.V. </v>
      </c>
      <c r="J746" s="57" t="str">
        <f>OBRA!V748</f>
        <v>ARQ. JAIME CONDE GOMEZ</v>
      </c>
      <c r="K746" s="20" t="str">
        <f>OBRA!L748</f>
        <v>GMJ 025C OP/2023</v>
      </c>
      <c r="L746" s="2" t="str">
        <f>OBRA!M748</f>
        <v>ADJUDICACIÓN DIRECTA</v>
      </c>
      <c r="M746" s="3" t="str">
        <f>OBRA!N748</f>
        <v>"REHABILITACIÓN DE PLAZA PRINCIPAL (3RA ETAPA)", EN LA LOCALIDAD DE HUEJOTITÁN, MUNICIPIO DE JOCOTEPEC, JALISCO.</v>
      </c>
      <c r="N746" s="597"/>
      <c r="O746" s="6">
        <f>OBRA!Q748</f>
        <v>45247</v>
      </c>
      <c r="P746" s="4">
        <f>OBRA!P748</f>
        <v>441962.08</v>
      </c>
      <c r="Q746" s="4"/>
      <c r="R746" s="5">
        <f>OBRA!R748</f>
        <v>45245</v>
      </c>
      <c r="S746" s="12">
        <f>OBRA!S748</f>
        <v>45290</v>
      </c>
      <c r="T746" s="792"/>
      <c r="U746" s="223"/>
      <c r="V746" s="558"/>
      <c r="W746" s="559"/>
      <c r="X746" s="590">
        <f>OBRA!AP748</f>
        <v>0</v>
      </c>
      <c r="Y746" s="341"/>
      <c r="Z746" s="341"/>
      <c r="AA746" s="5"/>
      <c r="AB746" s="351">
        <f>OBRA!BT748</f>
        <v>0</v>
      </c>
      <c r="AC746" s="569"/>
      <c r="AE746"/>
      <c r="AF746"/>
      <c r="AG746"/>
      <c r="AH746"/>
      <c r="AI746"/>
      <c r="AJ746"/>
      <c r="AK746"/>
      <c r="AL746"/>
    </row>
    <row r="747" spans="1:38" ht="15" hidden="1" customHeight="1">
      <c r="A747" s="23" t="s">
        <v>2239</v>
      </c>
      <c r="B747" s="933">
        <f>GRAL!B903</f>
        <v>0</v>
      </c>
      <c r="C747" s="17">
        <f>OBRA!I749</f>
        <v>2023</v>
      </c>
      <c r="D747" s="18" t="str">
        <f>OBRA!K749</f>
        <v>CTA-CTE / RAMO 33</v>
      </c>
      <c r="E747" s="1374"/>
      <c r="F747" s="1300"/>
      <c r="G747" s="239"/>
      <c r="H747" s="1300"/>
      <c r="I747" s="56" t="str">
        <f>OBRA!U749</f>
        <v>EDIFICACIONES Y TERRACERIAS CH, S.A. DE C.V.</v>
      </c>
      <c r="J747" s="57" t="str">
        <f>OBRA!V749</f>
        <v>C. DANIEL RODRIGUEZ VALENZUELA</v>
      </c>
      <c r="K747" s="20" t="str">
        <f>OBRA!L749</f>
        <v>FAIS-RAMO33/CC-OP-CSS-026/2023</v>
      </c>
      <c r="L747" s="2" t="str">
        <f>OBRA!M749</f>
        <v>CONCURSO SIMPLIFICADO SUMARIO CON RECURSOS CONCURRIDOS</v>
      </c>
      <c r="M747" s="3" t="str">
        <f>OBRA!N749</f>
        <v>"CONSTRUCCIÓN DE UN CARCAMO DE BOMBEO EN LA ZONA DEL MALECÓN, CERCA DE LA PLANTA DE TRATAMIENTO DE AGUAS RESIDUALES, POR CALLE RIVERA DEL LAGO, ESQUINA CON CALLE JOSÉ SANTANA", EN LA CABECERA MUNICIPAL DE JOCOTEPEC, JALISCO.</v>
      </c>
      <c r="N747" s="597"/>
      <c r="O747" s="6">
        <f>OBRA!Q749</f>
        <v>45268</v>
      </c>
      <c r="P747" s="4">
        <f>OBRA!P749</f>
        <v>2969939.23</v>
      </c>
      <c r="Q747" s="4"/>
      <c r="R747" s="5">
        <f>OBRA!R749</f>
        <v>45271</v>
      </c>
      <c r="S747" s="12">
        <f>OBRA!S749</f>
        <v>45290</v>
      </c>
      <c r="T747" s="792"/>
      <c r="U747" s="223"/>
      <c r="V747" s="558"/>
      <c r="W747" s="559"/>
      <c r="X747" s="590">
        <f>OBRA!AP749</f>
        <v>0</v>
      </c>
      <c r="Y747" s="341"/>
      <c r="Z747" s="341"/>
      <c r="AA747" s="5"/>
      <c r="AB747" s="351">
        <f>OBRA!BT749</f>
        <v>0</v>
      </c>
      <c r="AC747" s="569"/>
      <c r="AE747"/>
      <c r="AF747"/>
      <c r="AG747"/>
      <c r="AH747"/>
      <c r="AI747"/>
      <c r="AJ747"/>
      <c r="AK747"/>
      <c r="AL747"/>
    </row>
    <row r="748" spans="1:38" ht="15" hidden="1" customHeight="1">
      <c r="A748" s="23" t="s">
        <v>2239</v>
      </c>
      <c r="B748" s="933">
        <f>GRAL!B904</f>
        <v>0</v>
      </c>
      <c r="C748" s="17">
        <f>OBRA!I750</f>
        <v>2023</v>
      </c>
      <c r="D748" s="18" t="str">
        <f>OBRA!K750</f>
        <v>CUENTA CORRIENTE</v>
      </c>
      <c r="E748" s="1374"/>
      <c r="F748" s="1300"/>
      <c r="G748" s="239"/>
      <c r="H748" s="1300"/>
      <c r="I748" s="56" t="str">
        <f>OBRA!U750</f>
        <v xml:space="preserve">DESARROLLADORA FARAR, S.A. DE C.V. </v>
      </c>
      <c r="J748" s="57" t="str">
        <f>OBRA!V750</f>
        <v>C. DANIEL RODRIGUEZ VALENZUELA</v>
      </c>
      <c r="K748" s="20" t="str">
        <f>OBRA!L750</f>
        <v>GMJ 027C OP/2023</v>
      </c>
      <c r="L748" s="2" t="str">
        <f>OBRA!M750</f>
        <v>ADJUDICACIÓN DIRECTA</v>
      </c>
      <c r="M748" s="3" t="str">
        <f>OBRA!N750</f>
        <v>"CONSTRUCCIÓN DE CALLE, ESTACIONAMIENTO, MACHUELOS Y CANCHA DE UNIDAD DEPORTIVA", EN LA LOCALIDAD DE CHANTEPEC, MUNICIPIO DE JOCOTEPEC.</v>
      </c>
      <c r="N748" s="597"/>
      <c r="O748" s="6">
        <f>OBRA!Q750</f>
        <v>45258</v>
      </c>
      <c r="P748" s="4">
        <f>OBRA!P750</f>
        <v>1515153.08</v>
      </c>
      <c r="Q748" s="4"/>
      <c r="R748" s="5">
        <f>OBRA!R750</f>
        <v>45264</v>
      </c>
      <c r="S748" s="12">
        <f>OBRA!S750</f>
        <v>45374</v>
      </c>
      <c r="T748" s="792"/>
      <c r="U748" s="223"/>
      <c r="V748" s="558"/>
      <c r="W748" s="559"/>
      <c r="X748" s="590">
        <f>OBRA!AP750</f>
        <v>0</v>
      </c>
      <c r="Y748" s="341"/>
      <c r="Z748" s="341"/>
      <c r="AA748" s="5"/>
      <c r="AB748" s="351">
        <f>OBRA!BT750</f>
        <v>0</v>
      </c>
      <c r="AC748" s="569"/>
      <c r="AE748"/>
      <c r="AF748"/>
      <c r="AG748"/>
      <c r="AH748"/>
      <c r="AI748"/>
      <c r="AJ748"/>
      <c r="AK748"/>
      <c r="AL748"/>
    </row>
    <row r="749" spans="1:38" ht="15" hidden="1" customHeight="1">
      <c r="A749" s="23" t="s">
        <v>2239</v>
      </c>
      <c r="B749" s="933">
        <f>GRAL!B905</f>
        <v>0</v>
      </c>
      <c r="C749" s="17">
        <f>OBRA!I751</f>
        <v>2023</v>
      </c>
      <c r="D749" s="18" t="str">
        <f>OBRA!K751</f>
        <v>CUENTA CORRIENTE</v>
      </c>
      <c r="E749" s="1374"/>
      <c r="F749" s="1300"/>
      <c r="G749" s="239"/>
      <c r="H749" s="1300"/>
      <c r="I749" s="56" t="str">
        <f>OBRA!U751</f>
        <v>ACROX CONSTRUCCIONES, S.A. DE C.V.</v>
      </c>
      <c r="J749" s="57" t="str">
        <f>OBRA!V751</f>
        <v>C. DANIEL RODRIGUEZ VALENZUELA</v>
      </c>
      <c r="K749" s="20" t="str">
        <f>OBRA!L751</f>
        <v>GMJ 028C OP/2023</v>
      </c>
      <c r="L749" s="2" t="str">
        <f>OBRA!M751</f>
        <v>ADJUDICACIÓN DIRECTA</v>
      </c>
      <c r="M749" s="3" t="str">
        <f>OBRA!N751</f>
        <v>"CONSTRUCCIÓN DE BAÑOS, VESTIDORES, LOCALES COMERCIALES, DRENAJE SANITARIO Y PLUVIALES EN UNIDAD DEPORTIVA", EN LA LOCALIDAD DE CHANTEPEC, MUNICIPIO DE JOCOTEPEC, JALISCO.</v>
      </c>
      <c r="N749" s="597"/>
      <c r="O749" s="6">
        <f>OBRA!Q751</f>
        <v>45258</v>
      </c>
      <c r="P749" s="4">
        <f>OBRA!P751</f>
        <v>1777367.51</v>
      </c>
      <c r="Q749" s="4"/>
      <c r="R749" s="5">
        <f>OBRA!R751</f>
        <v>45264</v>
      </c>
      <c r="S749" s="12">
        <f>OBRA!S751</f>
        <v>45374</v>
      </c>
      <c r="T749" s="792"/>
      <c r="U749" s="223"/>
      <c r="V749" s="558"/>
      <c r="W749" s="559"/>
      <c r="X749" s="590">
        <f>OBRA!AP751</f>
        <v>0</v>
      </c>
      <c r="Y749" s="341"/>
      <c r="Z749" s="341"/>
      <c r="AA749" s="5"/>
      <c r="AB749" s="351">
        <f>OBRA!BT751</f>
        <v>0</v>
      </c>
      <c r="AC749" s="569"/>
      <c r="AE749"/>
      <c r="AF749"/>
      <c r="AG749"/>
      <c r="AH749"/>
      <c r="AI749"/>
      <c r="AJ749"/>
      <c r="AK749"/>
      <c r="AL749"/>
    </row>
    <row r="750" spans="1:38" ht="15" hidden="1" customHeight="1">
      <c r="A750" s="23" t="s">
        <v>2239</v>
      </c>
      <c r="B750" s="933">
        <f>GRAL!B906</f>
        <v>0</v>
      </c>
      <c r="C750" s="17">
        <f>OBRA!I752</f>
        <v>2023</v>
      </c>
      <c r="D750" s="18" t="str">
        <f>OBRA!K752</f>
        <v>RAMO 33</v>
      </c>
      <c r="E750" s="1374"/>
      <c r="F750" s="1300"/>
      <c r="G750" s="239"/>
      <c r="H750" s="1300"/>
      <c r="I750" s="56" t="str">
        <f>OBRA!U752</f>
        <v>TERRACERÍAS Y PAVIMENTOS DE LA RIBERA, S.A. DE C.V.</v>
      </c>
      <c r="J750" s="57" t="str">
        <f>OBRA!V752</f>
        <v>C. DANIEL RODRIGUEZ VALENZUELA</v>
      </c>
      <c r="K750" s="20" t="str">
        <f>OBRA!L752</f>
        <v>GMJ 029C OP/2023</v>
      </c>
      <c r="L750" s="2" t="str">
        <f>OBRA!M752</f>
        <v>ADJUDICACIÓN DIRECTA</v>
      </c>
      <c r="M750" s="3" t="str">
        <f>OBRA!N752</f>
        <v>"CONSTRUCCIÓN DE LÍNEA DE COLECTOR SANITARIO DE PVC DE 18 PULGADAS A NUEVO CARCAMOS DE BOMBEO Y LÍNEA DE BOMBEO DE ACERO DE 8 PULGADAS DE NUEVO CARCAMO A PLANTA DE TRATAMIENTO", EN LA CABECERA MUNICIPAL DE JOCOTEPEC, JALISCO.</v>
      </c>
      <c r="N750" s="597"/>
      <c r="O750" s="6">
        <f>OBRA!Q752</f>
        <v>45257</v>
      </c>
      <c r="P750" s="4">
        <f>OBRA!P752</f>
        <v>521271.1</v>
      </c>
      <c r="Q750" s="4"/>
      <c r="R750" s="5">
        <f>OBRA!R752</f>
        <v>45258</v>
      </c>
      <c r="S750" s="12">
        <f>OBRA!S752</f>
        <v>45276</v>
      </c>
      <c r="T750" s="792"/>
      <c r="U750" s="223"/>
      <c r="V750" s="558"/>
      <c r="W750" s="559"/>
      <c r="X750" s="590">
        <f>OBRA!AP752</f>
        <v>52127.11</v>
      </c>
      <c r="Y750" s="341"/>
      <c r="Z750" s="341"/>
      <c r="AA750" s="5"/>
      <c r="AB750" s="351">
        <f>OBRA!BT752</f>
        <v>0</v>
      </c>
      <c r="AC750" s="569"/>
      <c r="AE750"/>
      <c r="AF750"/>
      <c r="AG750"/>
      <c r="AH750"/>
      <c r="AI750"/>
      <c r="AJ750"/>
      <c r="AK750"/>
      <c r="AL750"/>
    </row>
    <row r="751" spans="1:38" ht="15" hidden="1" customHeight="1">
      <c r="A751" s="23" t="s">
        <v>2239</v>
      </c>
      <c r="B751" s="933">
        <f>GRAL!B907</f>
        <v>0</v>
      </c>
      <c r="C751" s="17">
        <f>OBRA!I753</f>
        <v>2023</v>
      </c>
      <c r="D751" s="18" t="str">
        <f>OBRA!K753</f>
        <v xml:space="preserve">FORTAMUN </v>
      </c>
      <c r="E751" s="1374"/>
      <c r="F751" s="1300"/>
      <c r="G751" s="239"/>
      <c r="H751" s="1300"/>
      <c r="I751" s="56" t="str">
        <f>OBRA!U753</f>
        <v>ESTRUCTURAS PLANEADAS DE OCCIDENTE, S.A. DE C.V.</v>
      </c>
      <c r="J751" s="57" t="str">
        <f>OBRA!V753</f>
        <v>C. DANIEL RODRIGUEZ VALENZUELA</v>
      </c>
      <c r="K751" s="20" t="str">
        <f>OBRA!L753</f>
        <v>GMJ 030C OP/2023</v>
      </c>
      <c r="L751" s="2" t="str">
        <f>OBRA!M753</f>
        <v>ADJUDICACIÓN DIRECTA</v>
      </c>
      <c r="M751" s="3" t="str">
        <f>OBRA!N753</f>
        <v>"CONSTRUCCIÓN DE LÍNEA DE ABASTECIMIENTO DEL POZO DE AGUA POTABLE EN PRIV. GUADALUPE VICTORIA A RED PRINCIPAL EN C. ZARAGOZA", EN LA LOCALIDAD DE SAN JUAN COSALÁ, MUNICIPIO DE JOCOTEPEC, JALISCO.</v>
      </c>
      <c r="N751" s="597"/>
      <c r="O751" s="6">
        <f>OBRA!Q753</f>
        <v>45269</v>
      </c>
      <c r="P751" s="4">
        <f>OBRA!P753</f>
        <v>810268.98</v>
      </c>
      <c r="Q751" s="4"/>
      <c r="R751" s="5">
        <f>OBRA!R753</f>
        <v>45271</v>
      </c>
      <c r="S751" s="12">
        <f>OBRA!S753</f>
        <v>45290</v>
      </c>
      <c r="T751" s="792"/>
      <c r="U751" s="223"/>
      <c r="V751" s="558"/>
      <c r="W751" s="559"/>
      <c r="X751" s="590">
        <f>OBRA!AP753</f>
        <v>0</v>
      </c>
      <c r="Y751" s="341"/>
      <c r="Z751" s="341"/>
      <c r="AA751" s="5"/>
      <c r="AB751" s="351">
        <f>OBRA!BT753</f>
        <v>0</v>
      </c>
      <c r="AC751" s="569"/>
      <c r="AE751"/>
      <c r="AF751"/>
      <c r="AG751"/>
      <c r="AH751"/>
      <c r="AI751"/>
      <c r="AJ751"/>
      <c r="AK751"/>
      <c r="AL751"/>
    </row>
    <row r="752" spans="1:38" ht="15" hidden="1" customHeight="1">
      <c r="A752" s="23" t="s">
        <v>2239</v>
      </c>
      <c r="B752" s="933">
        <f>GRAL!B908</f>
        <v>0</v>
      </c>
      <c r="C752" s="17">
        <f>OBRA!I754</f>
        <v>0</v>
      </c>
      <c r="D752" s="18">
        <f>OBRA!K754</f>
        <v>0</v>
      </c>
      <c r="E752" s="1374"/>
      <c r="F752" s="1300"/>
      <c r="G752" s="239"/>
      <c r="H752" s="1300"/>
      <c r="I752" s="56">
        <f>OBRA!U754</f>
        <v>0</v>
      </c>
      <c r="J752" s="57">
        <f>OBRA!V754</f>
        <v>0</v>
      </c>
      <c r="K752" s="20">
        <f>OBRA!L754</f>
        <v>0</v>
      </c>
      <c r="L752" s="2">
        <f>OBRA!M754</f>
        <v>0</v>
      </c>
      <c r="M752" s="3">
        <f>OBRA!N754</f>
        <v>0</v>
      </c>
      <c r="N752" s="597"/>
      <c r="O752" s="6">
        <f>OBRA!Q754</f>
        <v>0</v>
      </c>
      <c r="P752" s="4">
        <f>OBRA!P754</f>
        <v>0</v>
      </c>
      <c r="Q752" s="4"/>
      <c r="R752" s="5">
        <f>OBRA!R754</f>
        <v>0</v>
      </c>
      <c r="S752" s="12">
        <f>OBRA!S754</f>
        <v>0</v>
      </c>
      <c r="T752" s="792"/>
      <c r="U752" s="223"/>
      <c r="V752" s="558"/>
      <c r="W752" s="559"/>
      <c r="X752" s="590">
        <f>OBRA!AP754</f>
        <v>0</v>
      </c>
      <c r="Y752" s="341"/>
      <c r="Z752" s="341"/>
      <c r="AA752" s="5"/>
      <c r="AB752" s="351">
        <f>OBRA!BT754</f>
        <v>0</v>
      </c>
      <c r="AC752" s="569"/>
      <c r="AE752"/>
      <c r="AF752"/>
      <c r="AG752"/>
      <c r="AH752"/>
      <c r="AI752"/>
      <c r="AJ752"/>
      <c r="AK752"/>
      <c r="AL752"/>
    </row>
    <row r="753" spans="1:38" ht="15" hidden="1" customHeight="1">
      <c r="A753" s="23" t="s">
        <v>2239</v>
      </c>
      <c r="B753" s="933">
        <f>GRAL!B909</f>
        <v>0</v>
      </c>
      <c r="C753" s="17">
        <f>OBRA!I755</f>
        <v>0</v>
      </c>
      <c r="D753" s="18">
        <f>OBRA!K755</f>
        <v>0</v>
      </c>
      <c r="E753" s="1374"/>
      <c r="F753" s="1300"/>
      <c r="G753" s="239"/>
      <c r="H753" s="1300"/>
      <c r="I753" s="56">
        <f>OBRA!U755</f>
        <v>0</v>
      </c>
      <c r="J753" s="57">
        <f>OBRA!V755</f>
        <v>0</v>
      </c>
      <c r="K753" s="20">
        <f>OBRA!L755</f>
        <v>0</v>
      </c>
      <c r="L753" s="2">
        <f>OBRA!M755</f>
        <v>0</v>
      </c>
      <c r="M753" s="3">
        <f>OBRA!N755</f>
        <v>0</v>
      </c>
      <c r="N753" s="597"/>
      <c r="O753" s="6">
        <f>OBRA!Q755</f>
        <v>0</v>
      </c>
      <c r="P753" s="4">
        <f>OBRA!P755</f>
        <v>0</v>
      </c>
      <c r="Q753" s="4"/>
      <c r="R753" s="5">
        <f>OBRA!R755</f>
        <v>0</v>
      </c>
      <c r="S753" s="12">
        <f>OBRA!S755</f>
        <v>0</v>
      </c>
      <c r="T753" s="792"/>
      <c r="U753" s="223"/>
      <c r="V753" s="558"/>
      <c r="W753" s="559"/>
      <c r="X753" s="590">
        <f>OBRA!AP755</f>
        <v>0</v>
      </c>
      <c r="Y753" s="341"/>
      <c r="Z753" s="341"/>
      <c r="AA753" s="5"/>
      <c r="AB753" s="351">
        <f>OBRA!BT755</f>
        <v>0</v>
      </c>
      <c r="AC753" s="569"/>
      <c r="AE753"/>
      <c r="AF753"/>
      <c r="AG753"/>
      <c r="AH753"/>
      <c r="AI753"/>
      <c r="AJ753"/>
      <c r="AK753"/>
      <c r="AL753"/>
    </row>
    <row r="754" spans="1:38" ht="15" hidden="1" customHeight="1">
      <c r="A754" s="23" t="s">
        <v>2239</v>
      </c>
      <c r="B754" s="933">
        <f>GRAL!B910</f>
        <v>0</v>
      </c>
      <c r="C754" s="17">
        <f>OBRA!I756</f>
        <v>0</v>
      </c>
      <c r="D754" s="18">
        <f>OBRA!K756</f>
        <v>0</v>
      </c>
      <c r="E754" s="1374"/>
      <c r="F754" s="1300"/>
      <c r="G754" s="239"/>
      <c r="H754" s="1300"/>
      <c r="I754" s="56">
        <f>OBRA!U756</f>
        <v>0</v>
      </c>
      <c r="J754" s="57">
        <f>OBRA!V756</f>
        <v>0</v>
      </c>
      <c r="K754" s="20">
        <f>OBRA!L756</f>
        <v>0</v>
      </c>
      <c r="L754" s="2">
        <f>OBRA!M756</f>
        <v>0</v>
      </c>
      <c r="M754" s="3">
        <f>OBRA!N756</f>
        <v>0</v>
      </c>
      <c r="N754" s="597"/>
      <c r="O754" s="6">
        <f>OBRA!Q756</f>
        <v>0</v>
      </c>
      <c r="P754" s="4">
        <f>OBRA!P756</f>
        <v>0</v>
      </c>
      <c r="Q754" s="4"/>
      <c r="R754" s="5">
        <f>OBRA!R756</f>
        <v>0</v>
      </c>
      <c r="S754" s="12">
        <f>OBRA!S756</f>
        <v>0</v>
      </c>
      <c r="T754" s="792"/>
      <c r="U754" s="223"/>
      <c r="V754" s="558"/>
      <c r="W754" s="559"/>
      <c r="X754" s="590">
        <f>OBRA!AP756</f>
        <v>0</v>
      </c>
      <c r="Y754" s="341"/>
      <c r="Z754" s="341"/>
      <c r="AA754" s="5"/>
      <c r="AB754" s="351">
        <f>OBRA!BT756</f>
        <v>0</v>
      </c>
      <c r="AC754" s="569"/>
      <c r="AE754"/>
      <c r="AF754"/>
      <c r="AG754"/>
      <c r="AH754"/>
      <c r="AI754"/>
      <c r="AJ754"/>
      <c r="AK754"/>
      <c r="AL754"/>
    </row>
    <row r="755" spans="1:38" ht="15" hidden="1" customHeight="1">
      <c r="A755" s="23" t="s">
        <v>2239</v>
      </c>
      <c r="B755" s="933">
        <f>GRAL!B911</f>
        <v>0</v>
      </c>
      <c r="C755" s="17">
        <f>OBRA!I757</f>
        <v>0</v>
      </c>
      <c r="D755" s="18">
        <f>OBRA!K757</f>
        <v>0</v>
      </c>
      <c r="E755" s="1374"/>
      <c r="F755" s="1300"/>
      <c r="G755" s="239"/>
      <c r="H755" s="1300"/>
      <c r="I755" s="56">
        <f>OBRA!U757</f>
        <v>0</v>
      </c>
      <c r="J755" s="57">
        <f>OBRA!V757</f>
        <v>0</v>
      </c>
      <c r="K755" s="20">
        <f>OBRA!L757</f>
        <v>0</v>
      </c>
      <c r="L755" s="2">
        <f>OBRA!M757</f>
        <v>0</v>
      </c>
      <c r="M755" s="3">
        <f>OBRA!N757</f>
        <v>0</v>
      </c>
      <c r="N755" s="597"/>
      <c r="O755" s="6">
        <f>OBRA!Q757</f>
        <v>0</v>
      </c>
      <c r="P755" s="4">
        <f>OBRA!P757</f>
        <v>0</v>
      </c>
      <c r="Q755" s="4"/>
      <c r="R755" s="5">
        <f>OBRA!R757</f>
        <v>0</v>
      </c>
      <c r="S755" s="12">
        <f>OBRA!S757</f>
        <v>0</v>
      </c>
      <c r="T755" s="792"/>
      <c r="U755" s="223"/>
      <c r="V755" s="558"/>
      <c r="W755" s="559"/>
      <c r="X755" s="590">
        <f>OBRA!AP757</f>
        <v>0</v>
      </c>
      <c r="Y755" s="341"/>
      <c r="Z755" s="341"/>
      <c r="AA755" s="5"/>
      <c r="AB755" s="351">
        <f>OBRA!BT757</f>
        <v>0</v>
      </c>
      <c r="AC755" s="569"/>
      <c r="AE755"/>
      <c r="AF755"/>
      <c r="AG755"/>
      <c r="AH755"/>
      <c r="AI755"/>
      <c r="AJ755"/>
      <c r="AK755"/>
      <c r="AL755"/>
    </row>
    <row r="756" spans="1:38" ht="15" hidden="1" customHeight="1">
      <c r="A756" s="23" t="s">
        <v>2239</v>
      </c>
      <c r="B756" s="933">
        <f>GRAL!B912</f>
        <v>0</v>
      </c>
      <c r="C756" s="17">
        <f>OBRA!I758</f>
        <v>0</v>
      </c>
      <c r="D756" s="18">
        <f>OBRA!K758</f>
        <v>0</v>
      </c>
      <c r="E756" s="1374"/>
      <c r="F756" s="1300"/>
      <c r="G756" s="239"/>
      <c r="H756" s="1300"/>
      <c r="I756" s="56">
        <f>OBRA!U758</f>
        <v>0</v>
      </c>
      <c r="J756" s="57">
        <f>OBRA!V758</f>
        <v>0</v>
      </c>
      <c r="K756" s="20">
        <f>OBRA!L758</f>
        <v>0</v>
      </c>
      <c r="L756" s="2">
        <f>OBRA!M758</f>
        <v>0</v>
      </c>
      <c r="M756" s="3">
        <f>OBRA!N758</f>
        <v>0</v>
      </c>
      <c r="N756" s="597"/>
      <c r="O756" s="6">
        <f>OBRA!Q758</f>
        <v>0</v>
      </c>
      <c r="P756" s="4">
        <f>OBRA!P758</f>
        <v>0</v>
      </c>
      <c r="Q756" s="4"/>
      <c r="R756" s="5">
        <f>OBRA!R758</f>
        <v>0</v>
      </c>
      <c r="S756" s="12">
        <f>OBRA!S758</f>
        <v>0</v>
      </c>
      <c r="T756" s="792"/>
      <c r="U756" s="223"/>
      <c r="V756" s="558"/>
      <c r="W756" s="559"/>
      <c r="X756" s="590">
        <f>OBRA!AP758</f>
        <v>0</v>
      </c>
      <c r="Y756" s="341"/>
      <c r="Z756" s="341"/>
      <c r="AA756" s="5"/>
      <c r="AB756" s="351">
        <f>OBRA!BT758</f>
        <v>0</v>
      </c>
      <c r="AC756" s="569"/>
      <c r="AE756"/>
      <c r="AF756"/>
      <c r="AG756"/>
      <c r="AH756"/>
      <c r="AI756"/>
      <c r="AJ756"/>
      <c r="AK756"/>
      <c r="AL756"/>
    </row>
    <row r="757" spans="1:38" ht="15" hidden="1" customHeight="1">
      <c r="A757" s="23" t="s">
        <v>2239</v>
      </c>
      <c r="B757" s="933">
        <f>GRAL!B913</f>
        <v>0</v>
      </c>
      <c r="C757" s="17">
        <f>OBRA!I759</f>
        <v>0</v>
      </c>
      <c r="D757" s="18">
        <f>OBRA!K759</f>
        <v>0</v>
      </c>
      <c r="E757" s="1374"/>
      <c r="F757" s="1300"/>
      <c r="G757" s="239"/>
      <c r="H757" s="1300"/>
      <c r="I757" s="56">
        <f>OBRA!U759</f>
        <v>0</v>
      </c>
      <c r="J757" s="57">
        <f>OBRA!V759</f>
        <v>0</v>
      </c>
      <c r="K757" s="20">
        <f>OBRA!L759</f>
        <v>0</v>
      </c>
      <c r="L757" s="2">
        <f>OBRA!M759</f>
        <v>0</v>
      </c>
      <c r="M757" s="3">
        <f>OBRA!N759</f>
        <v>0</v>
      </c>
      <c r="N757" s="597"/>
      <c r="O757" s="6">
        <f>OBRA!Q759</f>
        <v>0</v>
      </c>
      <c r="P757" s="4">
        <f>OBRA!P759</f>
        <v>0</v>
      </c>
      <c r="Q757" s="4"/>
      <c r="R757" s="5">
        <f>OBRA!R759</f>
        <v>0</v>
      </c>
      <c r="S757" s="12">
        <f>OBRA!S759</f>
        <v>0</v>
      </c>
      <c r="T757" s="792"/>
      <c r="U757" s="223"/>
      <c r="V757" s="558"/>
      <c r="W757" s="559"/>
      <c r="X757" s="590">
        <f>OBRA!AP759</f>
        <v>0</v>
      </c>
      <c r="Y757" s="341"/>
      <c r="Z757" s="341"/>
      <c r="AA757" s="5"/>
      <c r="AB757" s="351">
        <f>OBRA!BT759</f>
        <v>0</v>
      </c>
      <c r="AC757" s="569"/>
      <c r="AE757"/>
      <c r="AF757"/>
      <c r="AG757"/>
      <c r="AH757"/>
      <c r="AI757"/>
      <c r="AJ757"/>
      <c r="AK757"/>
      <c r="AL757"/>
    </row>
    <row r="758" spans="1:38" ht="15" hidden="1" customHeight="1">
      <c r="A758" s="23" t="s">
        <v>2239</v>
      </c>
      <c r="B758" s="933">
        <f>GRAL!B914</f>
        <v>0</v>
      </c>
      <c r="C758" s="17">
        <f>OBRA!I760</f>
        <v>0</v>
      </c>
      <c r="D758" s="18">
        <f>OBRA!K760</f>
        <v>0</v>
      </c>
      <c r="E758" s="1374"/>
      <c r="F758" s="1300"/>
      <c r="G758" s="239"/>
      <c r="H758" s="1300"/>
      <c r="I758" s="56">
        <f>OBRA!U760</f>
        <v>0</v>
      </c>
      <c r="J758" s="57">
        <f>OBRA!V760</f>
        <v>0</v>
      </c>
      <c r="K758" s="20">
        <f>OBRA!L760</f>
        <v>0</v>
      </c>
      <c r="L758" s="2">
        <f>OBRA!M760</f>
        <v>0</v>
      </c>
      <c r="M758" s="3">
        <f>OBRA!N760</f>
        <v>0</v>
      </c>
      <c r="N758" s="597"/>
      <c r="O758" s="6">
        <f>OBRA!Q760</f>
        <v>0</v>
      </c>
      <c r="P758" s="4">
        <f>OBRA!P760</f>
        <v>0</v>
      </c>
      <c r="Q758" s="4"/>
      <c r="R758" s="5">
        <f>OBRA!R760</f>
        <v>0</v>
      </c>
      <c r="S758" s="12">
        <f>OBRA!S760</f>
        <v>0</v>
      </c>
      <c r="T758" s="792"/>
      <c r="U758" s="223"/>
      <c r="V758" s="558"/>
      <c r="W758" s="559"/>
      <c r="X758" s="590">
        <f>OBRA!AP760</f>
        <v>0</v>
      </c>
      <c r="Y758" s="341"/>
      <c r="Z758" s="341"/>
      <c r="AA758" s="5"/>
      <c r="AB758" s="351">
        <f>OBRA!BT760</f>
        <v>0</v>
      </c>
      <c r="AC758" s="569"/>
      <c r="AE758"/>
      <c r="AF758"/>
      <c r="AG758"/>
      <c r="AH758"/>
      <c r="AI758"/>
      <c r="AJ758"/>
      <c r="AK758"/>
      <c r="AL758"/>
    </row>
    <row r="759" spans="1:38" ht="15" hidden="1" customHeight="1">
      <c r="A759" s="23" t="s">
        <v>2239</v>
      </c>
      <c r="B759" s="933">
        <f>GRAL!B915</f>
        <v>0</v>
      </c>
      <c r="C759" s="17">
        <f>OBRA!I761</f>
        <v>0</v>
      </c>
      <c r="D759" s="18">
        <f>OBRA!K761</f>
        <v>0</v>
      </c>
      <c r="E759" s="1374"/>
      <c r="F759" s="1300"/>
      <c r="G759" s="239"/>
      <c r="H759" s="1300"/>
      <c r="I759" s="56">
        <f>OBRA!U761</f>
        <v>0</v>
      </c>
      <c r="J759" s="57">
        <f>OBRA!V761</f>
        <v>0</v>
      </c>
      <c r="K759" s="20">
        <f>OBRA!L761</f>
        <v>0</v>
      </c>
      <c r="L759" s="2">
        <f>OBRA!M761</f>
        <v>0</v>
      </c>
      <c r="M759" s="3">
        <f>OBRA!N761</f>
        <v>0</v>
      </c>
      <c r="N759" s="597"/>
      <c r="O759" s="6">
        <f>OBRA!Q761</f>
        <v>0</v>
      </c>
      <c r="P759" s="4">
        <f>OBRA!P761</f>
        <v>0</v>
      </c>
      <c r="Q759" s="4"/>
      <c r="R759" s="5">
        <f>OBRA!R761</f>
        <v>0</v>
      </c>
      <c r="S759" s="12">
        <f>OBRA!S761</f>
        <v>0</v>
      </c>
      <c r="T759" s="792"/>
      <c r="U759" s="223"/>
      <c r="V759" s="558"/>
      <c r="W759" s="559"/>
      <c r="X759" s="590">
        <f>OBRA!AP761</f>
        <v>0</v>
      </c>
      <c r="Y759" s="341"/>
      <c r="Z759" s="341"/>
      <c r="AA759" s="5"/>
      <c r="AB759" s="351">
        <f>OBRA!BT761</f>
        <v>0</v>
      </c>
      <c r="AC759" s="569"/>
      <c r="AE759"/>
      <c r="AF759"/>
      <c r="AG759"/>
      <c r="AH759"/>
      <c r="AI759"/>
      <c r="AJ759"/>
      <c r="AK759"/>
      <c r="AL759"/>
    </row>
    <row r="760" spans="1:38" ht="15" hidden="1" customHeight="1">
      <c r="A760" s="23" t="s">
        <v>2239</v>
      </c>
      <c r="B760" s="933">
        <f>GRAL!B916</f>
        <v>0</v>
      </c>
      <c r="C760" s="17">
        <f>OBRA!I762</f>
        <v>0</v>
      </c>
      <c r="D760" s="18">
        <f>OBRA!K762</f>
        <v>0</v>
      </c>
      <c r="E760" s="1374"/>
      <c r="F760" s="1300"/>
      <c r="G760" s="239"/>
      <c r="H760" s="1300"/>
      <c r="I760" s="56">
        <f>OBRA!U762</f>
        <v>0</v>
      </c>
      <c r="J760" s="57">
        <f>OBRA!V762</f>
        <v>0</v>
      </c>
      <c r="K760" s="20">
        <f>OBRA!L762</f>
        <v>0</v>
      </c>
      <c r="L760" s="2">
        <f>OBRA!M762</f>
        <v>0</v>
      </c>
      <c r="M760" s="3">
        <f>OBRA!N762</f>
        <v>0</v>
      </c>
      <c r="N760" s="597"/>
      <c r="O760" s="6">
        <f>OBRA!Q762</f>
        <v>0</v>
      </c>
      <c r="P760" s="4">
        <f>OBRA!P762</f>
        <v>0</v>
      </c>
      <c r="Q760" s="4"/>
      <c r="R760" s="5">
        <f>OBRA!R762</f>
        <v>0</v>
      </c>
      <c r="S760" s="12">
        <f>OBRA!S762</f>
        <v>0</v>
      </c>
      <c r="T760" s="792"/>
      <c r="U760" s="223"/>
      <c r="V760" s="558"/>
      <c r="W760" s="559"/>
      <c r="X760" s="590">
        <f>OBRA!AP762</f>
        <v>0</v>
      </c>
      <c r="Y760" s="341"/>
      <c r="Z760" s="341"/>
      <c r="AA760" s="5"/>
      <c r="AB760" s="351">
        <f>OBRA!BT762</f>
        <v>0</v>
      </c>
      <c r="AC760" s="569"/>
      <c r="AE760"/>
      <c r="AF760"/>
      <c r="AG760"/>
      <c r="AH760"/>
      <c r="AI760"/>
      <c r="AJ760"/>
      <c r="AK760"/>
      <c r="AL760"/>
    </row>
    <row r="761" spans="1:38" ht="15" hidden="1" customHeight="1">
      <c r="A761" s="23" t="s">
        <v>2239</v>
      </c>
      <c r="B761" s="933">
        <f>GRAL!B917</f>
        <v>0</v>
      </c>
      <c r="C761" s="17">
        <f>OBRA!I763</f>
        <v>0</v>
      </c>
      <c r="D761" s="18">
        <f>OBRA!K763</f>
        <v>0</v>
      </c>
      <c r="E761" s="1374"/>
      <c r="F761" s="1300"/>
      <c r="G761" s="239"/>
      <c r="H761" s="1300"/>
      <c r="I761" s="56">
        <f>OBRA!U763</f>
        <v>0</v>
      </c>
      <c r="J761" s="57">
        <f>OBRA!V763</f>
        <v>0</v>
      </c>
      <c r="K761" s="20">
        <f>OBRA!L763</f>
        <v>0</v>
      </c>
      <c r="L761" s="2">
        <f>OBRA!M763</f>
        <v>0</v>
      </c>
      <c r="M761" s="3">
        <f>OBRA!N763</f>
        <v>0</v>
      </c>
      <c r="N761" s="597"/>
      <c r="O761" s="6">
        <f>OBRA!Q763</f>
        <v>0</v>
      </c>
      <c r="P761" s="4">
        <f>OBRA!P763</f>
        <v>0</v>
      </c>
      <c r="Q761" s="4"/>
      <c r="R761" s="5">
        <f>OBRA!R763</f>
        <v>0</v>
      </c>
      <c r="S761" s="12">
        <f>OBRA!S763</f>
        <v>0</v>
      </c>
      <c r="T761" s="792"/>
      <c r="U761" s="223"/>
      <c r="V761" s="558"/>
      <c r="W761" s="559"/>
      <c r="X761" s="590">
        <f>OBRA!AP763</f>
        <v>0</v>
      </c>
      <c r="Y761" s="341"/>
      <c r="Z761" s="341"/>
      <c r="AA761" s="5"/>
      <c r="AB761" s="351">
        <f>OBRA!BT763</f>
        <v>0</v>
      </c>
      <c r="AC761" s="569"/>
      <c r="AE761"/>
      <c r="AF761"/>
      <c r="AG761"/>
      <c r="AH761"/>
      <c r="AI761"/>
      <c r="AJ761"/>
      <c r="AK761"/>
      <c r="AL761"/>
    </row>
    <row r="762" spans="1:38" ht="15" hidden="1" customHeight="1">
      <c r="A762" s="23" t="s">
        <v>2239</v>
      </c>
      <c r="B762" s="933">
        <f>GRAL!B918</f>
        <v>0</v>
      </c>
      <c r="C762" s="17">
        <f>OBRA!I764</f>
        <v>0</v>
      </c>
      <c r="D762" s="18">
        <f>OBRA!K764</f>
        <v>0</v>
      </c>
      <c r="E762" s="1374"/>
      <c r="F762" s="1300"/>
      <c r="G762" s="239"/>
      <c r="H762" s="1300"/>
      <c r="I762" s="56">
        <f>OBRA!U764</f>
        <v>0</v>
      </c>
      <c r="J762" s="57">
        <f>OBRA!V764</f>
        <v>0</v>
      </c>
      <c r="K762" s="20">
        <f>OBRA!L764</f>
        <v>0</v>
      </c>
      <c r="L762" s="2">
        <f>OBRA!M764</f>
        <v>0</v>
      </c>
      <c r="M762" s="3">
        <f>OBRA!N764</f>
        <v>0</v>
      </c>
      <c r="N762" s="597"/>
      <c r="O762" s="6">
        <f>OBRA!Q764</f>
        <v>0</v>
      </c>
      <c r="P762" s="4">
        <f>OBRA!P764</f>
        <v>0</v>
      </c>
      <c r="Q762" s="4"/>
      <c r="R762" s="5">
        <f>OBRA!R764</f>
        <v>0</v>
      </c>
      <c r="S762" s="12">
        <f>OBRA!S764</f>
        <v>0</v>
      </c>
      <c r="T762" s="792"/>
      <c r="U762" s="223"/>
      <c r="V762" s="558"/>
      <c r="W762" s="559"/>
      <c r="X762" s="590">
        <f>OBRA!AP764</f>
        <v>0</v>
      </c>
      <c r="Y762" s="341"/>
      <c r="Z762" s="341"/>
      <c r="AA762" s="5"/>
      <c r="AB762" s="351">
        <f>OBRA!BT764</f>
        <v>0</v>
      </c>
      <c r="AC762" s="569"/>
      <c r="AE762"/>
      <c r="AF762"/>
      <c r="AG762"/>
      <c r="AH762"/>
      <c r="AI762"/>
      <c r="AJ762"/>
      <c r="AK762"/>
      <c r="AL762"/>
    </row>
    <row r="763" spans="1:38" ht="15" hidden="1" customHeight="1">
      <c r="A763" s="23" t="s">
        <v>2239</v>
      </c>
      <c r="B763" s="933">
        <f>GRAL!B919</f>
        <v>0</v>
      </c>
      <c r="C763" s="17">
        <f>OBRA!I765</f>
        <v>0</v>
      </c>
      <c r="D763" s="18">
        <f>OBRA!K765</f>
        <v>0</v>
      </c>
      <c r="E763" s="1374"/>
      <c r="F763" s="1300"/>
      <c r="G763" s="239"/>
      <c r="H763" s="1300"/>
      <c r="I763" s="56">
        <f>OBRA!U765</f>
        <v>0</v>
      </c>
      <c r="J763" s="57">
        <f>OBRA!V765</f>
        <v>0</v>
      </c>
      <c r="K763" s="20">
        <f>OBRA!L765</f>
        <v>0</v>
      </c>
      <c r="L763" s="2">
        <f>OBRA!M765</f>
        <v>0</v>
      </c>
      <c r="M763" s="3">
        <f>OBRA!N765</f>
        <v>0</v>
      </c>
      <c r="N763" s="597"/>
      <c r="O763" s="6">
        <f>OBRA!Q765</f>
        <v>0</v>
      </c>
      <c r="P763" s="4">
        <f>OBRA!P765</f>
        <v>0</v>
      </c>
      <c r="Q763" s="4"/>
      <c r="R763" s="5">
        <f>OBRA!R765</f>
        <v>0</v>
      </c>
      <c r="S763" s="12">
        <f>OBRA!S765</f>
        <v>0</v>
      </c>
      <c r="T763" s="792"/>
      <c r="U763" s="223"/>
      <c r="V763" s="558"/>
      <c r="W763" s="559"/>
      <c r="X763" s="590">
        <f>OBRA!AP765</f>
        <v>0</v>
      </c>
      <c r="Y763" s="341"/>
      <c r="Z763" s="341"/>
      <c r="AA763" s="5"/>
      <c r="AB763" s="351">
        <f>OBRA!BT765</f>
        <v>0</v>
      </c>
      <c r="AC763" s="569"/>
      <c r="AE763"/>
      <c r="AF763"/>
      <c r="AG763"/>
      <c r="AH763"/>
      <c r="AI763"/>
      <c r="AJ763"/>
      <c r="AK763"/>
      <c r="AL763"/>
    </row>
    <row r="764" spans="1:38" ht="15" hidden="1" customHeight="1">
      <c r="A764" s="23" t="s">
        <v>2239</v>
      </c>
      <c r="B764" s="933">
        <f>GRAL!B920</f>
        <v>0</v>
      </c>
      <c r="C764" s="17">
        <f>OBRA!I766</f>
        <v>0</v>
      </c>
      <c r="D764" s="18">
        <f>OBRA!K766</f>
        <v>0</v>
      </c>
      <c r="E764" s="1374"/>
      <c r="F764" s="1300"/>
      <c r="G764" s="239"/>
      <c r="H764" s="1300"/>
      <c r="I764" s="56">
        <f>OBRA!U766</f>
        <v>0</v>
      </c>
      <c r="J764" s="57">
        <f>OBRA!V766</f>
        <v>0</v>
      </c>
      <c r="K764" s="20">
        <f>OBRA!L766</f>
        <v>0</v>
      </c>
      <c r="L764" s="2">
        <f>OBRA!M766</f>
        <v>0</v>
      </c>
      <c r="M764" s="3">
        <f>OBRA!N766</f>
        <v>0</v>
      </c>
      <c r="N764" s="597"/>
      <c r="O764" s="6">
        <f>OBRA!Q766</f>
        <v>0</v>
      </c>
      <c r="P764" s="4">
        <f>OBRA!P766</f>
        <v>0</v>
      </c>
      <c r="Q764" s="4"/>
      <c r="R764" s="5">
        <f>OBRA!R766</f>
        <v>0</v>
      </c>
      <c r="S764" s="12">
        <f>OBRA!S766</f>
        <v>0</v>
      </c>
      <c r="T764" s="792"/>
      <c r="U764" s="223"/>
      <c r="V764" s="558"/>
      <c r="W764" s="559"/>
      <c r="X764" s="590">
        <f>OBRA!AP766</f>
        <v>0</v>
      </c>
      <c r="Y764" s="341"/>
      <c r="Z764" s="341"/>
      <c r="AA764" s="5"/>
      <c r="AB764" s="351">
        <f>OBRA!BT766</f>
        <v>0</v>
      </c>
      <c r="AC764" s="569"/>
      <c r="AE764"/>
      <c r="AF764"/>
      <c r="AG764"/>
      <c r="AH764"/>
      <c r="AI764"/>
      <c r="AJ764"/>
      <c r="AK764"/>
      <c r="AL764"/>
    </row>
    <row r="765" spans="1:38" ht="15" hidden="1" customHeight="1">
      <c r="A765" s="23" t="s">
        <v>2239</v>
      </c>
      <c r="B765" s="933">
        <f>GRAL!B921</f>
        <v>0</v>
      </c>
      <c r="C765" s="17">
        <f>OBRA!I767</f>
        <v>0</v>
      </c>
      <c r="D765" s="18">
        <f>OBRA!K767</f>
        <v>0</v>
      </c>
      <c r="E765" s="1374"/>
      <c r="F765" s="1300"/>
      <c r="G765" s="239"/>
      <c r="H765" s="1300"/>
      <c r="I765" s="56">
        <f>OBRA!U767</f>
        <v>0</v>
      </c>
      <c r="J765" s="57">
        <f>OBRA!V767</f>
        <v>0</v>
      </c>
      <c r="K765" s="20">
        <f>OBRA!L767</f>
        <v>0</v>
      </c>
      <c r="L765" s="2">
        <f>OBRA!M767</f>
        <v>0</v>
      </c>
      <c r="M765" s="3">
        <f>OBRA!N767</f>
        <v>0</v>
      </c>
      <c r="N765" s="597"/>
      <c r="O765" s="6">
        <f>OBRA!Q767</f>
        <v>0</v>
      </c>
      <c r="P765" s="4">
        <f>OBRA!P767</f>
        <v>0</v>
      </c>
      <c r="Q765" s="4"/>
      <c r="R765" s="5">
        <f>OBRA!R767</f>
        <v>0</v>
      </c>
      <c r="S765" s="12">
        <f>OBRA!S767</f>
        <v>0</v>
      </c>
      <c r="T765" s="792"/>
      <c r="U765" s="223"/>
      <c r="V765" s="558"/>
      <c r="W765" s="559"/>
      <c r="X765" s="590">
        <f>OBRA!AP767</f>
        <v>0</v>
      </c>
      <c r="Y765" s="341"/>
      <c r="Z765" s="341"/>
      <c r="AA765" s="5"/>
      <c r="AB765" s="351">
        <f>OBRA!BT767</f>
        <v>0</v>
      </c>
      <c r="AC765" s="569"/>
      <c r="AE765"/>
      <c r="AF765"/>
      <c r="AG765"/>
      <c r="AH765"/>
      <c r="AI765"/>
      <c r="AJ765"/>
      <c r="AK765"/>
      <c r="AL765"/>
    </row>
    <row r="766" spans="1:38" ht="15" hidden="1" customHeight="1">
      <c r="A766" s="23" t="s">
        <v>2239</v>
      </c>
      <c r="B766" s="933">
        <f>GRAL!B922</f>
        <v>0</v>
      </c>
      <c r="C766" s="17">
        <f>OBRA!I768</f>
        <v>0</v>
      </c>
      <c r="D766" s="18">
        <f>OBRA!K768</f>
        <v>0</v>
      </c>
      <c r="E766" s="1374"/>
      <c r="F766" s="1300"/>
      <c r="G766" s="239"/>
      <c r="H766" s="1300"/>
      <c r="I766" s="56">
        <f>OBRA!U768</f>
        <v>0</v>
      </c>
      <c r="J766" s="57">
        <f>OBRA!V768</f>
        <v>0</v>
      </c>
      <c r="K766" s="20">
        <f>OBRA!L768</f>
        <v>0</v>
      </c>
      <c r="L766" s="2">
        <f>OBRA!M768</f>
        <v>0</v>
      </c>
      <c r="M766" s="3">
        <f>OBRA!N768</f>
        <v>0</v>
      </c>
      <c r="N766" s="597"/>
      <c r="O766" s="6">
        <f>OBRA!Q768</f>
        <v>0</v>
      </c>
      <c r="P766" s="4">
        <f>OBRA!P768</f>
        <v>0</v>
      </c>
      <c r="Q766" s="4"/>
      <c r="R766" s="5">
        <f>OBRA!R768</f>
        <v>0</v>
      </c>
      <c r="S766" s="12">
        <f>OBRA!S768</f>
        <v>0</v>
      </c>
      <c r="T766" s="792"/>
      <c r="U766" s="223"/>
      <c r="V766" s="558"/>
      <c r="W766" s="559"/>
      <c r="X766" s="590">
        <f>OBRA!AP768</f>
        <v>0</v>
      </c>
      <c r="Y766" s="341"/>
      <c r="Z766" s="341"/>
      <c r="AA766" s="5"/>
      <c r="AB766" s="351">
        <f>OBRA!BT768</f>
        <v>0</v>
      </c>
      <c r="AC766" s="569"/>
      <c r="AE766"/>
      <c r="AF766"/>
      <c r="AG766"/>
      <c r="AH766"/>
      <c r="AI766"/>
      <c r="AJ766"/>
      <c r="AK766"/>
      <c r="AL766"/>
    </row>
    <row r="767" spans="1:38" ht="15" hidden="1" customHeight="1">
      <c r="A767" s="23" t="s">
        <v>2239</v>
      </c>
      <c r="B767" s="933">
        <f>GRAL!B923</f>
        <v>0</v>
      </c>
      <c r="C767" s="17">
        <f>OBRA!I769</f>
        <v>0</v>
      </c>
      <c r="D767" s="18">
        <f>OBRA!K769</f>
        <v>0</v>
      </c>
      <c r="E767" s="1374"/>
      <c r="F767" s="1300"/>
      <c r="G767" s="239"/>
      <c r="H767" s="1300"/>
      <c r="I767" s="56">
        <f>OBRA!U769</f>
        <v>0</v>
      </c>
      <c r="J767" s="57">
        <f>OBRA!V769</f>
        <v>0</v>
      </c>
      <c r="K767" s="20">
        <f>OBRA!L769</f>
        <v>0</v>
      </c>
      <c r="L767" s="2">
        <f>OBRA!M769</f>
        <v>0</v>
      </c>
      <c r="M767" s="3">
        <f>OBRA!N769</f>
        <v>0</v>
      </c>
      <c r="N767" s="597"/>
      <c r="O767" s="6">
        <f>OBRA!Q769</f>
        <v>0</v>
      </c>
      <c r="P767" s="4">
        <f>OBRA!P769</f>
        <v>0</v>
      </c>
      <c r="Q767" s="4"/>
      <c r="R767" s="5">
        <f>OBRA!R769</f>
        <v>0</v>
      </c>
      <c r="S767" s="12">
        <f>OBRA!S769</f>
        <v>0</v>
      </c>
      <c r="T767" s="792"/>
      <c r="U767" s="223"/>
      <c r="V767" s="558"/>
      <c r="W767" s="559"/>
      <c r="X767" s="590">
        <f>OBRA!AP769</f>
        <v>0</v>
      </c>
      <c r="Y767" s="341"/>
      <c r="Z767" s="341"/>
      <c r="AA767" s="5"/>
      <c r="AB767" s="351">
        <f>OBRA!BT769</f>
        <v>0</v>
      </c>
      <c r="AC767" s="569"/>
      <c r="AE767"/>
      <c r="AF767"/>
      <c r="AG767"/>
      <c r="AH767"/>
      <c r="AI767"/>
      <c r="AJ767"/>
      <c r="AK767"/>
      <c r="AL767"/>
    </row>
    <row r="768" spans="1:38" ht="15" hidden="1" customHeight="1">
      <c r="A768" s="23" t="s">
        <v>2239</v>
      </c>
      <c r="B768" s="933">
        <f>GRAL!B924</f>
        <v>0</v>
      </c>
      <c r="C768" s="17">
        <f>OBRA!I770</f>
        <v>0</v>
      </c>
      <c r="D768" s="18">
        <f>OBRA!K770</f>
        <v>0</v>
      </c>
      <c r="E768" s="1374"/>
      <c r="F768" s="1300"/>
      <c r="G768" s="239"/>
      <c r="H768" s="1300"/>
      <c r="I768" s="56">
        <f>OBRA!U770</f>
        <v>0</v>
      </c>
      <c r="J768" s="57">
        <f>OBRA!V770</f>
        <v>0</v>
      </c>
      <c r="K768" s="20">
        <f>OBRA!L770</f>
        <v>0</v>
      </c>
      <c r="L768" s="2">
        <f>OBRA!M770</f>
        <v>0</v>
      </c>
      <c r="M768" s="3">
        <f>OBRA!N770</f>
        <v>0</v>
      </c>
      <c r="N768" s="597"/>
      <c r="O768" s="6">
        <f>OBRA!Q770</f>
        <v>0</v>
      </c>
      <c r="P768" s="4">
        <f>OBRA!P770</f>
        <v>0</v>
      </c>
      <c r="Q768" s="4"/>
      <c r="R768" s="5">
        <f>OBRA!R770</f>
        <v>0</v>
      </c>
      <c r="S768" s="12">
        <f>OBRA!S770</f>
        <v>0</v>
      </c>
      <c r="T768" s="792"/>
      <c r="U768" s="223"/>
      <c r="V768" s="558"/>
      <c r="W768" s="559"/>
      <c r="X768" s="590">
        <f>OBRA!AP770</f>
        <v>0</v>
      </c>
      <c r="Y768" s="341"/>
      <c r="Z768" s="341"/>
      <c r="AA768" s="5"/>
      <c r="AB768" s="351">
        <f>OBRA!BT770</f>
        <v>0</v>
      </c>
      <c r="AC768" s="569"/>
      <c r="AE768"/>
      <c r="AF768"/>
      <c r="AG768"/>
      <c r="AH768"/>
      <c r="AI768"/>
      <c r="AJ768"/>
      <c r="AK768"/>
      <c r="AL768"/>
    </row>
    <row r="769" spans="1:38" ht="15" hidden="1" customHeight="1">
      <c r="A769" s="23" t="s">
        <v>2239</v>
      </c>
      <c r="B769" s="933">
        <f>GRAL!B925</f>
        <v>0</v>
      </c>
      <c r="C769" s="17">
        <f>OBRA!I771</f>
        <v>0</v>
      </c>
      <c r="D769" s="18">
        <f>OBRA!K771</f>
        <v>0</v>
      </c>
      <c r="E769" s="1374"/>
      <c r="F769" s="1300"/>
      <c r="G769" s="239"/>
      <c r="H769" s="1300"/>
      <c r="I769" s="56">
        <f>OBRA!U771</f>
        <v>0</v>
      </c>
      <c r="J769" s="57">
        <f>OBRA!V771</f>
        <v>0</v>
      </c>
      <c r="K769" s="20">
        <f>OBRA!L771</f>
        <v>0</v>
      </c>
      <c r="L769" s="2">
        <f>OBRA!M771</f>
        <v>0</v>
      </c>
      <c r="M769" s="3">
        <f>OBRA!N771</f>
        <v>0</v>
      </c>
      <c r="N769" s="597"/>
      <c r="O769" s="6">
        <f>OBRA!Q771</f>
        <v>0</v>
      </c>
      <c r="P769" s="4">
        <f>OBRA!P771</f>
        <v>0</v>
      </c>
      <c r="Q769" s="4"/>
      <c r="R769" s="5">
        <f>OBRA!R771</f>
        <v>0</v>
      </c>
      <c r="S769" s="12">
        <f>OBRA!S771</f>
        <v>0</v>
      </c>
      <c r="T769" s="792"/>
      <c r="U769" s="223"/>
      <c r="V769" s="558"/>
      <c r="W769" s="559"/>
      <c r="X769" s="590">
        <f>OBRA!AP771</f>
        <v>0</v>
      </c>
      <c r="Y769" s="341"/>
      <c r="Z769" s="341"/>
      <c r="AA769" s="5"/>
      <c r="AB769" s="351">
        <f>OBRA!BT771</f>
        <v>0</v>
      </c>
      <c r="AC769" s="569"/>
      <c r="AE769"/>
      <c r="AF769"/>
      <c r="AG769"/>
      <c r="AH769"/>
      <c r="AI769"/>
      <c r="AJ769"/>
      <c r="AK769"/>
      <c r="AL769"/>
    </row>
    <row r="770" spans="1:38" ht="15" hidden="1" customHeight="1">
      <c r="A770" s="23" t="s">
        <v>2239</v>
      </c>
      <c r="B770" s="933">
        <f>GRAL!B926</f>
        <v>0</v>
      </c>
      <c r="C770" s="17">
        <f>OBRA!I772</f>
        <v>0</v>
      </c>
      <c r="D770" s="18">
        <f>OBRA!K772</f>
        <v>0</v>
      </c>
      <c r="E770" s="1374"/>
      <c r="F770" s="1300"/>
      <c r="G770" s="239"/>
      <c r="H770" s="1300"/>
      <c r="I770" s="56">
        <f>OBRA!U772</f>
        <v>0</v>
      </c>
      <c r="J770" s="57">
        <f>OBRA!V772</f>
        <v>0</v>
      </c>
      <c r="K770" s="20">
        <f>OBRA!L772</f>
        <v>0</v>
      </c>
      <c r="L770" s="2">
        <f>OBRA!M772</f>
        <v>0</v>
      </c>
      <c r="M770" s="3">
        <f>OBRA!N772</f>
        <v>0</v>
      </c>
      <c r="N770" s="597"/>
      <c r="O770" s="6">
        <f>OBRA!Q772</f>
        <v>0</v>
      </c>
      <c r="P770" s="4">
        <f>OBRA!P772</f>
        <v>0</v>
      </c>
      <c r="Q770" s="4"/>
      <c r="R770" s="5">
        <f>OBRA!R772</f>
        <v>0</v>
      </c>
      <c r="S770" s="12">
        <f>OBRA!S772</f>
        <v>0</v>
      </c>
      <c r="T770" s="792"/>
      <c r="U770" s="223"/>
      <c r="V770" s="558"/>
      <c r="W770" s="559"/>
      <c r="X770" s="590">
        <f>OBRA!AP772</f>
        <v>0</v>
      </c>
      <c r="Y770" s="341"/>
      <c r="Z770" s="341"/>
      <c r="AA770" s="5"/>
      <c r="AB770" s="351">
        <f>OBRA!BT772</f>
        <v>0</v>
      </c>
      <c r="AC770" s="569"/>
      <c r="AE770"/>
      <c r="AF770"/>
      <c r="AG770"/>
      <c r="AH770"/>
      <c r="AI770"/>
      <c r="AJ770"/>
      <c r="AK770"/>
      <c r="AL770"/>
    </row>
    <row r="771" spans="1:38" ht="15" hidden="1" customHeight="1">
      <c r="A771" s="23" t="s">
        <v>2239</v>
      </c>
      <c r="B771" s="933">
        <f>GRAL!B927</f>
        <v>0</v>
      </c>
      <c r="C771" s="17">
        <f>OBRA!I773</f>
        <v>0</v>
      </c>
      <c r="D771" s="18">
        <f>OBRA!K773</f>
        <v>0</v>
      </c>
      <c r="E771" s="1374"/>
      <c r="F771" s="1300"/>
      <c r="G771" s="239"/>
      <c r="H771" s="1300"/>
      <c r="I771" s="56">
        <f>OBRA!U773</f>
        <v>0</v>
      </c>
      <c r="J771" s="57">
        <f>OBRA!V773</f>
        <v>0</v>
      </c>
      <c r="K771" s="20">
        <f>OBRA!L773</f>
        <v>0</v>
      </c>
      <c r="L771" s="2">
        <f>OBRA!M773</f>
        <v>0</v>
      </c>
      <c r="M771" s="3">
        <f>OBRA!N773</f>
        <v>0</v>
      </c>
      <c r="N771" s="597"/>
      <c r="O771" s="6">
        <f>OBRA!Q773</f>
        <v>0</v>
      </c>
      <c r="P771" s="4">
        <f>OBRA!P773</f>
        <v>0</v>
      </c>
      <c r="Q771" s="4"/>
      <c r="R771" s="5">
        <f>OBRA!R773</f>
        <v>0</v>
      </c>
      <c r="S771" s="12">
        <f>OBRA!S773</f>
        <v>0</v>
      </c>
      <c r="T771" s="792"/>
      <c r="U771" s="223"/>
      <c r="V771" s="558"/>
      <c r="W771" s="559"/>
      <c r="X771" s="590">
        <f>OBRA!AP773</f>
        <v>0</v>
      </c>
      <c r="Y771" s="341"/>
      <c r="Z771" s="341"/>
      <c r="AA771" s="5"/>
      <c r="AB771" s="351">
        <f>OBRA!BT773</f>
        <v>0</v>
      </c>
      <c r="AC771" s="569"/>
      <c r="AE771"/>
      <c r="AF771"/>
      <c r="AG771"/>
      <c r="AH771"/>
      <c r="AI771"/>
      <c r="AJ771"/>
      <c r="AK771"/>
      <c r="AL771"/>
    </row>
    <row r="772" spans="1:38" ht="15" hidden="1" customHeight="1">
      <c r="A772" s="23" t="s">
        <v>2239</v>
      </c>
      <c r="B772" s="933">
        <f>GRAL!B928</f>
        <v>0</v>
      </c>
      <c r="C772" s="17">
        <f>OBRA!I774</f>
        <v>0</v>
      </c>
      <c r="D772" s="18">
        <f>OBRA!K774</f>
        <v>0</v>
      </c>
      <c r="E772" s="1374"/>
      <c r="F772" s="1300"/>
      <c r="G772" s="239"/>
      <c r="H772" s="1300"/>
      <c r="I772" s="56">
        <f>OBRA!U774</f>
        <v>0</v>
      </c>
      <c r="J772" s="57">
        <f>OBRA!V774</f>
        <v>0</v>
      </c>
      <c r="K772" s="20">
        <f>OBRA!L774</f>
        <v>0</v>
      </c>
      <c r="L772" s="2">
        <f>OBRA!M774</f>
        <v>0</v>
      </c>
      <c r="M772" s="3">
        <f>OBRA!N774</f>
        <v>0</v>
      </c>
      <c r="N772" s="597"/>
      <c r="O772" s="6">
        <f>OBRA!Q774</f>
        <v>0</v>
      </c>
      <c r="P772" s="4">
        <f>OBRA!P774</f>
        <v>0</v>
      </c>
      <c r="Q772" s="4"/>
      <c r="R772" s="5">
        <f>OBRA!R774</f>
        <v>0</v>
      </c>
      <c r="S772" s="12">
        <f>OBRA!S774</f>
        <v>0</v>
      </c>
      <c r="T772" s="792"/>
      <c r="U772" s="223"/>
      <c r="V772" s="558"/>
      <c r="W772" s="559"/>
      <c r="X772" s="590">
        <f>OBRA!AP774</f>
        <v>0</v>
      </c>
      <c r="Y772" s="341"/>
      <c r="Z772" s="341"/>
      <c r="AA772" s="5"/>
      <c r="AB772" s="351">
        <f>OBRA!BT774</f>
        <v>0</v>
      </c>
      <c r="AC772" s="569"/>
      <c r="AE772"/>
      <c r="AF772"/>
      <c r="AG772"/>
      <c r="AH772"/>
      <c r="AI772"/>
      <c r="AJ772"/>
      <c r="AK772"/>
      <c r="AL772"/>
    </row>
    <row r="773" spans="1:38" ht="15" hidden="1" customHeight="1">
      <c r="A773" s="23" t="s">
        <v>2239</v>
      </c>
      <c r="B773" s="933">
        <f>GRAL!B929</f>
        <v>0</v>
      </c>
      <c r="C773" s="17">
        <f>OBRA!I775</f>
        <v>0</v>
      </c>
      <c r="D773" s="18">
        <f>OBRA!K775</f>
        <v>0</v>
      </c>
      <c r="E773" s="1374"/>
      <c r="F773" s="1300"/>
      <c r="G773" s="239"/>
      <c r="H773" s="1300"/>
      <c r="I773" s="56">
        <f>OBRA!U775</f>
        <v>0</v>
      </c>
      <c r="J773" s="57">
        <f>OBRA!V775</f>
        <v>0</v>
      </c>
      <c r="K773" s="20">
        <f>OBRA!L775</f>
        <v>0</v>
      </c>
      <c r="L773" s="2">
        <f>OBRA!M775</f>
        <v>0</v>
      </c>
      <c r="M773" s="3">
        <f>OBRA!N775</f>
        <v>0</v>
      </c>
      <c r="N773" s="597"/>
      <c r="O773" s="6">
        <f>OBRA!Q775</f>
        <v>0</v>
      </c>
      <c r="P773" s="4">
        <f>OBRA!P775</f>
        <v>0</v>
      </c>
      <c r="Q773" s="4"/>
      <c r="R773" s="5">
        <f>OBRA!R775</f>
        <v>0</v>
      </c>
      <c r="S773" s="12">
        <f>OBRA!S775</f>
        <v>0</v>
      </c>
      <c r="T773" s="792"/>
      <c r="U773" s="223"/>
      <c r="V773" s="558"/>
      <c r="W773" s="559"/>
      <c r="X773" s="590">
        <f>OBRA!AP775</f>
        <v>0</v>
      </c>
      <c r="Y773" s="341"/>
      <c r="Z773" s="341"/>
      <c r="AA773" s="5"/>
      <c r="AB773" s="351">
        <f>OBRA!BT775</f>
        <v>0</v>
      </c>
      <c r="AC773" s="569"/>
      <c r="AE773"/>
      <c r="AF773"/>
      <c r="AG773"/>
      <c r="AH773"/>
      <c r="AI773"/>
      <c r="AJ773"/>
      <c r="AK773"/>
      <c r="AL773"/>
    </row>
    <row r="774" spans="1:38" ht="15" hidden="1" customHeight="1">
      <c r="A774" s="23" t="s">
        <v>2239</v>
      </c>
      <c r="B774" s="933">
        <f>GRAL!B930</f>
        <v>0</v>
      </c>
      <c r="C774" s="17">
        <f>OBRA!I776</f>
        <v>0</v>
      </c>
      <c r="D774" s="18">
        <f>OBRA!K776</f>
        <v>0</v>
      </c>
      <c r="E774" s="1374"/>
      <c r="F774" s="1300"/>
      <c r="G774" s="239"/>
      <c r="H774" s="1300"/>
      <c r="I774" s="56">
        <f>OBRA!U776</f>
        <v>0</v>
      </c>
      <c r="J774" s="57">
        <f>OBRA!V776</f>
        <v>0</v>
      </c>
      <c r="K774" s="20">
        <f>OBRA!L776</f>
        <v>0</v>
      </c>
      <c r="L774" s="2">
        <f>OBRA!M776</f>
        <v>0</v>
      </c>
      <c r="M774" s="3">
        <f>OBRA!N776</f>
        <v>0</v>
      </c>
      <c r="N774" s="597"/>
      <c r="O774" s="6">
        <f>OBRA!Q776</f>
        <v>0</v>
      </c>
      <c r="P774" s="4">
        <f>OBRA!P776</f>
        <v>0</v>
      </c>
      <c r="Q774" s="4"/>
      <c r="R774" s="5">
        <f>OBRA!R776</f>
        <v>0</v>
      </c>
      <c r="S774" s="12">
        <f>OBRA!S776</f>
        <v>0</v>
      </c>
      <c r="T774" s="792"/>
      <c r="U774" s="223"/>
      <c r="V774" s="558"/>
      <c r="W774" s="559"/>
      <c r="X774" s="590">
        <f>OBRA!AP776</f>
        <v>0</v>
      </c>
      <c r="Y774" s="341"/>
      <c r="Z774" s="341"/>
      <c r="AA774" s="5"/>
      <c r="AB774" s="351">
        <f>OBRA!BT776</f>
        <v>0</v>
      </c>
      <c r="AC774" s="569"/>
      <c r="AE774"/>
      <c r="AF774"/>
      <c r="AG774"/>
      <c r="AH774"/>
      <c r="AI774"/>
      <c r="AJ774"/>
      <c r="AK774"/>
      <c r="AL774"/>
    </row>
    <row r="775" spans="1:38" ht="15" hidden="1" customHeight="1">
      <c r="A775" s="23" t="s">
        <v>2239</v>
      </c>
      <c r="B775" s="933">
        <f>GRAL!B931</f>
        <v>0</v>
      </c>
      <c r="C775" s="17">
        <f>OBRA!I777</f>
        <v>0</v>
      </c>
      <c r="D775" s="18">
        <f>OBRA!K777</f>
        <v>0</v>
      </c>
      <c r="E775" s="1374"/>
      <c r="F775" s="1300"/>
      <c r="G775" s="239"/>
      <c r="H775" s="1300"/>
      <c r="I775" s="56">
        <f>OBRA!U777</f>
        <v>0</v>
      </c>
      <c r="J775" s="57">
        <f>OBRA!V777</f>
        <v>0</v>
      </c>
      <c r="K775" s="20">
        <f>OBRA!L777</f>
        <v>0</v>
      </c>
      <c r="L775" s="2">
        <f>OBRA!M777</f>
        <v>0</v>
      </c>
      <c r="M775" s="3">
        <f>OBRA!N777</f>
        <v>0</v>
      </c>
      <c r="N775" s="597"/>
      <c r="O775" s="6">
        <f>OBRA!Q777</f>
        <v>0</v>
      </c>
      <c r="P775" s="4">
        <f>OBRA!P777</f>
        <v>0</v>
      </c>
      <c r="Q775" s="4"/>
      <c r="R775" s="5">
        <f>OBRA!R777</f>
        <v>0</v>
      </c>
      <c r="S775" s="12">
        <f>OBRA!S777</f>
        <v>0</v>
      </c>
      <c r="T775" s="792"/>
      <c r="U775" s="223"/>
      <c r="V775" s="558"/>
      <c r="W775" s="559"/>
      <c r="X775" s="590">
        <f>OBRA!AP777</f>
        <v>0</v>
      </c>
      <c r="Y775" s="341"/>
      <c r="Z775" s="341"/>
      <c r="AA775" s="5"/>
      <c r="AB775" s="351">
        <f>OBRA!BT777</f>
        <v>0</v>
      </c>
      <c r="AC775" s="569"/>
      <c r="AE775"/>
      <c r="AF775"/>
      <c r="AG775"/>
      <c r="AH775"/>
      <c r="AI775"/>
      <c r="AJ775"/>
      <c r="AK775"/>
      <c r="AL775"/>
    </row>
    <row r="776" spans="1:38" ht="15" hidden="1" customHeight="1">
      <c r="A776" s="23" t="s">
        <v>2239</v>
      </c>
      <c r="B776" s="933">
        <f>GRAL!B932</f>
        <v>0</v>
      </c>
      <c r="C776" s="17">
        <f>OBRA!I778</f>
        <v>0</v>
      </c>
      <c r="D776" s="18">
        <f>OBRA!K778</f>
        <v>0</v>
      </c>
      <c r="E776" s="1374"/>
      <c r="F776" s="1300"/>
      <c r="G776" s="239"/>
      <c r="H776" s="1300"/>
      <c r="I776" s="56">
        <f>OBRA!U778</f>
        <v>0</v>
      </c>
      <c r="J776" s="57">
        <f>OBRA!V778</f>
        <v>0</v>
      </c>
      <c r="K776" s="20">
        <f>OBRA!L778</f>
        <v>0</v>
      </c>
      <c r="L776" s="2">
        <f>OBRA!M778</f>
        <v>0</v>
      </c>
      <c r="M776" s="3">
        <f>OBRA!N778</f>
        <v>0</v>
      </c>
      <c r="N776" s="597"/>
      <c r="O776" s="6">
        <f>OBRA!Q778</f>
        <v>0</v>
      </c>
      <c r="P776" s="4">
        <f>OBRA!P778</f>
        <v>0</v>
      </c>
      <c r="Q776" s="4"/>
      <c r="R776" s="5">
        <f>OBRA!R778</f>
        <v>0</v>
      </c>
      <c r="S776" s="12">
        <f>OBRA!S778</f>
        <v>0</v>
      </c>
      <c r="T776" s="792"/>
      <c r="U776" s="223"/>
      <c r="V776" s="558"/>
      <c r="W776" s="559"/>
      <c r="X776" s="590">
        <f>OBRA!AP778</f>
        <v>0</v>
      </c>
      <c r="Y776" s="341"/>
      <c r="Z776" s="341"/>
      <c r="AA776" s="5"/>
      <c r="AB776" s="351">
        <f>OBRA!BT778</f>
        <v>0</v>
      </c>
      <c r="AC776" s="569"/>
      <c r="AE776"/>
      <c r="AF776"/>
      <c r="AG776"/>
      <c r="AH776"/>
      <c r="AI776"/>
      <c r="AJ776"/>
      <c r="AK776"/>
      <c r="AL776"/>
    </row>
    <row r="777" spans="1:38" ht="15" hidden="1" customHeight="1">
      <c r="A777" s="23" t="s">
        <v>2239</v>
      </c>
      <c r="B777" s="933">
        <f>GRAL!B933</f>
        <v>0</v>
      </c>
      <c r="C777" s="17">
        <f>OBRA!I779</f>
        <v>0</v>
      </c>
      <c r="D777" s="18">
        <f>OBRA!K779</f>
        <v>0</v>
      </c>
      <c r="E777" s="1374"/>
      <c r="F777" s="1300"/>
      <c r="G777" s="239"/>
      <c r="H777" s="1300"/>
      <c r="I777" s="56">
        <f>OBRA!U779</f>
        <v>0</v>
      </c>
      <c r="J777" s="57">
        <f>OBRA!V779</f>
        <v>0</v>
      </c>
      <c r="K777" s="20">
        <f>OBRA!L779</f>
        <v>0</v>
      </c>
      <c r="L777" s="2">
        <f>OBRA!M779</f>
        <v>0</v>
      </c>
      <c r="M777" s="3">
        <f>OBRA!N779</f>
        <v>0</v>
      </c>
      <c r="N777" s="597"/>
      <c r="O777" s="6">
        <f>OBRA!Q779</f>
        <v>0</v>
      </c>
      <c r="P777" s="4">
        <f>OBRA!P779</f>
        <v>0</v>
      </c>
      <c r="Q777" s="4"/>
      <c r="R777" s="5">
        <f>OBRA!R779</f>
        <v>0</v>
      </c>
      <c r="S777" s="12">
        <f>OBRA!S779</f>
        <v>0</v>
      </c>
      <c r="T777" s="792"/>
      <c r="U777" s="223"/>
      <c r="V777" s="558"/>
      <c r="W777" s="559"/>
      <c r="X777" s="590">
        <f>OBRA!AP779</f>
        <v>0</v>
      </c>
      <c r="Y777" s="341"/>
      <c r="Z777" s="341"/>
      <c r="AA777" s="5"/>
      <c r="AB777" s="351">
        <f>OBRA!BT779</f>
        <v>0</v>
      </c>
      <c r="AC777" s="569"/>
      <c r="AE777"/>
      <c r="AF777"/>
      <c r="AG777"/>
      <c r="AH777"/>
      <c r="AI777"/>
      <c r="AJ777"/>
      <c r="AK777"/>
      <c r="AL777"/>
    </row>
    <row r="778" spans="1:38" ht="15" hidden="1" customHeight="1">
      <c r="A778" s="23" t="s">
        <v>2239</v>
      </c>
      <c r="B778" s="933">
        <f>GRAL!B934</f>
        <v>0</v>
      </c>
      <c r="C778" s="17">
        <f>OBRA!I780</f>
        <v>0</v>
      </c>
      <c r="D778" s="18">
        <f>OBRA!K780</f>
        <v>0</v>
      </c>
      <c r="E778" s="1374"/>
      <c r="F778" s="1300"/>
      <c r="G778" s="239"/>
      <c r="H778" s="1300"/>
      <c r="I778" s="56">
        <f>OBRA!U780</f>
        <v>0</v>
      </c>
      <c r="J778" s="57">
        <f>OBRA!V780</f>
        <v>0</v>
      </c>
      <c r="K778" s="20">
        <f>OBRA!L780</f>
        <v>0</v>
      </c>
      <c r="L778" s="2">
        <f>OBRA!M780</f>
        <v>0</v>
      </c>
      <c r="M778" s="3">
        <f>OBRA!N780</f>
        <v>0</v>
      </c>
      <c r="N778" s="597"/>
      <c r="O778" s="6">
        <f>OBRA!Q780</f>
        <v>0</v>
      </c>
      <c r="P778" s="4">
        <f>OBRA!P780</f>
        <v>0</v>
      </c>
      <c r="Q778" s="4"/>
      <c r="R778" s="5">
        <f>OBRA!R780</f>
        <v>0</v>
      </c>
      <c r="S778" s="12">
        <f>OBRA!S780</f>
        <v>0</v>
      </c>
      <c r="T778" s="792"/>
      <c r="U778" s="223"/>
      <c r="V778" s="558"/>
      <c r="W778" s="559"/>
      <c r="X778" s="590">
        <f>OBRA!AP780</f>
        <v>0</v>
      </c>
      <c r="Y778" s="341"/>
      <c r="Z778" s="341"/>
      <c r="AA778" s="5"/>
      <c r="AB778" s="351">
        <f>OBRA!BT780</f>
        <v>0</v>
      </c>
      <c r="AC778" s="569"/>
      <c r="AE778"/>
      <c r="AF778"/>
      <c r="AG778"/>
      <c r="AH778"/>
      <c r="AI778"/>
      <c r="AJ778"/>
      <c r="AK778"/>
      <c r="AL778"/>
    </row>
    <row r="779" spans="1:38" ht="15" hidden="1" customHeight="1">
      <c r="A779" s="23" t="s">
        <v>2239</v>
      </c>
      <c r="B779" s="933">
        <f>GRAL!B935</f>
        <v>0</v>
      </c>
      <c r="C779" s="17">
        <f>OBRA!I781</f>
        <v>0</v>
      </c>
      <c r="D779" s="18">
        <f>OBRA!K781</f>
        <v>0</v>
      </c>
      <c r="E779" s="1374"/>
      <c r="F779" s="1300"/>
      <c r="G779" s="239"/>
      <c r="H779" s="1300"/>
      <c r="I779" s="56">
        <f>OBRA!U781</f>
        <v>0</v>
      </c>
      <c r="J779" s="57">
        <f>OBRA!V781</f>
        <v>0</v>
      </c>
      <c r="K779" s="20">
        <f>OBRA!L781</f>
        <v>0</v>
      </c>
      <c r="L779" s="2">
        <f>OBRA!M781</f>
        <v>0</v>
      </c>
      <c r="M779" s="3">
        <f>OBRA!N781</f>
        <v>0</v>
      </c>
      <c r="N779" s="597"/>
      <c r="O779" s="6">
        <f>OBRA!Q781</f>
        <v>0</v>
      </c>
      <c r="P779" s="4">
        <f>OBRA!P781</f>
        <v>0</v>
      </c>
      <c r="Q779" s="4"/>
      <c r="R779" s="5">
        <f>OBRA!R781</f>
        <v>0</v>
      </c>
      <c r="S779" s="12">
        <f>OBRA!S781</f>
        <v>0</v>
      </c>
      <c r="T779" s="792"/>
      <c r="U779" s="223"/>
      <c r="V779" s="558"/>
      <c r="W779" s="559"/>
      <c r="X779" s="590">
        <f>OBRA!AP781</f>
        <v>0</v>
      </c>
      <c r="Y779" s="341"/>
      <c r="Z779" s="341"/>
      <c r="AA779" s="5"/>
      <c r="AB779" s="351">
        <f>OBRA!BT781</f>
        <v>0</v>
      </c>
      <c r="AC779" s="569"/>
      <c r="AE779"/>
      <c r="AF779"/>
      <c r="AG779"/>
      <c r="AH779"/>
      <c r="AI779"/>
      <c r="AJ779"/>
      <c r="AK779"/>
      <c r="AL779"/>
    </row>
    <row r="780" spans="1:38" ht="15" hidden="1" customHeight="1">
      <c r="A780" s="23" t="s">
        <v>2239</v>
      </c>
      <c r="B780" s="933">
        <f>GRAL!B936</f>
        <v>0</v>
      </c>
      <c r="C780" s="17">
        <f>OBRA!I782</f>
        <v>0</v>
      </c>
      <c r="D780" s="18">
        <f>OBRA!K782</f>
        <v>0</v>
      </c>
      <c r="E780" s="1374"/>
      <c r="F780" s="1300"/>
      <c r="G780" s="239"/>
      <c r="H780" s="1300"/>
      <c r="I780" s="56">
        <f>OBRA!U782</f>
        <v>0</v>
      </c>
      <c r="J780" s="57">
        <f>OBRA!V782</f>
        <v>0</v>
      </c>
      <c r="K780" s="20">
        <f>OBRA!L782</f>
        <v>0</v>
      </c>
      <c r="L780" s="2">
        <f>OBRA!M782</f>
        <v>0</v>
      </c>
      <c r="M780" s="3">
        <f>OBRA!N782</f>
        <v>0</v>
      </c>
      <c r="N780" s="597"/>
      <c r="O780" s="6">
        <f>OBRA!Q782</f>
        <v>0</v>
      </c>
      <c r="P780" s="4">
        <f>OBRA!P782</f>
        <v>0</v>
      </c>
      <c r="Q780" s="4"/>
      <c r="R780" s="5">
        <f>OBRA!R782</f>
        <v>0</v>
      </c>
      <c r="S780" s="12">
        <f>OBRA!S782</f>
        <v>0</v>
      </c>
      <c r="T780" s="792"/>
      <c r="U780" s="223"/>
      <c r="V780" s="558"/>
      <c r="W780" s="559"/>
      <c r="X780" s="590">
        <f>OBRA!AP782</f>
        <v>0</v>
      </c>
      <c r="Y780" s="341"/>
      <c r="Z780" s="341"/>
      <c r="AA780" s="5"/>
      <c r="AB780" s="351">
        <f>OBRA!BT782</f>
        <v>0</v>
      </c>
      <c r="AC780" s="569"/>
      <c r="AE780"/>
      <c r="AF780"/>
      <c r="AG780"/>
      <c r="AH780"/>
      <c r="AI780"/>
      <c r="AJ780"/>
      <c r="AK780"/>
      <c r="AL780"/>
    </row>
    <row r="781" spans="1:38" ht="15" hidden="1" customHeight="1">
      <c r="A781" s="23" t="s">
        <v>2239</v>
      </c>
      <c r="B781" s="933">
        <f>GRAL!B937</f>
        <v>0</v>
      </c>
      <c r="C781" s="17">
        <f>OBRA!I783</f>
        <v>0</v>
      </c>
      <c r="D781" s="18">
        <f>OBRA!K783</f>
        <v>0</v>
      </c>
      <c r="E781" s="1374"/>
      <c r="F781" s="1300"/>
      <c r="G781" s="239"/>
      <c r="H781" s="1300"/>
      <c r="I781" s="56">
        <f>OBRA!U783</f>
        <v>0</v>
      </c>
      <c r="J781" s="57">
        <f>OBRA!V783</f>
        <v>0</v>
      </c>
      <c r="K781" s="20">
        <f>OBRA!L783</f>
        <v>0</v>
      </c>
      <c r="L781" s="2">
        <f>OBRA!M783</f>
        <v>0</v>
      </c>
      <c r="M781" s="3">
        <f>OBRA!N783</f>
        <v>0</v>
      </c>
      <c r="N781" s="597"/>
      <c r="O781" s="6">
        <f>OBRA!Q783</f>
        <v>0</v>
      </c>
      <c r="P781" s="4">
        <f>OBRA!P783</f>
        <v>0</v>
      </c>
      <c r="Q781" s="4"/>
      <c r="R781" s="5">
        <f>OBRA!R783</f>
        <v>0</v>
      </c>
      <c r="S781" s="12">
        <f>OBRA!S783</f>
        <v>0</v>
      </c>
      <c r="T781" s="792"/>
      <c r="U781" s="223"/>
      <c r="V781" s="558"/>
      <c r="W781" s="559"/>
      <c r="X781" s="590">
        <f>OBRA!AP783</f>
        <v>0</v>
      </c>
      <c r="Y781" s="341"/>
      <c r="Z781" s="341"/>
      <c r="AA781" s="5"/>
      <c r="AB781" s="351">
        <f>OBRA!BT783</f>
        <v>0</v>
      </c>
      <c r="AC781" s="569"/>
      <c r="AE781"/>
      <c r="AF781"/>
      <c r="AG781"/>
      <c r="AH781"/>
      <c r="AI781"/>
      <c r="AJ781"/>
      <c r="AK781"/>
      <c r="AL781"/>
    </row>
    <row r="782" spans="1:38" ht="15" hidden="1" customHeight="1">
      <c r="A782" s="23" t="s">
        <v>2239</v>
      </c>
      <c r="B782" s="933">
        <f>GRAL!B938</f>
        <v>0</v>
      </c>
      <c r="C782" s="17">
        <f>OBRA!I784</f>
        <v>0</v>
      </c>
      <c r="D782" s="18">
        <f>OBRA!K784</f>
        <v>0</v>
      </c>
      <c r="E782" s="1374"/>
      <c r="F782" s="1300"/>
      <c r="G782" s="239"/>
      <c r="H782" s="1300"/>
      <c r="I782" s="56">
        <f>OBRA!U784</f>
        <v>0</v>
      </c>
      <c r="J782" s="57">
        <f>OBRA!V784</f>
        <v>0</v>
      </c>
      <c r="K782" s="20">
        <f>OBRA!L784</f>
        <v>0</v>
      </c>
      <c r="L782" s="2">
        <f>OBRA!M784</f>
        <v>0</v>
      </c>
      <c r="M782" s="3">
        <f>OBRA!N784</f>
        <v>0</v>
      </c>
      <c r="N782" s="597"/>
      <c r="O782" s="6">
        <f>OBRA!Q784</f>
        <v>0</v>
      </c>
      <c r="P782" s="4">
        <f>OBRA!P784</f>
        <v>0</v>
      </c>
      <c r="Q782" s="4"/>
      <c r="R782" s="5">
        <f>OBRA!R784</f>
        <v>0</v>
      </c>
      <c r="S782" s="12">
        <f>OBRA!S784</f>
        <v>0</v>
      </c>
      <c r="T782" s="792"/>
      <c r="U782" s="223"/>
      <c r="V782" s="558"/>
      <c r="W782" s="559"/>
      <c r="X782" s="590" t="str">
        <f>OBRA!AP784</f>
        <v xml:space="preserve"> </v>
      </c>
      <c r="Y782" s="341"/>
      <c r="Z782" s="341"/>
      <c r="AA782" s="5"/>
      <c r="AB782" s="351">
        <f>OBRA!BT784</f>
        <v>0</v>
      </c>
      <c r="AC782" s="569"/>
      <c r="AE782"/>
      <c r="AF782"/>
      <c r="AG782"/>
      <c r="AH782"/>
      <c r="AI782"/>
      <c r="AJ782"/>
      <c r="AK782"/>
      <c r="AL782"/>
    </row>
    <row r="783" spans="1:38" ht="15" hidden="1" customHeight="1">
      <c r="A783" s="23" t="s">
        <v>2239</v>
      </c>
      <c r="B783" s="933">
        <f>GRAL!B939</f>
        <v>0</v>
      </c>
      <c r="C783" s="17">
        <f>OBRA!I785</f>
        <v>0</v>
      </c>
      <c r="D783" s="18">
        <f>OBRA!K785</f>
        <v>0</v>
      </c>
      <c r="E783" s="1374"/>
      <c r="F783" s="1300"/>
      <c r="G783" s="239"/>
      <c r="H783" s="1300"/>
      <c r="I783" s="56">
        <f>OBRA!U785</f>
        <v>0</v>
      </c>
      <c r="J783" s="57">
        <f>OBRA!V785</f>
        <v>0</v>
      </c>
      <c r="K783" s="20">
        <f>OBRA!L785</f>
        <v>0</v>
      </c>
      <c r="L783" s="2">
        <f>OBRA!M785</f>
        <v>0</v>
      </c>
      <c r="M783" s="3">
        <f>OBRA!N785</f>
        <v>0</v>
      </c>
      <c r="N783" s="597"/>
      <c r="O783" s="6">
        <f>OBRA!Q785</f>
        <v>0</v>
      </c>
      <c r="P783" s="4">
        <f>OBRA!P785</f>
        <v>0</v>
      </c>
      <c r="Q783" s="4"/>
      <c r="R783" s="5">
        <f>OBRA!R785</f>
        <v>0</v>
      </c>
      <c r="S783" s="12">
        <f>OBRA!S785</f>
        <v>0</v>
      </c>
      <c r="T783" s="792"/>
      <c r="U783" s="223"/>
      <c r="V783" s="558"/>
      <c r="W783" s="559"/>
      <c r="X783" s="590">
        <f>OBRA!AP785</f>
        <v>0</v>
      </c>
      <c r="Y783" s="341"/>
      <c r="Z783" s="341"/>
      <c r="AA783" s="5"/>
      <c r="AB783" s="351">
        <f>OBRA!BT785</f>
        <v>0</v>
      </c>
      <c r="AC783" s="569"/>
      <c r="AE783"/>
      <c r="AF783"/>
      <c r="AG783"/>
      <c r="AH783"/>
      <c r="AI783"/>
      <c r="AJ783"/>
      <c r="AK783"/>
      <c r="AL783"/>
    </row>
    <row r="784" spans="1:38" s="31" customFormat="1">
      <c r="A784" s="24"/>
      <c r="B784" s="24"/>
      <c r="C784" s="25"/>
      <c r="D784" s="24"/>
      <c r="E784" s="24"/>
      <c r="F784" s="24"/>
      <c r="G784" s="990"/>
      <c r="H784" s="24"/>
      <c r="I784" s="24"/>
      <c r="J784" s="24"/>
      <c r="K784" s="24"/>
      <c r="L784" s="26"/>
      <c r="M784" s="27"/>
      <c r="N784" s="27"/>
      <c r="O784" s="29"/>
      <c r="P784" s="29"/>
      <c r="Q784" s="29"/>
      <c r="R784" s="30"/>
      <c r="S784" s="30"/>
      <c r="T784" s="30"/>
      <c r="U784" s="30"/>
      <c r="V784" s="30"/>
      <c r="W784" s="30"/>
      <c r="X784" s="30"/>
      <c r="Y784" s="277"/>
      <c r="Z784" s="277"/>
      <c r="AA784" s="277"/>
      <c r="AB784" s="277"/>
      <c r="AC784" s="277"/>
      <c r="AE784" s="24"/>
      <c r="AF784" s="24"/>
      <c r="AG784" s="24"/>
      <c r="AH784" s="24"/>
      <c r="AI784" s="24"/>
      <c r="AJ784" s="24"/>
      <c r="AK784" s="24"/>
      <c r="AL784" s="24"/>
    </row>
    <row r="785" spans="1:38" ht="15.75" thickBot="1">
      <c r="G785" s="197"/>
    </row>
    <row r="786" spans="1:38" ht="18.75">
      <c r="A786" s="2202" t="s">
        <v>2306</v>
      </c>
      <c r="B786" s="2203"/>
      <c r="C786" s="2203"/>
      <c r="D786" s="2203"/>
      <c r="E786" s="2203"/>
      <c r="F786" s="2203"/>
      <c r="G786" s="2203"/>
      <c r="H786" s="2203"/>
      <c r="I786" s="2203"/>
      <c r="J786" s="2203"/>
      <c r="K786" s="2204"/>
    </row>
    <row r="787" spans="1:38" ht="6" customHeight="1">
      <c r="A787" s="409"/>
      <c r="B787" s="930"/>
      <c r="C787" s="31"/>
      <c r="D787" s="31"/>
      <c r="E787" s="31"/>
      <c r="F787" s="31"/>
      <c r="G787" s="31"/>
      <c r="H787" s="31"/>
      <c r="I787" s="31"/>
      <c r="J787" s="31"/>
      <c r="K787" s="410"/>
    </row>
    <row r="788" spans="1:38" ht="18.75">
      <c r="A788" s="414">
        <v>2</v>
      </c>
      <c r="B788" s="931"/>
      <c r="C788" s="31"/>
      <c r="D788" s="31" t="s">
        <v>2307</v>
      </c>
      <c r="E788" s="31"/>
      <c r="F788" s="31"/>
      <c r="G788" s="31"/>
      <c r="H788" s="31"/>
      <c r="I788" s="31"/>
      <c r="J788" s="31"/>
      <c r="K788" s="410"/>
    </row>
    <row r="789" spans="1:38" ht="18.75">
      <c r="A789" s="414">
        <v>6</v>
      </c>
      <c r="B789" s="931"/>
      <c r="C789" s="31"/>
      <c r="D789" s="31" t="s">
        <v>2308</v>
      </c>
      <c r="E789" s="31"/>
      <c r="F789" s="31"/>
      <c r="G789" s="31"/>
      <c r="H789" s="31"/>
      <c r="I789" s="31"/>
      <c r="J789" s="31"/>
      <c r="K789" s="410"/>
    </row>
    <row r="790" spans="1:38" ht="16.5" thickBot="1">
      <c r="A790" s="411"/>
      <c r="B790" s="932"/>
      <c r="C790" s="412"/>
      <c r="D790" s="412"/>
      <c r="E790" s="412"/>
      <c r="F790" s="412"/>
      <c r="G790" s="412"/>
      <c r="H790" s="412"/>
      <c r="I790" s="412"/>
      <c r="J790" s="412"/>
      <c r="K790" s="413"/>
    </row>
    <row r="792" spans="1:38" s="464" customFormat="1" ht="18.75">
      <c r="A792" s="2205" t="s">
        <v>2207</v>
      </c>
      <c r="B792" s="2205"/>
      <c r="C792" s="2205"/>
      <c r="D792" s="2205"/>
      <c r="E792" s="1179"/>
      <c r="AE792" s="1180"/>
      <c r="AF792" s="1180"/>
      <c r="AG792" s="1180"/>
      <c r="AH792" s="1180"/>
      <c r="AI792" s="1180"/>
      <c r="AJ792" s="1180"/>
      <c r="AK792" s="1180"/>
      <c r="AL792" s="1180"/>
    </row>
    <row r="793" spans="1:38" s="1172" customFormat="1" ht="24" customHeight="1">
      <c r="A793" s="2206">
        <f>OBRA!N786</f>
        <v>45302</v>
      </c>
      <c r="B793" s="2206"/>
      <c r="C793" s="2206"/>
      <c r="D793" s="2206"/>
      <c r="E793" s="1181"/>
      <c r="M793" s="1182"/>
      <c r="P793" s="1183"/>
      <c r="Q793" s="1183"/>
      <c r="AE793" s="1184"/>
      <c r="AF793" s="1184"/>
      <c r="AG793" s="1184"/>
      <c r="AH793" s="1184"/>
      <c r="AI793" s="1184"/>
      <c r="AJ793" s="1184"/>
      <c r="AK793" s="1184"/>
      <c r="AL793" s="1184"/>
    </row>
    <row r="794" spans="1:38">
      <c r="E794" s="197"/>
      <c r="P794" s="555"/>
      <c r="Q794" s="555"/>
    </row>
    <row r="795" spans="1:38">
      <c r="E795" s="197"/>
    </row>
    <row r="797" spans="1:38">
      <c r="P797" s="555"/>
      <c r="Q797" s="555"/>
    </row>
    <row r="798" spans="1:38">
      <c r="P798" s="555"/>
      <c r="Q798" s="555"/>
    </row>
    <row r="799" spans="1:38" s="724" customFormat="1">
      <c r="D799" s="724" t="s">
        <v>2208</v>
      </c>
      <c r="P799" s="1070"/>
      <c r="Q799" s="1070"/>
      <c r="AE799" s="1071"/>
      <c r="AF799" s="1071"/>
      <c r="AG799" s="1071"/>
      <c r="AH799" s="1071"/>
      <c r="AI799" s="1071"/>
      <c r="AJ799" s="1071"/>
      <c r="AK799" s="1071"/>
      <c r="AL799" s="1071"/>
    </row>
    <row r="800" spans="1:38" s="724" customFormat="1">
      <c r="D800" s="1068" t="s">
        <v>2309</v>
      </c>
      <c r="AE800" s="1071"/>
      <c r="AF800" s="1071"/>
      <c r="AG800" s="1071"/>
      <c r="AH800" s="1071"/>
      <c r="AI800" s="1071"/>
      <c r="AJ800" s="1071"/>
      <c r="AK800" s="1071"/>
      <c r="AL800" s="1071"/>
    </row>
    <row r="801" spans="1:29">
      <c r="A801" s="197"/>
      <c r="B801" s="197"/>
    </row>
    <row r="806" spans="1:29">
      <c r="R806" s="114"/>
      <c r="S806" s="113"/>
      <c r="T806" s="113"/>
      <c r="U806" s="113"/>
      <c r="V806" s="113"/>
      <c r="W806" s="113"/>
      <c r="X806" s="113"/>
      <c r="Y806" s="113"/>
      <c r="Z806" s="113"/>
      <c r="AA806" s="113"/>
      <c r="AB806" s="113"/>
      <c r="AC806" s="113"/>
    </row>
  </sheetData>
  <autoFilter ref="A6:AC783">
    <filterColumn colId="2">
      <filters>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U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D800"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U323" display="http://www.jocotepec.gob.mx/transparencia/index.php/ayuntamiento/informacion-fundamental/v-la-informacion-financiera-patrimonial-y-administrativa/o-las-adjudicaciones-directas-en-materia-de-adquisiciones-obra-publica-proyectos-de-inversion-y-prestacion-de"/>
    <hyperlink ref="U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V511" r:id="rId12"/>
    <hyperlink ref="W511" r:id="rId13"/>
    <hyperlink ref="V512" r:id="rId14"/>
    <hyperlink ref="W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V496" r:id="rId29"/>
    <hyperlink ref="W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V493" r:id="rId45"/>
    <hyperlink ref="V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W495" r:id="rId58"/>
    <hyperlink ref="V495" r:id="rId59"/>
    <hyperlink ref="H497" r:id="rId60"/>
    <hyperlink ref="V497" r:id="rId61"/>
    <hyperlink ref="W497" r:id="rId62"/>
    <hyperlink ref="H498" r:id="rId63"/>
    <hyperlink ref="V498" r:id="rId64"/>
    <hyperlink ref="W498" r:id="rId65"/>
    <hyperlink ref="G500" r:id="rId66"/>
    <hyperlink ref="F503" r:id="rId67"/>
    <hyperlink ref="G503" r:id="rId68"/>
    <hyperlink ref="H503" r:id="rId69"/>
    <hyperlink ref="V503" r:id="rId70"/>
    <hyperlink ref="W503" r:id="rId71"/>
    <hyperlink ref="G505" r:id="rId72"/>
    <hyperlink ref="W505" r:id="rId73"/>
    <hyperlink ref="H506" r:id="rId74"/>
    <hyperlink ref="G509" r:id="rId75"/>
    <hyperlink ref="V509" r:id="rId76"/>
    <hyperlink ref="W509" r:id="rId77"/>
    <hyperlink ref="F508" r:id="rId78"/>
    <hyperlink ref="V508" r:id="rId79"/>
    <hyperlink ref="W508" r:id="rId80"/>
    <hyperlink ref="G510" r:id="rId81"/>
    <hyperlink ref="H510" r:id="rId82"/>
    <hyperlink ref="V510" r:id="rId83"/>
    <hyperlink ref="W510" r:id="rId84"/>
    <hyperlink ref="G514" r:id="rId85"/>
    <hyperlink ref="V514" r:id="rId86"/>
    <hyperlink ref="W514" r:id="rId87"/>
    <hyperlink ref="G519" r:id="rId88"/>
    <hyperlink ref="H519" r:id="rId89"/>
    <hyperlink ref="V519" r:id="rId90"/>
    <hyperlink ref="W519" r:id="rId91"/>
    <hyperlink ref="F521" r:id="rId92"/>
    <hyperlink ref="H521" r:id="rId93"/>
    <hyperlink ref="V521" r:id="rId94"/>
    <hyperlink ref="W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 ref="N551:N554" r:id="rId113" display="https://portaltransparencia.jocotepec.gob.mx/informacion/3330"/>
    <hyperlink ref="N555" r:id="rId114"/>
    <hyperlink ref="N557" r:id="rId115"/>
    <hyperlink ref="N559" r:id="rId116"/>
    <hyperlink ref="N561:N563" r:id="rId117" display="https://portaltransparencia.jocotepec.gob.mx/informacion/3331"/>
    <hyperlink ref="N583:N586" r:id="rId118" display="https://portaltransparencia.jocotepec.gob.mx/informacion/3331"/>
    <hyperlink ref="N604" r:id="rId119"/>
    <hyperlink ref="N606:N607" r:id="rId120" display="https://portaltransparencia.jocotepec.gob.mx/informacion/4334"/>
    <hyperlink ref="N609" r:id="rId121"/>
    <hyperlink ref="N611:N613" r:id="rId122" display="https://portaltransparencia.jocotepec.gob.mx/informacion/4334"/>
    <hyperlink ref="N614" r:id="rId123"/>
    <hyperlink ref="N615:N616" r:id="rId124" display="https://portaltransparencia.jocotepec.gob.mx/informacion/4336"/>
    <hyperlink ref="N624" r:id="rId125"/>
    <hyperlink ref="N625:N631" r:id="rId126" display="https://portaltransparencia.jocotepec.gob.mx/informacion/4335"/>
    <hyperlink ref="N659" r:id="rId127"/>
    <hyperlink ref="N660:N663" r:id="rId128" display="https://portaltransparencia.jocotepec.gob.mx/informacion/4690"/>
    <hyperlink ref="N689" r:id="rId129"/>
    <hyperlink ref="N690" r:id="rId13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P872"/>
  <sheetViews>
    <sheetView view="pageBreakPreview" topLeftCell="Q1" zoomScale="55" zoomScaleNormal="85" zoomScaleSheetLayoutView="55" workbookViewId="0">
      <selection activeCell="Q6" sqref="A6:XFD6"/>
    </sheetView>
  </sheetViews>
  <sheetFormatPr baseColWidth="10" defaultColWidth="11.42578125" defaultRowHeight="15"/>
  <cols>
    <col min="1" max="1" width="4" customWidth="1"/>
    <col min="2" max="2" width="7.14062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8"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96" customWidth="1"/>
    <col min="37" max="37" width="19.85546875" style="196" customWidth="1"/>
    <col min="38" max="38" width="17.28515625" style="196" customWidth="1"/>
    <col min="39" max="39" width="13.140625" style="196" customWidth="1"/>
    <col min="40" max="40" width="5.7109375" style="196" customWidth="1"/>
    <col min="41" max="41" width="2.7109375" customWidth="1"/>
    <col min="42" max="42" width="9.5703125" customWidth="1"/>
  </cols>
  <sheetData>
    <row r="1" spans="1:42" s="863" customFormat="1" ht="45.75" customHeight="1" thickBot="1">
      <c r="A1" s="2207" t="s">
        <v>5605</v>
      </c>
      <c r="B1" s="2207"/>
      <c r="C1" s="2207"/>
      <c r="D1" s="2207"/>
      <c r="E1" s="2207"/>
      <c r="F1" s="2207"/>
      <c r="G1" s="2207"/>
      <c r="H1" s="2207"/>
      <c r="I1" s="2207"/>
      <c r="J1" s="2207"/>
      <c r="K1" s="2207"/>
      <c r="L1" s="2207"/>
      <c r="M1" s="2207"/>
      <c r="N1" s="2207"/>
      <c r="O1" s="2207"/>
      <c r="P1" s="2207"/>
      <c r="Q1" s="2207"/>
      <c r="R1" s="2207"/>
      <c r="S1" s="2207"/>
      <c r="T1" s="2207"/>
      <c r="U1" s="2207"/>
      <c r="V1" s="2208"/>
      <c r="W1" s="2207"/>
      <c r="X1" s="2207"/>
      <c r="Y1" s="2207"/>
      <c r="Z1" s="2207"/>
      <c r="AA1" s="2207"/>
      <c r="AB1" s="2207"/>
      <c r="AC1" s="2207"/>
      <c r="AD1" s="2207"/>
      <c r="AE1" s="2207"/>
      <c r="AF1" s="2207"/>
      <c r="AG1" s="2207"/>
      <c r="AH1" s="2207"/>
      <c r="AI1" s="2207"/>
      <c r="AJ1" s="2207"/>
      <c r="AK1" s="2207"/>
      <c r="AL1" s="2207"/>
      <c r="AM1" s="2207"/>
      <c r="AN1" s="2207"/>
      <c r="AO1" s="2207"/>
    </row>
    <row r="2" spans="1:42" ht="30" customHeight="1" thickTop="1" thickBot="1">
      <c r="A2" s="2223" t="str">
        <f>GRAL!A2:AW2</f>
        <v>DEL 01 DE ENERO 2023 A FECHA ACTUAL</v>
      </c>
      <c r="B2" s="2224"/>
      <c r="C2" s="2224"/>
      <c r="D2" s="2224"/>
      <c r="E2" s="2224"/>
      <c r="F2" s="2224"/>
      <c r="G2" s="2224"/>
      <c r="H2" s="2224"/>
      <c r="I2" s="2224"/>
      <c r="J2" s="2224"/>
      <c r="K2" s="2224"/>
      <c r="L2" s="2224"/>
      <c r="M2" s="2224"/>
      <c r="N2" s="2224"/>
      <c r="O2" s="2224"/>
      <c r="P2" s="2224"/>
      <c r="Q2" s="2224"/>
      <c r="R2" s="2224"/>
      <c r="S2" s="2224"/>
      <c r="T2" s="2224"/>
      <c r="U2" s="2224"/>
      <c r="V2" s="2225"/>
      <c r="W2" s="2224"/>
      <c r="X2" s="2224"/>
      <c r="Y2" s="2224"/>
      <c r="Z2" s="2224"/>
      <c r="AA2" s="2224"/>
      <c r="AB2" s="2224"/>
      <c r="AC2" s="2224"/>
      <c r="AD2" s="2224"/>
      <c r="AE2" s="2224"/>
      <c r="AF2" s="2224"/>
      <c r="AG2" s="2224"/>
      <c r="AH2" s="2224"/>
      <c r="AI2" s="2224"/>
      <c r="AJ2" s="2226"/>
      <c r="AK2" s="2226"/>
      <c r="AL2" s="2226"/>
      <c r="AM2" s="2226"/>
      <c r="AN2" s="2226"/>
      <c r="AO2" s="2227"/>
    </row>
    <row r="3" spans="1:42" ht="33" customHeight="1" thickTop="1" thickBot="1">
      <c r="A3" s="870"/>
      <c r="B3" s="2034"/>
      <c r="C3" s="2213" t="s">
        <v>2310</v>
      </c>
      <c r="D3" s="2214"/>
      <c r="E3" s="2214"/>
      <c r="F3" s="2214"/>
      <c r="G3" s="2214"/>
      <c r="H3" s="2214"/>
      <c r="I3" s="2214"/>
      <c r="J3" s="2214"/>
      <c r="K3" s="2214"/>
      <c r="L3" s="2214"/>
      <c r="M3" s="2214"/>
      <c r="N3" s="2214"/>
      <c r="O3" s="2214"/>
      <c r="P3" s="2214"/>
      <c r="Q3" s="2214"/>
      <c r="R3" s="2215"/>
      <c r="S3" s="2216" t="s">
        <v>4</v>
      </c>
      <c r="T3" s="2216"/>
      <c r="U3" s="2217"/>
      <c r="V3" s="1726"/>
      <c r="W3" s="2209" t="s">
        <v>2</v>
      </c>
      <c r="X3" s="2210"/>
      <c r="Y3" s="2210"/>
      <c r="Z3" s="2210"/>
      <c r="AA3" s="2210"/>
      <c r="AB3" s="2211"/>
      <c r="AC3" s="2211"/>
      <c r="AD3" s="2211"/>
      <c r="AE3" s="2211"/>
      <c r="AF3" s="2211"/>
      <c r="AG3" s="2212"/>
      <c r="AH3" s="1598"/>
      <c r="AI3" s="871"/>
      <c r="AJ3" s="872"/>
      <c r="AK3" s="872"/>
      <c r="AL3" s="872"/>
      <c r="AM3" s="887"/>
      <c r="AN3" s="874"/>
      <c r="AO3" s="873"/>
    </row>
    <row r="4" spans="1:42" s="150" customFormat="1" ht="26.1" customHeight="1" thickTop="1">
      <c r="A4" s="865"/>
      <c r="B4" s="866"/>
      <c r="C4" s="866"/>
      <c r="D4" s="866"/>
      <c r="E4" s="866"/>
      <c r="F4" s="866"/>
      <c r="G4" s="866" t="s">
        <v>2215</v>
      </c>
      <c r="H4" s="867"/>
      <c r="I4" s="866"/>
      <c r="J4" s="867"/>
      <c r="K4" s="866"/>
      <c r="L4" s="867"/>
      <c r="M4" s="866"/>
      <c r="N4" s="866"/>
      <c r="O4" s="866"/>
      <c r="P4" s="867"/>
      <c r="Q4" s="866" t="s">
        <v>2311</v>
      </c>
      <c r="R4" s="868"/>
      <c r="S4" s="866" t="s">
        <v>2312</v>
      </c>
      <c r="T4" s="869" t="s">
        <v>2216</v>
      </c>
      <c r="U4" s="868"/>
      <c r="V4" s="1727"/>
      <c r="W4" s="2222" t="s">
        <v>2313</v>
      </c>
      <c r="X4" s="2221"/>
      <c r="Y4" s="163" t="s">
        <v>2223</v>
      </c>
      <c r="Z4" s="2220" t="s">
        <v>2224</v>
      </c>
      <c r="AA4" s="2221"/>
      <c r="AB4" s="143"/>
      <c r="AC4" s="143"/>
      <c r="AD4" s="143"/>
      <c r="AE4" s="143"/>
      <c r="AF4" s="143"/>
      <c r="AG4" s="144"/>
      <c r="AH4" s="1596" t="s">
        <v>3858</v>
      </c>
      <c r="AI4" s="425" t="s">
        <v>2225</v>
      </c>
      <c r="AJ4" s="864" t="s">
        <v>2314</v>
      </c>
      <c r="AK4" s="864" t="s">
        <v>2315</v>
      </c>
      <c r="AL4" s="1226" t="s">
        <v>2316</v>
      </c>
      <c r="AM4" s="888"/>
      <c r="AN4" s="886"/>
      <c r="AO4" s="875"/>
    </row>
    <row r="5" spans="1:42" ht="55.5" customHeight="1" thickBot="1">
      <c r="A5" s="165" t="s">
        <v>19</v>
      </c>
      <c r="B5" s="2033" t="s">
        <v>4893</v>
      </c>
      <c r="C5" s="418" t="s">
        <v>2317</v>
      </c>
      <c r="D5" s="153" t="s">
        <v>2318</v>
      </c>
      <c r="E5" s="162" t="s">
        <v>5991</v>
      </c>
      <c r="F5" s="162" t="s">
        <v>2319</v>
      </c>
      <c r="G5" s="416" t="s">
        <v>2320</v>
      </c>
      <c r="H5" s="161" t="s">
        <v>2321</v>
      </c>
      <c r="I5" s="153" t="s">
        <v>2322</v>
      </c>
      <c r="J5" s="153" t="s">
        <v>2323</v>
      </c>
      <c r="K5" s="417" t="s">
        <v>2324</v>
      </c>
      <c r="L5" s="153" t="s">
        <v>2325</v>
      </c>
      <c r="M5" s="153" t="s">
        <v>4639</v>
      </c>
      <c r="N5" s="153" t="s">
        <v>2326</v>
      </c>
      <c r="O5" s="45" t="s">
        <v>2327</v>
      </c>
      <c r="P5" s="45" t="s">
        <v>2328</v>
      </c>
      <c r="Q5" s="443" t="s">
        <v>2329</v>
      </c>
      <c r="R5" s="51" t="s">
        <v>2330</v>
      </c>
      <c r="S5" s="421" t="s">
        <v>2331</v>
      </c>
      <c r="T5" s="45" t="s">
        <v>28</v>
      </c>
      <c r="U5" s="402" t="s">
        <v>29</v>
      </c>
      <c r="V5" s="1728" t="s">
        <v>59</v>
      </c>
      <c r="W5" s="43" t="s">
        <v>21</v>
      </c>
      <c r="X5" s="49" t="s">
        <v>1413</v>
      </c>
      <c r="Y5" s="52" t="s">
        <v>1415</v>
      </c>
      <c r="Z5" s="118" t="s">
        <v>2226</v>
      </c>
      <c r="AA5" s="52" t="s">
        <v>2332</v>
      </c>
      <c r="AB5" s="44" t="s">
        <v>22</v>
      </c>
      <c r="AC5" s="45" t="s">
        <v>23</v>
      </c>
      <c r="AD5" s="45" t="s">
        <v>24</v>
      </c>
      <c r="AE5" s="45" t="s">
        <v>25</v>
      </c>
      <c r="AF5" s="45" t="s">
        <v>26</v>
      </c>
      <c r="AG5" s="46" t="s">
        <v>27</v>
      </c>
      <c r="AH5" s="1599" t="s">
        <v>3857</v>
      </c>
      <c r="AI5" s="430" t="s">
        <v>2333</v>
      </c>
      <c r="AJ5" s="431" t="s">
        <v>2334</v>
      </c>
      <c r="AK5" s="431" t="s">
        <v>1425</v>
      </c>
      <c r="AL5" s="884" t="s">
        <v>2232</v>
      </c>
      <c r="AM5" s="889" t="s">
        <v>1410</v>
      </c>
      <c r="AN5" s="883" t="s">
        <v>1429</v>
      </c>
      <c r="AO5" s="15"/>
      <c r="AP5" s="194"/>
    </row>
    <row r="6" spans="1:42" s="833" customFormat="1" ht="27.75" hidden="1" customHeight="1" thickTop="1" thickBot="1">
      <c r="A6" s="857"/>
      <c r="B6" s="837"/>
      <c r="C6" s="858"/>
      <c r="D6" s="818"/>
      <c r="E6" s="845"/>
      <c r="F6" s="845"/>
      <c r="G6" s="859"/>
      <c r="H6" s="817"/>
      <c r="I6" s="818"/>
      <c r="J6" s="818"/>
      <c r="K6" s="859"/>
      <c r="L6" s="817"/>
      <c r="M6" s="817"/>
      <c r="N6" s="817"/>
      <c r="O6" s="829"/>
      <c r="P6" s="829"/>
      <c r="Q6" s="860"/>
      <c r="R6" s="832"/>
      <c r="S6" s="818"/>
      <c r="T6" s="829"/>
      <c r="U6" s="826"/>
      <c r="V6" s="834"/>
      <c r="W6" s="820"/>
      <c r="X6" s="841"/>
      <c r="Y6" s="861"/>
      <c r="Z6" s="862"/>
      <c r="AA6" s="861"/>
      <c r="AB6" s="821"/>
      <c r="AC6" s="822"/>
      <c r="AD6" s="822"/>
      <c r="AE6" s="822"/>
      <c r="AF6" s="822"/>
      <c r="AG6" s="1896"/>
      <c r="AH6" s="827"/>
      <c r="AI6" s="844"/>
      <c r="AJ6" s="845"/>
      <c r="AK6" s="845"/>
      <c r="AL6" s="885"/>
      <c r="AM6" s="890"/>
      <c r="AN6" s="834"/>
      <c r="AO6" s="849"/>
      <c r="AP6" s="827"/>
    </row>
    <row r="7" spans="1:42" s="326" customFormat="1" ht="60.75" hidden="1" thickTop="1">
      <c r="A7" s="330">
        <f>OBRA!I6</f>
        <v>2013</v>
      </c>
      <c r="B7" s="2035"/>
      <c r="C7" s="876"/>
      <c r="D7" s="331"/>
      <c r="E7" s="332"/>
      <c r="F7" s="332"/>
      <c r="G7" s="968"/>
      <c r="H7" s="333">
        <f>OBRA!AD6</f>
        <v>41488</v>
      </c>
      <c r="I7" s="969"/>
      <c r="J7" s="970" t="str">
        <f>OBRA!AE6</f>
        <v>-</v>
      </c>
      <c r="K7" s="971"/>
      <c r="L7" s="333" t="str">
        <f>OBRA!AF6</f>
        <v>-</v>
      </c>
      <c r="M7" s="972"/>
      <c r="N7" s="333">
        <f>OBRA!AG6</f>
        <v>41499</v>
      </c>
      <c r="O7" s="358" t="s">
        <v>2336</v>
      </c>
      <c r="P7" s="333"/>
      <c r="Q7" s="973"/>
      <c r="R7" s="974">
        <f>OBRA!AH6</f>
        <v>41499</v>
      </c>
      <c r="S7" s="422"/>
      <c r="T7" s="975" t="str">
        <f>OBRA!U6</f>
        <v>C. URIEL PALOS CUEVAS</v>
      </c>
      <c r="U7" s="334" t="str">
        <f>OBRA!V6</f>
        <v>C. DANIEL RODRIGUEZ VALENZUELA</v>
      </c>
      <c r="V7" s="1725"/>
      <c r="W7" s="481" t="str">
        <f>OBRA!L6</f>
        <v>GMJ 015C OP/2013</v>
      </c>
      <c r="X7" s="325"/>
      <c r="Y7" s="325"/>
      <c r="Z7" s="325" t="str">
        <f>OBRA!K6</f>
        <v>FONDEREG</v>
      </c>
      <c r="AA7" s="325"/>
      <c r="AB7" s="318" t="str">
        <f>OBRA!M6</f>
        <v>INVITACIÓN</v>
      </c>
      <c r="AC7" s="319" t="str">
        <f>OBRA!N6</f>
        <v>RED DE AGUA POTABLE, DRENAJE Y EMPEDRADO EN CEMENTO, EN PROLONGACIÓN MORELOS, EN LA LOCALIDAD DE CHANTEPEC</v>
      </c>
      <c r="AD7" s="320">
        <f>OBRA!P6</f>
        <v>2564102.67</v>
      </c>
      <c r="AE7" s="321">
        <f>OBRA!Q6</f>
        <v>41501</v>
      </c>
      <c r="AF7" s="322">
        <f>OBRA!R6</f>
        <v>41518</v>
      </c>
      <c r="AG7" s="427">
        <f>OBRA!S6</f>
        <v>41608</v>
      </c>
      <c r="AH7" s="1597"/>
      <c r="AI7" s="976"/>
      <c r="AJ7" s="977"/>
      <c r="AK7" s="977"/>
      <c r="AL7" s="978"/>
      <c r="AM7" s="391" t="str">
        <f>GRAL!B8</f>
        <v>2012-2015</v>
      </c>
      <c r="AN7" s="391"/>
      <c r="AO7" s="325"/>
    </row>
    <row r="8" spans="1:42" ht="60.75" hidden="1" thickTop="1">
      <c r="A8" s="166">
        <f>OBRA!I7</f>
        <v>2013</v>
      </c>
      <c r="B8" s="2036"/>
      <c r="C8" s="433"/>
      <c r="D8" s="154"/>
      <c r="E8" s="156"/>
      <c r="F8" s="156"/>
      <c r="G8" s="436"/>
      <c r="H8" s="442" t="str">
        <f>OBRA!AD7</f>
        <v>-</v>
      </c>
      <c r="I8" s="438"/>
      <c r="J8" s="444" t="str">
        <f>OBRA!AE7</f>
        <v>-</v>
      </c>
      <c r="K8" s="439"/>
      <c r="L8" s="442" t="str">
        <f>OBRA!AF7</f>
        <v>-</v>
      </c>
      <c r="M8" s="440"/>
      <c r="N8" s="442" t="str">
        <f>OBRA!AG7</f>
        <v>-</v>
      </c>
      <c r="O8" s="152"/>
      <c r="P8" s="152"/>
      <c r="Q8" s="439"/>
      <c r="R8" s="445" t="str">
        <f>OBRA!AH7</f>
        <v>-</v>
      </c>
      <c r="S8" s="423"/>
      <c r="T8" s="446" t="str">
        <f>OBRA!U7</f>
        <v>CONSTRUCTORA TGV, S.A. DE C.V.</v>
      </c>
      <c r="U8" s="447" t="str">
        <f>OBRA!V7</f>
        <v>C. DANIEL RODRIGUEZ VALENZUELA</v>
      </c>
      <c r="V8" s="1281"/>
      <c r="W8" s="20" t="str">
        <f>OBRA!L7</f>
        <v>GMJ 022C OP/2013</v>
      </c>
      <c r="X8" s="13"/>
      <c r="Y8" s="13"/>
      <c r="Z8" s="448" t="str">
        <f>OBRA!K7</f>
        <v>RAMO 33</v>
      </c>
      <c r="AA8" s="13"/>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428">
        <f>OBRA!S7</f>
        <v>41638</v>
      </c>
      <c r="AH8" s="54"/>
      <c r="AI8" s="231"/>
      <c r="AJ8" s="267"/>
      <c r="AK8" s="267"/>
      <c r="AL8" s="432"/>
      <c r="AM8" s="573" t="str">
        <f>GRAL!B9</f>
        <v>2012-2015</v>
      </c>
      <c r="AN8" s="574"/>
      <c r="AO8" s="13"/>
    </row>
    <row r="9" spans="1:42" ht="46.5" hidden="1" thickTop="1" thickBot="1">
      <c r="A9" s="166">
        <f>OBRA!I8</f>
        <v>2013</v>
      </c>
      <c r="B9" s="2036"/>
      <c r="C9" s="433"/>
      <c r="D9" s="154"/>
      <c r="E9" s="156"/>
      <c r="F9" s="21"/>
      <c r="G9" s="436"/>
      <c r="H9" s="442" t="str">
        <f>OBRA!AD8</f>
        <v>-</v>
      </c>
      <c r="I9" s="438"/>
      <c r="J9" s="444" t="str">
        <f>OBRA!AE8</f>
        <v>-</v>
      </c>
      <c r="K9" s="439"/>
      <c r="L9" s="442" t="str">
        <f>OBRA!AF8</f>
        <v>-</v>
      </c>
      <c r="M9" s="440"/>
      <c r="N9" s="442" t="str">
        <f>OBRA!AG8</f>
        <v>-</v>
      </c>
      <c r="O9" s="152"/>
      <c r="P9" s="152"/>
      <c r="Q9" s="439"/>
      <c r="R9" s="445" t="str">
        <f>OBRA!AH8</f>
        <v>-</v>
      </c>
      <c r="S9" s="423"/>
      <c r="T9" s="446" t="str">
        <f>OBRA!U8</f>
        <v>CONSTRUCTORA TGV, S.A. DE C.V.</v>
      </c>
      <c r="U9" s="447" t="str">
        <f>OBRA!V8</f>
        <v>C. DANIEL RODRIGUEZ VALENZUELA</v>
      </c>
      <c r="V9" s="1281"/>
      <c r="W9" s="20" t="str">
        <f>OBRA!L8</f>
        <v>GMJ 023C OP/2013</v>
      </c>
      <c r="X9" s="13"/>
      <c r="Y9" s="13"/>
      <c r="Z9" s="448" t="str">
        <f>OBRA!K8</f>
        <v>RAMO 33</v>
      </c>
      <c r="AA9" s="13"/>
      <c r="AB9" s="2" t="str">
        <f>OBRA!M8</f>
        <v>ADJUDICACIÓN DIRECTA</v>
      </c>
      <c r="AC9" s="3" t="str">
        <f>OBRA!N8</f>
        <v>CONSTRUCCIÓN DE MODULOS DE BAÑOS JUNTO A LA UNIDAD DEPORTIVA, EN LA AGENCIA MUNICIPAL DE EL MOLINO</v>
      </c>
      <c r="AD9" s="4">
        <f>OBRA!P8</f>
        <v>160000</v>
      </c>
      <c r="AE9" s="6">
        <f>OBRA!Q8</f>
        <v>41610</v>
      </c>
      <c r="AF9" s="5">
        <f>OBRA!R8</f>
        <v>41617</v>
      </c>
      <c r="AG9" s="428">
        <f>OBRA!S8</f>
        <v>41638</v>
      </c>
      <c r="AH9" s="54"/>
      <c r="AI9" s="231"/>
      <c r="AJ9" s="267"/>
      <c r="AK9" s="267"/>
      <c r="AL9" s="432"/>
      <c r="AM9" s="573" t="str">
        <f>GRAL!B10</f>
        <v>2012-2015</v>
      </c>
      <c r="AN9" s="574"/>
      <c r="AO9" s="13"/>
    </row>
    <row r="10" spans="1:42" ht="60.75" hidden="1" thickTop="1">
      <c r="A10" s="166">
        <f>OBRA!I9</f>
        <v>2013</v>
      </c>
      <c r="B10" s="2036"/>
      <c r="C10" s="433"/>
      <c r="D10" s="154"/>
      <c r="E10" s="156"/>
      <c r="F10" s="156"/>
      <c r="G10" s="436"/>
      <c r="H10" s="442" t="str">
        <f>OBRA!AD9</f>
        <v>-</v>
      </c>
      <c r="I10" s="438"/>
      <c r="J10" s="444" t="str">
        <f>OBRA!AE9</f>
        <v>-</v>
      </c>
      <c r="K10" s="439"/>
      <c r="L10" s="442" t="str">
        <f>OBRA!AF9</f>
        <v>-</v>
      </c>
      <c r="M10" s="440"/>
      <c r="N10" s="442" t="str">
        <f>OBRA!AG9</f>
        <v>-</v>
      </c>
      <c r="O10" s="152"/>
      <c r="P10" s="152"/>
      <c r="Q10" s="439"/>
      <c r="R10" s="445" t="str">
        <f>OBRA!AH9</f>
        <v>-</v>
      </c>
      <c r="S10" s="423"/>
      <c r="T10" s="446" t="str">
        <f>OBRA!U9</f>
        <v>-</v>
      </c>
      <c r="U10" s="447">
        <f>OBRA!V9</f>
        <v>0</v>
      </c>
      <c r="V10" s="1281"/>
      <c r="W10" s="20" t="str">
        <f>OBRA!L9</f>
        <v>DOP/AD/011/2013</v>
      </c>
      <c r="X10" s="13"/>
      <c r="Y10" s="13"/>
      <c r="Z10" s="448" t="str">
        <f>OBRA!K9</f>
        <v>RAMO 33</v>
      </c>
      <c r="AA10" s="13"/>
      <c r="AB10" s="2" t="str">
        <f>OBRA!M9</f>
        <v>ADMINISTRACIÓN DIRECTA</v>
      </c>
      <c r="AC10" s="3" t="str">
        <f>OBRA!N9</f>
        <v>BACHEO DE EMPEDRADO NORMAL EN CALLES: ALLENE, PORFIRIO DIAZ Y MATAMOROS, EN SAN CRISTOBAL ZAPOTITLAN</v>
      </c>
      <c r="AD10" s="4">
        <f>OBRA!P9</f>
        <v>0</v>
      </c>
      <c r="AE10" s="6" t="s">
        <v>68</v>
      </c>
      <c r="AF10" s="5" t="s">
        <v>68</v>
      </c>
      <c r="AG10" s="428" t="s">
        <v>68</v>
      </c>
      <c r="AH10" s="54"/>
      <c r="AI10" s="231"/>
      <c r="AJ10" s="267"/>
      <c r="AK10" s="267"/>
      <c r="AL10" s="432"/>
      <c r="AM10" s="573" t="str">
        <f>GRAL!B11</f>
        <v>2012-2015</v>
      </c>
      <c r="AN10" s="574"/>
      <c r="AO10" s="13"/>
    </row>
    <row r="11" spans="1:42" ht="60.75" hidden="1" thickTop="1">
      <c r="A11" s="166">
        <f>OBRA!I10</f>
        <v>2013</v>
      </c>
      <c r="B11" s="2036"/>
      <c r="C11" s="433"/>
      <c r="D11" s="154"/>
      <c r="E11" s="156"/>
      <c r="F11" s="156"/>
      <c r="G11" s="436"/>
      <c r="H11" s="442" t="str">
        <f>OBRA!AD10</f>
        <v>-</v>
      </c>
      <c r="I11" s="438"/>
      <c r="J11" s="444" t="str">
        <f>OBRA!AE10</f>
        <v>-</v>
      </c>
      <c r="K11" s="439"/>
      <c r="L11" s="442" t="str">
        <f>OBRA!AF10</f>
        <v>-</v>
      </c>
      <c r="M11" s="440"/>
      <c r="N11" s="442" t="str">
        <f>OBRA!AG10</f>
        <v>-</v>
      </c>
      <c r="O11" s="152"/>
      <c r="P11" s="152"/>
      <c r="Q11" s="439"/>
      <c r="R11" s="445" t="str">
        <f>OBRA!AH10</f>
        <v>-</v>
      </c>
      <c r="S11" s="423"/>
      <c r="T11" s="446" t="str">
        <f>OBRA!U10</f>
        <v>-</v>
      </c>
      <c r="U11" s="447">
        <f>OBRA!V10</f>
        <v>0</v>
      </c>
      <c r="V11" s="1281"/>
      <c r="W11" s="20" t="str">
        <f>OBRA!L10</f>
        <v>DOP/AD/010/2013</v>
      </c>
      <c r="X11" s="13"/>
      <c r="Y11" s="13"/>
      <c r="Z11" s="448" t="str">
        <f>OBRA!K10</f>
        <v>RAMO 33</v>
      </c>
      <c r="AA11" s="13"/>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428">
        <f>OBRA!S10</f>
        <v>41486</v>
      </c>
      <c r="AH11" s="54"/>
      <c r="AI11" s="231"/>
      <c r="AJ11" s="267"/>
      <c r="AK11" s="267"/>
      <c r="AL11" s="432"/>
      <c r="AM11" s="573" t="str">
        <f>GRAL!B12</f>
        <v>2012-2015</v>
      </c>
      <c r="AN11" s="574"/>
      <c r="AO11" s="13"/>
    </row>
    <row r="12" spans="1:42" ht="45.75" hidden="1" thickTop="1">
      <c r="A12" s="166">
        <f>OBRA!I11</f>
        <v>2013</v>
      </c>
      <c r="B12" s="2036"/>
      <c r="C12" s="433"/>
      <c r="D12" s="154"/>
      <c r="E12" s="156"/>
      <c r="F12" s="156"/>
      <c r="G12" s="436"/>
      <c r="H12" s="442" t="str">
        <f>OBRA!AD11</f>
        <v>-</v>
      </c>
      <c r="I12" s="438"/>
      <c r="J12" s="444" t="str">
        <f>OBRA!AE11</f>
        <v>-</v>
      </c>
      <c r="K12" s="439"/>
      <c r="L12" s="442" t="str">
        <f>OBRA!AF11</f>
        <v>-</v>
      </c>
      <c r="M12" s="440"/>
      <c r="N12" s="442" t="str">
        <f>OBRA!AG11</f>
        <v>-</v>
      </c>
      <c r="O12" s="152"/>
      <c r="P12" s="152"/>
      <c r="Q12" s="439"/>
      <c r="R12" s="445" t="str">
        <f>OBRA!AH11</f>
        <v>-</v>
      </c>
      <c r="S12" s="423"/>
      <c r="T12" s="446" t="str">
        <f>OBRA!U11</f>
        <v>-</v>
      </c>
      <c r="U12" s="447">
        <f>OBRA!V11</f>
        <v>0</v>
      </c>
      <c r="V12" s="1281"/>
      <c r="W12" s="20" t="str">
        <f>OBRA!L11</f>
        <v>DOP/AD/007/2013</v>
      </c>
      <c r="X12" s="13"/>
      <c r="Y12" s="13"/>
      <c r="Z12" s="448" t="str">
        <f>OBRA!K11</f>
        <v>RAMO 33</v>
      </c>
      <c r="AA12" s="13"/>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428">
        <f>OBRA!S11</f>
        <v>41510</v>
      </c>
      <c r="AH12" s="54"/>
      <c r="AI12" s="231"/>
      <c r="AJ12" s="267"/>
      <c r="AK12" s="267"/>
      <c r="AL12" s="432"/>
      <c r="AM12" s="573" t="str">
        <f>GRAL!B13</f>
        <v>2012-2015</v>
      </c>
      <c r="AN12" s="574"/>
      <c r="AO12" s="13"/>
    </row>
    <row r="13" spans="1:42" ht="45.75" hidden="1" thickTop="1">
      <c r="A13" s="166">
        <f>OBRA!I12</f>
        <v>2013</v>
      </c>
      <c r="B13" s="2036"/>
      <c r="C13" s="433"/>
      <c r="D13" s="154"/>
      <c r="E13" s="156"/>
      <c r="F13" s="156"/>
      <c r="G13" s="436"/>
      <c r="H13" s="442" t="str">
        <f>OBRA!AD12</f>
        <v>-</v>
      </c>
      <c r="I13" s="438"/>
      <c r="J13" s="444" t="str">
        <f>OBRA!AE12</f>
        <v>-</v>
      </c>
      <c r="K13" s="439"/>
      <c r="L13" s="442" t="str">
        <f>OBRA!AF12</f>
        <v>-</v>
      </c>
      <c r="M13" s="440"/>
      <c r="N13" s="442" t="str">
        <f>OBRA!AG12</f>
        <v>-</v>
      </c>
      <c r="O13" s="152"/>
      <c r="P13" s="152"/>
      <c r="Q13" s="439"/>
      <c r="R13" s="445" t="str">
        <f>OBRA!AH12</f>
        <v>-</v>
      </c>
      <c r="S13" s="423"/>
      <c r="T13" s="446" t="str">
        <f>OBRA!U12</f>
        <v>-</v>
      </c>
      <c r="U13" s="447">
        <f>OBRA!V12</f>
        <v>0</v>
      </c>
      <c r="V13" s="1281"/>
      <c r="W13" s="20" t="str">
        <f>OBRA!L12</f>
        <v>DOP/AD/006/2013</v>
      </c>
      <c r="X13" s="13"/>
      <c r="Y13" s="13"/>
      <c r="Z13" s="448" t="str">
        <f>OBRA!K12</f>
        <v>RAMO 33</v>
      </c>
      <c r="AA13" s="13"/>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428">
        <f>OBRA!S12</f>
        <v>41501</v>
      </c>
      <c r="AH13" s="54"/>
      <c r="AI13" s="231"/>
      <c r="AJ13" s="267"/>
      <c r="AK13" s="267"/>
      <c r="AL13" s="432"/>
      <c r="AM13" s="573" t="str">
        <f>GRAL!B14</f>
        <v>2012-2015</v>
      </c>
      <c r="AN13" s="574"/>
      <c r="AO13" s="13"/>
    </row>
    <row r="14" spans="1:42" ht="45.75" hidden="1" thickTop="1">
      <c r="A14" s="166">
        <f>OBRA!I13</f>
        <v>2013</v>
      </c>
      <c r="B14" s="2036"/>
      <c r="C14" s="433"/>
      <c r="D14" s="154"/>
      <c r="E14" s="156"/>
      <c r="F14" s="156"/>
      <c r="G14" s="436"/>
      <c r="H14" s="442" t="str">
        <f>OBRA!AD13</f>
        <v>-</v>
      </c>
      <c r="I14" s="438"/>
      <c r="J14" s="444" t="str">
        <f>OBRA!AE13</f>
        <v>-</v>
      </c>
      <c r="K14" s="439"/>
      <c r="L14" s="442" t="str">
        <f>OBRA!AF13</f>
        <v>-</v>
      </c>
      <c r="M14" s="440"/>
      <c r="N14" s="442" t="str">
        <f>OBRA!AG13</f>
        <v>-</v>
      </c>
      <c r="O14" s="152"/>
      <c r="P14" s="152"/>
      <c r="Q14" s="439"/>
      <c r="R14" s="445" t="str">
        <f>OBRA!AH13</f>
        <v>-</v>
      </c>
      <c r="S14" s="423"/>
      <c r="T14" s="446" t="str">
        <f>OBRA!U13</f>
        <v>-</v>
      </c>
      <c r="U14" s="447">
        <f>OBRA!V13</f>
        <v>0</v>
      </c>
      <c r="V14" s="1281"/>
      <c r="W14" s="20" t="str">
        <f>OBRA!L13</f>
        <v>DOP/AD/018/2013</v>
      </c>
      <c r="X14" s="13"/>
      <c r="Y14" s="13"/>
      <c r="Z14" s="448" t="str">
        <f>OBRA!K13</f>
        <v>RAMO 33</v>
      </c>
      <c r="AA14" s="13"/>
      <c r="AB14" s="2" t="str">
        <f>OBRA!M13</f>
        <v>ADMINISTRACIÓN DIRECTA</v>
      </c>
      <c r="AC14" s="3" t="str">
        <f>OBRA!N13</f>
        <v>EMPEDRADO NORMAL EN C. VICENTE GUERRERO, EN LA DELEGACIÓN DE ZAPOTITAN DE HIDALGO</v>
      </c>
      <c r="AD14" s="4">
        <f>OBRA!P13</f>
        <v>371000</v>
      </c>
      <c r="AE14" s="6">
        <f>OBRA!Q13</f>
        <v>41502</v>
      </c>
      <c r="AF14" s="5">
        <f>OBRA!R13</f>
        <v>41507</v>
      </c>
      <c r="AG14" s="428">
        <f>OBRA!S13</f>
        <v>41538</v>
      </c>
      <c r="AH14" s="54"/>
      <c r="AI14" s="231"/>
      <c r="AJ14" s="267"/>
      <c r="AK14" s="267"/>
      <c r="AL14" s="432"/>
      <c r="AM14" s="573" t="str">
        <f>GRAL!B15</f>
        <v>2012-2015</v>
      </c>
      <c r="AN14" s="574"/>
      <c r="AO14" s="13"/>
    </row>
    <row r="15" spans="1:42" ht="45.75" hidden="1" thickTop="1">
      <c r="A15" s="166">
        <f>OBRA!I14</f>
        <v>2013</v>
      </c>
      <c r="B15" s="2036"/>
      <c r="C15" s="433"/>
      <c r="D15" s="154"/>
      <c r="E15" s="156"/>
      <c r="F15" s="156"/>
      <c r="G15" s="436"/>
      <c r="H15" s="442" t="str">
        <f>OBRA!AD14</f>
        <v>-</v>
      </c>
      <c r="I15" s="438"/>
      <c r="J15" s="444" t="str">
        <f>OBRA!AE14</f>
        <v>-</v>
      </c>
      <c r="K15" s="439"/>
      <c r="L15" s="442" t="str">
        <f>OBRA!AF14</f>
        <v>-</v>
      </c>
      <c r="M15" s="440"/>
      <c r="N15" s="442" t="str">
        <f>OBRA!AG14</f>
        <v>-</v>
      </c>
      <c r="O15" s="152"/>
      <c r="P15" s="152"/>
      <c r="Q15" s="439"/>
      <c r="R15" s="445" t="str">
        <f>OBRA!AH14</f>
        <v>-</v>
      </c>
      <c r="S15" s="423"/>
      <c r="T15" s="446" t="str">
        <f>OBRA!U14</f>
        <v>-</v>
      </c>
      <c r="U15" s="447">
        <f>OBRA!V14</f>
        <v>0</v>
      </c>
      <c r="V15" s="1281"/>
      <c r="W15" s="20" t="str">
        <f>OBRA!L14</f>
        <v>DOP/AD/016/2013</v>
      </c>
      <c r="X15" s="13"/>
      <c r="Y15" s="13"/>
      <c r="Z15" s="448" t="str">
        <f>OBRA!K14</f>
        <v>RAMO 33</v>
      </c>
      <c r="AA15" s="13"/>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428">
        <f>OBRA!S14</f>
        <v>41493</v>
      </c>
      <c r="AH15" s="54"/>
      <c r="AI15" s="231"/>
      <c r="AJ15" s="267"/>
      <c r="AK15" s="267"/>
      <c r="AL15" s="432"/>
      <c r="AM15" s="573" t="str">
        <f>GRAL!B16</f>
        <v>2012-2015</v>
      </c>
      <c r="AN15" s="574"/>
      <c r="AO15" s="13"/>
    </row>
    <row r="16" spans="1:42" ht="45.75" hidden="1" thickTop="1">
      <c r="A16" s="166">
        <f>OBRA!I15</f>
        <v>2013</v>
      </c>
      <c r="B16" s="2036"/>
      <c r="C16" s="433"/>
      <c r="D16" s="154"/>
      <c r="E16" s="156"/>
      <c r="F16" s="156"/>
      <c r="G16" s="436"/>
      <c r="H16" s="442" t="str">
        <f>OBRA!AD15</f>
        <v>-</v>
      </c>
      <c r="I16" s="438"/>
      <c r="J16" s="444" t="str">
        <f>OBRA!AE15</f>
        <v>-</v>
      </c>
      <c r="K16" s="439"/>
      <c r="L16" s="442" t="str">
        <f>OBRA!AF15</f>
        <v>-</v>
      </c>
      <c r="M16" s="440"/>
      <c r="N16" s="442" t="str">
        <f>OBRA!AG15</f>
        <v>-</v>
      </c>
      <c r="O16" s="152"/>
      <c r="P16" s="152"/>
      <c r="Q16" s="439"/>
      <c r="R16" s="445" t="str">
        <f>OBRA!AH15</f>
        <v>-</v>
      </c>
      <c r="S16" s="423"/>
      <c r="T16" s="446" t="str">
        <f>OBRA!U15</f>
        <v>-</v>
      </c>
      <c r="U16" s="447">
        <f>OBRA!V15</f>
        <v>0</v>
      </c>
      <c r="V16" s="1281"/>
      <c r="W16" s="20" t="str">
        <f>OBRA!L15</f>
        <v>DOP/AD/015/2013</v>
      </c>
      <c r="X16" s="13"/>
      <c r="Y16" s="13"/>
      <c r="Z16" s="448" t="str">
        <f>OBRA!K15</f>
        <v>RAMO 33</v>
      </c>
      <c r="AA16" s="13"/>
      <c r="AB16" s="2" t="str">
        <f>OBRA!M15</f>
        <v>ADMINISTRACIÓN DIRECTA</v>
      </c>
      <c r="AC16" s="3" t="str">
        <f>OBRA!N15</f>
        <v>COLECTOR DE ALEJAMIENTO DE AGUAS RESIDUALES EN LA AGENCIA MUNICIPAL DE EL MOLINO</v>
      </c>
      <c r="AD16" s="4">
        <f>OBRA!P15</f>
        <v>73286.47</v>
      </c>
      <c r="AE16" s="6">
        <f>OBRA!Q15</f>
        <v>41488</v>
      </c>
      <c r="AF16" s="5">
        <f>OBRA!R15</f>
        <v>41507</v>
      </c>
      <c r="AG16" s="428">
        <f>OBRA!S15</f>
        <v>41538</v>
      </c>
      <c r="AH16" s="54"/>
      <c r="AI16" s="231"/>
      <c r="AJ16" s="267"/>
      <c r="AK16" s="267"/>
      <c r="AL16" s="432"/>
      <c r="AM16" s="573" t="str">
        <f>GRAL!B17</f>
        <v>2012-2015</v>
      </c>
      <c r="AN16" s="574"/>
      <c r="AO16" s="13"/>
    </row>
    <row r="17" spans="1:41" ht="30.75" hidden="1" thickTop="1">
      <c r="A17" s="166">
        <f>OBRA!I16</f>
        <v>2013</v>
      </c>
      <c r="B17" s="2036"/>
      <c r="C17" s="433"/>
      <c r="D17" s="154"/>
      <c r="E17" s="156"/>
      <c r="F17" s="156"/>
      <c r="G17" s="436"/>
      <c r="H17" s="442" t="str">
        <f>OBRA!AD16</f>
        <v>-</v>
      </c>
      <c r="I17" s="438"/>
      <c r="J17" s="444" t="str">
        <f>OBRA!AE16</f>
        <v>-</v>
      </c>
      <c r="K17" s="439"/>
      <c r="L17" s="442" t="str">
        <f>OBRA!AF16</f>
        <v>-</v>
      </c>
      <c r="M17" s="440"/>
      <c r="N17" s="442" t="str">
        <f>OBRA!AG16</f>
        <v>-</v>
      </c>
      <c r="O17" s="152"/>
      <c r="P17" s="152"/>
      <c r="Q17" s="439"/>
      <c r="R17" s="445" t="str">
        <f>OBRA!AH16</f>
        <v>-</v>
      </c>
      <c r="S17" s="423"/>
      <c r="T17" s="446" t="str">
        <f>OBRA!U16</f>
        <v>-</v>
      </c>
      <c r="U17" s="447">
        <f>OBRA!V16</f>
        <v>0</v>
      </c>
      <c r="V17" s="1281"/>
      <c r="W17" s="20" t="str">
        <f>OBRA!L16</f>
        <v>DOP/AD/014/2013</v>
      </c>
      <c r="X17" s="13"/>
      <c r="Y17" s="13"/>
      <c r="Z17" s="448" t="str">
        <f>OBRA!K16</f>
        <v>RAMO 33</v>
      </c>
      <c r="AA17" s="13"/>
      <c r="AB17" s="2" t="str">
        <f>OBRA!M16</f>
        <v>ADMINISTRACIÓN DIRECTA</v>
      </c>
      <c r="AC17" s="3" t="str">
        <f>OBRA!N16</f>
        <v>EMPEDRADO NORMAL C. 16 DE SEPTIEMBRE LA LOMA</v>
      </c>
      <c r="AD17" s="4">
        <f>OBRA!P16</f>
        <v>172000</v>
      </c>
      <c r="AE17" s="6">
        <f>OBRA!Q16</f>
        <v>41488</v>
      </c>
      <c r="AF17" s="5">
        <f>OBRA!R16</f>
        <v>41493</v>
      </c>
      <c r="AG17" s="428">
        <f>OBRA!S16</f>
        <v>41506</v>
      </c>
      <c r="AH17" s="54"/>
      <c r="AI17" s="231"/>
      <c r="AJ17" s="267"/>
      <c r="AK17" s="267"/>
      <c r="AL17" s="432"/>
      <c r="AM17" s="573" t="str">
        <f>GRAL!B18</f>
        <v>2012-2015</v>
      </c>
      <c r="AN17" s="574"/>
      <c r="AO17" s="13"/>
    </row>
    <row r="18" spans="1:41" s="326" customFormat="1" ht="75.75" hidden="1" thickTop="1">
      <c r="A18" s="330">
        <f>OBRA!I17</f>
        <v>2013</v>
      </c>
      <c r="B18" s="2035"/>
      <c r="C18" s="876"/>
      <c r="D18" s="331"/>
      <c r="E18" s="332"/>
      <c r="F18" s="332"/>
      <c r="G18" s="968"/>
      <c r="H18" s="333">
        <f>OBRA!AD17</f>
        <v>41498</v>
      </c>
      <c r="I18" s="969"/>
      <c r="J18" s="878" t="str">
        <f>OBRA!AE17</f>
        <v>-</v>
      </c>
      <c r="K18" s="879"/>
      <c r="L18" s="333" t="str">
        <f>OBRA!AF17</f>
        <v>-</v>
      </c>
      <c r="M18" s="972"/>
      <c r="N18" s="333">
        <f>OBRA!AG17</f>
        <v>41507</v>
      </c>
      <c r="O18" s="358" t="s">
        <v>2336</v>
      </c>
      <c r="P18" s="333"/>
      <c r="Q18" s="879"/>
      <c r="R18" s="880">
        <f>OBRA!AH17</f>
        <v>41509</v>
      </c>
      <c r="S18" s="325"/>
      <c r="T18" s="881" t="str">
        <f>OBRA!U17</f>
        <v>EQUIPO MANTENIMIENTO Y PLANEACION ELECTRICA S.A. DE C.V.</v>
      </c>
      <c r="U18" s="882" t="str">
        <f>OBRA!V17</f>
        <v>C. DANIEL RODRIGUEZ VALENZUELA</v>
      </c>
      <c r="V18" s="906"/>
      <c r="W18" s="481" t="str">
        <f>OBRA!L17</f>
        <v>GMJ 017C OP/2013</v>
      </c>
      <c r="X18" s="325"/>
      <c r="Y18" s="325"/>
      <c r="Z18" s="325" t="str">
        <f>OBRA!K17</f>
        <v>RAMO 33</v>
      </c>
      <c r="AA18" s="325"/>
      <c r="AB18" s="318" t="str">
        <f>OBRA!M17</f>
        <v>INVITACIÓN</v>
      </c>
      <c r="AC18" s="319" t="str">
        <f>OBRA!N17</f>
        <v>ELECTRIFICACIÓN Y EQUIPAMIENTO DE POZO PROFUNDO, EN EL FRACCIONAMIENTO UBICADO EN LA ZONO OESTE DE LA MAGISTERIAL CABECERA MUNICIPAL</v>
      </c>
      <c r="AD18" s="320">
        <f>OBRA!P17</f>
        <v>1084867.96</v>
      </c>
      <c r="AE18" s="321">
        <f>OBRA!Q17</f>
        <v>41516</v>
      </c>
      <c r="AF18" s="322">
        <f>OBRA!R17</f>
        <v>41553</v>
      </c>
      <c r="AG18" s="427">
        <f>OBRA!S17</f>
        <v>41623</v>
      </c>
      <c r="AH18" s="982"/>
      <c r="AI18" s="317"/>
      <c r="AJ18" s="470"/>
      <c r="AK18" s="470"/>
      <c r="AL18" s="337"/>
      <c r="AM18" s="391" t="str">
        <f>GRAL!B19</f>
        <v>2012-2015</v>
      </c>
      <c r="AN18" s="979"/>
      <c r="AO18" s="325"/>
    </row>
    <row r="19" spans="1:41" ht="45.75" hidden="1" thickTop="1">
      <c r="A19" s="166">
        <f>OBRA!I18</f>
        <v>2013</v>
      </c>
      <c r="B19" s="2036"/>
      <c r="C19" s="433"/>
      <c r="D19" s="154"/>
      <c r="E19" s="156"/>
      <c r="F19" s="156"/>
      <c r="G19" s="436"/>
      <c r="H19" s="442" t="str">
        <f>OBRA!AD18</f>
        <v>-</v>
      </c>
      <c r="I19" s="438"/>
      <c r="J19" s="444" t="str">
        <f>OBRA!AE18</f>
        <v>-</v>
      </c>
      <c r="K19" s="439"/>
      <c r="L19" s="442" t="str">
        <f>OBRA!AF18</f>
        <v>-</v>
      </c>
      <c r="M19" s="440"/>
      <c r="N19" s="442" t="str">
        <f>OBRA!AG18</f>
        <v>-</v>
      </c>
      <c r="O19" s="152"/>
      <c r="P19" s="152"/>
      <c r="Q19" s="439"/>
      <c r="R19" s="445" t="str">
        <f>OBRA!AH18</f>
        <v>-</v>
      </c>
      <c r="S19" s="423"/>
      <c r="T19" s="446" t="str">
        <f>OBRA!U18</f>
        <v>C. JOSE LUIS VILLALPANDO GARCIA</v>
      </c>
      <c r="U19" s="447" t="str">
        <f>OBRA!V18</f>
        <v>ING. RIGOBERTO OLMEDO RAMOS</v>
      </c>
      <c r="V19" s="1281"/>
      <c r="W19" s="20" t="str">
        <f>OBRA!L18</f>
        <v>GMJ 018C OP/2013</v>
      </c>
      <c r="X19" s="13"/>
      <c r="Y19" s="13"/>
      <c r="Z19" s="448" t="str">
        <f>OBRA!K18</f>
        <v>RAMO 33</v>
      </c>
      <c r="AA19" s="13"/>
      <c r="AB19" s="2" t="str">
        <f>OBRA!M18</f>
        <v>ADJUDICACIÓN DIRECTA</v>
      </c>
      <c r="AC19" s="3" t="str">
        <f>OBRA!N18</f>
        <v>ELECTRIFICACIÓN EN BARRIO DEL RICON EN LA AGENCIA MUNICIPAL DE LAS TROJES</v>
      </c>
      <c r="AD19" s="4">
        <f>OBRA!P18</f>
        <v>223854.45</v>
      </c>
      <c r="AE19" s="6">
        <f>OBRA!Q18</f>
        <v>41501</v>
      </c>
      <c r="AF19" s="5">
        <f>OBRA!R18</f>
        <v>41505</v>
      </c>
      <c r="AG19" s="428">
        <f>OBRA!S18</f>
        <v>41547</v>
      </c>
      <c r="AH19" s="54"/>
      <c r="AI19" s="231"/>
      <c r="AJ19" s="267"/>
      <c r="AK19" s="267"/>
      <c r="AL19" s="432"/>
      <c r="AM19" s="573" t="str">
        <f>GRAL!B20</f>
        <v>2012-2015</v>
      </c>
      <c r="AN19" s="574"/>
      <c r="AO19" s="13"/>
    </row>
    <row r="20" spans="1:41" ht="45.75" hidden="1" thickTop="1">
      <c r="A20" s="166">
        <f>OBRA!I19</f>
        <v>2013</v>
      </c>
      <c r="B20" s="2036"/>
      <c r="C20" s="433"/>
      <c r="D20" s="154"/>
      <c r="E20" s="156"/>
      <c r="F20" s="156"/>
      <c r="G20" s="436"/>
      <c r="H20" s="442" t="str">
        <f>OBRA!AD19</f>
        <v>-</v>
      </c>
      <c r="I20" s="438"/>
      <c r="J20" s="444" t="str">
        <f>OBRA!AE19</f>
        <v>-</v>
      </c>
      <c r="K20" s="439"/>
      <c r="L20" s="442" t="str">
        <f>OBRA!AF19</f>
        <v>-</v>
      </c>
      <c r="M20" s="440"/>
      <c r="N20" s="442" t="str">
        <f>OBRA!AG19</f>
        <v>-</v>
      </c>
      <c r="O20" s="152"/>
      <c r="P20" s="152"/>
      <c r="Q20" s="439"/>
      <c r="R20" s="445" t="str">
        <f>OBRA!AH19</f>
        <v>-</v>
      </c>
      <c r="S20" s="423"/>
      <c r="T20" s="446" t="str">
        <f>OBRA!U19</f>
        <v>C. JOSE LUIS VILLALPANDO GARCIA</v>
      </c>
      <c r="U20" s="447" t="str">
        <f>OBRA!V19</f>
        <v>ING. RIGOBERTO OLMEDO RAMOS</v>
      </c>
      <c r="V20" s="1281"/>
      <c r="W20" s="20" t="str">
        <f>OBRA!L19</f>
        <v>GMJ 013C OP/2013</v>
      </c>
      <c r="X20" s="13"/>
      <c r="Y20" s="13"/>
      <c r="Z20" s="448" t="str">
        <f>OBRA!K19</f>
        <v>RAMO 33</v>
      </c>
      <c r="AA20" s="13"/>
      <c r="AB20" s="2" t="str">
        <f>OBRA!M19</f>
        <v>ADJUDICACIÓN DIRECTA</v>
      </c>
      <c r="AC20" s="3" t="str">
        <f>OBRA!N19</f>
        <v>ELECTRIFICACIÓN EN C. CUAHUTEMOC, EN LA AGENCIA MUNICIPAL DE LAS TROJES</v>
      </c>
      <c r="AD20" s="4">
        <f>OBRA!P19</f>
        <v>318371.84999999998</v>
      </c>
      <c r="AE20" s="6">
        <f>OBRA!Q19</f>
        <v>41501</v>
      </c>
      <c r="AF20" s="5">
        <f>OBRA!R19</f>
        <v>41519</v>
      </c>
      <c r="AG20" s="428">
        <f>OBRA!S19</f>
        <v>41573</v>
      </c>
      <c r="AH20" s="54"/>
      <c r="AI20" s="231"/>
      <c r="AJ20" s="267"/>
      <c r="AK20" s="267"/>
      <c r="AL20" s="432"/>
      <c r="AM20" s="573" t="str">
        <f>GRAL!B21</f>
        <v>2012-2015</v>
      </c>
      <c r="AN20" s="574"/>
      <c r="AO20" s="13"/>
    </row>
    <row r="21" spans="1:41" ht="30.75" hidden="1" thickTop="1">
      <c r="A21" s="166">
        <f>OBRA!I20</f>
        <v>2013</v>
      </c>
      <c r="B21" s="2036"/>
      <c r="C21" s="433"/>
      <c r="D21" s="154"/>
      <c r="E21" s="156"/>
      <c r="F21" s="156"/>
      <c r="G21" s="436"/>
      <c r="H21" s="442" t="str">
        <f>OBRA!AD20</f>
        <v>-</v>
      </c>
      <c r="I21" s="438"/>
      <c r="J21" s="444" t="str">
        <f>OBRA!AE20</f>
        <v>-</v>
      </c>
      <c r="K21" s="439"/>
      <c r="L21" s="442" t="str">
        <f>OBRA!AF20</f>
        <v>-</v>
      </c>
      <c r="M21" s="440"/>
      <c r="N21" s="442" t="str">
        <f>OBRA!AG20</f>
        <v>-</v>
      </c>
      <c r="O21" s="152"/>
      <c r="P21" s="152"/>
      <c r="Q21" s="439"/>
      <c r="R21" s="445" t="str">
        <f>OBRA!AH20</f>
        <v>-</v>
      </c>
      <c r="S21" s="423"/>
      <c r="T21" s="446" t="str">
        <f>OBRA!U20</f>
        <v>-</v>
      </c>
      <c r="U21" s="447">
        <f>OBRA!V20</f>
        <v>0</v>
      </c>
      <c r="V21" s="1281"/>
      <c r="W21" s="20" t="str">
        <f>OBRA!L20</f>
        <v>DOP/AD/028/2013</v>
      </c>
      <c r="X21" s="13"/>
      <c r="Y21" s="13"/>
      <c r="Z21" s="448" t="str">
        <f>OBRA!K20</f>
        <v>RAMO 33</v>
      </c>
      <c r="AA21" s="13"/>
      <c r="AB21" s="2" t="str">
        <f>OBRA!M20</f>
        <v>ADMINISTRACIÓN DIRECTA</v>
      </c>
      <c r="AC21" s="3" t="str">
        <f>OBRA!N20</f>
        <v>CONST. MURO PERIMETRAL FRACC. MAGISTERIAL CABECERA MUNICIPAL</v>
      </c>
      <c r="AD21" s="4">
        <f>OBRA!P20</f>
        <v>65000</v>
      </c>
      <c r="AE21" s="6">
        <f>OBRA!Q20</f>
        <v>41596</v>
      </c>
      <c r="AF21" s="5">
        <f>OBRA!R20</f>
        <v>41589</v>
      </c>
      <c r="AG21" s="428">
        <f>OBRA!S20</f>
        <v>41638</v>
      </c>
      <c r="AH21" s="54"/>
      <c r="AI21" s="231"/>
      <c r="AJ21" s="267"/>
      <c r="AK21" s="267"/>
      <c r="AL21" s="432"/>
      <c r="AM21" s="573" t="str">
        <f>GRAL!B22</f>
        <v>2012-2015</v>
      </c>
      <c r="AN21" s="574"/>
      <c r="AO21" s="13"/>
    </row>
    <row r="22" spans="1:41" ht="45.75" hidden="1" thickTop="1">
      <c r="A22" s="166">
        <f>OBRA!I21</f>
        <v>2013</v>
      </c>
      <c r="B22" s="2036"/>
      <c r="C22" s="433"/>
      <c r="D22" s="154"/>
      <c r="E22" s="156"/>
      <c r="F22" s="156"/>
      <c r="G22" s="436"/>
      <c r="H22" s="442" t="str">
        <f>OBRA!AD21</f>
        <v>-</v>
      </c>
      <c r="I22" s="438"/>
      <c r="J22" s="444" t="str">
        <f>OBRA!AE21</f>
        <v>-</v>
      </c>
      <c r="K22" s="439"/>
      <c r="L22" s="442" t="str">
        <f>OBRA!AF21</f>
        <v>-</v>
      </c>
      <c r="M22" s="440"/>
      <c r="N22" s="442" t="str">
        <f>OBRA!AG21</f>
        <v>-</v>
      </c>
      <c r="O22" s="152"/>
      <c r="P22" s="152"/>
      <c r="Q22" s="439"/>
      <c r="R22" s="445" t="str">
        <f>OBRA!AH21</f>
        <v>-</v>
      </c>
      <c r="S22" s="423"/>
      <c r="T22" s="446" t="str">
        <f>OBRA!U21</f>
        <v>-</v>
      </c>
      <c r="U22" s="447">
        <f>OBRA!V21</f>
        <v>0</v>
      </c>
      <c r="V22" s="1281"/>
      <c r="W22" s="20" t="str">
        <f>OBRA!L21</f>
        <v>OP/AD/027/2013</v>
      </c>
      <c r="X22" s="13"/>
      <c r="Y22" s="13"/>
      <c r="Z22" s="448" t="str">
        <f>OBRA!K21</f>
        <v>RAMO 33</v>
      </c>
      <c r="AA22" s="13"/>
      <c r="AB22" s="2" t="str">
        <f>OBRA!M21</f>
        <v>ADMINISTRACIÓN DIRECTA</v>
      </c>
      <c r="AC22" s="3" t="str">
        <f>OBRA!N21</f>
        <v>CASETA DE CONTROL Y CLORACION DEL POZO FRACC. MAGISTERIAL CABECERA MUNICIPAL</v>
      </c>
      <c r="AD22" s="4" t="str">
        <f>OBRA!P21</f>
        <v>FALTA</v>
      </c>
      <c r="AE22" s="6" t="s">
        <v>68</v>
      </c>
      <c r="AF22" s="5" t="s">
        <v>68</v>
      </c>
      <c r="AG22" s="428" t="s">
        <v>68</v>
      </c>
      <c r="AH22" s="54"/>
      <c r="AI22" s="231"/>
      <c r="AJ22" s="267"/>
      <c r="AK22" s="267"/>
      <c r="AL22" s="432"/>
      <c r="AM22" s="573" t="str">
        <f>GRAL!B23</f>
        <v>2012-2015</v>
      </c>
      <c r="AN22" s="574"/>
      <c r="AO22" s="13"/>
    </row>
    <row r="23" spans="1:41" ht="60.75" hidden="1" thickTop="1">
      <c r="A23" s="166">
        <f>OBRA!I22</f>
        <v>2013</v>
      </c>
      <c r="B23" s="2036"/>
      <c r="C23" s="433"/>
      <c r="D23" s="154"/>
      <c r="E23" s="156"/>
      <c r="F23" s="156"/>
      <c r="G23" s="436"/>
      <c r="H23" s="442" t="str">
        <f>OBRA!AD22</f>
        <v>-</v>
      </c>
      <c r="I23" s="438"/>
      <c r="J23" s="444" t="str">
        <f>OBRA!AE22</f>
        <v>-</v>
      </c>
      <c r="K23" s="439"/>
      <c r="L23" s="442" t="str">
        <f>OBRA!AF22</f>
        <v>-</v>
      </c>
      <c r="M23" s="440"/>
      <c r="N23" s="442" t="str">
        <f>OBRA!AG22</f>
        <v>-</v>
      </c>
      <c r="O23" s="152"/>
      <c r="P23" s="152"/>
      <c r="Q23" s="439"/>
      <c r="R23" s="445" t="str">
        <f>OBRA!AH22</f>
        <v>-</v>
      </c>
      <c r="S23" s="423"/>
      <c r="T23" s="446" t="str">
        <f>OBRA!U22</f>
        <v>C. JUAN MANUEL PALOS VACA</v>
      </c>
      <c r="U23" s="447" t="str">
        <f>OBRA!V22</f>
        <v>ING. ISER RANGEL REVILLA</v>
      </c>
      <c r="V23" s="1281"/>
      <c r="W23" s="20" t="str">
        <f>OBRA!L22</f>
        <v>GMJ 020C OP/2013</v>
      </c>
      <c r="X23" s="13"/>
      <c r="Y23" s="13"/>
      <c r="Z23" s="448" t="str">
        <f>OBRA!K22</f>
        <v>RAMO 33</v>
      </c>
      <c r="AA23" s="13"/>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428">
        <f>OBRA!S22</f>
        <v>41580</v>
      </c>
      <c r="AH23" s="54"/>
      <c r="AI23" s="231"/>
      <c r="AJ23" s="267"/>
      <c r="AK23" s="267"/>
      <c r="AL23" s="432"/>
      <c r="AM23" s="573" t="str">
        <f>GRAL!B24</f>
        <v>2012-2015</v>
      </c>
      <c r="AN23" s="574"/>
      <c r="AO23" s="13"/>
    </row>
    <row r="24" spans="1:41" ht="75.75" hidden="1" thickTop="1">
      <c r="A24" s="166">
        <f>OBRA!I23</f>
        <v>2013</v>
      </c>
      <c r="B24" s="2036"/>
      <c r="C24" s="433"/>
      <c r="D24" s="154"/>
      <c r="E24" s="156"/>
      <c r="F24" s="156"/>
      <c r="G24" s="436"/>
      <c r="H24" s="442" t="str">
        <f>OBRA!AD23</f>
        <v>-</v>
      </c>
      <c r="I24" s="438"/>
      <c r="J24" s="444" t="str">
        <f>OBRA!AE23</f>
        <v>-</v>
      </c>
      <c r="K24" s="439"/>
      <c r="L24" s="442" t="str">
        <f>OBRA!AF23</f>
        <v>-</v>
      </c>
      <c r="M24" s="440"/>
      <c r="N24" s="442" t="str">
        <f>OBRA!AG23</f>
        <v>-</v>
      </c>
      <c r="O24" s="152"/>
      <c r="P24" s="152"/>
      <c r="Q24" s="439"/>
      <c r="R24" s="445" t="str">
        <f>OBRA!AH23</f>
        <v>-</v>
      </c>
      <c r="S24" s="423"/>
      <c r="T24" s="446" t="str">
        <f>OBRA!U23</f>
        <v>C. JUAN MANUEL PALOS VACA</v>
      </c>
      <c r="U24" s="447" t="str">
        <f>OBRA!V23</f>
        <v>ING. ISER RANGEL REVILLA</v>
      </c>
      <c r="V24" s="1281"/>
      <c r="W24" s="20" t="str">
        <f>OBRA!L23</f>
        <v>GMJ 019C OP/2013</v>
      </c>
      <c r="X24" s="13"/>
      <c r="Y24" s="13"/>
      <c r="Z24" s="448" t="str">
        <f>OBRA!K23</f>
        <v>RAMO 33</v>
      </c>
      <c r="AA24" s="13"/>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428">
        <f>OBRA!S23</f>
        <v>41580</v>
      </c>
      <c r="AH24" s="54"/>
      <c r="AI24" s="231"/>
      <c r="AJ24" s="267"/>
      <c r="AK24" s="267"/>
      <c r="AL24" s="432"/>
      <c r="AM24" s="573" t="str">
        <f>GRAL!B25</f>
        <v>2012-2015</v>
      </c>
      <c r="AN24" s="574"/>
      <c r="AO24" s="13"/>
    </row>
    <row r="25" spans="1:41" ht="45.75" hidden="1" thickTop="1">
      <c r="A25" s="166">
        <f>OBRA!I24</f>
        <v>2013</v>
      </c>
      <c r="B25" s="2036"/>
      <c r="C25" s="433"/>
      <c r="D25" s="154"/>
      <c r="E25" s="156"/>
      <c r="F25" s="156"/>
      <c r="G25" s="436"/>
      <c r="H25" s="442" t="str">
        <f>OBRA!AD24</f>
        <v>-</v>
      </c>
      <c r="I25" s="438"/>
      <c r="J25" s="444" t="str">
        <f>OBRA!AE24</f>
        <v>-</v>
      </c>
      <c r="K25" s="439"/>
      <c r="L25" s="442" t="str">
        <f>OBRA!AF24</f>
        <v>-</v>
      </c>
      <c r="M25" s="440"/>
      <c r="N25" s="442" t="str">
        <f>OBRA!AG24</f>
        <v>-</v>
      </c>
      <c r="O25" s="152"/>
      <c r="P25" s="152"/>
      <c r="Q25" s="439"/>
      <c r="R25" s="445" t="str">
        <f>OBRA!AH24</f>
        <v>-</v>
      </c>
      <c r="S25" s="423"/>
      <c r="T25" s="446" t="str">
        <f>OBRA!U24</f>
        <v>-</v>
      </c>
      <c r="U25" s="447">
        <f>OBRA!V24</f>
        <v>0</v>
      </c>
      <c r="V25" s="1281"/>
      <c r="W25" s="20" t="str">
        <f>OBRA!L24</f>
        <v>DOP/AD/022/2013</v>
      </c>
      <c r="X25" s="13"/>
      <c r="Y25" s="13"/>
      <c r="Z25" s="448" t="str">
        <f>OBRA!K24</f>
        <v>RAMO 33</v>
      </c>
      <c r="AA25" s="13"/>
      <c r="AB25" s="2" t="str">
        <f>OBRA!M24</f>
        <v>ADMINISTRACIÓN DIRECTA</v>
      </c>
      <c r="AC25" s="3" t="str">
        <f>OBRA!N24</f>
        <v>COLOCACION DE ADOQUIN EN CALLE JUAREZ Y 5 DE MAYO, EN LA LOCALIDAD DE SAN PEDRO TESISTAN</v>
      </c>
      <c r="AD25" s="4">
        <f>OBRA!P24</f>
        <v>339164.5</v>
      </c>
      <c r="AE25" s="6">
        <f>OBRA!Q24</f>
        <v>41599</v>
      </c>
      <c r="AF25" s="5">
        <f>OBRA!R24</f>
        <v>41600</v>
      </c>
      <c r="AG25" s="428">
        <f>OBRA!S24</f>
        <v>41623</v>
      </c>
      <c r="AH25" s="54"/>
      <c r="AI25" s="231"/>
      <c r="AJ25" s="267"/>
      <c r="AK25" s="267"/>
      <c r="AL25" s="432"/>
      <c r="AM25" s="573" t="str">
        <f>GRAL!B26</f>
        <v>2012-2015</v>
      </c>
      <c r="AN25" s="574"/>
      <c r="AO25" s="13"/>
    </row>
    <row r="26" spans="1:41" ht="45.75" hidden="1" thickTop="1">
      <c r="A26" s="166">
        <f>OBRA!I25</f>
        <v>2013</v>
      </c>
      <c r="B26" s="2036"/>
      <c r="C26" s="433"/>
      <c r="D26" s="154"/>
      <c r="E26" s="156"/>
      <c r="F26" s="156"/>
      <c r="G26" s="436"/>
      <c r="H26" s="442" t="str">
        <f>OBRA!AD25</f>
        <v>-</v>
      </c>
      <c r="I26" s="438"/>
      <c r="J26" s="444" t="str">
        <f>OBRA!AE25</f>
        <v>-</v>
      </c>
      <c r="K26" s="439"/>
      <c r="L26" s="442" t="str">
        <f>OBRA!AF25</f>
        <v>-</v>
      </c>
      <c r="M26" s="440"/>
      <c r="N26" s="442" t="str">
        <f>OBRA!AG25</f>
        <v>-</v>
      </c>
      <c r="O26" s="152"/>
      <c r="P26" s="152"/>
      <c r="Q26" s="439"/>
      <c r="R26" s="445" t="str">
        <f>OBRA!AH25</f>
        <v>-</v>
      </c>
      <c r="S26" s="423"/>
      <c r="T26" s="446" t="str">
        <f>OBRA!U25</f>
        <v>-</v>
      </c>
      <c r="U26" s="447">
        <f>OBRA!V25</f>
        <v>0</v>
      </c>
      <c r="V26" s="1281"/>
      <c r="W26" s="20" t="str">
        <f>OBRA!L25</f>
        <v>DOP/AD/023/2013</v>
      </c>
      <c r="X26" s="13"/>
      <c r="Y26" s="13"/>
      <c r="Z26" s="448" t="str">
        <f>OBRA!K25</f>
        <v>RAMO 33</v>
      </c>
      <c r="AA26" s="13"/>
      <c r="AB26" s="2" t="str">
        <f>OBRA!M25</f>
        <v>ADMINISTRACIÓN DIRECTA</v>
      </c>
      <c r="AC26" s="3" t="str">
        <f>OBRA!N25</f>
        <v>RENOVACION DE AGUA POTABLE, EN C. 16 DE SEPTIEMBRE EN LA AGENCIA MUNICIPAL DE NEXTIPAC</v>
      </c>
      <c r="AD26" s="4">
        <f>OBRA!P25</f>
        <v>108190</v>
      </c>
      <c r="AE26" s="6">
        <f>OBRA!Q25</f>
        <v>41593</v>
      </c>
      <c r="AF26" s="5">
        <f>OBRA!R25</f>
        <v>41596</v>
      </c>
      <c r="AG26" s="428">
        <f>OBRA!S25</f>
        <v>41610</v>
      </c>
      <c r="AH26" s="54"/>
      <c r="AI26" s="231"/>
      <c r="AJ26" s="267"/>
      <c r="AK26" s="267"/>
      <c r="AL26" s="432"/>
      <c r="AM26" s="573" t="str">
        <f>GRAL!B27</f>
        <v>2012-2015</v>
      </c>
      <c r="AN26" s="574"/>
      <c r="AO26" s="13"/>
    </row>
    <row r="27" spans="1:41" ht="45.75" hidden="1" thickTop="1">
      <c r="A27" s="166">
        <f>OBRA!I26</f>
        <v>2013</v>
      </c>
      <c r="B27" s="2036"/>
      <c r="C27" s="433"/>
      <c r="D27" s="154"/>
      <c r="E27" s="156"/>
      <c r="F27" s="156"/>
      <c r="G27" s="436"/>
      <c r="H27" s="442" t="str">
        <f>OBRA!AD26</f>
        <v>-</v>
      </c>
      <c r="I27" s="438"/>
      <c r="J27" s="444" t="str">
        <f>OBRA!AE26</f>
        <v>-</v>
      </c>
      <c r="K27" s="439"/>
      <c r="L27" s="442" t="str">
        <f>OBRA!AF26</f>
        <v>-</v>
      </c>
      <c r="M27" s="440"/>
      <c r="N27" s="442" t="str">
        <f>OBRA!AG26</f>
        <v>-</v>
      </c>
      <c r="O27" s="152"/>
      <c r="P27" s="152"/>
      <c r="Q27" s="439"/>
      <c r="R27" s="445" t="str">
        <f>OBRA!AH26</f>
        <v>-</v>
      </c>
      <c r="S27" s="423"/>
      <c r="T27" s="446" t="str">
        <f>OBRA!U26</f>
        <v>-</v>
      </c>
      <c r="U27" s="447">
        <f>OBRA!V26</f>
        <v>0</v>
      </c>
      <c r="V27" s="1281"/>
      <c r="W27" s="20" t="str">
        <f>OBRA!L26</f>
        <v>DOP/AD/017/2013</v>
      </c>
      <c r="X27" s="13"/>
      <c r="Y27" s="13"/>
      <c r="Z27" s="448" t="str">
        <f>OBRA!K26</f>
        <v>RAMO 33</v>
      </c>
      <c r="AA27" s="13"/>
      <c r="AB27" s="2" t="str">
        <f>OBRA!M26</f>
        <v>ADMINISTRACIÓN DIRECTA</v>
      </c>
      <c r="AC27" s="3" t="str">
        <f>OBRA!N26</f>
        <v>RENOVACION DE RED DE DRENAJE, EN C. 16 DE SEPTIEMBRE EN LA AGENCIA MUNICIPAL DE NEXTIPAC</v>
      </c>
      <c r="AD27" s="4">
        <f>OBRA!P26</f>
        <v>120948.09</v>
      </c>
      <c r="AE27" s="6">
        <f>OBRA!Q26</f>
        <v>41593</v>
      </c>
      <c r="AF27" s="5">
        <f>OBRA!R26</f>
        <v>41596</v>
      </c>
      <c r="AG27" s="428">
        <f>OBRA!S26</f>
        <v>41610</v>
      </c>
      <c r="AH27" s="54"/>
      <c r="AI27" s="231"/>
      <c r="AJ27" s="267"/>
      <c r="AK27" s="267"/>
      <c r="AL27" s="432"/>
      <c r="AM27" s="573" t="str">
        <f>GRAL!B28</f>
        <v>2012-2015</v>
      </c>
      <c r="AN27" s="574"/>
      <c r="AO27" s="13"/>
    </row>
    <row r="28" spans="1:41" ht="60.75" hidden="1" thickTop="1">
      <c r="A28" s="166">
        <f>OBRA!I27</f>
        <v>2013</v>
      </c>
      <c r="B28" s="2036"/>
      <c r="C28" s="433"/>
      <c r="D28" s="154"/>
      <c r="E28" s="156"/>
      <c r="F28" s="156"/>
      <c r="G28" s="436"/>
      <c r="H28" s="442" t="str">
        <f>OBRA!AD27</f>
        <v>-</v>
      </c>
      <c r="I28" s="438"/>
      <c r="J28" s="444" t="str">
        <f>OBRA!AE27</f>
        <v>-</v>
      </c>
      <c r="K28" s="439"/>
      <c r="L28" s="442" t="str">
        <f>OBRA!AF27</f>
        <v>-</v>
      </c>
      <c r="M28" s="440"/>
      <c r="N28" s="442" t="str">
        <f>OBRA!AG27</f>
        <v>-</v>
      </c>
      <c r="O28" s="152"/>
      <c r="P28" s="152"/>
      <c r="Q28" s="439"/>
      <c r="R28" s="445" t="str">
        <f>OBRA!AH27</f>
        <v>-</v>
      </c>
      <c r="S28" s="423"/>
      <c r="T28" s="446" t="str">
        <f>OBRA!U27</f>
        <v>-</v>
      </c>
      <c r="U28" s="447">
        <f>OBRA!V27</f>
        <v>0</v>
      </c>
      <c r="V28" s="1281"/>
      <c r="W28" s="20" t="str">
        <f>OBRA!L27</f>
        <v>DOP/AD/021/2013</v>
      </c>
      <c r="X28" s="13"/>
      <c r="Y28" s="13"/>
      <c r="Z28" s="448" t="str">
        <f>OBRA!K27</f>
        <v>RAMO 33</v>
      </c>
      <c r="AA28" s="13"/>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428">
        <f>OBRA!S27</f>
        <v>41608</v>
      </c>
      <c r="AH28" s="54"/>
      <c r="AI28" s="231"/>
      <c r="AJ28" s="267"/>
      <c r="AK28" s="267"/>
      <c r="AL28" s="432"/>
      <c r="AM28" s="573" t="str">
        <f>GRAL!B29</f>
        <v>2012-2015</v>
      </c>
      <c r="AN28" s="574"/>
      <c r="AO28" s="13"/>
    </row>
    <row r="29" spans="1:41" ht="30.75" hidden="1" thickTop="1">
      <c r="A29" s="166">
        <f>OBRA!I28</f>
        <v>2013</v>
      </c>
      <c r="B29" s="2036"/>
      <c r="C29" s="433"/>
      <c r="D29" s="154"/>
      <c r="E29" s="156"/>
      <c r="F29" s="156"/>
      <c r="G29" s="436"/>
      <c r="H29" s="442" t="str">
        <f>OBRA!AD28</f>
        <v>-</v>
      </c>
      <c r="I29" s="438"/>
      <c r="J29" s="444" t="str">
        <f>OBRA!AE28</f>
        <v>-</v>
      </c>
      <c r="K29" s="439"/>
      <c r="L29" s="442" t="str">
        <f>OBRA!AF28</f>
        <v>-</v>
      </c>
      <c r="M29" s="440"/>
      <c r="N29" s="442" t="str">
        <f>OBRA!AG28</f>
        <v>-</v>
      </c>
      <c r="O29" s="152"/>
      <c r="P29" s="152"/>
      <c r="Q29" s="439"/>
      <c r="R29" s="445" t="str">
        <f>OBRA!AH28</f>
        <v>-</v>
      </c>
      <c r="S29" s="423"/>
      <c r="T29" s="446" t="str">
        <f>OBRA!U28</f>
        <v>-</v>
      </c>
      <c r="U29" s="447">
        <f>OBRA!V28</f>
        <v>0</v>
      </c>
      <c r="V29" s="1281"/>
      <c r="W29" s="20" t="str">
        <f>OBRA!L28</f>
        <v>DOP/AD/019/2013</v>
      </c>
      <c r="X29" s="13"/>
      <c r="Y29" s="13"/>
      <c r="Z29" s="448" t="str">
        <f>OBRA!K28</f>
        <v>RAMO 33</v>
      </c>
      <c r="AA29" s="13"/>
      <c r="AB29" s="2" t="str">
        <f>OBRA!M28</f>
        <v>ADMINISTRACIÓN DIRECTA</v>
      </c>
      <c r="AC29" s="3" t="str">
        <f>OBRA!N28</f>
        <v>REMODELACION DE DELEGACION EN LA POBLACION DE SAN PEDRO TESISTAN</v>
      </c>
      <c r="AD29" s="4">
        <f>OBRA!P28</f>
        <v>93916.43</v>
      </c>
      <c r="AE29" s="6">
        <f>OBRA!Q28</f>
        <v>41502</v>
      </c>
      <c r="AF29" s="5">
        <f>OBRA!R28</f>
        <v>41507</v>
      </c>
      <c r="AG29" s="428">
        <f>OBRA!S28</f>
        <v>41545</v>
      </c>
      <c r="AH29" s="54"/>
      <c r="AI29" s="231"/>
      <c r="AJ29" s="267"/>
      <c r="AK29" s="267"/>
      <c r="AL29" s="432"/>
      <c r="AM29" s="573" t="str">
        <f>GRAL!B30</f>
        <v>2012-2015</v>
      </c>
      <c r="AN29" s="574"/>
      <c r="AO29" s="13"/>
    </row>
    <row r="30" spans="1:41" ht="60.75" hidden="1" thickTop="1">
      <c r="A30" s="166">
        <f>OBRA!I29</f>
        <v>2013</v>
      </c>
      <c r="B30" s="2036"/>
      <c r="C30" s="433"/>
      <c r="D30" s="154"/>
      <c r="E30" s="156"/>
      <c r="F30" s="156"/>
      <c r="G30" s="436"/>
      <c r="H30" s="442" t="str">
        <f>OBRA!AD29</f>
        <v>-</v>
      </c>
      <c r="I30" s="438"/>
      <c r="J30" s="444" t="str">
        <f>OBRA!AE29</f>
        <v>-</v>
      </c>
      <c r="K30" s="439"/>
      <c r="L30" s="442" t="str">
        <f>OBRA!AF29</f>
        <v>-</v>
      </c>
      <c r="M30" s="440"/>
      <c r="N30" s="442" t="str">
        <f>OBRA!AG29</f>
        <v>-</v>
      </c>
      <c r="O30" s="152"/>
      <c r="P30" s="152"/>
      <c r="Q30" s="439"/>
      <c r="R30" s="445" t="str">
        <f>OBRA!AH29</f>
        <v>-</v>
      </c>
      <c r="S30" s="423"/>
      <c r="T30" s="446" t="str">
        <f>OBRA!U29</f>
        <v>-</v>
      </c>
      <c r="U30" s="447">
        <f>OBRA!V29</f>
        <v>0</v>
      </c>
      <c r="V30" s="1281"/>
      <c r="W30" s="20" t="str">
        <f>OBRA!L29</f>
        <v>DOP/AD/024/2013</v>
      </c>
      <c r="X30" s="13"/>
      <c r="Y30" s="13"/>
      <c r="Z30" s="448" t="str">
        <f>OBRA!K29</f>
        <v>RAMO 33</v>
      </c>
      <c r="AA30" s="13"/>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428">
        <f>OBRA!S29</f>
        <v>41638</v>
      </c>
      <c r="AH30" s="54"/>
      <c r="AI30" s="231"/>
      <c r="AJ30" s="267"/>
      <c r="AK30" s="267"/>
      <c r="AL30" s="432"/>
      <c r="AM30" s="573" t="str">
        <f>GRAL!B31</f>
        <v>2012-2015</v>
      </c>
      <c r="AN30" s="574"/>
      <c r="AO30" s="13"/>
    </row>
    <row r="31" spans="1:41" ht="60.75" hidden="1" thickTop="1">
      <c r="A31" s="166">
        <f>OBRA!I30</f>
        <v>2013</v>
      </c>
      <c r="B31" s="2036"/>
      <c r="C31" s="433"/>
      <c r="D31" s="154"/>
      <c r="E31" s="156"/>
      <c r="F31" s="156"/>
      <c r="G31" s="436"/>
      <c r="H31" s="442" t="str">
        <f>OBRA!AD30</f>
        <v>-</v>
      </c>
      <c r="I31" s="438"/>
      <c r="J31" s="444" t="str">
        <f>OBRA!AE30</f>
        <v>-</v>
      </c>
      <c r="K31" s="439"/>
      <c r="L31" s="442" t="str">
        <f>OBRA!AF30</f>
        <v>-</v>
      </c>
      <c r="M31" s="440"/>
      <c r="N31" s="442" t="str">
        <f>OBRA!AG30</f>
        <v>-</v>
      </c>
      <c r="O31" s="152"/>
      <c r="P31" s="152"/>
      <c r="Q31" s="439"/>
      <c r="R31" s="445" t="str">
        <f>OBRA!AH30</f>
        <v>-</v>
      </c>
      <c r="S31" s="423"/>
      <c r="T31" s="446" t="str">
        <f>OBRA!U30</f>
        <v>-</v>
      </c>
      <c r="U31" s="447">
        <f>OBRA!V30</f>
        <v>0</v>
      </c>
      <c r="V31" s="1281"/>
      <c r="W31" s="20" t="str">
        <f>OBRA!L30</f>
        <v>DOP/AD/026/2013</v>
      </c>
      <c r="X31" s="13"/>
      <c r="Y31" s="13"/>
      <c r="Z31" s="448" t="str">
        <f>OBRA!K30</f>
        <v>RAMO 33</v>
      </c>
      <c r="AA31" s="13"/>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428">
        <f>OBRA!S30</f>
        <v>41638</v>
      </c>
      <c r="AH31" s="54"/>
      <c r="AI31" s="231"/>
      <c r="AJ31" s="267"/>
      <c r="AK31" s="267"/>
      <c r="AL31" s="432"/>
      <c r="AM31" s="573" t="str">
        <f>GRAL!B32</f>
        <v>2012-2015</v>
      </c>
      <c r="AN31" s="574"/>
      <c r="AO31" s="13"/>
    </row>
    <row r="32" spans="1:41" ht="60.75" hidden="1" thickTop="1">
      <c r="A32" s="166">
        <f>OBRA!I31</f>
        <v>2013</v>
      </c>
      <c r="B32" s="2036"/>
      <c r="C32" s="433"/>
      <c r="D32" s="154"/>
      <c r="E32" s="156"/>
      <c r="F32" s="156"/>
      <c r="G32" s="436"/>
      <c r="H32" s="442" t="str">
        <f>OBRA!AD31</f>
        <v>-</v>
      </c>
      <c r="I32" s="438"/>
      <c r="J32" s="444" t="str">
        <f>OBRA!AE31</f>
        <v>-</v>
      </c>
      <c r="K32" s="439"/>
      <c r="L32" s="442" t="str">
        <f>OBRA!AF31</f>
        <v>-</v>
      </c>
      <c r="M32" s="440"/>
      <c r="N32" s="442" t="str">
        <f>OBRA!AG31</f>
        <v>-</v>
      </c>
      <c r="O32" s="152"/>
      <c r="P32" s="152"/>
      <c r="Q32" s="439"/>
      <c r="R32" s="445" t="str">
        <f>OBRA!AH31</f>
        <v>-</v>
      </c>
      <c r="S32" s="423"/>
      <c r="T32" s="446" t="str">
        <f>OBRA!U31</f>
        <v>-</v>
      </c>
      <c r="U32" s="447">
        <f>OBRA!V31</f>
        <v>0</v>
      </c>
      <c r="V32" s="1281"/>
      <c r="W32" s="20" t="str">
        <f>OBRA!L31</f>
        <v>DOP/AD/025/2013</v>
      </c>
      <c r="X32" s="13"/>
      <c r="Y32" s="13"/>
      <c r="Z32" s="448" t="str">
        <f>OBRA!K31</f>
        <v>RAMO 33</v>
      </c>
      <c r="AA32" s="13"/>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428">
        <f>OBRA!S31</f>
        <v>41638</v>
      </c>
      <c r="AH32" s="54"/>
      <c r="AI32" s="231"/>
      <c r="AJ32" s="267"/>
      <c r="AK32" s="267"/>
      <c r="AL32" s="432"/>
      <c r="AM32" s="573" t="str">
        <f>GRAL!B33</f>
        <v>2012-2015</v>
      </c>
      <c r="AN32" s="574"/>
      <c r="AO32" s="13"/>
    </row>
    <row r="33" spans="1:41" ht="45.75" hidden="1" thickTop="1">
      <c r="A33" s="166">
        <f>OBRA!I32</f>
        <v>2013</v>
      </c>
      <c r="B33" s="2036"/>
      <c r="C33" s="433"/>
      <c r="D33" s="154"/>
      <c r="E33" s="156"/>
      <c r="F33" s="156"/>
      <c r="G33" s="436"/>
      <c r="H33" s="442" t="str">
        <f>OBRA!AD32</f>
        <v>-</v>
      </c>
      <c r="I33" s="438"/>
      <c r="J33" s="444" t="str">
        <f>OBRA!AE32</f>
        <v>-</v>
      </c>
      <c r="K33" s="439"/>
      <c r="L33" s="442" t="str">
        <f>OBRA!AF32</f>
        <v>-</v>
      </c>
      <c r="M33" s="440"/>
      <c r="N33" s="442" t="str">
        <f>OBRA!AG32</f>
        <v>-</v>
      </c>
      <c r="O33" s="152"/>
      <c r="P33" s="152"/>
      <c r="Q33" s="439"/>
      <c r="R33" s="445" t="str">
        <f>OBRA!AH32</f>
        <v>-</v>
      </c>
      <c r="S33" s="423"/>
      <c r="T33" s="446" t="str">
        <f>OBRA!U32</f>
        <v>-</v>
      </c>
      <c r="U33" s="447">
        <f>OBRA!V32</f>
        <v>0</v>
      </c>
      <c r="V33" s="1281"/>
      <c r="W33" s="20" t="str">
        <f>OBRA!L32</f>
        <v>DOP/AD/008/2013</v>
      </c>
      <c r="X33" s="13"/>
      <c r="Y33" s="13"/>
      <c r="Z33" s="448" t="str">
        <f>OBRA!K32</f>
        <v>RAMO 33</v>
      </c>
      <c r="AA33" s="13"/>
      <c r="AB33" s="2" t="str">
        <f>OBRA!M32</f>
        <v>ADMINISTRACIÓN DIRECTA</v>
      </c>
      <c r="AC33" s="3" t="str">
        <f>OBRA!N32</f>
        <v>EMPEDRADO NORMAL, EN C. 16 DE SEPTIEMBRE EN LA AGENCIA MUNICIPAL DE NEXTIPAC</v>
      </c>
      <c r="AD33" s="4">
        <f>OBRA!P32</f>
        <v>387451.67</v>
      </c>
      <c r="AE33" s="6">
        <f>OBRA!Q32</f>
        <v>41600</v>
      </c>
      <c r="AF33" s="5">
        <f>OBRA!R32</f>
        <v>41603</v>
      </c>
      <c r="AG33" s="428">
        <f>OBRA!S32</f>
        <v>41608</v>
      </c>
      <c r="AH33" s="54"/>
      <c r="AI33" s="231"/>
      <c r="AJ33" s="267"/>
      <c r="AK33" s="267"/>
      <c r="AL33" s="432"/>
      <c r="AM33" s="573" t="str">
        <f>GRAL!B34</f>
        <v>2012-2015</v>
      </c>
      <c r="AN33" s="574"/>
      <c r="AO33" s="13"/>
    </row>
    <row r="34" spans="1:41" ht="45.75" hidden="1" thickTop="1">
      <c r="A34" s="166">
        <f>OBRA!I33</f>
        <v>2013</v>
      </c>
      <c r="B34" s="2036"/>
      <c r="C34" s="433"/>
      <c r="D34" s="154"/>
      <c r="E34" s="156"/>
      <c r="F34" s="156"/>
      <c r="G34" s="436"/>
      <c r="H34" s="442" t="str">
        <f>OBRA!AD33</f>
        <v>-</v>
      </c>
      <c r="I34" s="438"/>
      <c r="J34" s="444" t="str">
        <f>OBRA!AE33</f>
        <v>-</v>
      </c>
      <c r="K34" s="439"/>
      <c r="L34" s="442" t="str">
        <f>OBRA!AF33</f>
        <v>-</v>
      </c>
      <c r="M34" s="440"/>
      <c r="N34" s="442" t="str">
        <f>OBRA!AG33</f>
        <v>-</v>
      </c>
      <c r="O34" s="152"/>
      <c r="P34" s="152"/>
      <c r="Q34" s="439"/>
      <c r="R34" s="445" t="str">
        <f>OBRA!AH33</f>
        <v>-</v>
      </c>
      <c r="S34" s="423"/>
      <c r="T34" s="446" t="str">
        <f>OBRA!U33</f>
        <v>KARLAY S.A. DE S.V.</v>
      </c>
      <c r="U34" s="447" t="str">
        <f>OBRA!V33</f>
        <v>C. DANIEL RODRIGUEZ VALENZUELA</v>
      </c>
      <c r="V34" s="1281"/>
      <c r="W34" s="20" t="str">
        <f>OBRA!L33</f>
        <v>GMJ 021C OP/2013</v>
      </c>
      <c r="X34" s="13"/>
      <c r="Y34" s="13"/>
      <c r="Z34" s="448" t="str">
        <f>OBRA!K33</f>
        <v>Resc Esp Pub</v>
      </c>
      <c r="AA34" s="13"/>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428">
        <f>OBRA!S33</f>
        <v>41608</v>
      </c>
      <c r="AH34" s="54"/>
      <c r="AI34" s="231"/>
      <c r="AJ34" s="267"/>
      <c r="AK34" s="267"/>
      <c r="AL34" s="432"/>
      <c r="AM34" s="573" t="str">
        <f>GRAL!B35</f>
        <v>2012-2015</v>
      </c>
      <c r="AN34" s="574"/>
      <c r="AO34" s="13"/>
    </row>
    <row r="35" spans="1:41" ht="60.75" hidden="1" thickTop="1">
      <c r="A35" s="166">
        <f>OBRA!I34</f>
        <v>2013</v>
      </c>
      <c r="B35" s="2036"/>
      <c r="C35" s="433"/>
      <c r="D35" s="154"/>
      <c r="E35" s="156"/>
      <c r="F35" s="156"/>
      <c r="G35" s="436"/>
      <c r="H35" s="442" t="str">
        <f>OBRA!AD34</f>
        <v>-</v>
      </c>
      <c r="I35" s="438"/>
      <c r="J35" s="444" t="str">
        <f>OBRA!AE34</f>
        <v>-</v>
      </c>
      <c r="K35" s="439"/>
      <c r="L35" s="442" t="str">
        <f>OBRA!AF34</f>
        <v>-</v>
      </c>
      <c r="M35" s="440"/>
      <c r="N35" s="442" t="str">
        <f>OBRA!AG34</f>
        <v>-</v>
      </c>
      <c r="O35" s="152"/>
      <c r="P35" s="152"/>
      <c r="Q35" s="439"/>
      <c r="R35" s="445" t="str">
        <f>OBRA!AH34</f>
        <v>-</v>
      </c>
      <c r="S35" s="423"/>
      <c r="T35" s="446" t="str">
        <f>OBRA!U34</f>
        <v>-</v>
      </c>
      <c r="U35" s="447">
        <f>OBRA!V34</f>
        <v>0</v>
      </c>
      <c r="V35" s="1281"/>
      <c r="W35" s="20" t="str">
        <f>OBRA!L34</f>
        <v>DOP/AD/030/2013</v>
      </c>
      <c r="X35" s="13"/>
      <c r="Y35" s="13"/>
      <c r="Z35" s="448" t="str">
        <f>OBRA!K34</f>
        <v>3X1 PARA MIGRANTES</v>
      </c>
      <c r="AA35" s="13"/>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428">
        <f>OBRA!S34</f>
        <v>41638</v>
      </c>
      <c r="AH35" s="54"/>
      <c r="AI35" s="231"/>
      <c r="AJ35" s="267"/>
      <c r="AK35" s="267"/>
      <c r="AL35" s="432"/>
      <c r="AM35" s="573" t="str">
        <f>GRAL!B36</f>
        <v>2012-2015</v>
      </c>
      <c r="AN35" s="574"/>
      <c r="AO35" s="13"/>
    </row>
    <row r="36" spans="1:41" ht="60.75" hidden="1" thickTop="1">
      <c r="A36" s="166">
        <f>OBRA!I35</f>
        <v>2013</v>
      </c>
      <c r="B36" s="2036"/>
      <c r="C36" s="433"/>
      <c r="D36" s="154"/>
      <c r="E36" s="156"/>
      <c r="F36" s="156"/>
      <c r="G36" s="436"/>
      <c r="H36" s="442" t="str">
        <f>OBRA!AD35</f>
        <v>-</v>
      </c>
      <c r="I36" s="438"/>
      <c r="J36" s="444" t="str">
        <f>OBRA!AE35</f>
        <v>-</v>
      </c>
      <c r="K36" s="439"/>
      <c r="L36" s="442" t="str">
        <f>OBRA!AF35</f>
        <v>-</v>
      </c>
      <c r="M36" s="440"/>
      <c r="N36" s="442" t="str">
        <f>OBRA!AG35</f>
        <v>-</v>
      </c>
      <c r="O36" s="152"/>
      <c r="P36" s="152"/>
      <c r="Q36" s="439"/>
      <c r="R36" s="445" t="str">
        <f>OBRA!AH35</f>
        <v>-</v>
      </c>
      <c r="S36" s="423"/>
      <c r="T36" s="446" t="str">
        <f>OBRA!U35</f>
        <v>-</v>
      </c>
      <c r="U36" s="447">
        <f>OBRA!V35</f>
        <v>0</v>
      </c>
      <c r="V36" s="1281"/>
      <c r="W36" s="20" t="str">
        <f>OBRA!L35</f>
        <v>DOP/AD/001/2013</v>
      </c>
      <c r="X36" s="13"/>
      <c r="Y36" s="13"/>
      <c r="Z36" s="448" t="str">
        <f>OBRA!K35</f>
        <v>CUENTA CORRIENTE</v>
      </c>
      <c r="AA36" s="13"/>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428">
        <f>OBRA!S35</f>
        <v>41460</v>
      </c>
      <c r="AH36" s="54"/>
      <c r="AI36" s="231"/>
      <c r="AJ36" s="267"/>
      <c r="AK36" s="267"/>
      <c r="AL36" s="432"/>
      <c r="AM36" s="573" t="str">
        <f>GRAL!B37</f>
        <v>2012-2015</v>
      </c>
      <c r="AN36" s="574"/>
      <c r="AO36" s="13"/>
    </row>
    <row r="37" spans="1:41" ht="60.75" hidden="1" thickTop="1">
      <c r="A37" s="166">
        <f>OBRA!I36</f>
        <v>2013</v>
      </c>
      <c r="B37" s="2036"/>
      <c r="C37" s="433"/>
      <c r="D37" s="154"/>
      <c r="E37" s="156"/>
      <c r="F37" s="156"/>
      <c r="G37" s="436"/>
      <c r="H37" s="442" t="str">
        <f>OBRA!AD36</f>
        <v>-</v>
      </c>
      <c r="I37" s="438"/>
      <c r="J37" s="444" t="str">
        <f>OBRA!AE36</f>
        <v>-</v>
      </c>
      <c r="K37" s="439"/>
      <c r="L37" s="442" t="str">
        <f>OBRA!AF36</f>
        <v>-</v>
      </c>
      <c r="M37" s="440"/>
      <c r="N37" s="442" t="str">
        <f>OBRA!AG36</f>
        <v>-</v>
      </c>
      <c r="O37" s="152"/>
      <c r="P37" s="152"/>
      <c r="Q37" s="439"/>
      <c r="R37" s="445" t="str">
        <f>OBRA!AH36</f>
        <v>-</v>
      </c>
      <c r="S37" s="423"/>
      <c r="T37" s="446" t="str">
        <f>OBRA!U36</f>
        <v>-</v>
      </c>
      <c r="U37" s="447">
        <f>OBRA!V36</f>
        <v>0</v>
      </c>
      <c r="V37" s="1281"/>
      <c r="W37" s="20" t="str">
        <f>OBRA!L36</f>
        <v>DOP/AD/002/2013</v>
      </c>
      <c r="X37" s="13"/>
      <c r="Y37" s="13"/>
      <c r="Z37" s="448" t="str">
        <f>OBRA!K36</f>
        <v>CUENTA CORRIENTE</v>
      </c>
      <c r="AA37" s="13"/>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428">
        <f>OBRA!S36</f>
        <v>41453</v>
      </c>
      <c r="AH37" s="54"/>
      <c r="AI37" s="231"/>
      <c r="AJ37" s="267"/>
      <c r="AK37" s="267"/>
      <c r="AL37" s="432"/>
      <c r="AM37" s="573" t="str">
        <f>GRAL!B38</f>
        <v>2012-2015</v>
      </c>
      <c r="AN37" s="574"/>
      <c r="AO37" s="13"/>
    </row>
    <row r="38" spans="1:41" ht="45.75" hidden="1" thickTop="1">
      <c r="A38" s="166">
        <f>OBRA!I37</f>
        <v>2013</v>
      </c>
      <c r="B38" s="2036"/>
      <c r="C38" s="433"/>
      <c r="D38" s="154"/>
      <c r="E38" s="156"/>
      <c r="F38" s="156"/>
      <c r="G38" s="436"/>
      <c r="H38" s="442" t="str">
        <f>OBRA!AD37</f>
        <v>-</v>
      </c>
      <c r="I38" s="438"/>
      <c r="J38" s="444" t="str">
        <f>OBRA!AE37</f>
        <v>-</v>
      </c>
      <c r="K38" s="439"/>
      <c r="L38" s="442" t="str">
        <f>OBRA!AF37</f>
        <v>-</v>
      </c>
      <c r="M38" s="440"/>
      <c r="N38" s="442" t="str">
        <f>OBRA!AG37</f>
        <v>-</v>
      </c>
      <c r="O38" s="152"/>
      <c r="P38" s="152"/>
      <c r="Q38" s="439"/>
      <c r="R38" s="445" t="str">
        <f>OBRA!AH37</f>
        <v>-</v>
      </c>
      <c r="S38" s="423"/>
      <c r="T38" s="446" t="str">
        <f>OBRA!U37</f>
        <v>-</v>
      </c>
      <c r="U38" s="447">
        <f>OBRA!V37</f>
        <v>0</v>
      </c>
      <c r="V38" s="1281"/>
      <c r="W38" s="20" t="str">
        <f>OBRA!L37</f>
        <v>DOP/AD/003/2013</v>
      </c>
      <c r="X38" s="13"/>
      <c r="Y38" s="13"/>
      <c r="Z38" s="448" t="str">
        <f>OBRA!K37</f>
        <v>CUENTA CORRIENTE</v>
      </c>
      <c r="AA38" s="13"/>
      <c r="AB38" s="2" t="str">
        <f>OBRA!M37</f>
        <v>ADMINISTRACIÓN DIRECTA</v>
      </c>
      <c r="AC38" s="3" t="str">
        <f>OBRA!N37</f>
        <v>EMPEDRADO AHOGADO EN PRIVADA MATAMOROS EN L LOCALIDAD DE SAN JUAN COSALA</v>
      </c>
      <c r="AD38" s="4">
        <f>OBRA!P37</f>
        <v>396797.76</v>
      </c>
      <c r="AE38" s="6">
        <f>OBRA!Q37</f>
        <v>41446</v>
      </c>
      <c r="AF38" s="5">
        <f>OBRA!R37</f>
        <v>41446</v>
      </c>
      <c r="AG38" s="428">
        <f>OBRA!S37</f>
        <v>41460</v>
      </c>
      <c r="AH38" s="54"/>
      <c r="AI38" s="231"/>
      <c r="AJ38" s="267"/>
      <c r="AK38" s="267"/>
      <c r="AL38" s="432"/>
      <c r="AM38" s="573" t="str">
        <f>GRAL!B39</f>
        <v>2012-2015</v>
      </c>
      <c r="AN38" s="574"/>
      <c r="AO38" s="13"/>
    </row>
    <row r="39" spans="1:41" ht="45.75" hidden="1" thickTop="1">
      <c r="A39" s="166">
        <f>OBRA!I38</f>
        <v>2013</v>
      </c>
      <c r="B39" s="2036"/>
      <c r="C39" s="433"/>
      <c r="D39" s="154"/>
      <c r="E39" s="156"/>
      <c r="F39" s="156"/>
      <c r="G39" s="436"/>
      <c r="H39" s="442" t="str">
        <f>OBRA!AD38</f>
        <v>-</v>
      </c>
      <c r="I39" s="438"/>
      <c r="J39" s="444" t="str">
        <f>OBRA!AE38</f>
        <v>-</v>
      </c>
      <c r="K39" s="439"/>
      <c r="L39" s="442" t="str">
        <f>OBRA!AF38</f>
        <v>-</v>
      </c>
      <c r="M39" s="440"/>
      <c r="N39" s="442" t="str">
        <f>OBRA!AG38</f>
        <v>-</v>
      </c>
      <c r="O39" s="152"/>
      <c r="P39" s="152"/>
      <c r="Q39" s="439"/>
      <c r="R39" s="445" t="str">
        <f>OBRA!AH38</f>
        <v>-</v>
      </c>
      <c r="S39" s="423"/>
      <c r="T39" s="446" t="str">
        <f>OBRA!U38</f>
        <v>-</v>
      </c>
      <c r="U39" s="447">
        <f>OBRA!V38</f>
        <v>0</v>
      </c>
      <c r="V39" s="1281"/>
      <c r="W39" s="20" t="str">
        <f>OBRA!L38</f>
        <v>DOP/AD/004/2013</v>
      </c>
      <c r="X39" s="13"/>
      <c r="Y39" s="13"/>
      <c r="Z39" s="448" t="str">
        <f>OBRA!K38</f>
        <v>CUENTA CORRIENTE</v>
      </c>
      <c r="AA39" s="13"/>
      <c r="AB39" s="2" t="str">
        <f>OBRA!M38</f>
        <v>ADMINISTRACIÓN DIRECTA</v>
      </c>
      <c r="AC39" s="3" t="str">
        <f>OBRA!N38</f>
        <v>DESASOLVES PREVENTIVOS PARA EVITAR INUNDCIONES EN CBECERA Y SUS LOCALIDADES</v>
      </c>
      <c r="AD39" s="4">
        <f>OBRA!P38</f>
        <v>300000</v>
      </c>
      <c r="AE39" s="6">
        <f>OBRA!Q38</f>
        <v>41449</v>
      </c>
      <c r="AF39" s="5">
        <f>OBRA!R38</f>
        <v>41449</v>
      </c>
      <c r="AG39" s="428">
        <f>OBRA!S38</f>
        <v>41517</v>
      </c>
      <c r="AH39" s="54"/>
      <c r="AI39" s="231"/>
      <c r="AJ39" s="267"/>
      <c r="AK39" s="267"/>
      <c r="AL39" s="432"/>
      <c r="AM39" s="573" t="str">
        <f>GRAL!B40</f>
        <v>2012-2015</v>
      </c>
      <c r="AN39" s="574"/>
      <c r="AO39" s="13"/>
    </row>
    <row r="40" spans="1:41" ht="45.75" hidden="1" thickTop="1">
      <c r="A40" s="166">
        <f>OBRA!I39</f>
        <v>2013</v>
      </c>
      <c r="B40" s="2036"/>
      <c r="C40" s="433"/>
      <c r="D40" s="154"/>
      <c r="E40" s="156"/>
      <c r="F40" s="156"/>
      <c r="G40" s="436"/>
      <c r="H40" s="442" t="str">
        <f>OBRA!AD39</f>
        <v>-</v>
      </c>
      <c r="I40" s="438"/>
      <c r="J40" s="444" t="str">
        <f>OBRA!AE39</f>
        <v>-</v>
      </c>
      <c r="K40" s="439"/>
      <c r="L40" s="442" t="str">
        <f>OBRA!AF39</f>
        <v>-</v>
      </c>
      <c r="M40" s="440"/>
      <c r="N40" s="442" t="str">
        <f>OBRA!AG39</f>
        <v>-</v>
      </c>
      <c r="O40" s="152"/>
      <c r="P40" s="152"/>
      <c r="Q40" s="439"/>
      <c r="R40" s="445" t="str">
        <f>OBRA!AH39</f>
        <v>-</v>
      </c>
      <c r="S40" s="423"/>
      <c r="T40" s="446" t="str">
        <f>OBRA!U39</f>
        <v>-</v>
      </c>
      <c r="U40" s="447">
        <f>OBRA!V39</f>
        <v>0</v>
      </c>
      <c r="V40" s="1281"/>
      <c r="W40" s="20" t="str">
        <f>OBRA!L39</f>
        <v>DOP/AD/012/2013</v>
      </c>
      <c r="X40" s="13"/>
      <c r="Y40" s="13"/>
      <c r="Z40" s="448" t="str">
        <f>OBRA!K39</f>
        <v>CUENTA CORRIENTE</v>
      </c>
      <c r="AA40" s="13"/>
      <c r="AB40" s="2" t="str">
        <f>OBRA!M39</f>
        <v>ADMINISTRACIÓN DIRECTA</v>
      </c>
      <c r="AC40" s="3" t="str">
        <f>OBRA!N39</f>
        <v>REMODELACION DE FACHADA EN ZONA CENTRO 1ª ETAPA, EN LA  CABECERA MUNICIPAL</v>
      </c>
      <c r="AD40" s="4">
        <f>OBRA!P39</f>
        <v>0</v>
      </c>
      <c r="AE40" s="6" t="s">
        <v>68</v>
      </c>
      <c r="AF40" s="5" t="s">
        <v>68</v>
      </c>
      <c r="AG40" s="428" t="s">
        <v>68</v>
      </c>
      <c r="AH40" s="54"/>
      <c r="AI40" s="231"/>
      <c r="AJ40" s="267"/>
      <c r="AK40" s="267"/>
      <c r="AL40" s="432"/>
      <c r="AM40" s="573" t="str">
        <f>GRAL!B41</f>
        <v>2012-2015</v>
      </c>
      <c r="AN40" s="574"/>
      <c r="AO40" s="13"/>
    </row>
    <row r="41" spans="1:41" ht="30.75" hidden="1" thickTop="1">
      <c r="A41" s="166">
        <f>OBRA!I40</f>
        <v>2013</v>
      </c>
      <c r="B41" s="2036"/>
      <c r="C41" s="433"/>
      <c r="D41" s="154"/>
      <c r="E41" s="156"/>
      <c r="F41" s="156"/>
      <c r="G41" s="436"/>
      <c r="H41" s="442" t="str">
        <f>OBRA!AD40</f>
        <v>-</v>
      </c>
      <c r="I41" s="438"/>
      <c r="J41" s="444" t="str">
        <f>OBRA!AE40</f>
        <v>-</v>
      </c>
      <c r="K41" s="439"/>
      <c r="L41" s="442" t="str">
        <f>OBRA!AF40</f>
        <v>-</v>
      </c>
      <c r="M41" s="440"/>
      <c r="N41" s="442" t="str">
        <f>OBRA!AG40</f>
        <v>-</v>
      </c>
      <c r="O41" s="152"/>
      <c r="P41" s="152"/>
      <c r="Q41" s="439"/>
      <c r="R41" s="445" t="str">
        <f>OBRA!AH40</f>
        <v>-</v>
      </c>
      <c r="S41" s="423"/>
      <c r="T41" s="446" t="str">
        <f>OBRA!U40</f>
        <v>-</v>
      </c>
      <c r="U41" s="447">
        <f>OBRA!V40</f>
        <v>0</v>
      </c>
      <c r="V41" s="1281"/>
      <c r="W41" s="20" t="str">
        <f>OBRA!L40</f>
        <v>DOP/AD/013/2013</v>
      </c>
      <c r="X41" s="13"/>
      <c r="Y41" s="13"/>
      <c r="Z41" s="448" t="str">
        <f>OBRA!K40</f>
        <v>CUENTA CORRIENTE</v>
      </c>
      <c r="AA41" s="13"/>
      <c r="AB41" s="2" t="str">
        <f>OBRA!M40</f>
        <v>ADMINISTRACIÓN DIRECTA</v>
      </c>
      <c r="AC41" s="3" t="str">
        <f>OBRA!N40</f>
        <v>CONST. DE LOCAL COMERCIAL MALECON CABECERA MUNICIPAL</v>
      </c>
      <c r="AD41" s="4">
        <f>OBRA!P40</f>
        <v>60000</v>
      </c>
      <c r="AE41" s="6">
        <f>OBRA!Q40</f>
        <v>41463</v>
      </c>
      <c r="AF41" s="5">
        <f>OBRA!R40</f>
        <v>41433</v>
      </c>
      <c r="AG41" s="428">
        <f>OBRA!S40</f>
        <v>41501</v>
      </c>
      <c r="AH41" s="54"/>
      <c r="AI41" s="231"/>
      <c r="AJ41" s="267"/>
      <c r="AK41" s="267"/>
      <c r="AL41" s="432"/>
      <c r="AM41" s="573" t="str">
        <f>GRAL!B42</f>
        <v>2012-2015</v>
      </c>
      <c r="AN41" s="574"/>
      <c r="AO41" s="13"/>
    </row>
    <row r="42" spans="1:41" ht="30.75" hidden="1" thickTop="1">
      <c r="A42" s="166">
        <f>OBRA!I41</f>
        <v>2013</v>
      </c>
      <c r="B42" s="2036"/>
      <c r="C42" s="433"/>
      <c r="D42" s="154"/>
      <c r="E42" s="156"/>
      <c r="F42" s="156"/>
      <c r="G42" s="436"/>
      <c r="H42" s="442" t="str">
        <f>OBRA!AD41</f>
        <v>-</v>
      </c>
      <c r="I42" s="438"/>
      <c r="J42" s="444" t="str">
        <f>OBRA!AE41</f>
        <v>-</v>
      </c>
      <c r="K42" s="439"/>
      <c r="L42" s="442" t="str">
        <f>OBRA!AF41</f>
        <v>-</v>
      </c>
      <c r="M42" s="440"/>
      <c r="N42" s="442" t="str">
        <f>OBRA!AG41</f>
        <v>-</v>
      </c>
      <c r="O42" s="152"/>
      <c r="P42" s="152"/>
      <c r="Q42" s="439"/>
      <c r="R42" s="445" t="str">
        <f>OBRA!AH41</f>
        <v>-</v>
      </c>
      <c r="S42" s="423"/>
      <c r="T42" s="446" t="str">
        <f>OBRA!U41</f>
        <v>-</v>
      </c>
      <c r="U42" s="447">
        <f>OBRA!V41</f>
        <v>0</v>
      </c>
      <c r="V42" s="1281"/>
      <c r="W42" s="20" t="str">
        <f>OBRA!L41</f>
        <v>DOP/AD/028/2013</v>
      </c>
      <c r="X42" s="13"/>
      <c r="Y42" s="13"/>
      <c r="Z42" s="448" t="str">
        <f>OBRA!K41</f>
        <v>CUENTA CORRIENTE</v>
      </c>
      <c r="AA42" s="13"/>
      <c r="AB42" s="2" t="str">
        <f>OBRA!M41</f>
        <v>ADMINISTRACIÓN DIRECTA</v>
      </c>
      <c r="AC42" s="3" t="str">
        <f>OBRA!N41</f>
        <v>CONST. MURO PERIMETRAL FRACC. MAGISTERIAL CABECERA MUNICIPAL</v>
      </c>
      <c r="AD42" s="4">
        <f>OBRA!P41</f>
        <v>65000</v>
      </c>
      <c r="AE42" s="6">
        <f>OBRA!Q41</f>
        <v>41596</v>
      </c>
      <c r="AF42" s="5">
        <f>OBRA!R41</f>
        <v>41589</v>
      </c>
      <c r="AG42" s="428">
        <f>OBRA!S41</f>
        <v>41638</v>
      </c>
      <c r="AH42" s="54"/>
      <c r="AI42" s="231"/>
      <c r="AJ42" s="267"/>
      <c r="AK42" s="267"/>
      <c r="AL42" s="432"/>
      <c r="AM42" s="573" t="str">
        <f>GRAL!B43</f>
        <v>2012-2015</v>
      </c>
      <c r="AN42" s="574"/>
      <c r="AO42" s="13"/>
    </row>
    <row r="43" spans="1:41" s="326" customFormat="1" ht="45.75" hidden="1" thickTop="1">
      <c r="A43" s="330">
        <f>OBRA!I42</f>
        <v>2013</v>
      </c>
      <c r="B43" s="2035"/>
      <c r="C43" s="876"/>
      <c r="D43" s="331"/>
      <c r="E43" s="332"/>
      <c r="F43" s="332"/>
      <c r="G43" s="968"/>
      <c r="H43" s="333">
        <f>OBRA!AD42</f>
        <v>41275</v>
      </c>
      <c r="I43" s="969"/>
      <c r="J43" s="878" t="str">
        <f>OBRA!AE42</f>
        <v>-</v>
      </c>
      <c r="K43" s="879"/>
      <c r="L43" s="333" t="str">
        <f>OBRA!AF42</f>
        <v>-</v>
      </c>
      <c r="M43" s="972"/>
      <c r="N43" s="333">
        <f>OBRA!AG42</f>
        <v>41277</v>
      </c>
      <c r="O43" s="358" t="s">
        <v>2336</v>
      </c>
      <c r="P43" s="333"/>
      <c r="Q43" s="879"/>
      <c r="R43" s="880">
        <f>OBRA!AH42</f>
        <v>41277</v>
      </c>
      <c r="S43" s="325"/>
      <c r="T43" s="881" t="str">
        <f>OBRA!U42</f>
        <v>BRAILOGA CONSTRUCTORES S.A. DE C.V.</v>
      </c>
      <c r="U43" s="882" t="str">
        <f>OBRA!V42</f>
        <v>ING. RIGOBERTO OLMEDO RAMOS</v>
      </c>
      <c r="V43" s="906"/>
      <c r="W43" s="481" t="str">
        <f>OBRA!L42</f>
        <v>GMJ 001C OP/2013</v>
      </c>
      <c r="X43" s="325"/>
      <c r="Y43" s="325"/>
      <c r="Z43" s="325" t="str">
        <f>OBRA!K42</f>
        <v>CUENTA CORRIENTE</v>
      </c>
      <c r="AA43" s="325"/>
      <c r="AB43" s="318" t="str">
        <f>OBRA!M42</f>
        <v>INVITACIÓN</v>
      </c>
      <c r="AC43" s="319" t="str">
        <f>OBRA!N42</f>
        <v>TERMINACION DEL CENTRO DE SALUD, EN LA POBLACION LAS TROJES</v>
      </c>
      <c r="AD43" s="320">
        <f>OBRA!P42</f>
        <v>977397.28</v>
      </c>
      <c r="AE43" s="321">
        <f>OBRA!Q42</f>
        <v>41278</v>
      </c>
      <c r="AF43" s="322">
        <f>OBRA!R42</f>
        <v>41316</v>
      </c>
      <c r="AG43" s="427">
        <f>OBRA!S42</f>
        <v>41394</v>
      </c>
      <c r="AH43" s="982"/>
      <c r="AI43" s="317"/>
      <c r="AJ43" s="470"/>
      <c r="AK43" s="470"/>
      <c r="AL43" s="337"/>
      <c r="AM43" s="391" t="str">
        <f>GRAL!B44</f>
        <v>2012-2015</v>
      </c>
      <c r="AN43" s="979"/>
      <c r="AO43" s="325"/>
    </row>
    <row r="44" spans="1:41" ht="75.75" hidden="1" thickTop="1">
      <c r="A44" s="166">
        <f>OBRA!I43</f>
        <v>2013</v>
      </c>
      <c r="B44" s="2036"/>
      <c r="C44" s="433"/>
      <c r="D44" s="154"/>
      <c r="E44" s="156"/>
      <c r="F44" s="156"/>
      <c r="G44" s="436"/>
      <c r="H44" s="442" t="str">
        <f>OBRA!AD43</f>
        <v>-</v>
      </c>
      <c r="I44" s="438"/>
      <c r="J44" s="444" t="str">
        <f>OBRA!AE43</f>
        <v>-</v>
      </c>
      <c r="K44" s="439"/>
      <c r="L44" s="442" t="str">
        <f>OBRA!AF43</f>
        <v>-</v>
      </c>
      <c r="M44" s="440"/>
      <c r="N44" s="442" t="str">
        <f>OBRA!AG43</f>
        <v>-</v>
      </c>
      <c r="O44" s="152"/>
      <c r="P44" s="152"/>
      <c r="Q44" s="439"/>
      <c r="R44" s="445" t="str">
        <f>OBRA!AH43</f>
        <v>-</v>
      </c>
      <c r="S44" s="423"/>
      <c r="T44" s="446" t="str">
        <f>OBRA!U43</f>
        <v>BRAILOGA CONSTRUCTORES S.A. DE C.V.</v>
      </c>
      <c r="U44" s="447" t="str">
        <f>OBRA!V43</f>
        <v>ING. LUIS JOEL HUERTA LOMA</v>
      </c>
      <c r="V44" s="1281"/>
      <c r="W44" s="20" t="str">
        <f>OBRA!L43</f>
        <v>GMJ 003C OP/2013</v>
      </c>
      <c r="X44" s="13"/>
      <c r="Y44" s="13"/>
      <c r="Z44" s="448" t="str">
        <f>OBRA!K43</f>
        <v>CUENTA CORRIENTE</v>
      </c>
      <c r="AA44" s="13"/>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428">
        <f>OBRA!S43</f>
        <v>41286</v>
      </c>
      <c r="AH44" s="54"/>
      <c r="AI44" s="231"/>
      <c r="AJ44" s="267"/>
      <c r="AK44" s="267"/>
      <c r="AL44" s="432"/>
      <c r="AM44" s="573" t="str">
        <f>GRAL!B45</f>
        <v>2012-2015</v>
      </c>
      <c r="AN44" s="574"/>
      <c r="AO44" s="13"/>
    </row>
    <row r="45" spans="1:41" ht="45.75" hidden="1" thickTop="1">
      <c r="A45" s="166">
        <f>OBRA!I44</f>
        <v>2013</v>
      </c>
      <c r="B45" s="2036"/>
      <c r="C45" s="433"/>
      <c r="D45" s="154"/>
      <c r="E45" s="156"/>
      <c r="F45" s="156"/>
      <c r="G45" s="436"/>
      <c r="H45" s="442" t="str">
        <f>OBRA!AD44</f>
        <v>-</v>
      </c>
      <c r="I45" s="438"/>
      <c r="J45" s="444" t="str">
        <f>OBRA!AE44</f>
        <v>-</v>
      </c>
      <c r="K45" s="439"/>
      <c r="L45" s="442" t="str">
        <f>OBRA!AF44</f>
        <v>-</v>
      </c>
      <c r="M45" s="440"/>
      <c r="N45" s="442" t="str">
        <f>OBRA!AG44</f>
        <v>-</v>
      </c>
      <c r="O45" s="152"/>
      <c r="P45" s="152"/>
      <c r="Q45" s="439"/>
      <c r="R45" s="445" t="str">
        <f>OBRA!AH44</f>
        <v>-</v>
      </c>
      <c r="S45" s="423"/>
      <c r="T45" s="446" t="str">
        <f>OBRA!U44</f>
        <v>BRAILOGA CONSTRUCTORES S.A. DE C.V.</v>
      </c>
      <c r="U45" s="447" t="str">
        <f>OBRA!V44</f>
        <v>ING. LUIS JOEL HUERTA LOMA</v>
      </c>
      <c r="V45" s="1281"/>
      <c r="W45" s="20" t="str">
        <f>OBRA!L44</f>
        <v>GMJ 004C OP/2013</v>
      </c>
      <c r="X45" s="13"/>
      <c r="Y45" s="13"/>
      <c r="Z45" s="448" t="str">
        <f>OBRA!K44</f>
        <v>CUENTA CORRIENTE</v>
      </c>
      <c r="AA45" s="13"/>
      <c r="AB45" s="2" t="str">
        <f>OBRA!M44</f>
        <v>ADJUDICACIÓN DIRECTA</v>
      </c>
      <c r="AC45" s="3" t="str">
        <f>OBRA!N44</f>
        <v>BACHEO EN ASFALTO EN C. MORELOS ENTRE ALLENDE Y PEDRO MORENO EN LA POBLACION DE LA CABECERA</v>
      </c>
      <c r="AD45" s="4">
        <f>OBRA!P44</f>
        <v>213963.7</v>
      </c>
      <c r="AE45" s="6">
        <f>OBRA!Q44</f>
        <v>41278</v>
      </c>
      <c r="AF45" s="5">
        <f>OBRA!R44</f>
        <v>41281</v>
      </c>
      <c r="AG45" s="428">
        <f>OBRA!S44</f>
        <v>41286</v>
      </c>
      <c r="AH45" s="54"/>
      <c r="AI45" s="231"/>
      <c r="AJ45" s="267"/>
      <c r="AK45" s="267"/>
      <c r="AL45" s="432"/>
      <c r="AM45" s="573" t="str">
        <f>GRAL!B46</f>
        <v>2012-2015</v>
      </c>
      <c r="AN45" s="574"/>
      <c r="AO45" s="13"/>
    </row>
    <row r="46" spans="1:41" ht="195.75" hidden="1" thickTop="1">
      <c r="A46" s="166">
        <f>OBRA!I45</f>
        <v>2013</v>
      </c>
      <c r="B46" s="2036"/>
      <c r="C46" s="433"/>
      <c r="D46" s="154"/>
      <c r="E46" s="156"/>
      <c r="F46" s="156"/>
      <c r="G46" s="436"/>
      <c r="H46" s="442" t="str">
        <f>OBRA!AD45</f>
        <v>-</v>
      </c>
      <c r="I46" s="438"/>
      <c r="J46" s="444" t="str">
        <f>OBRA!AE45</f>
        <v>-</v>
      </c>
      <c r="K46" s="439"/>
      <c r="L46" s="442" t="str">
        <f>OBRA!AF45</f>
        <v>-</v>
      </c>
      <c r="M46" s="440"/>
      <c r="N46" s="442" t="str">
        <f>OBRA!AG45</f>
        <v>-</v>
      </c>
      <c r="O46" s="152"/>
      <c r="P46" s="152"/>
      <c r="Q46" s="439"/>
      <c r="R46" s="445" t="str">
        <f>OBRA!AH45</f>
        <v>-</v>
      </c>
      <c r="S46" s="423"/>
      <c r="T46" s="446" t="str">
        <f>OBRA!U45</f>
        <v>C. JOSÉ MIGUEL GARCIA VALLE</v>
      </c>
      <c r="U46" s="447" t="str">
        <f>OBRA!V45</f>
        <v>ING. ISER RANGEL REVILLA</v>
      </c>
      <c r="V46" s="1281"/>
      <c r="W46" s="20" t="str">
        <f>OBRA!L45</f>
        <v>GMJ 005C OP/2013</v>
      </c>
      <c r="X46" s="13"/>
      <c r="Y46" s="13"/>
      <c r="Z46" s="448" t="str">
        <f>OBRA!K45</f>
        <v>CUENTA CORRIENTE</v>
      </c>
      <c r="AA46" s="13"/>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428">
        <f>OBRA!S45</f>
        <v>41344</v>
      </c>
      <c r="AH46" s="54"/>
      <c r="AI46" s="231"/>
      <c r="AJ46" s="267"/>
      <c r="AK46" s="267"/>
      <c r="AL46" s="432"/>
      <c r="AM46" s="573" t="str">
        <f>GRAL!B47</f>
        <v>2012-2015</v>
      </c>
      <c r="AN46" s="574"/>
      <c r="AO46" s="13"/>
    </row>
    <row r="47" spans="1:41" s="326" customFormat="1" ht="60.75" hidden="1" thickTop="1">
      <c r="A47" s="330">
        <f>OBRA!I46</f>
        <v>2013</v>
      </c>
      <c r="B47" s="2035"/>
      <c r="C47" s="876"/>
      <c r="D47" s="331"/>
      <c r="E47" s="332"/>
      <c r="F47" s="332"/>
      <c r="G47" s="968"/>
      <c r="H47" s="333">
        <f>OBRA!AD46</f>
        <v>41323</v>
      </c>
      <c r="I47" s="969"/>
      <c r="J47" s="878" t="str">
        <f>OBRA!AE46</f>
        <v>-</v>
      </c>
      <c r="K47" s="879"/>
      <c r="L47" s="333" t="str">
        <f>OBRA!AF46</f>
        <v>-</v>
      </c>
      <c r="M47" s="972"/>
      <c r="N47" s="333">
        <f>OBRA!AG46</f>
        <v>41294</v>
      </c>
      <c r="O47" s="358" t="s">
        <v>2336</v>
      </c>
      <c r="P47" s="333"/>
      <c r="Q47" s="879"/>
      <c r="R47" s="880">
        <f>OBRA!AH46</f>
        <v>41325</v>
      </c>
      <c r="S47" s="325"/>
      <c r="T47" s="881" t="str">
        <f>OBRA!U46</f>
        <v>BRAILOGA CONSTRUCTORES S.A. DE C.V.</v>
      </c>
      <c r="U47" s="882" t="str">
        <f>OBRA!V46</f>
        <v>ING. LUIS JOEL HUERTA LOMA</v>
      </c>
      <c r="V47" s="906"/>
      <c r="W47" s="481" t="str">
        <f>OBRA!L46</f>
        <v>GMJ 006C OP/2013</v>
      </c>
      <c r="X47" s="325"/>
      <c r="Y47" s="325"/>
      <c r="Z47" s="325" t="str">
        <f>OBRA!K46</f>
        <v>CUENTA CORRIENTE</v>
      </c>
      <c r="AA47" s="325"/>
      <c r="AB47" s="318" t="str">
        <f>OBRA!M46</f>
        <v>INVITACIÓN</v>
      </c>
      <c r="AC47" s="319" t="str">
        <f>OBRA!N46</f>
        <v>COLOCACIÓN DE CARPETA ASFALTICA EN AV. DEL TRABAJO (EN EL INGRESO PRINCIPAL A LA LOCLIDAD) EN LA POBLCIÓN DE ZAPOTITAN DE HIDALGO</v>
      </c>
      <c r="AD47" s="320">
        <f>OBRA!P46</f>
        <v>1807551.01</v>
      </c>
      <c r="AE47" s="321">
        <f>OBRA!Q46</f>
        <v>41327</v>
      </c>
      <c r="AF47" s="322">
        <f>OBRA!R46</f>
        <v>41328</v>
      </c>
      <c r="AG47" s="427">
        <f>OBRA!S46</f>
        <v>41337</v>
      </c>
      <c r="AH47" s="982"/>
      <c r="AI47" s="317"/>
      <c r="AJ47" s="470"/>
      <c r="AK47" s="470"/>
      <c r="AL47" s="337"/>
      <c r="AM47" s="391" t="str">
        <f>GRAL!B48</f>
        <v>2012-2015</v>
      </c>
      <c r="AN47" s="979"/>
      <c r="AO47" s="325"/>
    </row>
    <row r="48" spans="1:41" ht="75.75" hidden="1" thickTop="1">
      <c r="A48" s="166">
        <f>OBRA!I47</f>
        <v>2013</v>
      </c>
      <c r="B48" s="2036"/>
      <c r="C48" s="433"/>
      <c r="D48" s="154"/>
      <c r="E48" s="156"/>
      <c r="F48" s="156"/>
      <c r="G48" s="436"/>
      <c r="H48" s="442" t="str">
        <f>OBRA!AD47</f>
        <v>-</v>
      </c>
      <c r="I48" s="438"/>
      <c r="J48" s="444" t="str">
        <f>OBRA!AE47</f>
        <v>-</v>
      </c>
      <c r="K48" s="439"/>
      <c r="L48" s="442" t="str">
        <f>OBRA!AF47</f>
        <v>-</v>
      </c>
      <c r="M48" s="440"/>
      <c r="N48" s="442" t="str">
        <f>OBRA!AG47</f>
        <v>-</v>
      </c>
      <c r="O48" s="152"/>
      <c r="P48" s="152"/>
      <c r="Q48" s="439"/>
      <c r="R48" s="445" t="str">
        <f>OBRA!AH47</f>
        <v>-</v>
      </c>
      <c r="S48" s="423"/>
      <c r="T48" s="446" t="str">
        <f>OBRA!U47</f>
        <v>C. JOSÉ MIGUEL GARCIA VALLE</v>
      </c>
      <c r="U48" s="447" t="str">
        <f>OBRA!V47</f>
        <v>ING. ISER RANGEL REVILLA</v>
      </c>
      <c r="V48" s="1281"/>
      <c r="W48" s="20" t="str">
        <f>OBRA!L47</f>
        <v>GMJ 007C OP/2013</v>
      </c>
      <c r="X48" s="13"/>
      <c r="Y48" s="13"/>
      <c r="Z48" s="448" t="str">
        <f>OBRA!K47</f>
        <v>CUENTA CORRIENTE</v>
      </c>
      <c r="AA48" s="13"/>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428">
        <f>OBRA!S47</f>
        <v>41378</v>
      </c>
      <c r="AH48" s="54"/>
      <c r="AI48" s="231"/>
      <c r="AJ48" s="267"/>
      <c r="AK48" s="267"/>
      <c r="AL48" s="432"/>
      <c r="AM48" s="573" t="str">
        <f>GRAL!B49</f>
        <v>2012-2015</v>
      </c>
      <c r="AN48" s="574"/>
      <c r="AO48" s="13"/>
    </row>
    <row r="49" spans="1:41" s="326" customFormat="1" ht="60.75" hidden="1" thickTop="1">
      <c r="A49" s="330">
        <f>OBRA!I48</f>
        <v>2013</v>
      </c>
      <c r="B49" s="2035"/>
      <c r="C49" s="876"/>
      <c r="D49" s="331"/>
      <c r="E49" s="332"/>
      <c r="F49" s="332"/>
      <c r="G49" s="968"/>
      <c r="H49" s="333">
        <f>OBRA!AD48</f>
        <v>41390</v>
      </c>
      <c r="I49" s="969"/>
      <c r="J49" s="878" t="str">
        <f>OBRA!AE48</f>
        <v>-</v>
      </c>
      <c r="K49" s="879"/>
      <c r="L49" s="333" t="str">
        <f>OBRA!AF48</f>
        <v>-</v>
      </c>
      <c r="M49" s="972"/>
      <c r="N49" s="333">
        <f>OBRA!AG48</f>
        <v>41404</v>
      </c>
      <c r="O49" s="358" t="s">
        <v>2336</v>
      </c>
      <c r="P49" s="333"/>
      <c r="Q49" s="879"/>
      <c r="R49" s="880">
        <f>OBRA!AH48</f>
        <v>41404</v>
      </c>
      <c r="S49" s="325"/>
      <c r="T49" s="881" t="str">
        <f>OBRA!U48</f>
        <v>C. MIGUEL RAFAEL RODRIGUEZ ALLENDE</v>
      </c>
      <c r="U49" s="882" t="str">
        <f>OBRA!V48</f>
        <v>ARQ. JAIME CONDE GOMEZ</v>
      </c>
      <c r="V49" s="906"/>
      <c r="W49" s="481" t="str">
        <f>OBRA!L48</f>
        <v>GMJ 008C OP/2013</v>
      </c>
      <c r="X49" s="325"/>
      <c r="Y49" s="325"/>
      <c r="Z49" s="325" t="str">
        <f>OBRA!K48</f>
        <v>FOPEDEM</v>
      </c>
      <c r="AA49" s="325"/>
      <c r="AB49" s="318" t="str">
        <f>OBRA!M48</f>
        <v>INVITACIÓN</v>
      </c>
      <c r="AC49" s="319" t="str">
        <f>OBRA!N48</f>
        <v>COLOCACIÓN DE CARPETA ASFALTICA C. ZARAGOZA ENTRE VICENTE GUERRERO Y JOSE SANTANA, EN LA CABECERA MUNICIPAL</v>
      </c>
      <c r="AD49" s="320">
        <f>OBRA!P48</f>
        <v>1998053.6</v>
      </c>
      <c r="AE49" s="321">
        <f>OBRA!Q48</f>
        <v>41407</v>
      </c>
      <c r="AF49" s="322">
        <f>OBRA!R48</f>
        <v>41407</v>
      </c>
      <c r="AG49" s="427">
        <f>OBRA!S48</f>
        <v>41468</v>
      </c>
      <c r="AH49" s="982"/>
      <c r="AI49" s="317"/>
      <c r="AJ49" s="470"/>
      <c r="AK49" s="470"/>
      <c r="AL49" s="337"/>
      <c r="AM49" s="391" t="str">
        <f>GRAL!B50</f>
        <v>2012-2015</v>
      </c>
      <c r="AN49" s="979"/>
      <c r="AO49" s="325"/>
    </row>
    <row r="50" spans="1:41" ht="225.75" hidden="1" thickTop="1">
      <c r="A50" s="166">
        <f>OBRA!I49</f>
        <v>2013</v>
      </c>
      <c r="B50" s="2036"/>
      <c r="C50" s="433"/>
      <c r="D50" s="154"/>
      <c r="E50" s="156"/>
      <c r="F50" s="156"/>
      <c r="G50" s="436"/>
      <c r="H50" s="442" t="str">
        <f>OBRA!AD49</f>
        <v>-</v>
      </c>
      <c r="I50" s="438"/>
      <c r="J50" s="444" t="str">
        <f>OBRA!AE49</f>
        <v>-</v>
      </c>
      <c r="K50" s="439"/>
      <c r="L50" s="442" t="str">
        <f>OBRA!AF49</f>
        <v>-</v>
      </c>
      <c r="M50" s="440"/>
      <c r="N50" s="442" t="str">
        <f>OBRA!AG49</f>
        <v>-</v>
      </c>
      <c r="O50" s="152"/>
      <c r="P50" s="152"/>
      <c r="Q50" s="439"/>
      <c r="R50" s="445" t="str">
        <f>OBRA!AH49</f>
        <v>-</v>
      </c>
      <c r="S50" s="423"/>
      <c r="T50" s="446" t="str">
        <f>OBRA!U49</f>
        <v>C. JOSÉ MIGUEL GARCIA VALLE</v>
      </c>
      <c r="U50" s="447" t="str">
        <f>OBRA!V49</f>
        <v>ING. LUIS JOEL HUERTA LOMA</v>
      </c>
      <c r="V50" s="1281"/>
      <c r="W50" s="20" t="str">
        <f>OBRA!L49</f>
        <v>GMJ 009C OP/2013</v>
      </c>
      <c r="X50" s="13"/>
      <c r="Y50" s="13"/>
      <c r="Z50" s="448" t="str">
        <f>OBRA!K49</f>
        <v>CUENTA CORRIENTE</v>
      </c>
      <c r="AA50" s="13"/>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428">
        <f>OBRA!S49</f>
        <v>41424</v>
      </c>
      <c r="AH50" s="54"/>
      <c r="AI50" s="231"/>
      <c r="AJ50" s="267"/>
      <c r="AK50" s="267"/>
      <c r="AL50" s="432"/>
      <c r="AM50" s="573" t="str">
        <f>GRAL!B51</f>
        <v>2012-2015</v>
      </c>
      <c r="AN50" s="574"/>
      <c r="AO50" s="13"/>
    </row>
    <row r="51" spans="1:41" s="326" customFormat="1" ht="60.75" hidden="1" thickTop="1">
      <c r="A51" s="330">
        <f>OBRA!I50</f>
        <v>2013</v>
      </c>
      <c r="B51" s="2035"/>
      <c r="C51" s="876"/>
      <c r="D51" s="331"/>
      <c r="E51" s="332"/>
      <c r="F51" s="332"/>
      <c r="G51" s="968"/>
      <c r="H51" s="333">
        <f>OBRA!AD50</f>
        <v>41390</v>
      </c>
      <c r="I51" s="969"/>
      <c r="J51" s="878" t="str">
        <f>OBRA!AE50</f>
        <v>-</v>
      </c>
      <c r="K51" s="879"/>
      <c r="L51" s="333" t="str">
        <f>OBRA!AF50</f>
        <v>-</v>
      </c>
      <c r="M51" s="972"/>
      <c r="N51" s="333">
        <f>OBRA!AG50</f>
        <v>41404</v>
      </c>
      <c r="O51" s="358" t="s">
        <v>2336</v>
      </c>
      <c r="P51" s="333"/>
      <c r="Q51" s="879"/>
      <c r="R51" s="880">
        <f>OBRA!AH50</f>
        <v>41404</v>
      </c>
      <c r="S51" s="325"/>
      <c r="T51" s="881" t="str">
        <f>OBRA!U50</f>
        <v>RAMPER DRILLINGS S.A. DE C.V.</v>
      </c>
      <c r="U51" s="882" t="str">
        <f>OBRA!V50</f>
        <v>C. DANIEL RODRIGUEZ VALENZUELA</v>
      </c>
      <c r="V51" s="906"/>
      <c r="W51" s="481" t="str">
        <f>OBRA!L50</f>
        <v>GMJ 010C OP/2013</v>
      </c>
      <c r="X51" s="325"/>
      <c r="Y51" s="325"/>
      <c r="Z51" s="325" t="str">
        <f>OBRA!K50</f>
        <v>CUENTA CORRIENTE</v>
      </c>
      <c r="AA51" s="325"/>
      <c r="AB51" s="318" t="str">
        <f>OBRA!M50</f>
        <v>INVITACIÓN</v>
      </c>
      <c r="AC51" s="319" t="str">
        <f>OBRA!N50</f>
        <v>PERFORACION Y ADEME DE POZO PROFUNDO EN EL FRACCIONMIENTO MAGISTERIAL UBICDO EN L ZONA OESTE DE LA CABECERA MUNICIPAL</v>
      </c>
      <c r="AD51" s="320">
        <f>OBRA!P50</f>
        <v>1398728</v>
      </c>
      <c r="AE51" s="321">
        <f>OBRA!Q50</f>
        <v>41428</v>
      </c>
      <c r="AF51" s="322">
        <f>OBRA!R50</f>
        <v>41436</v>
      </c>
      <c r="AG51" s="427">
        <f>OBRA!S50</f>
        <v>41466</v>
      </c>
      <c r="AH51" s="982"/>
      <c r="AI51" s="317"/>
      <c r="AJ51" s="470"/>
      <c r="AK51" s="470"/>
      <c r="AL51" s="337"/>
      <c r="AM51" s="391" t="str">
        <f>GRAL!B52</f>
        <v>2012-2015</v>
      </c>
      <c r="AN51" s="979"/>
      <c r="AO51" s="325"/>
    </row>
    <row r="52" spans="1:41" ht="45.75" hidden="1" thickTop="1">
      <c r="A52" s="166">
        <f>OBRA!I51</f>
        <v>2013</v>
      </c>
      <c r="B52" s="2036"/>
      <c r="C52" s="433"/>
      <c r="D52" s="154"/>
      <c r="E52" s="156"/>
      <c r="F52" s="156"/>
      <c r="G52" s="436"/>
      <c r="H52" s="442" t="str">
        <f>OBRA!AD51</f>
        <v>-</v>
      </c>
      <c r="I52" s="438"/>
      <c r="J52" s="444" t="str">
        <f>OBRA!AE51</f>
        <v>-</v>
      </c>
      <c r="K52" s="439"/>
      <c r="L52" s="442" t="str">
        <f>OBRA!AF51</f>
        <v>-</v>
      </c>
      <c r="M52" s="440"/>
      <c r="N52" s="442" t="str">
        <f>OBRA!AG51</f>
        <v>-</v>
      </c>
      <c r="O52" s="152"/>
      <c r="P52" s="152"/>
      <c r="Q52" s="439"/>
      <c r="R52" s="445" t="str">
        <f>OBRA!AH51</f>
        <v>-</v>
      </c>
      <c r="S52" s="423"/>
      <c r="T52" s="446" t="str">
        <f>OBRA!U51</f>
        <v>C. URIEL PALOS CUEVAS</v>
      </c>
      <c r="U52" s="447" t="str">
        <f>OBRA!V51</f>
        <v>C. DANIEL RODRIGUEZ VALENZUELA</v>
      </c>
      <c r="V52" s="1281"/>
      <c r="W52" s="20" t="str">
        <f>OBRA!L51</f>
        <v>GMJ 011C OP/2013</v>
      </c>
      <c r="X52" s="13"/>
      <c r="Y52" s="13"/>
      <c r="Z52" s="448" t="str">
        <f>OBRA!K51</f>
        <v>CUENTA CORRIENTE</v>
      </c>
      <c r="AA52" s="13"/>
      <c r="AB52" s="2" t="str">
        <f>OBRA!M51</f>
        <v>ADJUDICACIÓN DIRECTA</v>
      </c>
      <c r="AC52" s="3" t="str">
        <f>OBRA!N51</f>
        <v>EMPEDRADO AHOGADO EN CEMENTO PRIVADA FRANCISCO I. MADERO, EN LA DELEGACION SAN JUAN COSALA</v>
      </c>
      <c r="AD52" s="4">
        <f>OBRA!P51</f>
        <v>97904</v>
      </c>
      <c r="AE52" s="6">
        <f>OBRA!Q51</f>
        <v>41404</v>
      </c>
      <c r="AF52" s="5">
        <f>OBRA!R51</f>
        <v>41407</v>
      </c>
      <c r="AG52" s="428">
        <f>OBRA!S51</f>
        <v>41412</v>
      </c>
      <c r="AH52" s="54"/>
      <c r="AI52" s="231"/>
      <c r="AJ52" s="267"/>
      <c r="AK52" s="267"/>
      <c r="AL52" s="432"/>
      <c r="AM52" s="573" t="str">
        <f>GRAL!B53</f>
        <v>2012-2015</v>
      </c>
      <c r="AN52" s="574"/>
      <c r="AO52" s="13"/>
    </row>
    <row r="53" spans="1:41" ht="60.75" hidden="1" thickTop="1">
      <c r="A53" s="166">
        <f>OBRA!I52</f>
        <v>2013</v>
      </c>
      <c r="B53" s="2036"/>
      <c r="C53" s="433"/>
      <c r="D53" s="154"/>
      <c r="E53" s="156"/>
      <c r="F53" s="156"/>
      <c r="G53" s="436"/>
      <c r="H53" s="442" t="str">
        <f>OBRA!AD52</f>
        <v>-</v>
      </c>
      <c r="I53" s="438"/>
      <c r="J53" s="444" t="str">
        <f>OBRA!AE52</f>
        <v>-</v>
      </c>
      <c r="K53" s="439"/>
      <c r="L53" s="442" t="str">
        <f>OBRA!AF52</f>
        <v>-</v>
      </c>
      <c r="M53" s="440"/>
      <c r="N53" s="442" t="str">
        <f>OBRA!AG52</f>
        <v>-</v>
      </c>
      <c r="O53" s="152"/>
      <c r="P53" s="152"/>
      <c r="Q53" s="439"/>
      <c r="R53" s="445" t="str">
        <f>OBRA!AH52</f>
        <v>-</v>
      </c>
      <c r="S53" s="423"/>
      <c r="T53" s="446" t="str">
        <f>OBRA!U52</f>
        <v>C. MIGUEL RAFAEL RODRIGUEZ ALLENDE</v>
      </c>
      <c r="U53" s="447" t="str">
        <f>OBRA!V52</f>
        <v>ARQ. JAIME CONDE GOMEZ</v>
      </c>
      <c r="V53" s="1281"/>
      <c r="W53" s="20" t="str">
        <f>OBRA!L52</f>
        <v>GMJ 012C OP/2013</v>
      </c>
      <c r="X53" s="13"/>
      <c r="Y53" s="13"/>
      <c r="Z53" s="448" t="str">
        <f>OBRA!K52</f>
        <v>CUENTA CORRIENTE</v>
      </c>
      <c r="AA53" s="13"/>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428">
        <f>OBRA!S52</f>
        <v>41453</v>
      </c>
      <c r="AH53" s="54"/>
      <c r="AI53" s="231"/>
      <c r="AJ53" s="267"/>
      <c r="AK53" s="267"/>
      <c r="AL53" s="432"/>
      <c r="AM53" s="573" t="str">
        <f>GRAL!B54</f>
        <v>2012-2015</v>
      </c>
      <c r="AN53" s="574"/>
      <c r="AO53" s="13"/>
    </row>
    <row r="54" spans="1:41" ht="240.75" hidden="1" thickTop="1">
      <c r="A54" s="166">
        <f>OBRA!I53</f>
        <v>2013</v>
      </c>
      <c r="B54" s="2036"/>
      <c r="C54" s="433"/>
      <c r="D54" s="154"/>
      <c r="E54" s="156"/>
      <c r="F54" s="156"/>
      <c r="G54" s="436"/>
      <c r="H54" s="442" t="str">
        <f>OBRA!AD53</f>
        <v>-</v>
      </c>
      <c r="I54" s="438"/>
      <c r="J54" s="444" t="str">
        <f>OBRA!AE53</f>
        <v>-</v>
      </c>
      <c r="K54" s="439"/>
      <c r="L54" s="442" t="str">
        <f>OBRA!AF53</f>
        <v>-</v>
      </c>
      <c r="M54" s="440"/>
      <c r="N54" s="442" t="str">
        <f>OBRA!AG53</f>
        <v>-</v>
      </c>
      <c r="O54" s="152"/>
      <c r="P54" s="152"/>
      <c r="Q54" s="439"/>
      <c r="R54" s="445" t="str">
        <f>OBRA!AH53</f>
        <v>-</v>
      </c>
      <c r="S54" s="423"/>
      <c r="T54" s="446" t="str">
        <f>OBRA!U53</f>
        <v>BRAILOGA CONSTRUCTORES S.A. DE C.V.</v>
      </c>
      <c r="U54" s="447" t="str">
        <f>OBRA!V53</f>
        <v>ING. ISER RANGEL REVILLA</v>
      </c>
      <c r="V54" s="1281"/>
      <c r="W54" s="20" t="str">
        <f>OBRA!L53</f>
        <v>GMJ 016C OP/2013</v>
      </c>
      <c r="X54" s="13"/>
      <c r="Y54" s="13"/>
      <c r="Z54" s="448" t="str">
        <f>OBRA!K53</f>
        <v>CUENTA CORRIENTE</v>
      </c>
      <c r="AA54" s="13"/>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428">
        <f>OBRA!S53</f>
        <v>41530</v>
      </c>
      <c r="AH54" s="54"/>
      <c r="AI54" s="231"/>
      <c r="AJ54" s="267"/>
      <c r="AK54" s="267"/>
      <c r="AL54" s="432"/>
      <c r="AM54" s="573" t="str">
        <f>GRAL!B55</f>
        <v>2012-2015</v>
      </c>
      <c r="AN54" s="574"/>
      <c r="AO54" s="13"/>
    </row>
    <row r="55" spans="1:41" ht="45.75" hidden="1" thickTop="1">
      <c r="A55" s="166">
        <f>OBRA!I54</f>
        <v>2013</v>
      </c>
      <c r="B55" s="2036"/>
      <c r="C55" s="433"/>
      <c r="D55" s="154"/>
      <c r="E55" s="156"/>
      <c r="F55" s="156"/>
      <c r="G55" s="436"/>
      <c r="H55" s="442" t="str">
        <f>OBRA!AD54</f>
        <v>-</v>
      </c>
      <c r="I55" s="438"/>
      <c r="J55" s="444" t="str">
        <f>OBRA!AE54</f>
        <v>-</v>
      </c>
      <c r="K55" s="439"/>
      <c r="L55" s="442" t="str">
        <f>OBRA!AF54</f>
        <v>-</v>
      </c>
      <c r="M55" s="440"/>
      <c r="N55" s="442" t="str">
        <f>OBRA!AG54</f>
        <v>-</v>
      </c>
      <c r="O55" s="152"/>
      <c r="P55" s="152"/>
      <c r="Q55" s="439"/>
      <c r="R55" s="445" t="str">
        <f>OBRA!AH54</f>
        <v>-</v>
      </c>
      <c r="S55" s="423"/>
      <c r="T55" s="446" t="str">
        <f>OBRA!U54</f>
        <v>-</v>
      </c>
      <c r="U55" s="447">
        <f>OBRA!V54</f>
        <v>0</v>
      </c>
      <c r="V55" s="1281"/>
      <c r="W55" s="20" t="str">
        <f>OBRA!L54</f>
        <v>DOP/AD/020/2013</v>
      </c>
      <c r="X55" s="13"/>
      <c r="Y55" s="13"/>
      <c r="Z55" s="448" t="str">
        <f>OBRA!K54</f>
        <v>CUENTA CORRIENTE</v>
      </c>
      <c r="AA55" s="13"/>
      <c r="AB55" s="2" t="str">
        <f>OBRA!M54</f>
        <v>ADMINISTRACIÓN DIRECTA</v>
      </c>
      <c r="AC55" s="3" t="str">
        <f>OBRA!N54</f>
        <v>"DESASOLVES PREVENTIVOS PARA EVITAR INUNDACIONES" EN LA CABECERA Y SUS LOCALIDADES 2ª ETAPA</v>
      </c>
      <c r="AD55" s="4">
        <f>OBRA!P54</f>
        <v>100000</v>
      </c>
      <c r="AE55" s="6">
        <f>OBRA!Q54</f>
        <v>41465</v>
      </c>
      <c r="AF55" s="5">
        <f>OBRA!R54</f>
        <v>41465</v>
      </c>
      <c r="AG55" s="428">
        <f>OBRA!S54</f>
        <v>41479</v>
      </c>
      <c r="AH55" s="54"/>
      <c r="AI55" s="231"/>
      <c r="AJ55" s="267"/>
      <c r="AK55" s="267"/>
      <c r="AL55" s="432"/>
      <c r="AM55" s="573" t="str">
        <f>GRAL!B56</f>
        <v>2012-2015</v>
      </c>
      <c r="AN55" s="574"/>
      <c r="AO55" s="13"/>
    </row>
    <row r="56" spans="1:41" ht="60.75" hidden="1" thickTop="1">
      <c r="A56" s="166">
        <f>OBRA!I55</f>
        <v>2013</v>
      </c>
      <c r="B56" s="2036"/>
      <c r="C56" s="433"/>
      <c r="D56" s="154"/>
      <c r="E56" s="156"/>
      <c r="F56" s="156"/>
      <c r="G56" s="436"/>
      <c r="H56" s="442" t="str">
        <f>OBRA!AD55</f>
        <v>-</v>
      </c>
      <c r="I56" s="438"/>
      <c r="J56" s="444" t="str">
        <f>OBRA!AE55</f>
        <v>-</v>
      </c>
      <c r="K56" s="439"/>
      <c r="L56" s="442" t="str">
        <f>OBRA!AF55</f>
        <v>-</v>
      </c>
      <c r="M56" s="440"/>
      <c r="N56" s="442" t="str">
        <f>OBRA!AG55</f>
        <v>-</v>
      </c>
      <c r="O56" s="152"/>
      <c r="P56" s="152"/>
      <c r="Q56" s="439"/>
      <c r="R56" s="445" t="str">
        <f>OBRA!AH55</f>
        <v>-</v>
      </c>
      <c r="S56" s="423"/>
      <c r="T56" s="446" t="str">
        <f>OBRA!U55</f>
        <v>-</v>
      </c>
      <c r="U56" s="447">
        <f>OBRA!V55</f>
        <v>0</v>
      </c>
      <c r="V56" s="1281"/>
      <c r="W56" s="20" t="str">
        <f>OBRA!L55</f>
        <v>DOP/AD/029/2013</v>
      </c>
      <c r="X56" s="13"/>
      <c r="Y56" s="13"/>
      <c r="Z56" s="448" t="str">
        <f>OBRA!K55</f>
        <v>3X1 PARA MIGRANTES</v>
      </c>
      <c r="AA56" s="13"/>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428">
        <f>OBRA!S55</f>
        <v>41635</v>
      </c>
      <c r="AH56" s="54"/>
      <c r="AI56" s="231"/>
      <c r="AJ56" s="267"/>
      <c r="AK56" s="267"/>
      <c r="AL56" s="432"/>
      <c r="AM56" s="573" t="str">
        <f>GRAL!B57</f>
        <v>2012-2015</v>
      </c>
      <c r="AN56" s="574"/>
      <c r="AO56" s="13"/>
    </row>
    <row r="57" spans="1:41" ht="90.75" hidden="1" thickTop="1">
      <c r="A57" s="166">
        <f>OBRA!I56</f>
        <v>2013</v>
      </c>
      <c r="B57" s="2036"/>
      <c r="C57" s="433"/>
      <c r="D57" s="154"/>
      <c r="E57" s="156"/>
      <c r="F57" s="156"/>
      <c r="G57" s="436"/>
      <c r="H57" s="442" t="str">
        <f>OBRA!AD56</f>
        <v>-</v>
      </c>
      <c r="I57" s="438"/>
      <c r="J57" s="444" t="str">
        <f>OBRA!AE56</f>
        <v>-</v>
      </c>
      <c r="K57" s="439"/>
      <c r="L57" s="442" t="str">
        <f>OBRA!AF56</f>
        <v>-</v>
      </c>
      <c r="M57" s="440"/>
      <c r="N57" s="442" t="str">
        <f>OBRA!AG56</f>
        <v>-</v>
      </c>
      <c r="O57" s="152"/>
      <c r="P57" s="152"/>
      <c r="Q57" s="439"/>
      <c r="R57" s="445" t="str">
        <f>OBRA!AH56</f>
        <v>-</v>
      </c>
      <c r="S57" s="423"/>
      <c r="T57" s="446" t="str">
        <f>OBRA!U56</f>
        <v>-</v>
      </c>
      <c r="U57" s="447">
        <f>OBRA!V56</f>
        <v>0</v>
      </c>
      <c r="V57" s="1281"/>
      <c r="W57" s="20" t="str">
        <f>OBRA!L56</f>
        <v>DOP/AD/031/2013</v>
      </c>
      <c r="X57" s="13"/>
      <c r="Y57" s="13"/>
      <c r="Z57" s="448" t="str">
        <f>OBRA!K56</f>
        <v>3X1 PARA MIGRANTES</v>
      </c>
      <c r="AA57" s="13"/>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428">
        <f>OBRA!S56</f>
        <v>41638</v>
      </c>
      <c r="AH57" s="54"/>
      <c r="AI57" s="231"/>
      <c r="AJ57" s="267"/>
      <c r="AK57" s="267"/>
      <c r="AL57" s="432"/>
      <c r="AM57" s="573" t="str">
        <f>GRAL!B58</f>
        <v>2012-2015</v>
      </c>
      <c r="AN57" s="574"/>
      <c r="AO57" s="13"/>
    </row>
    <row r="58" spans="1:41" ht="75.75" hidden="1" thickTop="1">
      <c r="A58" s="166">
        <f>OBRA!I57</f>
        <v>2013</v>
      </c>
      <c r="B58" s="2036"/>
      <c r="C58" s="433"/>
      <c r="D58" s="154"/>
      <c r="E58" s="156"/>
      <c r="F58" s="156"/>
      <c r="G58" s="436"/>
      <c r="H58" s="442" t="str">
        <f>OBRA!AD57</f>
        <v>-</v>
      </c>
      <c r="I58" s="438"/>
      <c r="J58" s="444" t="str">
        <f>OBRA!AE57</f>
        <v>-</v>
      </c>
      <c r="K58" s="439"/>
      <c r="L58" s="442" t="str">
        <f>OBRA!AF57</f>
        <v>-</v>
      </c>
      <c r="M58" s="440"/>
      <c r="N58" s="442" t="str">
        <f>OBRA!AG57</f>
        <v>-</v>
      </c>
      <c r="O58" s="152"/>
      <c r="P58" s="152"/>
      <c r="Q58" s="439"/>
      <c r="R58" s="445" t="str">
        <f>OBRA!AH57</f>
        <v>-</v>
      </c>
      <c r="S58" s="423"/>
      <c r="T58" s="446" t="str">
        <f>OBRA!U57</f>
        <v>EQUIPO MANTENIMIENTO Y PLANEACION ELECTRICA S.A. DE C.V.</v>
      </c>
      <c r="U58" s="447">
        <f>OBRA!V57</f>
        <v>0</v>
      </c>
      <c r="V58" s="1281"/>
      <c r="W58" s="20" t="str">
        <f>OBRA!L57</f>
        <v>GMJ 024 OP/2013</v>
      </c>
      <c r="X58" s="13"/>
      <c r="Y58" s="13"/>
      <c r="Z58" s="448" t="str">
        <f>OBRA!K57</f>
        <v>FISE</v>
      </c>
      <c r="AA58" s="13"/>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428">
        <f>OBRA!S57</f>
        <v>41691</v>
      </c>
      <c r="AH58" s="54"/>
      <c r="AI58" s="231"/>
      <c r="AJ58" s="267"/>
      <c r="AK58" s="267"/>
      <c r="AL58" s="432"/>
      <c r="AM58" s="573" t="str">
        <f>GRAL!B59</f>
        <v>2012-2015</v>
      </c>
      <c r="AN58" s="574"/>
      <c r="AO58" s="13"/>
    </row>
    <row r="59" spans="1:41" ht="75.75" hidden="1" thickTop="1">
      <c r="A59" s="166">
        <f>OBRA!I58</f>
        <v>2013</v>
      </c>
      <c r="B59" s="2036"/>
      <c r="C59" s="433"/>
      <c r="D59" s="154"/>
      <c r="E59" s="156"/>
      <c r="F59" s="156"/>
      <c r="G59" s="436"/>
      <c r="H59" s="442" t="str">
        <f>OBRA!AD58</f>
        <v>-</v>
      </c>
      <c r="I59" s="438"/>
      <c r="J59" s="444" t="str">
        <f>OBRA!AE58</f>
        <v>-</v>
      </c>
      <c r="K59" s="439"/>
      <c r="L59" s="442" t="str">
        <f>OBRA!AF58</f>
        <v>-</v>
      </c>
      <c r="M59" s="440"/>
      <c r="N59" s="442" t="str">
        <f>OBRA!AG58</f>
        <v>-</v>
      </c>
      <c r="O59" s="152"/>
      <c r="P59" s="152"/>
      <c r="Q59" s="439"/>
      <c r="R59" s="445" t="str">
        <f>OBRA!AH58</f>
        <v>-</v>
      </c>
      <c r="S59" s="423"/>
      <c r="T59" s="446">
        <f>OBRA!U58</f>
        <v>0</v>
      </c>
      <c r="U59" s="447">
        <f>OBRA!V58</f>
        <v>0</v>
      </c>
      <c r="V59" s="1281"/>
      <c r="W59" s="20">
        <f>OBRA!L58</f>
        <v>0</v>
      </c>
      <c r="X59" s="13"/>
      <c r="Y59" s="13"/>
      <c r="Z59" s="448" t="str">
        <f>OBRA!K58</f>
        <v>FODIM</v>
      </c>
      <c r="AA59" s="13"/>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428" t="s">
        <v>68</v>
      </c>
      <c r="AH59" s="54"/>
      <c r="AI59" s="231"/>
      <c r="AJ59" s="267"/>
      <c r="AK59" s="267"/>
      <c r="AL59" s="432"/>
      <c r="AM59" s="573" t="str">
        <f>GRAL!B60</f>
        <v>2012-2015</v>
      </c>
      <c r="AN59" s="574"/>
      <c r="AO59" s="13"/>
    </row>
    <row r="60" spans="1:41" s="326" customFormat="1" ht="150.75" hidden="1" customHeight="1">
      <c r="A60" s="330">
        <v>2014</v>
      </c>
      <c r="B60" s="2035"/>
      <c r="C60" s="876" t="s">
        <v>68</v>
      </c>
      <c r="D60" s="331" t="s">
        <v>68</v>
      </c>
      <c r="E60" s="332" t="s">
        <v>68</v>
      </c>
      <c r="F60" s="332" t="s">
        <v>68</v>
      </c>
      <c r="G60" s="877" t="s">
        <v>2337</v>
      </c>
      <c r="H60" s="333">
        <f>OBRA!AD59</f>
        <v>41281</v>
      </c>
      <c r="I60" s="332" t="s">
        <v>68</v>
      </c>
      <c r="J60" s="332" t="str">
        <f>OBRA!AE59</f>
        <v>-</v>
      </c>
      <c r="K60" s="332" t="s">
        <v>68</v>
      </c>
      <c r="L60" s="332" t="str">
        <f>OBRA!AF59</f>
        <v>-</v>
      </c>
      <c r="M60" s="877" t="s">
        <v>2338</v>
      </c>
      <c r="N60" s="333">
        <f>OBRA!AG59</f>
        <v>41294</v>
      </c>
      <c r="O60" s="358" t="s">
        <v>2336</v>
      </c>
      <c r="P60" s="333" t="s">
        <v>68</v>
      </c>
      <c r="Q60" s="877" t="s">
        <v>2339</v>
      </c>
      <c r="R60" s="880">
        <f>OBRA!AH59</f>
        <v>41294</v>
      </c>
      <c r="S60" s="489" t="s">
        <v>2340</v>
      </c>
      <c r="T60" s="881" t="str">
        <f>OBRA!U59</f>
        <v>JOSE LUIS RANGEL GALVEZ</v>
      </c>
      <c r="U60" s="882" t="str">
        <f>OBRA!V59</f>
        <v>C. DANIEL RODRIGUEZ VALENZUELA</v>
      </c>
      <c r="V60" s="906"/>
      <c r="W60" s="481" t="str">
        <f>OBRA!L59</f>
        <v>GMJ 002C OP/2014</v>
      </c>
      <c r="X60" s="877" t="s">
        <v>2341</v>
      </c>
      <c r="Y60" s="489" t="s">
        <v>2342</v>
      </c>
      <c r="Z60" s="325" t="str">
        <f>OBRA!K59</f>
        <v>R33 - FODIM</v>
      </c>
      <c r="AA60" s="489" t="s">
        <v>2343</v>
      </c>
      <c r="AB60" s="318" t="str">
        <f>OBRA!M59</f>
        <v>INVITACIÓN</v>
      </c>
      <c r="AC60" s="319" t="str">
        <f>OBRA!N59</f>
        <v>FABRICACION DE LOZA DE CONCRETO HIDRAULICO, CON RENOVACIÓN DE REDES DE AGUA POTABLE Y RED DE DRENAJE EN LA CALLE MORELOS DE CALLE INDEPENDENCIA A CALLE MATAMOROS EN LA CABECERA MUNICIPAL</v>
      </c>
      <c r="AD60" s="320">
        <f>OBRA!P59</f>
        <v>5400000</v>
      </c>
      <c r="AE60" s="321">
        <f>OBRA!Q59</f>
        <v>41690</v>
      </c>
      <c r="AF60" s="322">
        <f>OBRA!R59</f>
        <v>41694</v>
      </c>
      <c r="AG60" s="427">
        <f>OBRA!S59</f>
        <v>41783</v>
      </c>
      <c r="AH60" s="982"/>
      <c r="AI60" s="317" t="s">
        <v>2344</v>
      </c>
      <c r="AJ60" s="482" t="s">
        <v>2345</v>
      </c>
      <c r="AK60" s="482" t="s">
        <v>2346</v>
      </c>
      <c r="AL60" s="891" t="s">
        <v>2347</v>
      </c>
      <c r="AM60" s="391" t="str">
        <f>GRAL!B61</f>
        <v>2012-2015</v>
      </c>
      <c r="AN60" s="541" t="s">
        <v>551</v>
      </c>
      <c r="AO60" s="325"/>
    </row>
    <row r="61" spans="1:41" s="326" customFormat="1" ht="113.25" hidden="1" customHeight="1">
      <c r="A61" s="330">
        <f>OBRA!I60</f>
        <v>2014</v>
      </c>
      <c r="B61" s="2035"/>
      <c r="C61" s="876" t="s">
        <v>68</v>
      </c>
      <c r="D61" s="331" t="s">
        <v>68</v>
      </c>
      <c r="E61" s="332" t="s">
        <v>68</v>
      </c>
      <c r="F61" s="332" t="s">
        <v>68</v>
      </c>
      <c r="G61" s="877" t="s">
        <v>2348</v>
      </c>
      <c r="H61" s="333">
        <f>OBRA!AD60</f>
        <v>41582</v>
      </c>
      <c r="I61" s="332" t="s">
        <v>68</v>
      </c>
      <c r="J61" s="332" t="str">
        <f>OBRA!AE60</f>
        <v>-</v>
      </c>
      <c r="K61" s="332" t="s">
        <v>68</v>
      </c>
      <c r="L61" s="332" t="str">
        <f>OBRA!AF60</f>
        <v>-</v>
      </c>
      <c r="M61" s="877" t="s">
        <v>2349</v>
      </c>
      <c r="N61" s="333">
        <f>OBRA!AG60</f>
        <v>41598</v>
      </c>
      <c r="O61" s="358" t="s">
        <v>2336</v>
      </c>
      <c r="P61" s="333" t="s">
        <v>68</v>
      </c>
      <c r="Q61" s="877" t="s">
        <v>2350</v>
      </c>
      <c r="R61" s="880">
        <f>OBRA!AH60</f>
        <v>41683</v>
      </c>
      <c r="S61" s="489" t="s">
        <v>2351</v>
      </c>
      <c r="T61" s="881" t="str">
        <f>OBRA!U60</f>
        <v>HIDRAULICOS TRUJILLO S.A. DE C.V.</v>
      </c>
      <c r="U61" s="882" t="str">
        <f>OBRA!V60</f>
        <v>C. DANIEL RODRIGUEZ VALENZUELA</v>
      </c>
      <c r="V61" s="906"/>
      <c r="W61" s="481" t="str">
        <f>OBRA!L60</f>
        <v>GMJ 001C OP/2014</v>
      </c>
      <c r="X61" s="986" t="s">
        <v>2352</v>
      </c>
      <c r="Y61" s="489" t="s">
        <v>2353</v>
      </c>
      <c r="Z61" s="325" t="str">
        <f>OBRA!K60</f>
        <v>RAMO 33</v>
      </c>
      <c r="AA61" s="325" t="s">
        <v>2354</v>
      </c>
      <c r="AB61" s="318" t="str">
        <f>OBRA!M60</f>
        <v>LICITACION</v>
      </c>
      <c r="AC61" s="319" t="str">
        <f>OBRA!N60</f>
        <v>LINEA DE CONEXIÓN ENTRE POZO DEL FRACCIONAMIENTO MAGISTERIAL Y LA RED DE AGUA MUNICIPAL EN LA CABECERA MUNICIPAL</v>
      </c>
      <c r="AD61" s="320">
        <f>OBRA!P60</f>
        <v>1489185.94</v>
      </c>
      <c r="AE61" s="321">
        <f>OBRA!Q60</f>
        <v>41683</v>
      </c>
      <c r="AF61" s="322">
        <f>OBRA!R60</f>
        <v>41687</v>
      </c>
      <c r="AG61" s="427">
        <f>OBRA!S60</f>
        <v>41734</v>
      </c>
      <c r="AH61" s="982"/>
      <c r="AI61" s="317" t="s">
        <v>2344</v>
      </c>
      <c r="AJ61" s="470" t="s">
        <v>1431</v>
      </c>
      <c r="AK61" s="482" t="s">
        <v>2355</v>
      </c>
      <c r="AL61" s="482" t="s">
        <v>2356</v>
      </c>
      <c r="AM61" s="391" t="str">
        <f>GRAL!B62</f>
        <v>2012-2015</v>
      </c>
      <c r="AN61" s="470" t="s">
        <v>551</v>
      </c>
      <c r="AO61" s="325"/>
    </row>
    <row r="62" spans="1:41" ht="30" hidden="1" customHeight="1">
      <c r="A62" s="166">
        <f>OBRA!I61</f>
        <v>2014</v>
      </c>
      <c r="B62" s="2036"/>
      <c r="C62" s="433"/>
      <c r="D62" s="154"/>
      <c r="E62" s="156"/>
      <c r="F62" s="156"/>
      <c r="G62" s="436"/>
      <c r="H62" s="442" t="str">
        <f>OBRA!AD61</f>
        <v>-</v>
      </c>
      <c r="I62" s="332"/>
      <c r="J62" s="332" t="str">
        <f>OBRA!AE61</f>
        <v>-</v>
      </c>
      <c r="K62" s="332"/>
      <c r="L62" s="332" t="str">
        <f>OBRA!AF61</f>
        <v>-</v>
      </c>
      <c r="M62" s="440"/>
      <c r="N62" s="442" t="str">
        <f>OBRA!AG61</f>
        <v>-</v>
      </c>
      <c r="O62" s="152"/>
      <c r="P62" s="152"/>
      <c r="Q62" s="439"/>
      <c r="R62" s="445" t="str">
        <f>OBRA!AH61</f>
        <v>-</v>
      </c>
      <c r="S62" s="423"/>
      <c r="T62" s="446" t="str">
        <f>OBRA!U61</f>
        <v>-</v>
      </c>
      <c r="U62" s="447" t="str">
        <f>OBRA!V61</f>
        <v>ARQ. JAIME CONDE GOMEZ</v>
      </c>
      <c r="V62" s="1281"/>
      <c r="W62" s="20" t="str">
        <f>OBRA!L61</f>
        <v>DOP/AD/004/2014</v>
      </c>
      <c r="X62" s="13"/>
      <c r="Y62" s="13"/>
      <c r="Z62" s="448" t="str">
        <f>OBRA!K61</f>
        <v>POA</v>
      </c>
      <c r="AA62" s="13"/>
      <c r="AB62" s="2" t="str">
        <f>OBRA!M61</f>
        <v>ADMINISTRACIÓN DIRECTA</v>
      </c>
      <c r="AC62" s="3" t="str">
        <f>OBRA!N61</f>
        <v>REHABILITACIÓN DE AUDITORIO ANTONIA PALOMARES</v>
      </c>
      <c r="AD62" s="4">
        <f>OBRA!P61</f>
        <v>450000</v>
      </c>
      <c r="AE62" s="6">
        <f>OBRA!Q61</f>
        <v>41781</v>
      </c>
      <c r="AF62" s="5">
        <f>OBRA!R61</f>
        <v>41705</v>
      </c>
      <c r="AG62" s="428">
        <f>OBRA!S61</f>
        <v>41789</v>
      </c>
      <c r="AH62" s="54"/>
      <c r="AI62" s="231"/>
      <c r="AJ62" s="267"/>
      <c r="AK62" s="267"/>
      <c r="AL62" s="432"/>
      <c r="AM62" s="573" t="str">
        <f>GRAL!B63</f>
        <v>2012-2015</v>
      </c>
      <c r="AN62" s="574"/>
      <c r="AO62" s="13"/>
    </row>
    <row r="63" spans="1:41" ht="30.75" hidden="1" thickTop="1">
      <c r="A63" s="166">
        <f>OBRA!I62</f>
        <v>2014</v>
      </c>
      <c r="B63" s="2036"/>
      <c r="C63" s="433"/>
      <c r="D63" s="154"/>
      <c r="E63" s="156"/>
      <c r="F63" s="156"/>
      <c r="G63" s="436"/>
      <c r="H63" s="442" t="str">
        <f>OBRA!AD62</f>
        <v>-</v>
      </c>
      <c r="I63" s="332"/>
      <c r="J63" s="332" t="str">
        <f>OBRA!AE62</f>
        <v>-</v>
      </c>
      <c r="K63" s="332"/>
      <c r="L63" s="332" t="str">
        <f>OBRA!AF62</f>
        <v>-</v>
      </c>
      <c r="M63" s="440"/>
      <c r="N63" s="442" t="str">
        <f>OBRA!AG62</f>
        <v>-</v>
      </c>
      <c r="O63" s="152"/>
      <c r="P63" s="152"/>
      <c r="Q63" s="439"/>
      <c r="R63" s="445" t="str">
        <f>OBRA!AH62</f>
        <v>-</v>
      </c>
      <c r="S63" s="423"/>
      <c r="T63" s="446" t="str">
        <f>OBRA!U62</f>
        <v>-</v>
      </c>
      <c r="U63" s="447" t="str">
        <f>OBRA!V62</f>
        <v>ARQ. JAIME CONDE GOMEZ</v>
      </c>
      <c r="V63" s="1281"/>
      <c r="W63" s="20" t="str">
        <f>OBRA!L62</f>
        <v>DOP/AD/003/2014</v>
      </c>
      <c r="X63" s="13"/>
      <c r="Y63" s="13"/>
      <c r="Z63" s="448" t="str">
        <f>OBRA!K62</f>
        <v>POA</v>
      </c>
      <c r="AA63" s="13"/>
      <c r="AB63" s="2" t="str">
        <f>OBRA!M62</f>
        <v>ADMINISTRACIÓN DIRECTA</v>
      </c>
      <c r="AC63" s="3" t="str">
        <f>OBRA!N62</f>
        <v>CONSTRUCCION DE AREA DE LECTURA AL AIRE LIBRE DE LA BIBLIOTECA</v>
      </c>
      <c r="AD63" s="4">
        <f>OBRA!P62</f>
        <v>300000</v>
      </c>
      <c r="AE63" s="6">
        <f>OBRA!Q62</f>
        <v>41761</v>
      </c>
      <c r="AF63" s="5">
        <f>OBRA!R62</f>
        <v>41761</v>
      </c>
      <c r="AG63" s="428">
        <f>OBRA!S62</f>
        <v>41822</v>
      </c>
      <c r="AH63" s="54"/>
      <c r="AI63" s="231"/>
      <c r="AJ63" s="267"/>
      <c r="AK63" s="267"/>
      <c r="AL63" s="432"/>
      <c r="AM63" s="573" t="str">
        <f>GRAL!B64</f>
        <v>2012-2015</v>
      </c>
      <c r="AN63" s="574"/>
      <c r="AO63" s="13"/>
    </row>
    <row r="64" spans="1:41" ht="30.75" hidden="1" thickTop="1">
      <c r="A64" s="166">
        <f>OBRA!I63</f>
        <v>2014</v>
      </c>
      <c r="B64" s="2036"/>
      <c r="C64" s="433"/>
      <c r="D64" s="154"/>
      <c r="E64" s="156"/>
      <c r="F64" s="156"/>
      <c r="G64" s="436"/>
      <c r="H64" s="442" t="str">
        <f>OBRA!AD63</f>
        <v>-</v>
      </c>
      <c r="I64" s="332"/>
      <c r="J64" s="332" t="str">
        <f>OBRA!AE63</f>
        <v>-</v>
      </c>
      <c r="K64" s="332"/>
      <c r="L64" s="332" t="str">
        <f>OBRA!AF63</f>
        <v>-</v>
      </c>
      <c r="M64" s="440"/>
      <c r="N64" s="442" t="str">
        <f>OBRA!AG63</f>
        <v>-</v>
      </c>
      <c r="O64" s="152"/>
      <c r="P64" s="152"/>
      <c r="Q64" s="439"/>
      <c r="R64" s="445" t="str">
        <f>OBRA!AH63</f>
        <v>-</v>
      </c>
      <c r="S64" s="423"/>
      <c r="T64" s="446" t="str">
        <f>OBRA!U63</f>
        <v>-</v>
      </c>
      <c r="U64" s="447" t="str">
        <f>OBRA!V63</f>
        <v>ARQ. JAIME CONDE GOMEZ</v>
      </c>
      <c r="V64" s="1281"/>
      <c r="W64" s="20" t="str">
        <f>OBRA!L63</f>
        <v>DOP/AD/001/2014</v>
      </c>
      <c r="X64" s="13"/>
      <c r="Y64" s="13"/>
      <c r="Z64" s="448" t="str">
        <f>OBRA!K63</f>
        <v>CUENTA CORRIENTE</v>
      </c>
      <c r="AA64" s="13"/>
      <c r="AB64" s="2" t="str">
        <f>OBRA!M63</f>
        <v>ADMINISTRACIÓN DIRECTA</v>
      </c>
      <c r="AC64" s="3" t="str">
        <f>OBRA!N63</f>
        <v>REHABILITACIÓN DE BAÑOS EN CAMPO MEXICO, EN LA CABECERA MUNICIPAL</v>
      </c>
      <c r="AD64" s="4">
        <f>OBRA!P63</f>
        <v>91000</v>
      </c>
      <c r="AE64" s="6">
        <f>OBRA!Q63</f>
        <v>41705</v>
      </c>
      <c r="AF64" s="5">
        <f>OBRA!R63</f>
        <v>41705</v>
      </c>
      <c r="AG64" s="428">
        <f>OBRA!S63</f>
        <v>41789</v>
      </c>
      <c r="AH64" s="54"/>
      <c r="AI64" s="231"/>
      <c r="AJ64" s="267"/>
      <c r="AK64" s="267"/>
      <c r="AL64" s="432"/>
      <c r="AM64" s="573" t="str">
        <f>GRAL!B65</f>
        <v>2012-2015</v>
      </c>
      <c r="AN64" s="574"/>
      <c r="AO64" s="13"/>
    </row>
    <row r="65" spans="1:41" s="110" customFormat="1" ht="75.75" hidden="1" thickTop="1">
      <c r="A65" s="956">
        <f>OBRA!I64</f>
        <v>2014</v>
      </c>
      <c r="B65" s="2037"/>
      <c r="C65" s="957"/>
      <c r="D65" s="155"/>
      <c r="E65" s="157"/>
      <c r="F65" s="157"/>
      <c r="G65" s="958"/>
      <c r="H65" s="158" t="str">
        <f>OBRA!AD64</f>
        <v>-</v>
      </c>
      <c r="I65" s="157"/>
      <c r="J65" s="157" t="str">
        <f>OBRA!AE64</f>
        <v>-</v>
      </c>
      <c r="K65" s="157"/>
      <c r="L65" s="157" t="str">
        <f>OBRA!AF64</f>
        <v>-</v>
      </c>
      <c r="M65" s="959"/>
      <c r="N65" s="158" t="str">
        <f>OBRA!AG64</f>
        <v>-</v>
      </c>
      <c r="O65" s="158"/>
      <c r="P65" s="158"/>
      <c r="Q65" s="960"/>
      <c r="R65" s="459" t="str">
        <f>OBRA!AH64</f>
        <v>-</v>
      </c>
      <c r="S65" s="109"/>
      <c r="T65" s="460" t="str">
        <f>OBRA!U64</f>
        <v>-</v>
      </c>
      <c r="U65" s="461" t="str">
        <f>OBRA!V64</f>
        <v>ING. RIGOBERTO OLMEDO RAMOS</v>
      </c>
      <c r="V65" s="935"/>
      <c r="W65" s="955" t="str">
        <f>OBRA!L64</f>
        <v>DOP/AD/009/2014</v>
      </c>
      <c r="X65" s="109"/>
      <c r="Y65" s="109"/>
      <c r="Z65" s="109" t="str">
        <f>OBRA!K64</f>
        <v>RAMO 33</v>
      </c>
      <c r="AA65" s="109"/>
      <c r="AB65" s="203" t="str">
        <f>OBRA!M64</f>
        <v>CANCELADA</v>
      </c>
      <c r="AC65" s="112" t="str">
        <f>OBRA!N64</f>
        <v>REHABILITACIÓN DE RED DE AGUA POTABLE EN C. NIÑOS HEROES DE C. HIDALGO HASTA LA ESCUELA TELESECUNDARIA NIÑOS HEROES, EN LA AGENCIA MUNICIPAL DE "EL MOLINO"</v>
      </c>
      <c r="AD65" s="92">
        <f>OBRA!P64</f>
        <v>48856.42</v>
      </c>
      <c r="AE65" s="93">
        <f>OBRA!Q64</f>
        <v>41859</v>
      </c>
      <c r="AF65" s="94">
        <f>OBRA!R64</f>
        <v>41862</v>
      </c>
      <c r="AG65" s="429">
        <f>OBRA!S64</f>
        <v>41874</v>
      </c>
      <c r="AH65" s="107"/>
      <c r="AI65" s="90"/>
      <c r="AJ65" s="102"/>
      <c r="AK65" s="102"/>
      <c r="AL65" s="103"/>
      <c r="AM65" s="392" t="str">
        <f>GRAL!B66</f>
        <v>2012-2015</v>
      </c>
      <c r="AN65" s="961"/>
      <c r="AO65" s="109"/>
    </row>
    <row r="66" spans="1:41" s="110" customFormat="1" ht="75.75" hidden="1" thickTop="1">
      <c r="A66" s="956">
        <f>OBRA!I65</f>
        <v>2014</v>
      </c>
      <c r="B66" s="2037"/>
      <c r="C66" s="957"/>
      <c r="D66" s="155"/>
      <c r="E66" s="157"/>
      <c r="F66" s="157"/>
      <c r="G66" s="958"/>
      <c r="H66" s="158" t="str">
        <f>OBRA!AD65</f>
        <v>-</v>
      </c>
      <c r="I66" s="157"/>
      <c r="J66" s="157" t="str">
        <f>OBRA!AE65</f>
        <v>-</v>
      </c>
      <c r="K66" s="157"/>
      <c r="L66" s="157" t="str">
        <f>OBRA!AF65</f>
        <v>-</v>
      </c>
      <c r="M66" s="959"/>
      <c r="N66" s="158" t="str">
        <f>OBRA!AG65</f>
        <v>-</v>
      </c>
      <c r="O66" s="158"/>
      <c r="P66" s="158"/>
      <c r="Q66" s="960"/>
      <c r="R66" s="459" t="str">
        <f>OBRA!AH65</f>
        <v>-</v>
      </c>
      <c r="S66" s="109"/>
      <c r="T66" s="460" t="str">
        <f>OBRA!U65</f>
        <v>-</v>
      </c>
      <c r="U66" s="461" t="str">
        <f>OBRA!V65</f>
        <v>ING. RIGOBERTO OLMEDO RAMOS</v>
      </c>
      <c r="V66" s="935"/>
      <c r="W66" s="955" t="str">
        <f>OBRA!L65</f>
        <v>DOP/AD/006/2014</v>
      </c>
      <c r="X66" s="109"/>
      <c r="Y66" s="109"/>
      <c r="Z66" s="109" t="str">
        <f>OBRA!K65</f>
        <v>RAMO 33</v>
      </c>
      <c r="AA66" s="109"/>
      <c r="AB66" s="203" t="str">
        <f>OBRA!M65</f>
        <v>CANCELADA</v>
      </c>
      <c r="AC66" s="112" t="str">
        <f>OBRA!N65</f>
        <v>REHABILITACIÓN DE RED DE AGUA POTABLE EN C. HIDALGO DE C. NIÑOS HEROES HASTA ESCUELA J. VICENTE NEGRETE, EN LA AGENCIA MUNICIPAL DE "EL MOLINO"</v>
      </c>
      <c r="AD66" s="92">
        <f>OBRA!P65</f>
        <v>75328.27</v>
      </c>
      <c r="AE66" s="93">
        <f>OBRA!Q65</f>
        <v>41831</v>
      </c>
      <c r="AF66" s="94">
        <f>OBRA!R65</f>
        <v>41834</v>
      </c>
      <c r="AG66" s="429">
        <f>OBRA!S65</f>
        <v>41846</v>
      </c>
      <c r="AH66" s="107"/>
      <c r="AI66" s="90"/>
      <c r="AJ66" s="102"/>
      <c r="AK66" s="102"/>
      <c r="AL66" s="103"/>
      <c r="AM66" s="392" t="str">
        <f>GRAL!B67</f>
        <v>2012-2015</v>
      </c>
      <c r="AN66" s="961"/>
      <c r="AO66" s="109"/>
    </row>
    <row r="67" spans="1:41" s="110" customFormat="1" ht="60.75" hidden="1" thickTop="1">
      <c r="A67" s="956">
        <f>OBRA!I66</f>
        <v>2014</v>
      </c>
      <c r="B67" s="2037"/>
      <c r="C67" s="957"/>
      <c r="D67" s="155"/>
      <c r="E67" s="157"/>
      <c r="F67" s="157"/>
      <c r="G67" s="958"/>
      <c r="H67" s="158" t="str">
        <f>OBRA!AD66</f>
        <v>-</v>
      </c>
      <c r="I67" s="157"/>
      <c r="J67" s="157" t="str">
        <f>OBRA!AE66</f>
        <v>-</v>
      </c>
      <c r="K67" s="157"/>
      <c r="L67" s="157" t="str">
        <f>OBRA!AF66</f>
        <v>-</v>
      </c>
      <c r="M67" s="959"/>
      <c r="N67" s="158" t="str">
        <f>OBRA!AG66</f>
        <v>-</v>
      </c>
      <c r="O67" s="158"/>
      <c r="P67" s="158"/>
      <c r="Q67" s="960"/>
      <c r="R67" s="459" t="str">
        <f>OBRA!AH66</f>
        <v>-</v>
      </c>
      <c r="S67" s="109"/>
      <c r="T67" s="460" t="str">
        <f>OBRA!U66</f>
        <v>-</v>
      </c>
      <c r="U67" s="461" t="str">
        <f>OBRA!V66</f>
        <v>ING. RIGOBERTO OLMEDO RAMOS</v>
      </c>
      <c r="V67" s="935"/>
      <c r="W67" s="955" t="str">
        <f>OBRA!L66</f>
        <v>DOP/AD/005/2014</v>
      </c>
      <c r="X67" s="109"/>
      <c r="Y67" s="109"/>
      <c r="Z67" s="109" t="str">
        <f>OBRA!K66</f>
        <v>RAMO 33</v>
      </c>
      <c r="AA67" s="109"/>
      <c r="AB67" s="203" t="str">
        <f>OBRA!M66</f>
        <v>CANCELADA</v>
      </c>
      <c r="AC67" s="112" t="str">
        <f>OBRA!N66</f>
        <v>REHABILITACIÓN DE RED DE DRENAJE EN C. HIDALGO DE C. NIÑOS HEROES HASTA ESCUELA J. VICENTE NEGRETE, EN LA AGENCIA MUNICIPAL DE "EL MOLINO"</v>
      </c>
      <c r="AD67" s="92">
        <f>OBRA!P66</f>
        <v>109593.60000000001</v>
      </c>
      <c r="AE67" s="93">
        <f>OBRA!Q66</f>
        <v>41817</v>
      </c>
      <c r="AF67" s="94">
        <f>OBRA!R66</f>
        <v>41821</v>
      </c>
      <c r="AG67" s="429">
        <f>OBRA!S66</f>
        <v>41834</v>
      </c>
      <c r="AH67" s="107"/>
      <c r="AI67" s="90"/>
      <c r="AJ67" s="102"/>
      <c r="AK67" s="102"/>
      <c r="AL67" s="103"/>
      <c r="AM67" s="392" t="str">
        <f>GRAL!B68</f>
        <v>2012-2015</v>
      </c>
      <c r="AN67" s="961"/>
      <c r="AO67" s="109"/>
    </row>
    <row r="68" spans="1:41" s="110" customFormat="1" ht="75.75" hidden="1" thickTop="1">
      <c r="A68" s="956">
        <f>OBRA!I67</f>
        <v>2014</v>
      </c>
      <c r="B68" s="2037"/>
      <c r="C68" s="957"/>
      <c r="D68" s="155"/>
      <c r="E68" s="157"/>
      <c r="F68" s="157"/>
      <c r="G68" s="958"/>
      <c r="H68" s="158" t="str">
        <f>OBRA!AD67</f>
        <v>-</v>
      </c>
      <c r="I68" s="157"/>
      <c r="J68" s="157" t="str">
        <f>OBRA!AE67</f>
        <v>-</v>
      </c>
      <c r="K68" s="157"/>
      <c r="L68" s="157" t="str">
        <f>OBRA!AF67</f>
        <v>-</v>
      </c>
      <c r="M68" s="959"/>
      <c r="N68" s="158" t="str">
        <f>OBRA!AG67</f>
        <v>-</v>
      </c>
      <c r="O68" s="158"/>
      <c r="P68" s="158"/>
      <c r="Q68" s="960"/>
      <c r="R68" s="459" t="str">
        <f>OBRA!AH67</f>
        <v>-</v>
      </c>
      <c r="S68" s="109"/>
      <c r="T68" s="460" t="str">
        <f>OBRA!U67</f>
        <v>-</v>
      </c>
      <c r="U68" s="461" t="str">
        <f>OBRA!V67</f>
        <v>ING. RIGOBERTO OLMEDO RAMOS</v>
      </c>
      <c r="V68" s="935"/>
      <c r="W68" s="955" t="str">
        <f>OBRA!L67</f>
        <v>DOP/AD/008/2014</v>
      </c>
      <c r="X68" s="109"/>
      <c r="Y68" s="109"/>
      <c r="Z68" s="109" t="str">
        <f>OBRA!K67</f>
        <v>RAMO 33</v>
      </c>
      <c r="AA68" s="109"/>
      <c r="AB68" s="203" t="str">
        <f>OBRA!M67</f>
        <v>CANCELADA</v>
      </c>
      <c r="AC68" s="112" t="str">
        <f>OBRA!N67</f>
        <v>REHABILITACIÓN DE RED DE DRENAJE EN C. NIÑOS HEROES DE C. HIDALGO HASTA LA ESCUELA TELESECUNDARIA NIÑOS HEROES, EN LA AGENCIA MUNICIPAL DE "EL MOLINO"</v>
      </c>
      <c r="AD68" s="92">
        <f>OBRA!P67</f>
        <v>56400.28</v>
      </c>
      <c r="AE68" s="93">
        <f>OBRA!Q67</f>
        <v>41845</v>
      </c>
      <c r="AF68" s="94">
        <f>OBRA!R67</f>
        <v>41848</v>
      </c>
      <c r="AG68" s="429">
        <f>OBRA!S67</f>
        <v>41860</v>
      </c>
      <c r="AH68" s="107"/>
      <c r="AI68" s="90"/>
      <c r="AJ68" s="102"/>
      <c r="AK68" s="102"/>
      <c r="AL68" s="103"/>
      <c r="AM68" s="392" t="str">
        <f>GRAL!B69</f>
        <v>2012-2015</v>
      </c>
      <c r="AN68" s="961"/>
      <c r="AO68" s="109"/>
    </row>
    <row r="69" spans="1:41" s="110" customFormat="1" ht="60.75" hidden="1" thickTop="1">
      <c r="A69" s="956">
        <v>2014</v>
      </c>
      <c r="B69" s="2037"/>
      <c r="C69" s="957"/>
      <c r="D69" s="155"/>
      <c r="E69" s="157"/>
      <c r="F69" s="157"/>
      <c r="G69" s="958"/>
      <c r="H69" s="158" t="str">
        <f>OBRA!AD68</f>
        <v>-</v>
      </c>
      <c r="I69" s="157"/>
      <c r="J69" s="157" t="str">
        <f>OBRA!AE68</f>
        <v>-</v>
      </c>
      <c r="K69" s="157"/>
      <c r="L69" s="157" t="str">
        <f>OBRA!AF68</f>
        <v>-</v>
      </c>
      <c r="M69" s="959"/>
      <c r="N69" s="158" t="str">
        <f>OBRA!AG68</f>
        <v>-</v>
      </c>
      <c r="O69" s="158"/>
      <c r="P69" s="158"/>
      <c r="Q69" s="960"/>
      <c r="R69" s="459" t="str">
        <f>OBRA!AH68</f>
        <v>-</v>
      </c>
      <c r="S69" s="109"/>
      <c r="T69" s="460" t="str">
        <f>OBRA!U68</f>
        <v>-</v>
      </c>
      <c r="U69" s="461" t="str">
        <f>OBRA!V68</f>
        <v>ING. RIGOBERTO OLMEDO RAMOS</v>
      </c>
      <c r="V69" s="935"/>
      <c r="W69" s="955" t="str">
        <f>OBRA!L68</f>
        <v>DOP/AD/007/2014</v>
      </c>
      <c r="X69" s="109"/>
      <c r="Y69" s="109"/>
      <c r="Z69" s="109" t="str">
        <f>OBRA!K68</f>
        <v>RAMO 33</v>
      </c>
      <c r="AA69" s="109"/>
      <c r="AB69" s="203" t="str">
        <f>OBRA!M68</f>
        <v>CANCELADA</v>
      </c>
      <c r="AC69" s="112" t="str">
        <f>OBRA!N68</f>
        <v>EMPEDRADO AHOGADO EN CEMENTO C. HIDALGO DE C. NIÑOS HEROES HASTA ESCUELA J. VICENTE NEGRETE, EN LA AGENCIA MUNICIPAL DE "EL MOLINO"</v>
      </c>
      <c r="AD69" s="92">
        <f>OBRA!P68</f>
        <v>592587.04</v>
      </c>
      <c r="AE69" s="93">
        <f>OBRA!Q68</f>
        <v>41831</v>
      </c>
      <c r="AF69" s="94">
        <f>OBRA!R68</f>
        <v>41848</v>
      </c>
      <c r="AG69" s="429">
        <f>OBRA!S68</f>
        <v>41874</v>
      </c>
      <c r="AH69" s="107"/>
      <c r="AI69" s="90"/>
      <c r="AJ69" s="102"/>
      <c r="AK69" s="102"/>
      <c r="AL69" s="103"/>
      <c r="AM69" s="392" t="str">
        <f>GRAL!B70</f>
        <v>2012-2015</v>
      </c>
      <c r="AN69" s="961"/>
      <c r="AO69" s="109"/>
    </row>
    <row r="70" spans="1:41" s="110" customFormat="1" ht="75.75" hidden="1" thickTop="1">
      <c r="A70" s="956">
        <f>OBRA!I69</f>
        <v>2014</v>
      </c>
      <c r="B70" s="962"/>
      <c r="C70" s="962"/>
      <c r="D70" s="155"/>
      <c r="E70" s="157"/>
      <c r="F70" s="157"/>
      <c r="G70" s="958"/>
      <c r="H70" s="158" t="str">
        <f>OBRA!AD69</f>
        <v>-</v>
      </c>
      <c r="I70" s="157"/>
      <c r="J70" s="157" t="str">
        <f>OBRA!AE69</f>
        <v>-</v>
      </c>
      <c r="K70" s="157"/>
      <c r="L70" s="157" t="str">
        <f>OBRA!AF69</f>
        <v>-</v>
      </c>
      <c r="M70" s="959"/>
      <c r="N70" s="158" t="str">
        <f>OBRA!AG69</f>
        <v>-</v>
      </c>
      <c r="O70" s="158"/>
      <c r="P70" s="158"/>
      <c r="Q70" s="960"/>
      <c r="R70" s="459" t="str">
        <f>OBRA!AH69</f>
        <v>-</v>
      </c>
      <c r="S70" s="102"/>
      <c r="T70" s="460" t="str">
        <f>OBRA!U69</f>
        <v>-</v>
      </c>
      <c r="U70" s="461" t="str">
        <f>OBRA!V69</f>
        <v>ING. RIGOBERTO OLMEDO RAMOS</v>
      </c>
      <c r="V70" s="935"/>
      <c r="W70" s="955" t="str">
        <f>OBRA!L69</f>
        <v>DOP/AD/010/2014</v>
      </c>
      <c r="X70" s="109"/>
      <c r="Y70" s="109"/>
      <c r="Z70" s="109" t="str">
        <f>OBRA!K69</f>
        <v>RAMO 33</v>
      </c>
      <c r="AA70" s="109"/>
      <c r="AB70" s="203" t="str">
        <f>OBRA!M69</f>
        <v>CANCELADA</v>
      </c>
      <c r="AC70" s="112" t="str">
        <f>OBRA!N69</f>
        <v>EMPEDRADO AHOGADO EN CEMENTO C. NIÑOS HEROES DE C. HIDALGO HASTA LA ESCUELA TELESECUNDARIA NIÑOS HEROES, EN LA AGENCIA MUNICIPAL DE "EL MOLINO"</v>
      </c>
      <c r="AD70" s="92">
        <f>OBRA!P69</f>
        <v>346618.19</v>
      </c>
      <c r="AE70" s="93">
        <f>OBRA!Q69</f>
        <v>41873</v>
      </c>
      <c r="AF70" s="94">
        <f>OBRA!R69</f>
        <v>41876</v>
      </c>
      <c r="AG70" s="429">
        <f>OBRA!S69</f>
        <v>41902</v>
      </c>
      <c r="AH70" s="107"/>
      <c r="AI70" s="90"/>
      <c r="AJ70" s="102"/>
      <c r="AK70" s="102"/>
      <c r="AL70" s="103"/>
      <c r="AM70" s="392" t="str">
        <f>GRAL!B71</f>
        <v>2012-2015</v>
      </c>
      <c r="AN70" s="961"/>
      <c r="AO70" s="109"/>
    </row>
    <row r="71" spans="1:41" s="110" customFormat="1" ht="60.75" hidden="1" thickTop="1">
      <c r="A71" s="956">
        <f>OBRA!I70</f>
        <v>2014</v>
      </c>
      <c r="B71" s="962"/>
      <c r="C71" s="962"/>
      <c r="D71" s="155"/>
      <c r="E71" s="157"/>
      <c r="F71" s="157"/>
      <c r="G71" s="958"/>
      <c r="H71" s="158" t="str">
        <f>OBRA!AD70</f>
        <v>-</v>
      </c>
      <c r="I71" s="157"/>
      <c r="J71" s="157" t="str">
        <f>OBRA!AE70</f>
        <v>-</v>
      </c>
      <c r="K71" s="157"/>
      <c r="L71" s="157" t="str">
        <f>OBRA!AF70</f>
        <v>-</v>
      </c>
      <c r="M71" s="959"/>
      <c r="N71" s="158" t="str">
        <f>OBRA!AG70</f>
        <v>-</v>
      </c>
      <c r="O71" s="158"/>
      <c r="P71" s="158"/>
      <c r="Q71" s="960"/>
      <c r="R71" s="459" t="str">
        <f>OBRA!AH70</f>
        <v>-</v>
      </c>
      <c r="S71" s="102"/>
      <c r="T71" s="460" t="str">
        <f>OBRA!U70</f>
        <v>-</v>
      </c>
      <c r="U71" s="461" t="str">
        <f>OBRA!V70</f>
        <v>ING. RIGOBERTO OLMEDO RAMOS</v>
      </c>
      <c r="V71" s="935"/>
      <c r="W71" s="955" t="str">
        <f>OBRA!L70</f>
        <v>DOP/AD/012/2014</v>
      </c>
      <c r="X71" s="109"/>
      <c r="Y71" s="109"/>
      <c r="Z71" s="109" t="str">
        <f>OBRA!K70</f>
        <v>RAMO 33</v>
      </c>
      <c r="AA71" s="109"/>
      <c r="AB71" s="203" t="str">
        <f>OBRA!M70</f>
        <v>CANCELADA</v>
      </c>
      <c r="AC71" s="112" t="str">
        <f>OBRA!N70</f>
        <v>REHABILITACIÓN DE RED DE AGUA POTABLE EN C. VICENTE SUAREZ ENTRE C. INDEPENDENCIA Y NIÑOS HEROES, EN LA AGENCIA MUNICIPAL DE "EL MOLINO"</v>
      </c>
      <c r="AD71" s="92">
        <f>OBRA!P70</f>
        <v>100696.44</v>
      </c>
      <c r="AE71" s="93">
        <f>OBRA!Q70</f>
        <v>41887</v>
      </c>
      <c r="AF71" s="94">
        <f>OBRA!R70</f>
        <v>41890</v>
      </c>
      <c r="AG71" s="429">
        <f>OBRA!S70</f>
        <v>41902</v>
      </c>
      <c r="AH71" s="107"/>
      <c r="AI71" s="90"/>
      <c r="AJ71" s="102"/>
      <c r="AK71" s="102"/>
      <c r="AL71" s="103"/>
      <c r="AM71" s="392" t="str">
        <f>GRAL!B72</f>
        <v>2012-2015</v>
      </c>
      <c r="AN71" s="961"/>
      <c r="AO71" s="109"/>
    </row>
    <row r="72" spans="1:41" s="110" customFormat="1" ht="60.75" hidden="1" thickTop="1">
      <c r="A72" s="956">
        <f>OBRA!I71</f>
        <v>2014</v>
      </c>
      <c r="B72" s="962"/>
      <c r="C72" s="962"/>
      <c r="D72" s="155"/>
      <c r="E72" s="157"/>
      <c r="F72" s="157"/>
      <c r="G72" s="958"/>
      <c r="H72" s="158" t="str">
        <f>OBRA!AD71</f>
        <v>-</v>
      </c>
      <c r="I72" s="157"/>
      <c r="J72" s="157" t="str">
        <f>OBRA!AE71</f>
        <v>-</v>
      </c>
      <c r="K72" s="157"/>
      <c r="L72" s="157" t="str">
        <f>OBRA!AF71</f>
        <v>-</v>
      </c>
      <c r="M72" s="959"/>
      <c r="N72" s="158" t="str">
        <f>OBRA!AG71</f>
        <v>-</v>
      </c>
      <c r="O72" s="158"/>
      <c r="P72" s="158"/>
      <c r="Q72" s="960"/>
      <c r="R72" s="459" t="str">
        <f>OBRA!AH71</f>
        <v>-</v>
      </c>
      <c r="S72" s="102"/>
      <c r="T72" s="460" t="str">
        <f>OBRA!U71</f>
        <v>-</v>
      </c>
      <c r="U72" s="461" t="str">
        <f>OBRA!V71</f>
        <v>ING. RIGOBERTO OLMEDO RAMOS</v>
      </c>
      <c r="V72" s="935"/>
      <c r="W72" s="955" t="str">
        <f>OBRA!L71</f>
        <v>DOP/AD/011/2014</v>
      </c>
      <c r="X72" s="109"/>
      <c r="Y72" s="109"/>
      <c r="Z72" s="109" t="str">
        <f>OBRA!K71</f>
        <v>RAMO 33</v>
      </c>
      <c r="AA72" s="109"/>
      <c r="AB72" s="203" t="str">
        <f>OBRA!M71</f>
        <v>CANCELADA</v>
      </c>
      <c r="AC72" s="112" t="str">
        <f>OBRA!N71</f>
        <v>REHABILITACIÓN DE RED DE DRENAJE EN C. VICENTE SUAREZ ENTRE C. INDEPENDENCIA Y NIÑOS HEROES, EN LA AGENCIA MUNICIPAL DE "EL MOLINO"</v>
      </c>
      <c r="AD72" s="92">
        <f>OBRA!P71</f>
        <v>129939.7</v>
      </c>
      <c r="AE72" s="93">
        <f>OBRA!Q71</f>
        <v>41873</v>
      </c>
      <c r="AF72" s="94">
        <f>OBRA!R71</f>
        <v>41876</v>
      </c>
      <c r="AG72" s="429">
        <f>OBRA!S71</f>
        <v>41888</v>
      </c>
      <c r="AH72" s="107"/>
      <c r="AI72" s="90"/>
      <c r="AJ72" s="102"/>
      <c r="AK72" s="102"/>
      <c r="AL72" s="103"/>
      <c r="AM72" s="392" t="str">
        <f>GRAL!B73</f>
        <v>2012-2015</v>
      </c>
      <c r="AN72" s="961"/>
      <c r="AO72" s="109"/>
    </row>
    <row r="73" spans="1:41" s="110" customFormat="1" ht="60.75" hidden="1" thickTop="1">
      <c r="A73" s="956">
        <f>OBRA!I72</f>
        <v>2014</v>
      </c>
      <c r="B73" s="946"/>
      <c r="C73" s="88"/>
      <c r="D73" s="155"/>
      <c r="E73" s="157"/>
      <c r="F73" s="157"/>
      <c r="G73" s="958"/>
      <c r="H73" s="158" t="str">
        <f>OBRA!AD72</f>
        <v>-</v>
      </c>
      <c r="I73" s="157"/>
      <c r="J73" s="157" t="str">
        <f>OBRA!AE72</f>
        <v>-</v>
      </c>
      <c r="K73" s="157"/>
      <c r="L73" s="157" t="str">
        <f>OBRA!AF72</f>
        <v>-</v>
      </c>
      <c r="M73" s="959"/>
      <c r="N73" s="158" t="str">
        <f>OBRA!AG72</f>
        <v>-</v>
      </c>
      <c r="O73" s="158"/>
      <c r="P73" s="158"/>
      <c r="Q73" s="960"/>
      <c r="R73" s="459" t="str">
        <f>OBRA!AH72</f>
        <v>-</v>
      </c>
      <c r="S73" s="109"/>
      <c r="T73" s="460" t="str">
        <f>OBRA!U72</f>
        <v>-</v>
      </c>
      <c r="U73" s="461" t="str">
        <f>OBRA!V72</f>
        <v>ING. RIGOBERTO OLMEDO RAMOS</v>
      </c>
      <c r="V73" s="935"/>
      <c r="W73" s="955" t="str">
        <f>OBRA!L72</f>
        <v>DOP/AD/013/2014</v>
      </c>
      <c r="X73" s="109"/>
      <c r="Y73" s="109"/>
      <c r="Z73" s="109" t="str">
        <f>OBRA!K72</f>
        <v>RAMO 33</v>
      </c>
      <c r="AA73" s="109"/>
      <c r="AB73" s="203" t="str">
        <f>OBRA!M72</f>
        <v>CANCELADA</v>
      </c>
      <c r="AC73" s="112" t="str">
        <f>OBRA!N72</f>
        <v>EMPEDRADO AHOGADO EN CEMENTO C. VICENTE SUAREZ ENTRE C. INDEPENDENCIA Y NIÑOS HEROES, EN LA AGENCIA MUNICIPAL DE "EL MOLINO"</v>
      </c>
      <c r="AD73" s="92">
        <f>OBRA!P72</f>
        <v>659302.69999999995</v>
      </c>
      <c r="AE73" s="93">
        <f>OBRA!Q72</f>
        <v>41901</v>
      </c>
      <c r="AF73" s="94">
        <f>OBRA!R72</f>
        <v>41904</v>
      </c>
      <c r="AG73" s="429">
        <f>OBRA!S72</f>
        <v>41930</v>
      </c>
      <c r="AH73" s="107"/>
      <c r="AI73" s="90"/>
      <c r="AJ73" s="102"/>
      <c r="AK73" s="102"/>
      <c r="AL73" s="103"/>
      <c r="AM73" s="392" t="str">
        <f>GRAL!B74</f>
        <v>2012-2015</v>
      </c>
      <c r="AN73" s="961"/>
      <c r="AO73" s="109"/>
    </row>
    <row r="74" spans="1:41" s="326" customFormat="1" ht="171" hidden="1" customHeight="1">
      <c r="A74" s="330">
        <f>OBRA!I73</f>
        <v>2014</v>
      </c>
      <c r="B74" s="2035"/>
      <c r="C74" s="876" t="s">
        <v>68</v>
      </c>
      <c r="D74" s="331" t="s">
        <v>68</v>
      </c>
      <c r="E74" s="332" t="s">
        <v>68</v>
      </c>
      <c r="F74" s="332" t="s">
        <v>68</v>
      </c>
      <c r="G74" s="877" t="s">
        <v>2357</v>
      </c>
      <c r="H74" s="333">
        <f>OBRA!AD73</f>
        <v>41820</v>
      </c>
      <c r="I74" s="877" t="s">
        <v>2358</v>
      </c>
      <c r="J74" s="878">
        <f>OBRA!AE73</f>
        <v>41824</v>
      </c>
      <c r="K74" s="332" t="s">
        <v>68</v>
      </c>
      <c r="L74" s="332" t="str">
        <f>OBRA!AF73</f>
        <v>-</v>
      </c>
      <c r="M74" s="877" t="s">
        <v>2359</v>
      </c>
      <c r="N74" s="333">
        <f>OBRA!AG73</f>
        <v>41824</v>
      </c>
      <c r="O74" s="358" t="s">
        <v>2336</v>
      </c>
      <c r="P74" s="333" t="s">
        <v>68</v>
      </c>
      <c r="Q74" s="877" t="s">
        <v>2360</v>
      </c>
      <c r="R74" s="880">
        <f>OBRA!AH73</f>
        <v>41824</v>
      </c>
      <c r="S74" s="489" t="s">
        <v>2361</v>
      </c>
      <c r="T74" s="881" t="str">
        <f>OBRA!U73</f>
        <v>C. URIEL PALOS CUEVAS</v>
      </c>
      <c r="U74" s="882" t="str">
        <f>OBRA!V73</f>
        <v>C. DANIEL RODRIGUEZ VALENZUELA</v>
      </c>
      <c r="V74" s="906"/>
      <c r="W74" s="481" t="str">
        <f>OBRA!L73</f>
        <v>GMJ 003C OP/2014</v>
      </c>
      <c r="X74" s="877" t="s">
        <v>2362</v>
      </c>
      <c r="Y74" s="325" t="s">
        <v>68</v>
      </c>
      <c r="Z74" s="325" t="str">
        <f>OBRA!K73</f>
        <v>FONDEREG</v>
      </c>
      <c r="AA74" s="489" t="s">
        <v>2343</v>
      </c>
      <c r="AB74" s="318" t="str">
        <f>OBRA!M73</f>
        <v>INVITACIÓN</v>
      </c>
      <c r="AC74" s="319" t="str">
        <f>OBRA!N73</f>
        <v>COLOCACIÓN DE ADOQUIN ASENTADO EN ARENA DE RIO EN LA CALLE PROFIRIO DÍAZ Y RENOVACIÓN DE REDES DE AGUA POTABLE Y DRENAJE, QUE SE LLEVARA A CABO EN LA LOCALIDAD DE SAN JUAN COSALA</v>
      </c>
      <c r="AD74" s="320">
        <f>OBRA!P73</f>
        <v>2564100.69</v>
      </c>
      <c r="AE74" s="321">
        <f>OBRA!Q73</f>
        <v>41824</v>
      </c>
      <c r="AF74" s="322">
        <f>OBRA!R73</f>
        <v>41855</v>
      </c>
      <c r="AG74" s="427">
        <f>OBRA!S73</f>
        <v>41884</v>
      </c>
      <c r="AH74" s="982"/>
      <c r="AI74" s="317" t="s">
        <v>2344</v>
      </c>
      <c r="AJ74" s="482" t="s">
        <v>2363</v>
      </c>
      <c r="AK74" s="482" t="s">
        <v>2364</v>
      </c>
      <c r="AL74" s="980" t="s">
        <v>2365</v>
      </c>
      <c r="AM74" s="391" t="str">
        <f>GRAL!B75</f>
        <v>2012-2015</v>
      </c>
      <c r="AN74" s="482" t="s">
        <v>551</v>
      </c>
      <c r="AO74" s="325"/>
    </row>
    <row r="75" spans="1:41" ht="60.75" hidden="1" thickTop="1">
      <c r="A75" s="166">
        <f>OBRA!I74</f>
        <v>2014</v>
      </c>
      <c r="B75" s="2036"/>
      <c r="C75" s="433"/>
      <c r="D75" s="154"/>
      <c r="E75" s="156"/>
      <c r="F75" s="156"/>
      <c r="G75" s="436"/>
      <c r="H75" s="442" t="str">
        <f>OBRA!AD74</f>
        <v>-</v>
      </c>
      <c r="I75" s="332"/>
      <c r="J75" s="332" t="str">
        <f>OBRA!AE74</f>
        <v>-</v>
      </c>
      <c r="K75" s="332"/>
      <c r="L75" s="332" t="str">
        <f>OBRA!AF74</f>
        <v>-</v>
      </c>
      <c r="M75" s="440"/>
      <c r="N75" s="442" t="str">
        <f>OBRA!AG74</f>
        <v>-</v>
      </c>
      <c r="O75" s="152"/>
      <c r="P75" s="152"/>
      <c r="Q75" s="439"/>
      <c r="R75" s="445" t="str">
        <f>OBRA!AH74</f>
        <v>-</v>
      </c>
      <c r="S75" s="423"/>
      <c r="T75" s="446" t="str">
        <f>OBRA!U74</f>
        <v>-</v>
      </c>
      <c r="U75" s="447" t="str">
        <f>OBRA!V74</f>
        <v>C. DANIEL RODRIGUEZ VALENZUELA</v>
      </c>
      <c r="V75" s="1281"/>
      <c r="W75" s="20" t="str">
        <f>OBRA!L74</f>
        <v>DOP/AD/014/2014</v>
      </c>
      <c r="X75" s="13"/>
      <c r="Y75" s="13"/>
      <c r="Z75" s="448" t="str">
        <f>OBRA!K74</f>
        <v>CUENTA CORRIENTE</v>
      </c>
      <c r="AA75" s="13"/>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428">
        <f>OBRA!S74</f>
        <v>41907</v>
      </c>
      <c r="AH75" s="54"/>
      <c r="AI75" s="231"/>
      <c r="AJ75" s="267"/>
      <c r="AK75" s="267"/>
      <c r="AL75" s="432"/>
      <c r="AM75" s="573" t="str">
        <f>GRAL!B76</f>
        <v>2012-2015</v>
      </c>
      <c r="AN75" s="574"/>
      <c r="AO75" s="13"/>
    </row>
    <row r="76" spans="1:41" ht="75.75" hidden="1" thickTop="1">
      <c r="A76" s="166">
        <f>OBRA!I75</f>
        <v>2014</v>
      </c>
      <c r="B76" s="2036"/>
      <c r="C76" s="433"/>
      <c r="D76" s="154"/>
      <c r="E76" s="156"/>
      <c r="F76" s="156"/>
      <c r="G76" s="436"/>
      <c r="H76" s="442" t="str">
        <f>OBRA!AD75</f>
        <v>-</v>
      </c>
      <c r="I76" s="332"/>
      <c r="J76" s="332" t="str">
        <f>OBRA!AE75</f>
        <v>-</v>
      </c>
      <c r="K76" s="332"/>
      <c r="L76" s="332" t="str">
        <f>OBRA!AF75</f>
        <v>-</v>
      </c>
      <c r="M76" s="440"/>
      <c r="N76" s="442" t="str">
        <f>OBRA!AG75</f>
        <v>-</v>
      </c>
      <c r="O76" s="152"/>
      <c r="P76" s="152"/>
      <c r="Q76" s="439"/>
      <c r="R76" s="445" t="str">
        <f>OBRA!AH75</f>
        <v>-</v>
      </c>
      <c r="S76" s="423"/>
      <c r="T76" s="446" t="str">
        <f>OBRA!U75</f>
        <v>-</v>
      </c>
      <c r="U76" s="447" t="str">
        <f>OBRA!V75</f>
        <v>ING. RIGOBERTO OLMEDO RAMOS</v>
      </c>
      <c r="V76" s="1281"/>
      <c r="W76" s="20" t="str">
        <f>OBRA!L75</f>
        <v>DOP/AD/015/2014</v>
      </c>
      <c r="X76" s="13"/>
      <c r="Y76" s="13"/>
      <c r="Z76" s="448" t="str">
        <f>OBRA!K75</f>
        <v>RAMO 33</v>
      </c>
      <c r="AA76" s="13"/>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428">
        <f>OBRA!S75</f>
        <v>41912</v>
      </c>
      <c r="AH76" s="54"/>
      <c r="AI76" s="231"/>
      <c r="AJ76" s="267"/>
      <c r="AK76" s="267"/>
      <c r="AL76" s="432"/>
      <c r="AM76" s="573" t="str">
        <f>GRAL!B77</f>
        <v>2012-2015</v>
      </c>
      <c r="AN76" s="574"/>
      <c r="AO76" s="13"/>
    </row>
    <row r="77" spans="1:41" ht="150.75" hidden="1" thickTop="1">
      <c r="A77" s="166">
        <f>OBRA!I76</f>
        <v>2014</v>
      </c>
      <c r="B77" s="2036"/>
      <c r="C77" s="433"/>
      <c r="D77" s="154"/>
      <c r="E77" s="156"/>
      <c r="F77" s="156"/>
      <c r="G77" s="436"/>
      <c r="H77" s="442" t="str">
        <f>OBRA!AD76</f>
        <v>-</v>
      </c>
      <c r="I77" s="332"/>
      <c r="J77" s="332" t="str">
        <f>OBRA!AE76</f>
        <v>-</v>
      </c>
      <c r="K77" s="332"/>
      <c r="L77" s="332" t="str">
        <f>OBRA!AF76</f>
        <v>-</v>
      </c>
      <c r="M77" s="440"/>
      <c r="N77" s="442" t="str">
        <f>OBRA!AG76</f>
        <v>-</v>
      </c>
      <c r="O77" s="152"/>
      <c r="P77" s="152"/>
      <c r="Q77" s="439"/>
      <c r="R77" s="445" t="str">
        <f>OBRA!AH76</f>
        <v>-</v>
      </c>
      <c r="S77" s="423"/>
      <c r="T77" s="446" t="str">
        <f>OBRA!U76</f>
        <v>-</v>
      </c>
      <c r="U77" s="447" t="str">
        <f>OBRA!V76</f>
        <v>ARQ. JUAN MANUEL PIRUL CORTÉS</v>
      </c>
      <c r="V77" s="1281"/>
      <c r="W77" s="20" t="str">
        <f>OBRA!L76</f>
        <v>DOP/AD/016/2014</v>
      </c>
      <c r="X77" s="13"/>
      <c r="Y77" s="13"/>
      <c r="Z77" s="448" t="str">
        <f>OBRA!K76</f>
        <v>CUENTA CORRIENTE</v>
      </c>
      <c r="AA77" s="13"/>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428">
        <f>OBRA!S76</f>
        <v>41897</v>
      </c>
      <c r="AH77" s="54"/>
      <c r="AI77" s="231"/>
      <c r="AJ77" s="267"/>
      <c r="AK77" s="267"/>
      <c r="AL77" s="432"/>
      <c r="AM77" s="573" t="str">
        <f>GRAL!B78</f>
        <v>2012-2015</v>
      </c>
      <c r="AN77" s="574"/>
      <c r="AO77" s="13"/>
    </row>
    <row r="78" spans="1:41" ht="30.75" hidden="1" thickTop="1">
      <c r="A78" s="166">
        <f>OBRA!I77</f>
        <v>2014</v>
      </c>
      <c r="B78" s="2036"/>
      <c r="C78" s="433"/>
      <c r="D78" s="154"/>
      <c r="E78" s="156"/>
      <c r="F78" s="156"/>
      <c r="G78" s="436"/>
      <c r="H78" s="442" t="str">
        <f>OBRA!AD77</f>
        <v>-</v>
      </c>
      <c r="I78" s="332"/>
      <c r="J78" s="332" t="str">
        <f>OBRA!AE77</f>
        <v>-</v>
      </c>
      <c r="K78" s="332"/>
      <c r="L78" s="332" t="str">
        <f>OBRA!AF77</f>
        <v>-</v>
      </c>
      <c r="M78" s="440"/>
      <c r="N78" s="442" t="str">
        <f>OBRA!AG77</f>
        <v>-</v>
      </c>
      <c r="O78" s="152"/>
      <c r="P78" s="152"/>
      <c r="Q78" s="439"/>
      <c r="R78" s="445" t="str">
        <f>OBRA!AH77</f>
        <v>-</v>
      </c>
      <c r="S78" s="423"/>
      <c r="T78" s="446" t="str">
        <f>OBRA!U77</f>
        <v>-</v>
      </c>
      <c r="U78" s="447" t="str">
        <f>OBRA!V77</f>
        <v>DANIEL RODRIGUEZ</v>
      </c>
      <c r="V78" s="1281"/>
      <c r="W78" s="20" t="str">
        <f>OBRA!L77</f>
        <v>DOP/AD/017/2014</v>
      </c>
      <c r="X78" s="13"/>
      <c r="Y78" s="13"/>
      <c r="Z78" s="448" t="str">
        <f>OBRA!K77</f>
        <v>PET</v>
      </c>
      <c r="AA78" s="13"/>
      <c r="AB78" s="2" t="str">
        <f>OBRA!M77</f>
        <v>ADMINISTRACIÓN DIRECTA</v>
      </c>
      <c r="AC78" s="3" t="str">
        <f>OBRA!N77</f>
        <v xml:space="preserve">CONSTRUCCIÓN DE PISO FIRME EN LA LOCALIDAD DE POTRERILLOS </v>
      </c>
      <c r="AD78" s="4">
        <f>OBRA!P77</f>
        <v>3311850</v>
      </c>
      <c r="AE78" s="6">
        <f>OBRA!Q77</f>
        <v>41922</v>
      </c>
      <c r="AF78" s="5">
        <f>OBRA!R77</f>
        <v>41927</v>
      </c>
      <c r="AG78" s="428">
        <f>OBRA!S77</f>
        <v>41988</v>
      </c>
      <c r="AH78" s="54"/>
      <c r="AI78" s="231"/>
      <c r="AJ78" s="267"/>
      <c r="AK78" s="267"/>
      <c r="AL78" s="432"/>
      <c r="AM78" s="573" t="str">
        <f>GRAL!B79</f>
        <v>2012-2015</v>
      </c>
      <c r="AN78" s="574"/>
      <c r="AO78" s="13"/>
    </row>
    <row r="79" spans="1:41" ht="30.75" hidden="1" thickTop="1">
      <c r="A79" s="166">
        <f>OBRA!I78</f>
        <v>2014</v>
      </c>
      <c r="B79" s="2036"/>
      <c r="C79" s="433"/>
      <c r="D79" s="154"/>
      <c r="E79" s="156"/>
      <c r="F79" s="156"/>
      <c r="G79" s="436"/>
      <c r="H79" s="442" t="str">
        <f>OBRA!AD78</f>
        <v>-</v>
      </c>
      <c r="I79" s="332"/>
      <c r="J79" s="332" t="str">
        <f>OBRA!AE78</f>
        <v>-</v>
      </c>
      <c r="K79" s="332"/>
      <c r="L79" s="332" t="str">
        <f>OBRA!AF78</f>
        <v>-</v>
      </c>
      <c r="M79" s="440"/>
      <c r="N79" s="442" t="str">
        <f>OBRA!AG78</f>
        <v>-</v>
      </c>
      <c r="O79" s="152"/>
      <c r="P79" s="152"/>
      <c r="Q79" s="439"/>
      <c r="R79" s="445" t="str">
        <f>OBRA!AH78</f>
        <v>-</v>
      </c>
      <c r="S79" s="423"/>
      <c r="T79" s="446" t="str">
        <f>OBRA!U78</f>
        <v>-</v>
      </c>
      <c r="U79" s="447" t="str">
        <f>OBRA!V78</f>
        <v>DANIEL RODRIGUEZ</v>
      </c>
      <c r="V79" s="1281"/>
      <c r="W79" s="20" t="str">
        <f>OBRA!L78</f>
        <v>DOP/AD/018/2014</v>
      </c>
      <c r="X79" s="13"/>
      <c r="Y79" s="13"/>
      <c r="Z79" s="448" t="str">
        <f>OBRA!K78</f>
        <v>PET</v>
      </c>
      <c r="AA79" s="13"/>
      <c r="AB79" s="2" t="str">
        <f>OBRA!M78</f>
        <v>ADMINISTRACIÓN DIRECTA</v>
      </c>
      <c r="AC79" s="3" t="str">
        <f>OBRA!N78</f>
        <v xml:space="preserve">CONSTRUCCIÓN DE PISO FIRME EN LA LOCALIDAD LAS TROJES </v>
      </c>
      <c r="AD79" s="4">
        <f>OBRA!P78</f>
        <v>540540</v>
      </c>
      <c r="AE79" s="6">
        <f>OBRA!Q78</f>
        <v>41922</v>
      </c>
      <c r="AF79" s="5">
        <f>OBRA!R78</f>
        <v>41927</v>
      </c>
      <c r="AG79" s="428">
        <f>OBRA!S78</f>
        <v>41988</v>
      </c>
      <c r="AH79" s="54"/>
      <c r="AI79" s="231"/>
      <c r="AJ79" s="267"/>
      <c r="AK79" s="267"/>
      <c r="AL79" s="432"/>
      <c r="AM79" s="573" t="str">
        <f>GRAL!B80</f>
        <v>2012-2015</v>
      </c>
      <c r="AN79" s="574"/>
      <c r="AO79" s="13"/>
    </row>
    <row r="80" spans="1:41" ht="45.75" hidden="1" thickTop="1">
      <c r="A80" s="166">
        <f>OBRA!I79</f>
        <v>2014</v>
      </c>
      <c r="B80" s="2036"/>
      <c r="C80" s="433"/>
      <c r="D80" s="154"/>
      <c r="E80" s="156"/>
      <c r="F80" s="156"/>
      <c r="G80" s="436"/>
      <c r="H80" s="442" t="str">
        <f>OBRA!AD79</f>
        <v>-</v>
      </c>
      <c r="I80" s="332"/>
      <c r="J80" s="332" t="str">
        <f>OBRA!AE79</f>
        <v>-</v>
      </c>
      <c r="K80" s="332"/>
      <c r="L80" s="332" t="str">
        <f>OBRA!AF79</f>
        <v>-</v>
      </c>
      <c r="M80" s="440"/>
      <c r="N80" s="442" t="str">
        <f>OBRA!AG79</f>
        <v>-</v>
      </c>
      <c r="O80" s="152"/>
      <c r="P80" s="152"/>
      <c r="Q80" s="439"/>
      <c r="R80" s="445" t="str">
        <f>OBRA!AH79</f>
        <v>-</v>
      </c>
      <c r="S80" s="423"/>
      <c r="T80" s="446" t="str">
        <f>OBRA!U79</f>
        <v>-</v>
      </c>
      <c r="U80" s="447" t="str">
        <f>OBRA!V79</f>
        <v>ARQ. JAIME CONDE GOMEZ</v>
      </c>
      <c r="V80" s="1281"/>
      <c r="W80" s="20" t="str">
        <f>OBRA!L79</f>
        <v>DOP/AD/021/2014</v>
      </c>
      <c r="X80" s="13"/>
      <c r="Y80" s="13"/>
      <c r="Z80" s="448">
        <f>OBRA!K79</f>
        <v>0</v>
      </c>
      <c r="AA80" s="13"/>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428">
        <f>OBRA!S79</f>
        <v>41954</v>
      </c>
      <c r="AH80" s="54"/>
      <c r="AI80" s="231"/>
      <c r="AJ80" s="267"/>
      <c r="AK80" s="267"/>
      <c r="AL80" s="432"/>
      <c r="AM80" s="573" t="str">
        <f>GRAL!B81</f>
        <v>2012-2015</v>
      </c>
      <c r="AN80" s="574"/>
      <c r="AO80" s="13"/>
    </row>
    <row r="81" spans="1:41" s="326" customFormat="1" ht="169.5" hidden="1" customHeight="1">
      <c r="A81" s="330">
        <f>OBRA!I80</f>
        <v>2014</v>
      </c>
      <c r="B81" s="2035"/>
      <c r="C81" s="876" t="s">
        <v>68</v>
      </c>
      <c r="D81" s="331" t="s">
        <v>68</v>
      </c>
      <c r="E81" s="332" t="s">
        <v>68</v>
      </c>
      <c r="F81" s="332" t="s">
        <v>68</v>
      </c>
      <c r="G81" s="877" t="s">
        <v>2366</v>
      </c>
      <c r="H81" s="333">
        <f>OBRA!AD80</f>
        <v>41736</v>
      </c>
      <c r="I81" s="877" t="s">
        <v>2367</v>
      </c>
      <c r="J81" s="332" t="str">
        <f>OBRA!AE80</f>
        <v>-</v>
      </c>
      <c r="K81" s="332" t="s">
        <v>68</v>
      </c>
      <c r="L81" s="332" t="str">
        <f>OBRA!AF80</f>
        <v>-</v>
      </c>
      <c r="M81" s="877" t="s">
        <v>2368</v>
      </c>
      <c r="N81" s="333">
        <f>OBRA!AG80</f>
        <v>41743</v>
      </c>
      <c r="O81" s="358" t="s">
        <v>2336</v>
      </c>
      <c r="P81" s="333" t="s">
        <v>68</v>
      </c>
      <c r="Q81" s="877" t="s">
        <v>2369</v>
      </c>
      <c r="R81" s="880">
        <f>OBRA!AH80</f>
        <v>41743</v>
      </c>
      <c r="S81" s="489" t="s">
        <v>2370</v>
      </c>
      <c r="T81" s="881" t="str">
        <f>OBRA!U80</f>
        <v>ESTUDIO CASA Y CIUDAD SA DE CV</v>
      </c>
      <c r="U81" s="882" t="str">
        <f>OBRA!V80</f>
        <v>C. DANIEL RODRIGUEZ VALENZUELA</v>
      </c>
      <c r="V81" s="906"/>
      <c r="W81" s="481" t="str">
        <f>OBRA!L80</f>
        <v>GMJ 004C OP/2014</v>
      </c>
      <c r="X81" s="877" t="s">
        <v>2371</v>
      </c>
      <c r="Y81" s="325" t="s">
        <v>68</v>
      </c>
      <c r="Z81" s="489" t="str">
        <f>OBRA!K80</f>
        <v>3X1 PARA MIGRANTES</v>
      </c>
      <c r="AA81" s="489" t="s">
        <v>2372</v>
      </c>
      <c r="AB81" s="318" t="str">
        <f>OBRA!M80</f>
        <v>INVITACIÓN</v>
      </c>
      <c r="AC81" s="319" t="str">
        <f>OBRA!N80</f>
        <v>TERMINACION DE GUARDERIA EN LA CABECERA MUNICIPAL DE JOCOTEPEC</v>
      </c>
      <c r="AD81" s="320">
        <f>OBRA!P80</f>
        <v>3006508.94</v>
      </c>
      <c r="AE81" s="321">
        <f>OBRA!Q80</f>
        <v>41848</v>
      </c>
      <c r="AF81" s="322">
        <f>OBRA!R80</f>
        <v>41855</v>
      </c>
      <c r="AG81" s="427">
        <f>OBRA!S80</f>
        <v>41975</v>
      </c>
      <c r="AH81" s="982"/>
      <c r="AI81" s="317" t="s">
        <v>2344</v>
      </c>
      <c r="AJ81" s="325" t="s">
        <v>68</v>
      </c>
      <c r="AK81" s="877" t="s">
        <v>2373</v>
      </c>
      <c r="AL81" s="877" t="s">
        <v>2374</v>
      </c>
      <c r="AM81" s="391" t="str">
        <f>GRAL!B82</f>
        <v>2012-2015</v>
      </c>
      <c r="AN81" s="482" t="s">
        <v>551</v>
      </c>
      <c r="AO81" s="325"/>
    </row>
    <row r="82" spans="1:41" ht="60.75" hidden="1" thickTop="1">
      <c r="A82" s="166">
        <f>OBRA!I81</f>
        <v>2014</v>
      </c>
      <c r="B82" s="2036"/>
      <c r="C82" s="433"/>
      <c r="D82" s="154"/>
      <c r="E82" s="156"/>
      <c r="F82" s="156"/>
      <c r="G82" s="436"/>
      <c r="H82" s="442" t="str">
        <f>OBRA!AD81</f>
        <v>-</v>
      </c>
      <c r="I82" s="452"/>
      <c r="J82" s="444" t="str">
        <f>OBRA!AE81</f>
        <v>-</v>
      </c>
      <c r="K82" s="439"/>
      <c r="L82" s="442" t="str">
        <f>OBRA!AF81</f>
        <v>-</v>
      </c>
      <c r="M82" s="452"/>
      <c r="N82" s="442" t="str">
        <f>OBRA!AG81</f>
        <v>-</v>
      </c>
      <c r="O82" s="152"/>
      <c r="P82" s="152"/>
      <c r="Q82" s="452"/>
      <c r="R82" s="445" t="str">
        <f>OBRA!AH81</f>
        <v>-</v>
      </c>
      <c r="S82" s="423"/>
      <c r="T82" s="446" t="str">
        <f>OBRA!U81</f>
        <v>PROYECTO DISEÑO Y CONSTRUCCION</v>
      </c>
      <c r="U82" s="447" t="str">
        <f>OBRA!V81</f>
        <v>C. DANIEL RODRIGUEZ VALENZUELA</v>
      </c>
      <c r="V82" s="1281"/>
      <c r="W82" s="20" t="str">
        <f>OBRA!L81</f>
        <v>GMJ 005C OP/2014</v>
      </c>
      <c r="X82" s="452"/>
      <c r="Y82" s="13"/>
      <c r="Z82" s="448" t="str">
        <f>OBRA!K81</f>
        <v>RAMO 33</v>
      </c>
      <c r="AA82" s="13"/>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428">
        <f>OBRA!S81</f>
        <v>41954</v>
      </c>
      <c r="AH82" s="54"/>
      <c r="AI82" s="231"/>
      <c r="AJ82" s="267"/>
      <c r="AK82" s="267"/>
      <c r="AL82" s="432"/>
      <c r="AM82" s="573" t="str">
        <f>GRAL!B83</f>
        <v>2012-2015</v>
      </c>
      <c r="AN82" s="574"/>
      <c r="AO82" s="13"/>
    </row>
    <row r="83" spans="1:41" ht="75.75" hidden="1" thickTop="1">
      <c r="A83" s="166">
        <f>OBRA!I82</f>
        <v>2014</v>
      </c>
      <c r="B83" s="2036"/>
      <c r="C83" s="433"/>
      <c r="D83" s="154"/>
      <c r="E83" s="156"/>
      <c r="F83" s="156"/>
      <c r="G83" s="436"/>
      <c r="H83" s="442" t="str">
        <f>OBRA!AD82</f>
        <v>-</v>
      </c>
      <c r="I83" s="452"/>
      <c r="J83" s="444" t="str">
        <f>OBRA!AE82</f>
        <v>-</v>
      </c>
      <c r="K83" s="439"/>
      <c r="L83" s="442" t="str">
        <f>OBRA!AF82</f>
        <v>-</v>
      </c>
      <c r="M83" s="452"/>
      <c r="N83" s="442" t="str">
        <f>OBRA!AG82</f>
        <v>-</v>
      </c>
      <c r="O83" s="152"/>
      <c r="P83" s="152"/>
      <c r="Q83" s="452"/>
      <c r="R83" s="445" t="str">
        <f>OBRA!AH82</f>
        <v>-</v>
      </c>
      <c r="S83" s="423"/>
      <c r="T83" s="446" t="str">
        <f>OBRA!U82</f>
        <v>-</v>
      </c>
      <c r="U83" s="447" t="str">
        <f>OBRA!V82</f>
        <v>ING. RIGOBERTO OLMEDO RAMOS</v>
      </c>
      <c r="V83" s="1281"/>
      <c r="W83" s="20" t="str">
        <f>OBRA!L82</f>
        <v>DOP/AD/029/2014</v>
      </c>
      <c r="X83" s="452"/>
      <c r="Y83" s="13"/>
      <c r="Z83" s="448" t="str">
        <f>OBRA!K82</f>
        <v>RAMO 33</v>
      </c>
      <c r="AA83" s="13"/>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428">
        <f>OBRA!S82</f>
        <v>41850</v>
      </c>
      <c r="AH83" s="54"/>
      <c r="AI83" s="231"/>
      <c r="AJ83" s="267"/>
      <c r="AK83" s="267"/>
      <c r="AL83" s="432"/>
      <c r="AM83" s="573" t="str">
        <f>GRAL!B84</f>
        <v>2012-2015</v>
      </c>
      <c r="AN83" s="574"/>
      <c r="AO83" s="13"/>
    </row>
    <row r="84" spans="1:41" ht="90.75" hidden="1" thickTop="1">
      <c r="A84" s="166">
        <f>OBRA!I83</f>
        <v>2014</v>
      </c>
      <c r="B84" s="2036"/>
      <c r="C84" s="433"/>
      <c r="D84" s="154"/>
      <c r="E84" s="156"/>
      <c r="F84" s="156"/>
      <c r="G84" s="436"/>
      <c r="H84" s="442" t="str">
        <f>OBRA!AD83</f>
        <v>-</v>
      </c>
      <c r="I84" s="452"/>
      <c r="J84" s="444" t="str">
        <f>OBRA!AE83</f>
        <v>-</v>
      </c>
      <c r="K84" s="439"/>
      <c r="L84" s="442" t="str">
        <f>OBRA!AF83</f>
        <v>-</v>
      </c>
      <c r="M84" s="452"/>
      <c r="N84" s="442" t="str">
        <f>OBRA!AG83</f>
        <v>-</v>
      </c>
      <c r="O84" s="152"/>
      <c r="P84" s="152"/>
      <c r="Q84" s="452"/>
      <c r="R84" s="445" t="str">
        <f>OBRA!AH83</f>
        <v>-</v>
      </c>
      <c r="S84" s="423"/>
      <c r="T84" s="446" t="str">
        <f>OBRA!U83</f>
        <v>-</v>
      </c>
      <c r="U84" s="447" t="str">
        <f>OBRA!V83</f>
        <v>ING. RIGOBERTO OLMEDO RAMOS</v>
      </c>
      <c r="V84" s="1281"/>
      <c r="W84" s="20" t="str">
        <f>OBRA!L83</f>
        <v>DOP/AD/030/2014</v>
      </c>
      <c r="X84" s="452"/>
      <c r="Y84" s="13"/>
      <c r="Z84" s="448" t="str">
        <f>OBRA!K83</f>
        <v>RAMO 33</v>
      </c>
      <c r="AA84" s="13"/>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428">
        <f>OBRA!S83</f>
        <v>41881</v>
      </c>
      <c r="AH84" s="54"/>
      <c r="AI84" s="231"/>
      <c r="AJ84" s="267"/>
      <c r="AK84" s="267"/>
      <c r="AL84" s="432"/>
      <c r="AM84" s="573" t="str">
        <f>GRAL!B85</f>
        <v>2012-2015</v>
      </c>
      <c r="AN84" s="574"/>
      <c r="AO84" s="13"/>
    </row>
    <row r="85" spans="1:41" ht="90.75" hidden="1" thickTop="1">
      <c r="A85" s="166">
        <f>OBRA!I84</f>
        <v>2014</v>
      </c>
      <c r="B85" s="2036"/>
      <c r="C85" s="433"/>
      <c r="D85" s="154"/>
      <c r="E85" s="156"/>
      <c r="F85" s="156"/>
      <c r="G85" s="436"/>
      <c r="H85" s="442" t="str">
        <f>OBRA!AD84</f>
        <v>-</v>
      </c>
      <c r="I85" s="452"/>
      <c r="J85" s="444" t="str">
        <f>OBRA!AE84</f>
        <v>-</v>
      </c>
      <c r="K85" s="439"/>
      <c r="L85" s="442" t="str">
        <f>OBRA!AF84</f>
        <v>-</v>
      </c>
      <c r="M85" s="452"/>
      <c r="N85" s="442" t="str">
        <f>OBRA!AG84</f>
        <v>-</v>
      </c>
      <c r="O85" s="152"/>
      <c r="P85" s="152"/>
      <c r="Q85" s="452"/>
      <c r="R85" s="445" t="str">
        <f>OBRA!AH84</f>
        <v>-</v>
      </c>
      <c r="S85" s="423"/>
      <c r="T85" s="446" t="str">
        <f>OBRA!U84</f>
        <v>-</v>
      </c>
      <c r="U85" s="447" t="str">
        <f>OBRA!V84</f>
        <v>ING. RIGOBERTO OLMEDO RAMOS</v>
      </c>
      <c r="V85" s="1281"/>
      <c r="W85" s="20" t="str">
        <f>OBRA!L84</f>
        <v>DOP/AD/031/2014</v>
      </c>
      <c r="X85" s="452"/>
      <c r="Y85" s="13"/>
      <c r="Z85" s="448" t="str">
        <f>OBRA!K84</f>
        <v>RAMO 33</v>
      </c>
      <c r="AA85" s="13"/>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428">
        <f>OBRA!S84</f>
        <v>41881</v>
      </c>
      <c r="AH85" s="54"/>
      <c r="AI85" s="231"/>
      <c r="AJ85" s="267"/>
      <c r="AK85" s="267"/>
      <c r="AL85" s="432"/>
      <c r="AM85" s="573" t="str">
        <f>GRAL!B86</f>
        <v>2012-2015</v>
      </c>
      <c r="AN85" s="574"/>
      <c r="AO85" s="13"/>
    </row>
    <row r="86" spans="1:41" ht="90.75" hidden="1" thickTop="1">
      <c r="A86" s="166">
        <f>OBRA!I85</f>
        <v>2014</v>
      </c>
      <c r="B86" s="2036"/>
      <c r="C86" s="433"/>
      <c r="D86" s="154"/>
      <c r="E86" s="156"/>
      <c r="F86" s="156"/>
      <c r="G86" s="436"/>
      <c r="H86" s="442" t="str">
        <f>OBRA!AD85</f>
        <v>-</v>
      </c>
      <c r="I86" s="452"/>
      <c r="J86" s="444" t="str">
        <f>OBRA!AE85</f>
        <v>-</v>
      </c>
      <c r="K86" s="439"/>
      <c r="L86" s="442" t="str">
        <f>OBRA!AF85</f>
        <v>-</v>
      </c>
      <c r="M86" s="452"/>
      <c r="N86" s="442" t="str">
        <f>OBRA!AG85</f>
        <v>-</v>
      </c>
      <c r="O86" s="152"/>
      <c r="P86" s="152"/>
      <c r="Q86" s="452"/>
      <c r="R86" s="445" t="str">
        <f>OBRA!AH85</f>
        <v>-</v>
      </c>
      <c r="S86" s="423"/>
      <c r="T86" s="446" t="str">
        <f>OBRA!U85</f>
        <v>-</v>
      </c>
      <c r="U86" s="447" t="str">
        <f>OBRA!V85</f>
        <v>ING. RIGOBERTO OLMEDO RAMOS</v>
      </c>
      <c r="V86" s="1281"/>
      <c r="W86" s="20" t="str">
        <f>OBRA!L85</f>
        <v>DOP/AD/032/2014</v>
      </c>
      <c r="X86" s="452"/>
      <c r="Y86" s="13"/>
      <c r="Z86" s="448" t="str">
        <f>OBRA!K85</f>
        <v>RAMO 33</v>
      </c>
      <c r="AA86" s="13"/>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428">
        <f>OBRA!S85</f>
        <v>41881</v>
      </c>
      <c r="AH86" s="54"/>
      <c r="AI86" s="231"/>
      <c r="AJ86" s="267"/>
      <c r="AK86" s="267"/>
      <c r="AL86" s="432"/>
      <c r="AM86" s="573" t="str">
        <f>GRAL!B87</f>
        <v>2012-2015</v>
      </c>
      <c r="AN86" s="574"/>
      <c r="AO86" s="13"/>
    </row>
    <row r="87" spans="1:41" ht="75.75" hidden="1" thickTop="1">
      <c r="A87" s="166">
        <f>OBRA!I86</f>
        <v>2014</v>
      </c>
      <c r="B87" s="2036"/>
      <c r="C87" s="433"/>
      <c r="D87" s="154"/>
      <c r="E87" s="156"/>
      <c r="F87" s="156"/>
      <c r="G87" s="436"/>
      <c r="H87" s="442" t="str">
        <f>OBRA!AD86</f>
        <v>-</v>
      </c>
      <c r="I87" s="452"/>
      <c r="J87" s="444" t="str">
        <f>OBRA!AE86</f>
        <v>-</v>
      </c>
      <c r="K87" s="439"/>
      <c r="L87" s="442" t="str">
        <f>OBRA!AF86</f>
        <v>-</v>
      </c>
      <c r="M87" s="452"/>
      <c r="N87" s="442" t="str">
        <f>OBRA!AG86</f>
        <v>-</v>
      </c>
      <c r="O87" s="152"/>
      <c r="P87" s="152"/>
      <c r="Q87" s="452"/>
      <c r="R87" s="445" t="str">
        <f>OBRA!AH86</f>
        <v>-</v>
      </c>
      <c r="S87" s="423"/>
      <c r="T87" s="446" t="str">
        <f>OBRA!U86</f>
        <v>-</v>
      </c>
      <c r="U87" s="447" t="str">
        <f>OBRA!V86</f>
        <v>ING. RIGOBERTO OLMEDO RAMOS</v>
      </c>
      <c r="V87" s="1281"/>
      <c r="W87" s="20" t="str">
        <f>OBRA!L86</f>
        <v>DOP/AD/033/2014</v>
      </c>
      <c r="X87" s="452"/>
      <c r="Y87" s="13"/>
      <c r="Z87" s="448" t="str">
        <f>OBRA!K86</f>
        <v>RAMO 33</v>
      </c>
      <c r="AA87" s="13"/>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428">
        <f>OBRA!S86</f>
        <v>41912</v>
      </c>
      <c r="AH87" s="54"/>
      <c r="AI87" s="231"/>
      <c r="AJ87" s="267"/>
      <c r="AK87" s="267"/>
      <c r="AL87" s="432"/>
      <c r="AM87" s="573" t="str">
        <f>GRAL!B88</f>
        <v>2012-2015</v>
      </c>
      <c r="AN87" s="574"/>
      <c r="AO87" s="13"/>
    </row>
    <row r="88" spans="1:41" ht="75.75" hidden="1" thickTop="1">
      <c r="A88" s="166">
        <f>OBRA!I87</f>
        <v>2014</v>
      </c>
      <c r="B88" s="2036"/>
      <c r="C88" s="433"/>
      <c r="D88" s="154"/>
      <c r="E88" s="156"/>
      <c r="F88" s="156"/>
      <c r="G88" s="436"/>
      <c r="H88" s="442" t="str">
        <f>OBRA!AD87</f>
        <v>-</v>
      </c>
      <c r="I88" s="452"/>
      <c r="J88" s="444" t="str">
        <f>OBRA!AE87</f>
        <v>-</v>
      </c>
      <c r="K88" s="439"/>
      <c r="L88" s="442" t="str">
        <f>OBRA!AF87</f>
        <v>-</v>
      </c>
      <c r="M88" s="452"/>
      <c r="N88" s="442" t="str">
        <f>OBRA!AG87</f>
        <v>-</v>
      </c>
      <c r="O88" s="152"/>
      <c r="P88" s="152"/>
      <c r="Q88" s="452"/>
      <c r="R88" s="445" t="str">
        <f>OBRA!AH87</f>
        <v>-</v>
      </c>
      <c r="S88" s="423"/>
      <c r="T88" s="446" t="str">
        <f>OBRA!U87</f>
        <v>-</v>
      </c>
      <c r="U88" s="447" t="str">
        <f>OBRA!V87</f>
        <v>ING. RIGOBERTO OLMEDO RAMOS</v>
      </c>
      <c r="V88" s="1281"/>
      <c r="W88" s="20" t="str">
        <f>OBRA!L87</f>
        <v>DOP/AD/034/2014</v>
      </c>
      <c r="X88" s="452"/>
      <c r="Y88" s="13"/>
      <c r="Z88" s="448" t="str">
        <f>OBRA!K87</f>
        <v>RAMO 33</v>
      </c>
      <c r="AA88" s="13"/>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428">
        <f>OBRA!S87</f>
        <v>41912</v>
      </c>
      <c r="AH88" s="54"/>
      <c r="AI88" s="231"/>
      <c r="AJ88" s="267"/>
      <c r="AK88" s="267"/>
      <c r="AL88" s="432"/>
      <c r="AM88" s="573" t="str">
        <f>GRAL!B89</f>
        <v>2012-2015</v>
      </c>
      <c r="AN88" s="574"/>
      <c r="AO88" s="13"/>
    </row>
    <row r="89" spans="1:41" ht="135.75" hidden="1" thickTop="1">
      <c r="A89" s="166">
        <f>OBRA!I88</f>
        <v>2014</v>
      </c>
      <c r="B89" s="2036"/>
      <c r="C89" s="433"/>
      <c r="D89" s="154"/>
      <c r="E89" s="156"/>
      <c r="F89" s="156"/>
      <c r="G89" s="436"/>
      <c r="H89" s="442" t="str">
        <f>OBRA!AD88</f>
        <v>-</v>
      </c>
      <c r="I89" s="452"/>
      <c r="J89" s="444" t="str">
        <f>OBRA!AE88</f>
        <v>-</v>
      </c>
      <c r="K89" s="439"/>
      <c r="L89" s="442" t="str">
        <f>OBRA!AF88</f>
        <v>-</v>
      </c>
      <c r="M89" s="452"/>
      <c r="N89" s="442" t="str">
        <f>OBRA!AG88</f>
        <v>-</v>
      </c>
      <c r="O89" s="152"/>
      <c r="P89" s="152"/>
      <c r="Q89" s="452"/>
      <c r="R89" s="445" t="str">
        <f>OBRA!AH88</f>
        <v>-</v>
      </c>
      <c r="S89" s="423"/>
      <c r="T89" s="446" t="str">
        <f>OBRA!U88</f>
        <v>JOSE LUIS RANGEL GALVEZ</v>
      </c>
      <c r="U89" s="447" t="str">
        <f>OBRA!V88</f>
        <v>C. DANIEL RODRIGUEZ VALENZUELA</v>
      </c>
      <c r="V89" s="1281"/>
      <c r="W89" s="20" t="str">
        <f>OBRA!L88</f>
        <v>GMJ 006C OP/2014</v>
      </c>
      <c r="X89" s="452"/>
      <c r="Y89" s="13"/>
      <c r="Z89" s="448" t="str">
        <f>OBRA!K88</f>
        <v>CUENTA CORRIENTE</v>
      </c>
      <c r="AA89" s="13"/>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428">
        <f>OBRA!S88</f>
        <v>41941</v>
      </c>
      <c r="AH89" s="54"/>
      <c r="AI89" s="231"/>
      <c r="AJ89" s="267"/>
      <c r="AK89" s="267"/>
      <c r="AL89" s="432"/>
      <c r="AM89" s="573" t="str">
        <f>GRAL!B90</f>
        <v>2012-2015</v>
      </c>
      <c r="AN89" s="574"/>
      <c r="AO89" s="13"/>
    </row>
    <row r="90" spans="1:41" ht="60.75" hidden="1" thickTop="1">
      <c r="A90" s="166">
        <f>OBRA!I89</f>
        <v>2014</v>
      </c>
      <c r="B90" s="2036"/>
      <c r="C90" s="433"/>
      <c r="D90" s="154"/>
      <c r="E90" s="156"/>
      <c r="F90" s="156"/>
      <c r="G90" s="436"/>
      <c r="H90" s="442" t="str">
        <f>OBRA!AD89</f>
        <v>-</v>
      </c>
      <c r="I90" s="452"/>
      <c r="J90" s="444" t="str">
        <f>OBRA!AE89</f>
        <v>-</v>
      </c>
      <c r="K90" s="439"/>
      <c r="L90" s="442" t="str">
        <f>OBRA!AF89</f>
        <v>-</v>
      </c>
      <c r="M90" s="452"/>
      <c r="N90" s="442" t="str">
        <f>OBRA!AG89</f>
        <v>-</v>
      </c>
      <c r="O90" s="152"/>
      <c r="P90" s="152"/>
      <c r="Q90" s="452"/>
      <c r="R90" s="445" t="str">
        <f>OBRA!AH89</f>
        <v>-</v>
      </c>
      <c r="S90" s="423"/>
      <c r="T90" s="446" t="str">
        <f>OBRA!U89</f>
        <v>-</v>
      </c>
      <c r="U90" s="447" t="str">
        <f>OBRA!V89</f>
        <v>C. DANIEL RODRIGUEZ VALENZUELA</v>
      </c>
      <c r="V90" s="1281"/>
      <c r="W90" s="20" t="str">
        <f>OBRA!L89</f>
        <v>DOP/AD/039/2014</v>
      </c>
      <c r="X90" s="452"/>
      <c r="Y90" s="13"/>
      <c r="Z90" s="448" t="str">
        <f>OBRA!K89</f>
        <v>CUENTA CORRIENTE</v>
      </c>
      <c r="AA90" s="13"/>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428">
        <f>OBRA!S89</f>
        <v>41997</v>
      </c>
      <c r="AH90" s="54"/>
      <c r="AI90" s="231"/>
      <c r="AJ90" s="267"/>
      <c r="AK90" s="267"/>
      <c r="AL90" s="432"/>
      <c r="AM90" s="573" t="str">
        <f>GRAL!B91</f>
        <v>2012-2015</v>
      </c>
      <c r="AN90" s="574"/>
      <c r="AO90" s="13"/>
    </row>
    <row r="91" spans="1:41" ht="30.75" hidden="1" thickTop="1">
      <c r="A91" s="166">
        <f>OBRA!I90</f>
        <v>2014</v>
      </c>
      <c r="B91" s="2036"/>
      <c r="C91" s="433"/>
      <c r="D91" s="154"/>
      <c r="E91" s="156"/>
      <c r="F91" s="156"/>
      <c r="G91" s="436"/>
      <c r="H91" s="442" t="str">
        <f>OBRA!AD90</f>
        <v>-</v>
      </c>
      <c r="I91" s="452"/>
      <c r="J91" s="444" t="str">
        <f>OBRA!AE90</f>
        <v>-</v>
      </c>
      <c r="K91" s="439"/>
      <c r="L91" s="442" t="str">
        <f>OBRA!AF90</f>
        <v>-</v>
      </c>
      <c r="M91" s="452"/>
      <c r="N91" s="442" t="str">
        <f>OBRA!AG90</f>
        <v>-</v>
      </c>
      <c r="O91" s="152"/>
      <c r="P91" s="152"/>
      <c r="Q91" s="452"/>
      <c r="R91" s="445" t="str">
        <f>OBRA!AH90</f>
        <v>-</v>
      </c>
      <c r="S91" s="423"/>
      <c r="T91" s="446" t="str">
        <f>OBRA!U90</f>
        <v>-</v>
      </c>
      <c r="U91" s="447">
        <f>OBRA!V90</f>
        <v>0</v>
      </c>
      <c r="V91" s="1281"/>
      <c r="W91" s="20" t="str">
        <f>OBRA!L90</f>
        <v>DOP/AD/040/2014</v>
      </c>
      <c r="X91" s="452"/>
      <c r="Y91" s="13"/>
      <c r="Z91" s="448" t="str">
        <f>OBRA!K90</f>
        <v>CUENTA CORRIENTE</v>
      </c>
      <c r="AA91" s="13"/>
      <c r="AB91" s="2" t="str">
        <f>OBRA!M90</f>
        <v>ADMINISTRACIÓN DIRECTA</v>
      </c>
      <c r="AC91" s="3" t="str">
        <f>OBRA!N90</f>
        <v>APOYO PARA LA CONSTRUCCION DE ESCATOPISTAS EN EL MALECON</v>
      </c>
      <c r="AD91" s="4">
        <f>OBRA!P90</f>
        <v>15000</v>
      </c>
      <c r="AE91" s="6">
        <f>OBRA!Q90</f>
        <v>41974</v>
      </c>
      <c r="AF91" s="5">
        <f>OBRA!R90</f>
        <v>41981</v>
      </c>
      <c r="AG91" s="428">
        <f>OBRA!S90</f>
        <v>41995</v>
      </c>
      <c r="AH91" s="54"/>
      <c r="AI91" s="231"/>
      <c r="AJ91" s="267"/>
      <c r="AK91" s="267"/>
      <c r="AL91" s="432"/>
      <c r="AM91" s="573" t="str">
        <f>GRAL!B92</f>
        <v>2012-2015</v>
      </c>
      <c r="AN91" s="574"/>
      <c r="AO91" s="13"/>
    </row>
    <row r="92" spans="1:41" ht="60.75" hidden="1" thickTop="1">
      <c r="A92" s="166">
        <f>OBRA!I91</f>
        <v>2014</v>
      </c>
      <c r="B92" s="2036"/>
      <c r="C92" s="433"/>
      <c r="D92" s="154"/>
      <c r="E92" s="156"/>
      <c r="F92" s="156"/>
      <c r="G92" s="436"/>
      <c r="H92" s="442" t="str">
        <f>OBRA!AD91</f>
        <v>-</v>
      </c>
      <c r="I92" s="452"/>
      <c r="J92" s="444" t="str">
        <f>OBRA!AE91</f>
        <v>-</v>
      </c>
      <c r="K92" s="439"/>
      <c r="L92" s="442" t="str">
        <f>OBRA!AF91</f>
        <v>-</v>
      </c>
      <c r="M92" s="452"/>
      <c r="N92" s="442" t="str">
        <f>OBRA!AG91</f>
        <v>-</v>
      </c>
      <c r="O92" s="152"/>
      <c r="P92" s="152"/>
      <c r="Q92" s="452"/>
      <c r="R92" s="445" t="str">
        <f>OBRA!AH91</f>
        <v>-</v>
      </c>
      <c r="S92" s="423"/>
      <c r="T92" s="446" t="str">
        <f>OBRA!U91</f>
        <v>-</v>
      </c>
      <c r="U92" s="447">
        <f>OBRA!V91</f>
        <v>0</v>
      </c>
      <c r="V92" s="1281"/>
      <c r="W92" s="20" t="str">
        <f>OBRA!L91</f>
        <v>DOP/AD/041/2014</v>
      </c>
      <c r="X92" s="452"/>
      <c r="Y92" s="13"/>
      <c r="Z92" s="448" t="str">
        <f>OBRA!K91</f>
        <v>CUENTA CORRIENTE</v>
      </c>
      <c r="AA92" s="13"/>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428">
        <f>OBRA!S91</f>
        <v>41988</v>
      </c>
      <c r="AH92" s="54"/>
      <c r="AI92" s="231"/>
      <c r="AJ92" s="267"/>
      <c r="AK92" s="267"/>
      <c r="AL92" s="432"/>
      <c r="AM92" s="573" t="str">
        <f>GRAL!B93</f>
        <v>2012-2015</v>
      </c>
      <c r="AN92" s="574"/>
      <c r="AO92" s="13"/>
    </row>
    <row r="93" spans="1:41" ht="60.75" hidden="1" thickTop="1">
      <c r="A93" s="166">
        <f>OBRA!I92</f>
        <v>2014</v>
      </c>
      <c r="B93" s="2036"/>
      <c r="C93" s="433"/>
      <c r="D93" s="154"/>
      <c r="E93" s="156"/>
      <c r="F93" s="156"/>
      <c r="G93" s="436"/>
      <c r="H93" s="442" t="str">
        <f>OBRA!AD92</f>
        <v>-</v>
      </c>
      <c r="I93" s="452"/>
      <c r="J93" s="444" t="str">
        <f>OBRA!AE92</f>
        <v>-</v>
      </c>
      <c r="K93" s="439"/>
      <c r="L93" s="442" t="str">
        <f>OBRA!AF92</f>
        <v>-</v>
      </c>
      <c r="M93" s="452"/>
      <c r="N93" s="442" t="str">
        <f>OBRA!AG92</f>
        <v>-</v>
      </c>
      <c r="O93" s="152"/>
      <c r="P93" s="152"/>
      <c r="Q93" s="452"/>
      <c r="R93" s="445" t="str">
        <f>OBRA!AH92</f>
        <v>-</v>
      </c>
      <c r="S93" s="423"/>
      <c r="T93" s="446" t="str">
        <f>OBRA!U92</f>
        <v>SIOP</v>
      </c>
      <c r="U93" s="447" t="str">
        <f>OBRA!V92</f>
        <v>SIOP</v>
      </c>
      <c r="V93" s="1281"/>
      <c r="W93" s="20" t="str">
        <f>OBRA!L92</f>
        <v>CONT X ESTADO</v>
      </c>
      <c r="X93" s="452"/>
      <c r="Y93" s="13"/>
      <c r="Z93" s="448" t="str">
        <f>OBRA!K92</f>
        <v>FISE</v>
      </c>
      <c r="AA93" s="13"/>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428" t="str">
        <f>OBRA!S92</f>
        <v>-</v>
      </c>
      <c r="AH93" s="54"/>
      <c r="AI93" s="231"/>
      <c r="AJ93" s="267"/>
      <c r="AK93" s="267"/>
      <c r="AL93" s="432"/>
      <c r="AM93" s="573" t="str">
        <f>GRAL!B94</f>
        <v>2012-2015</v>
      </c>
      <c r="AN93" s="574"/>
      <c r="AO93" s="13"/>
    </row>
    <row r="94" spans="1:41" ht="60.75" hidden="1" thickTop="1">
      <c r="A94" s="166">
        <f>OBRA!I93</f>
        <v>2014</v>
      </c>
      <c r="B94" s="2036"/>
      <c r="C94" s="433"/>
      <c r="D94" s="154"/>
      <c r="E94" s="156"/>
      <c r="F94" s="156"/>
      <c r="G94" s="436"/>
      <c r="H94" s="442" t="str">
        <f>OBRA!AD93</f>
        <v>-</v>
      </c>
      <c r="I94" s="452"/>
      <c r="J94" s="444" t="str">
        <f>OBRA!AE93</f>
        <v>-</v>
      </c>
      <c r="K94" s="439"/>
      <c r="L94" s="442" t="str">
        <f>OBRA!AF93</f>
        <v>-</v>
      </c>
      <c r="M94" s="452"/>
      <c r="N94" s="442" t="str">
        <f>OBRA!AG93</f>
        <v>-</v>
      </c>
      <c r="O94" s="152"/>
      <c r="P94" s="152"/>
      <c r="Q94" s="452"/>
      <c r="R94" s="445" t="str">
        <f>OBRA!AH93</f>
        <v>-</v>
      </c>
      <c r="S94" s="423"/>
      <c r="T94" s="446" t="str">
        <f>OBRA!U93</f>
        <v>SIOP</v>
      </c>
      <c r="U94" s="447" t="str">
        <f>OBRA!V93</f>
        <v>SIOP</v>
      </c>
      <c r="V94" s="1281"/>
      <c r="W94" s="20" t="str">
        <f>OBRA!L93</f>
        <v>CONT X ESTADO</v>
      </c>
      <c r="X94" s="452"/>
      <c r="Y94" s="13"/>
      <c r="Z94" s="448" t="str">
        <f>OBRA!K93</f>
        <v>FISE</v>
      </c>
      <c r="AA94" s="13"/>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428" t="str">
        <f>OBRA!S93</f>
        <v>-</v>
      </c>
      <c r="AH94" s="54"/>
      <c r="AI94" s="231"/>
      <c r="AJ94" s="267"/>
      <c r="AK94" s="267"/>
      <c r="AL94" s="432"/>
      <c r="AM94" s="573" t="str">
        <f>GRAL!B95</f>
        <v>2012-2015</v>
      </c>
      <c r="AN94" s="574"/>
      <c r="AO94" s="13"/>
    </row>
    <row r="95" spans="1:41" ht="60.75" hidden="1" thickTop="1">
      <c r="A95" s="166">
        <f>OBRA!I94</f>
        <v>2014</v>
      </c>
      <c r="B95" s="2036"/>
      <c r="C95" s="433"/>
      <c r="D95" s="154"/>
      <c r="E95" s="156"/>
      <c r="F95" s="156"/>
      <c r="G95" s="436"/>
      <c r="H95" s="442" t="str">
        <f>OBRA!AD94</f>
        <v>-</v>
      </c>
      <c r="I95" s="452"/>
      <c r="J95" s="444" t="str">
        <f>OBRA!AE94</f>
        <v>-</v>
      </c>
      <c r="K95" s="439"/>
      <c r="L95" s="442" t="str">
        <f>OBRA!AF94</f>
        <v>-</v>
      </c>
      <c r="M95" s="452"/>
      <c r="N95" s="442" t="str">
        <f>OBRA!AG94</f>
        <v>-</v>
      </c>
      <c r="O95" s="152"/>
      <c r="P95" s="152"/>
      <c r="Q95" s="452"/>
      <c r="R95" s="445" t="str">
        <f>OBRA!AH94</f>
        <v>-</v>
      </c>
      <c r="S95" s="423"/>
      <c r="T95" s="446" t="str">
        <f>OBRA!U94</f>
        <v>SIOP</v>
      </c>
      <c r="U95" s="447" t="str">
        <f>OBRA!V94</f>
        <v>SIOP</v>
      </c>
      <c r="V95" s="1281"/>
      <c r="W95" s="20" t="str">
        <f>OBRA!L94</f>
        <v>CONT X ESTADO</v>
      </c>
      <c r="X95" s="452"/>
      <c r="Y95" s="13"/>
      <c r="Z95" s="448" t="str">
        <f>OBRA!K94</f>
        <v>FISE</v>
      </c>
      <c r="AA95" s="13"/>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428" t="str">
        <f>OBRA!S94</f>
        <v>-</v>
      </c>
      <c r="AH95" s="54"/>
      <c r="AI95" s="231"/>
      <c r="AJ95" s="267"/>
      <c r="AK95" s="267"/>
      <c r="AL95" s="432"/>
      <c r="AM95" s="573" t="str">
        <f>GRAL!B96</f>
        <v>2012-2015</v>
      </c>
      <c r="AN95" s="574"/>
      <c r="AO95" s="13"/>
    </row>
    <row r="96" spans="1:41" ht="45.75" hidden="1" thickTop="1">
      <c r="A96" s="166">
        <f>OBRA!I95</f>
        <v>2015</v>
      </c>
      <c r="B96" s="2036"/>
      <c r="C96" s="433"/>
      <c r="D96" s="154"/>
      <c r="E96" s="156"/>
      <c r="F96" s="156"/>
      <c r="G96" s="436"/>
      <c r="H96" s="442" t="str">
        <f>OBRA!AD95</f>
        <v>-</v>
      </c>
      <c r="I96" s="452"/>
      <c r="J96" s="444" t="str">
        <f>OBRA!AE95</f>
        <v>-</v>
      </c>
      <c r="K96" s="439"/>
      <c r="L96" s="442" t="str">
        <f>OBRA!AF95</f>
        <v>-</v>
      </c>
      <c r="M96" s="452"/>
      <c r="N96" s="442" t="str">
        <f>OBRA!AG95</f>
        <v>-</v>
      </c>
      <c r="O96" s="152"/>
      <c r="P96" s="152"/>
      <c r="Q96" s="452"/>
      <c r="R96" s="445" t="str">
        <f>OBRA!AH95</f>
        <v>-</v>
      </c>
      <c r="S96" s="423"/>
      <c r="T96" s="446" t="str">
        <f>OBRA!U95</f>
        <v>C. EFRAIN GONZALEZ CRUZ</v>
      </c>
      <c r="U96" s="447" t="str">
        <f>OBRA!V95</f>
        <v>ING. RIGOBERTO OLMEDO RAMOS</v>
      </c>
      <c r="V96" s="1281"/>
      <c r="W96" s="20" t="str">
        <f>OBRA!L95</f>
        <v>GMJ 001C OP/2015</v>
      </c>
      <c r="X96" s="452"/>
      <c r="Y96" s="13"/>
      <c r="Z96" s="448" t="str">
        <f>OBRA!K95</f>
        <v>RAMO 33</v>
      </c>
      <c r="AA96" s="13"/>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428">
        <f>OBRA!S95</f>
        <v>42030</v>
      </c>
      <c r="AH96" s="54"/>
      <c r="AI96" s="231"/>
      <c r="AJ96" s="267"/>
      <c r="AK96" s="267"/>
      <c r="AL96" s="432"/>
      <c r="AM96" s="573" t="str">
        <f>GRAL!B97</f>
        <v>2012-2015</v>
      </c>
      <c r="AN96" s="574"/>
      <c r="AO96" s="13"/>
    </row>
    <row r="97" spans="1:41" ht="60.75" hidden="1" thickTop="1">
      <c r="A97" s="166">
        <f>OBRA!I96</f>
        <v>2015</v>
      </c>
      <c r="B97" s="2036"/>
      <c r="C97" s="433"/>
      <c r="D97" s="154"/>
      <c r="E97" s="156"/>
      <c r="F97" s="156"/>
      <c r="G97" s="436"/>
      <c r="H97" s="442" t="str">
        <f>OBRA!AD96</f>
        <v>-</v>
      </c>
      <c r="I97" s="452"/>
      <c r="J97" s="444" t="str">
        <f>OBRA!AE96</f>
        <v>-</v>
      </c>
      <c r="K97" s="439"/>
      <c r="L97" s="442" t="str">
        <f>OBRA!AF96</f>
        <v>-</v>
      </c>
      <c r="M97" s="452"/>
      <c r="N97" s="442" t="str">
        <f>OBRA!AG96</f>
        <v>-</v>
      </c>
      <c r="O97" s="152"/>
      <c r="P97" s="152"/>
      <c r="Q97" s="452"/>
      <c r="R97" s="445" t="str">
        <f>OBRA!AH96</f>
        <v>-</v>
      </c>
      <c r="S97" s="423"/>
      <c r="T97" s="446" t="str">
        <f>OBRA!U96</f>
        <v>HIDRAULICOS TRUJILLO S.A. DE C.V.</v>
      </c>
      <c r="U97" s="447" t="str">
        <f>OBRA!V96</f>
        <v>ING. RIGOBERTO OLMEDO RAMOS</v>
      </c>
      <c r="V97" s="1281"/>
      <c r="W97" s="20" t="str">
        <f>OBRA!L96</f>
        <v>GMJ 002C OP/2015</v>
      </c>
      <c r="X97" s="452"/>
      <c r="Y97" s="13"/>
      <c r="Z97" s="448" t="str">
        <f>OBRA!K96</f>
        <v>CUENTA CORRIENTE</v>
      </c>
      <c r="AA97" s="13"/>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428">
        <f>OBRA!S96</f>
        <v>42015</v>
      </c>
      <c r="AH97" s="54"/>
      <c r="AI97" s="231"/>
      <c r="AJ97" s="267"/>
      <c r="AK97" s="267"/>
      <c r="AL97" s="432"/>
      <c r="AM97" s="573" t="str">
        <f>GRAL!B98</f>
        <v>2012-2015</v>
      </c>
      <c r="AN97" s="574"/>
      <c r="AO97" s="13"/>
    </row>
    <row r="98" spans="1:41" s="326" customFormat="1" ht="129" hidden="1" customHeight="1">
      <c r="A98" s="330">
        <f>OBRA!I97</f>
        <v>2015</v>
      </c>
      <c r="B98" s="2035"/>
      <c r="C98" s="876" t="s">
        <v>68</v>
      </c>
      <c r="D98" s="331" t="s">
        <v>68</v>
      </c>
      <c r="E98" s="332" t="s">
        <v>68</v>
      </c>
      <c r="F98" s="332" t="s">
        <v>68</v>
      </c>
      <c r="G98" s="877" t="s">
        <v>2375</v>
      </c>
      <c r="H98" s="333">
        <f>OBRA!AD97</f>
        <v>42037</v>
      </c>
      <c r="I98" s="877" t="s">
        <v>2376</v>
      </c>
      <c r="J98" s="878">
        <f>OBRA!AE97</f>
        <v>42038</v>
      </c>
      <c r="K98" s="879" t="s">
        <v>68</v>
      </c>
      <c r="L98" s="333" t="str">
        <f>OBRA!AF97</f>
        <v>-</v>
      </c>
      <c r="M98" s="877" t="s">
        <v>1462</v>
      </c>
      <c r="N98" s="333">
        <f>OBRA!AG97</f>
        <v>42045</v>
      </c>
      <c r="O98" s="358" t="s">
        <v>2336</v>
      </c>
      <c r="P98" s="333" t="s">
        <v>68</v>
      </c>
      <c r="Q98" s="877" t="s">
        <v>2377</v>
      </c>
      <c r="R98" s="880">
        <f>OBRA!AH97</f>
        <v>42045</v>
      </c>
      <c r="S98" s="489" t="s">
        <v>2378</v>
      </c>
      <c r="T98" s="881" t="str">
        <f>OBRA!U97</f>
        <v>G I LANDING S.A. DE C.V.</v>
      </c>
      <c r="U98" s="882" t="str">
        <f>OBRA!V97</f>
        <v>C. DANIEL RODRIGUEZ VALENZUELA</v>
      </c>
      <c r="V98" s="906"/>
      <c r="W98" s="481" t="str">
        <f>OBRA!L97</f>
        <v>GMJ 003C OP/2015</v>
      </c>
      <c r="X98" s="877" t="s">
        <v>1459</v>
      </c>
      <c r="Y98" s="325" t="s">
        <v>68</v>
      </c>
      <c r="Z98" s="325" t="str">
        <f>OBRA!K97</f>
        <v>RAMO 33</v>
      </c>
      <c r="AA98" s="325" t="s">
        <v>2354</v>
      </c>
      <c r="AB98" s="318" t="str">
        <f>OBRA!M97</f>
        <v>INVITACIÓN</v>
      </c>
      <c r="AC98" s="319" t="str">
        <f>OBRA!N97</f>
        <v>PERFORACIÓN, ADEME, AFORO, ELECTRIFICACIÓN Y EQUIPAMIENTO DE POZO PROFUNDO Y CONSTRUCCION DE CASETA DE CONTROL EN LA AGENCIA DE SAN LUCIANO</v>
      </c>
      <c r="AD98" s="320">
        <f>OBRA!P97</f>
        <v>2359096.67</v>
      </c>
      <c r="AE98" s="321">
        <f>OBRA!Q97</f>
        <v>42046</v>
      </c>
      <c r="AF98" s="322">
        <f>OBRA!R97</f>
        <v>42051</v>
      </c>
      <c r="AG98" s="427">
        <f>OBRA!S97</f>
        <v>42080</v>
      </c>
      <c r="AH98" s="982"/>
      <c r="AI98" s="317" t="s">
        <v>2344</v>
      </c>
      <c r="AJ98" s="470" t="s">
        <v>1431</v>
      </c>
      <c r="AK98" s="877" t="s">
        <v>1463</v>
      </c>
      <c r="AL98" s="891" t="s">
        <v>2379</v>
      </c>
      <c r="AM98" s="391" t="str">
        <f>GRAL!B99</f>
        <v>2012-2015</v>
      </c>
      <c r="AN98" s="1008" t="s">
        <v>551</v>
      </c>
      <c r="AO98" s="325"/>
    </row>
    <row r="99" spans="1:41" ht="45.75" hidden="1" thickTop="1">
      <c r="A99" s="166">
        <f>OBRA!I98</f>
        <v>2015</v>
      </c>
      <c r="B99" s="2036"/>
      <c r="C99" s="433"/>
      <c r="D99" s="154"/>
      <c r="E99" s="156"/>
      <c r="F99" s="156"/>
      <c r="G99" s="436"/>
      <c r="H99" s="442" t="str">
        <f>OBRA!AD98</f>
        <v>-</v>
      </c>
      <c r="I99" s="438"/>
      <c r="J99" s="444" t="str">
        <f>OBRA!AE98</f>
        <v>-</v>
      </c>
      <c r="K99" s="439"/>
      <c r="L99" s="442" t="str">
        <f>OBRA!AF98</f>
        <v>-</v>
      </c>
      <c r="M99" s="440"/>
      <c r="N99" s="442" t="str">
        <f>OBRA!AG98</f>
        <v>-</v>
      </c>
      <c r="O99" s="152"/>
      <c r="P99" s="152"/>
      <c r="Q99" s="439"/>
      <c r="R99" s="445" t="str">
        <f>OBRA!AH98</f>
        <v>-</v>
      </c>
      <c r="S99" s="423"/>
      <c r="T99" s="446" t="str">
        <f>OBRA!U98</f>
        <v>GECLAN, S.A. DE C.V.</v>
      </c>
      <c r="U99" s="447" t="str">
        <f>OBRA!V98</f>
        <v>C. DANIEL RODRIGUEZ VALENZUELA</v>
      </c>
      <c r="V99" s="1281"/>
      <c r="W99" s="20" t="str">
        <f>OBRA!L98</f>
        <v>GMJ 004C OP/2015</v>
      </c>
      <c r="X99" s="13"/>
      <c r="Y99" s="13"/>
      <c r="Z99" s="448" t="str">
        <f>OBRA!K98</f>
        <v>RAMO 33</v>
      </c>
      <c r="AA99" s="13"/>
      <c r="AB99" s="2" t="str">
        <f>OBRA!M98</f>
        <v>ADJUDICACIÓN DIRECTA</v>
      </c>
      <c r="AC99" s="3" t="str">
        <f>OBRA!N98</f>
        <v>ELECTRIFICACIÓN DE POZO PROFUNDO  EN LA AGENCIA DE SAN LUCIANO</v>
      </c>
      <c r="AD99" s="4">
        <f>OBRA!P98</f>
        <v>260536.84</v>
      </c>
      <c r="AE99" s="6">
        <f>OBRA!Q98</f>
        <v>42209</v>
      </c>
      <c r="AF99" s="5">
        <f>OBRA!R98</f>
        <v>42212</v>
      </c>
      <c r="AG99" s="428">
        <f>OBRA!S98</f>
        <v>42225</v>
      </c>
      <c r="AH99" s="54"/>
      <c r="AI99" s="231"/>
      <c r="AJ99" s="267"/>
      <c r="AK99" s="267"/>
      <c r="AL99" s="432"/>
      <c r="AM99" s="573" t="str">
        <f>GRAL!B100</f>
        <v>2012-2015</v>
      </c>
      <c r="AN99" s="574"/>
      <c r="AO99" s="13"/>
    </row>
    <row r="100" spans="1:41" ht="75.75" hidden="1" thickTop="1">
      <c r="A100" s="166">
        <f>OBRA!I99</f>
        <v>2015</v>
      </c>
      <c r="B100" s="2036"/>
      <c r="C100" s="433"/>
      <c r="D100" s="154"/>
      <c r="E100" s="156"/>
      <c r="F100" s="156"/>
      <c r="G100" s="436"/>
      <c r="H100" s="442" t="str">
        <f>OBRA!AD99</f>
        <v>-</v>
      </c>
      <c r="I100" s="438"/>
      <c r="J100" s="444" t="str">
        <f>OBRA!AE99</f>
        <v>-</v>
      </c>
      <c r="K100" s="439"/>
      <c r="L100" s="442" t="str">
        <f>OBRA!AF99</f>
        <v>-</v>
      </c>
      <c r="M100" s="440"/>
      <c r="N100" s="442" t="str">
        <f>OBRA!AG99</f>
        <v>-</v>
      </c>
      <c r="O100" s="152"/>
      <c r="P100" s="152"/>
      <c r="Q100" s="439"/>
      <c r="R100" s="445" t="str">
        <f>OBRA!AH99</f>
        <v>-</v>
      </c>
      <c r="S100" s="423"/>
      <c r="T100" s="446" t="str">
        <f>OBRA!U99</f>
        <v>C. EFRAIN GONZALEZ CRUZ</v>
      </c>
      <c r="U100" s="447" t="str">
        <f>OBRA!V99</f>
        <v>ING. RIGOBERTO OLMEDO RAMOS</v>
      </c>
      <c r="V100" s="1281"/>
      <c r="W100" s="20" t="str">
        <f>OBRA!L99</f>
        <v>GMJ 005C OP/2015</v>
      </c>
      <c r="X100" s="13"/>
      <c r="Y100" s="13"/>
      <c r="Z100" s="448" t="str">
        <f>OBRA!K99</f>
        <v>RAMO 33</v>
      </c>
      <c r="AA100" s="13"/>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428">
        <f>OBRA!S99</f>
        <v>42065</v>
      </c>
      <c r="AH100" s="54"/>
      <c r="AI100" s="231"/>
      <c r="AJ100" s="267"/>
      <c r="AK100" s="267"/>
      <c r="AL100" s="432"/>
      <c r="AM100" s="573" t="str">
        <f>GRAL!B101</f>
        <v>2012-2015</v>
      </c>
      <c r="AN100" s="574"/>
      <c r="AO100" s="13"/>
    </row>
    <row r="101" spans="1:41" ht="60.75" hidden="1" thickTop="1">
      <c r="A101" s="166">
        <f>OBRA!I100</f>
        <v>2015</v>
      </c>
      <c r="B101" s="2036"/>
      <c r="C101" s="433"/>
      <c r="D101" s="154"/>
      <c r="E101" s="156"/>
      <c r="F101" s="156"/>
      <c r="G101" s="436"/>
      <c r="H101" s="442" t="str">
        <f>OBRA!AD100</f>
        <v>-</v>
      </c>
      <c r="I101" s="438"/>
      <c r="J101" s="444" t="str">
        <f>OBRA!AE100</f>
        <v>-</v>
      </c>
      <c r="K101" s="439"/>
      <c r="L101" s="442" t="str">
        <f>OBRA!AF100</f>
        <v>-</v>
      </c>
      <c r="M101" s="440"/>
      <c r="N101" s="442" t="str">
        <f>OBRA!AG100</f>
        <v>-</v>
      </c>
      <c r="O101" s="152"/>
      <c r="P101" s="152"/>
      <c r="Q101" s="439"/>
      <c r="R101" s="445" t="str">
        <f>OBRA!AH100</f>
        <v>-</v>
      </c>
      <c r="S101" s="423"/>
      <c r="T101" s="446" t="str">
        <f>OBRA!U100</f>
        <v>C. EFRAIN GONZALEZ CRUZ</v>
      </c>
      <c r="U101" s="447" t="str">
        <f>OBRA!V100</f>
        <v>ING. RIGOBERTO OLMEDO RAMOS</v>
      </c>
      <c r="V101" s="1281"/>
      <c r="W101" s="20" t="str">
        <f>OBRA!L100</f>
        <v>GMJ 006C OP/2015</v>
      </c>
      <c r="X101" s="13"/>
      <c r="Y101" s="13"/>
      <c r="Z101" s="448" t="str">
        <f>OBRA!K100</f>
        <v>RAMO 33</v>
      </c>
      <c r="AA101" s="13"/>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428">
        <f>OBRA!S100</f>
        <v>42128</v>
      </c>
      <c r="AH101" s="54"/>
      <c r="AI101" s="231"/>
      <c r="AJ101" s="267"/>
      <c r="AK101" s="267"/>
      <c r="AL101" s="432"/>
      <c r="AM101" s="573" t="str">
        <f>GRAL!B102</f>
        <v>2012-2015</v>
      </c>
      <c r="AN101" s="574"/>
      <c r="AO101" s="13"/>
    </row>
    <row r="102" spans="1:41" ht="30.75" hidden="1" thickTop="1">
      <c r="A102" s="166">
        <f>OBRA!I101</f>
        <v>2015</v>
      </c>
      <c r="B102" s="2036"/>
      <c r="C102" s="433"/>
      <c r="D102" s="154"/>
      <c r="E102" s="156"/>
      <c r="F102" s="156"/>
      <c r="G102" s="436"/>
      <c r="H102" s="442" t="str">
        <f>OBRA!AD101</f>
        <v>-</v>
      </c>
      <c r="I102" s="438"/>
      <c r="J102" s="444" t="str">
        <f>OBRA!AE101</f>
        <v>-</v>
      </c>
      <c r="K102" s="439"/>
      <c r="L102" s="442" t="str">
        <f>OBRA!AF101</f>
        <v>-</v>
      </c>
      <c r="M102" s="440"/>
      <c r="N102" s="442" t="str">
        <f>OBRA!AG101</f>
        <v>-</v>
      </c>
      <c r="O102" s="152"/>
      <c r="P102" s="152"/>
      <c r="Q102" s="439"/>
      <c r="R102" s="445" t="str">
        <f>OBRA!AH101</f>
        <v>-</v>
      </c>
      <c r="S102" s="423"/>
      <c r="T102" s="446" t="str">
        <f>OBRA!U101</f>
        <v>C. EFRAIN GONZALEZ CRUZ</v>
      </c>
      <c r="U102" s="447" t="str">
        <f>OBRA!V101</f>
        <v>ING. RIGOBERTO OLMEDO RAMOS</v>
      </c>
      <c r="V102" s="1281"/>
      <c r="W102" s="20" t="str">
        <f>OBRA!L101</f>
        <v>GMJ 011C OP/2015</v>
      </c>
      <c r="X102" s="13"/>
      <c r="Y102" s="13"/>
      <c r="Z102" s="448" t="str">
        <f>OBRA!K101</f>
        <v>RAMO 33</v>
      </c>
      <c r="AA102" s="13"/>
      <c r="AB102" s="2" t="str">
        <f>OBRA!M101</f>
        <v>ADJUDICACIÓN DIRECTA</v>
      </c>
      <c r="AC102" s="3" t="str">
        <f>OBRA!N101</f>
        <v>ALUMBRADO PUBLICO AL INGRESO DEL POBLADO DE HUEJOTITAN</v>
      </c>
      <c r="AD102" s="4">
        <f>OBRA!P101</f>
        <v>1182630</v>
      </c>
      <c r="AE102" s="6">
        <f>OBRA!Q101</f>
        <v>42209</v>
      </c>
      <c r="AF102" s="5">
        <f>OBRA!R101</f>
        <v>42212</v>
      </c>
      <c r="AG102" s="428">
        <f>OBRA!S101</f>
        <v>42239</v>
      </c>
      <c r="AH102" s="54"/>
      <c r="AI102" s="231"/>
      <c r="AJ102" s="267"/>
      <c r="AK102" s="267"/>
      <c r="AL102" s="432"/>
      <c r="AM102" s="573" t="str">
        <f>GRAL!B103</f>
        <v>2012-2015</v>
      </c>
      <c r="AN102" s="574"/>
      <c r="AO102" s="13"/>
    </row>
    <row r="103" spans="1:41" s="110" customFormat="1" ht="45.75" hidden="1" thickTop="1">
      <c r="A103" s="956">
        <f>OBRA!I102</f>
        <v>2015</v>
      </c>
      <c r="B103" s="2037"/>
      <c r="C103" s="957"/>
      <c r="D103" s="155"/>
      <c r="E103" s="157"/>
      <c r="F103" s="157"/>
      <c r="G103" s="958"/>
      <c r="H103" s="158" t="str">
        <f>OBRA!AD102</f>
        <v>-</v>
      </c>
      <c r="I103" s="456"/>
      <c r="J103" s="117" t="str">
        <f>OBRA!AE102</f>
        <v>-</v>
      </c>
      <c r="K103" s="960"/>
      <c r="L103" s="158" t="str">
        <f>OBRA!AF102</f>
        <v>-</v>
      </c>
      <c r="M103" s="959"/>
      <c r="N103" s="158" t="str">
        <f>OBRA!AG102</f>
        <v>-</v>
      </c>
      <c r="O103" s="158"/>
      <c r="P103" s="158"/>
      <c r="Q103" s="960"/>
      <c r="R103" s="459" t="str">
        <f>OBRA!AH102</f>
        <v>-</v>
      </c>
      <c r="S103" s="109"/>
      <c r="T103" s="460" t="str">
        <f>OBRA!U102</f>
        <v>-</v>
      </c>
      <c r="U103" s="461">
        <f>OBRA!V102</f>
        <v>0</v>
      </c>
      <c r="V103" s="935"/>
      <c r="W103" s="955" t="str">
        <f>OBRA!L102</f>
        <v>GMJ 011C OP/2015</v>
      </c>
      <c r="X103" s="109"/>
      <c r="Y103" s="109"/>
      <c r="Z103" s="109" t="str">
        <f>OBRA!K102</f>
        <v>CUENTA CORRIENTE</v>
      </c>
      <c r="AA103" s="109"/>
      <c r="AB103" s="203" t="str">
        <f>OBRA!M102</f>
        <v>CANCELADA</v>
      </c>
      <c r="AC103" s="112" t="str">
        <f>OBRA!N102</f>
        <v>AMPLIACIÓN DE ELECTRIFICACION EN BARRIO EL TORIL DE ZAPOTITAN DE HIDALGO</v>
      </c>
      <c r="AD103" s="92">
        <f>OBRA!P102</f>
        <v>0</v>
      </c>
      <c r="AE103" s="93" t="s">
        <v>68</v>
      </c>
      <c r="AF103" s="94" t="s">
        <v>68</v>
      </c>
      <c r="AG103" s="429" t="s">
        <v>68</v>
      </c>
      <c r="AH103" s="107"/>
      <c r="AI103" s="90"/>
      <c r="AJ103" s="102"/>
      <c r="AK103" s="102"/>
      <c r="AL103" s="103"/>
      <c r="AM103" s="392" t="str">
        <f>GRAL!B104</f>
        <v>2012-2015</v>
      </c>
      <c r="AN103" s="961"/>
      <c r="AO103" s="109"/>
    </row>
    <row r="104" spans="1:41" ht="60.75" hidden="1" thickTop="1">
      <c r="A104" s="166">
        <f>OBRA!I103</f>
        <v>2015</v>
      </c>
      <c r="B104" s="2036"/>
      <c r="C104" s="433"/>
      <c r="D104" s="154"/>
      <c r="E104" s="156"/>
      <c r="F104" s="156"/>
      <c r="G104" s="436"/>
      <c r="H104" s="442" t="str">
        <f>OBRA!AD103</f>
        <v>-</v>
      </c>
      <c r="I104" s="438"/>
      <c r="J104" s="444" t="str">
        <f>OBRA!AE103</f>
        <v>-</v>
      </c>
      <c r="K104" s="439"/>
      <c r="L104" s="442" t="str">
        <f>OBRA!AF103</f>
        <v>-</v>
      </c>
      <c r="M104" s="440"/>
      <c r="N104" s="442" t="str">
        <f>OBRA!AG103</f>
        <v>-</v>
      </c>
      <c r="O104" s="152"/>
      <c r="P104" s="152"/>
      <c r="Q104" s="439"/>
      <c r="R104" s="445" t="str">
        <f>OBRA!AH103</f>
        <v>-</v>
      </c>
      <c r="S104" s="423"/>
      <c r="T104" s="446" t="str">
        <f>OBRA!U103</f>
        <v>-</v>
      </c>
      <c r="U104" s="447" t="str">
        <f>OBRA!V103</f>
        <v>ING. RIGOBERTO OLMEDO RAMOS</v>
      </c>
      <c r="V104" s="1281"/>
      <c r="W104" s="20" t="str">
        <f>OBRA!L103</f>
        <v>DOP/AD/001/2015</v>
      </c>
      <c r="X104" s="13"/>
      <c r="Y104" s="13"/>
      <c r="Z104" s="448" t="str">
        <f>OBRA!K103</f>
        <v>CUENTA CORRIENTE</v>
      </c>
      <c r="AA104" s="13"/>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428">
        <f>OBRA!S103</f>
        <v>42133</v>
      </c>
      <c r="AH104" s="54"/>
      <c r="AI104" s="231"/>
      <c r="AJ104" s="267"/>
      <c r="AK104" s="267"/>
      <c r="AL104" s="432"/>
      <c r="AM104" s="573" t="str">
        <f>GRAL!B105</f>
        <v>2012-2015</v>
      </c>
      <c r="AN104" s="574"/>
      <c r="AO104" s="13"/>
    </row>
    <row r="105" spans="1:41" ht="75.75" hidden="1" thickTop="1">
      <c r="A105" s="166">
        <f>OBRA!I104</f>
        <v>2015</v>
      </c>
      <c r="B105" s="2036"/>
      <c r="C105" s="433"/>
      <c r="D105" s="154"/>
      <c r="E105" s="156"/>
      <c r="F105" s="156"/>
      <c r="G105" s="436"/>
      <c r="H105" s="442" t="str">
        <f>OBRA!AD104</f>
        <v>-</v>
      </c>
      <c r="I105" s="438"/>
      <c r="J105" s="444" t="str">
        <f>OBRA!AE104</f>
        <v>-</v>
      </c>
      <c r="K105" s="439"/>
      <c r="L105" s="442" t="str">
        <f>OBRA!AF104</f>
        <v>-</v>
      </c>
      <c r="M105" s="440"/>
      <c r="N105" s="442" t="str">
        <f>OBRA!AG104</f>
        <v>-</v>
      </c>
      <c r="O105" s="152"/>
      <c r="P105" s="152"/>
      <c r="Q105" s="439"/>
      <c r="R105" s="445" t="str">
        <f>OBRA!AH104</f>
        <v>-</v>
      </c>
      <c r="S105" s="423"/>
      <c r="T105" s="446" t="str">
        <f>OBRA!U104</f>
        <v>-</v>
      </c>
      <c r="U105" s="447" t="str">
        <f>OBRA!V104</f>
        <v>JUAN CARLOS NAVARRO ROSALES</v>
      </c>
      <c r="V105" s="1281"/>
      <c r="W105" s="20" t="str">
        <f>OBRA!L104</f>
        <v>DOP/AD/002/2015</v>
      </c>
      <c r="X105" s="13"/>
      <c r="Y105" s="13"/>
      <c r="Z105" s="448" t="str">
        <f>OBRA!K104</f>
        <v>CUENTA CORRIENTE</v>
      </c>
      <c r="AA105" s="13"/>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428">
        <f>OBRA!S104</f>
        <v>42195</v>
      </c>
      <c r="AH105" s="54"/>
      <c r="AI105" s="231"/>
      <c r="AJ105" s="267"/>
      <c r="AK105" s="267"/>
      <c r="AL105" s="432"/>
      <c r="AM105" s="573" t="str">
        <f>GRAL!B106</f>
        <v>2012-2015</v>
      </c>
      <c r="AN105" s="574"/>
      <c r="AO105" s="13"/>
    </row>
    <row r="106" spans="1:41" ht="75.75" hidden="1" thickTop="1">
      <c r="A106" s="166">
        <f>OBRA!I105</f>
        <v>2015</v>
      </c>
      <c r="B106" s="2036"/>
      <c r="C106" s="433"/>
      <c r="D106" s="154"/>
      <c r="E106" s="156"/>
      <c r="F106" s="156"/>
      <c r="G106" s="436"/>
      <c r="H106" s="442" t="str">
        <f>OBRA!AD105</f>
        <v>-</v>
      </c>
      <c r="I106" s="438"/>
      <c r="J106" s="444" t="str">
        <f>OBRA!AE105</f>
        <v>-</v>
      </c>
      <c r="K106" s="439"/>
      <c r="L106" s="442" t="str">
        <f>OBRA!AF105</f>
        <v>-</v>
      </c>
      <c r="M106" s="440"/>
      <c r="N106" s="442" t="str">
        <f>OBRA!AG105</f>
        <v>-</v>
      </c>
      <c r="O106" s="152"/>
      <c r="P106" s="152"/>
      <c r="Q106" s="439"/>
      <c r="R106" s="445" t="str">
        <f>OBRA!AH105</f>
        <v>-</v>
      </c>
      <c r="S106" s="423"/>
      <c r="T106" s="446" t="str">
        <f>OBRA!U105</f>
        <v>-</v>
      </c>
      <c r="U106" s="447" t="str">
        <f>OBRA!V105</f>
        <v>JUAN CARLOS NAVARRO ROSALES</v>
      </c>
      <c r="V106" s="1281"/>
      <c r="W106" s="20" t="str">
        <f>OBRA!L105</f>
        <v>DOP/AD/003/2015</v>
      </c>
      <c r="X106" s="13"/>
      <c r="Y106" s="13"/>
      <c r="Z106" s="448" t="str">
        <f>OBRA!K105</f>
        <v>CUENTA CORRIENTE</v>
      </c>
      <c r="AA106" s="13"/>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428">
        <f>OBRA!S105</f>
        <v>42195</v>
      </c>
      <c r="AH106" s="54"/>
      <c r="AI106" s="231"/>
      <c r="AJ106" s="267"/>
      <c r="AK106" s="267"/>
      <c r="AL106" s="432"/>
      <c r="AM106" s="573" t="str">
        <f>GRAL!B107</f>
        <v>2012-2015</v>
      </c>
      <c r="AN106" s="574"/>
      <c r="AO106" s="13"/>
    </row>
    <row r="107" spans="1:41" ht="60.75" hidden="1" thickTop="1">
      <c r="A107" s="166">
        <f>OBRA!I106</f>
        <v>2015</v>
      </c>
      <c r="B107" s="2036"/>
      <c r="C107" s="433"/>
      <c r="D107" s="154"/>
      <c r="E107" s="156"/>
      <c r="F107" s="156"/>
      <c r="G107" s="436"/>
      <c r="H107" s="442" t="str">
        <f>OBRA!AD106</f>
        <v>-</v>
      </c>
      <c r="I107" s="438"/>
      <c r="J107" s="444" t="str">
        <f>OBRA!AE106</f>
        <v>-</v>
      </c>
      <c r="K107" s="439"/>
      <c r="L107" s="442" t="str">
        <f>OBRA!AF106</f>
        <v>-</v>
      </c>
      <c r="M107" s="440"/>
      <c r="N107" s="442" t="str">
        <f>OBRA!AG106</f>
        <v>-</v>
      </c>
      <c r="O107" s="152"/>
      <c r="P107" s="152"/>
      <c r="Q107" s="439"/>
      <c r="R107" s="445" t="str">
        <f>OBRA!AH106</f>
        <v>-</v>
      </c>
      <c r="S107" s="423"/>
      <c r="T107" s="446" t="str">
        <f>OBRA!U106</f>
        <v>-</v>
      </c>
      <c r="U107" s="447" t="str">
        <f>OBRA!V106</f>
        <v>JUAN CARLOS NAVARRO ROSALES</v>
      </c>
      <c r="V107" s="1281"/>
      <c r="W107" s="20" t="str">
        <f>OBRA!L106</f>
        <v>DOP/AD/004/2015</v>
      </c>
      <c r="X107" s="13"/>
      <c r="Y107" s="13"/>
      <c r="Z107" s="448" t="str">
        <f>OBRA!K106</f>
        <v>RAMO 33</v>
      </c>
      <c r="AA107" s="13"/>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428">
        <f>OBRA!S106</f>
        <v>42200</v>
      </c>
      <c r="AH107" s="54"/>
      <c r="AI107" s="231"/>
      <c r="AJ107" s="267"/>
      <c r="AK107" s="267"/>
      <c r="AL107" s="432"/>
      <c r="AM107" s="573" t="str">
        <f>GRAL!B108</f>
        <v>2012-2015</v>
      </c>
      <c r="AN107" s="574"/>
      <c r="AO107" s="13"/>
    </row>
    <row r="108" spans="1:41" ht="60.75" hidden="1" thickTop="1">
      <c r="A108" s="166">
        <f>OBRA!I107</f>
        <v>2015</v>
      </c>
      <c r="B108" s="2036"/>
      <c r="C108" s="433"/>
      <c r="D108" s="154"/>
      <c r="E108" s="156"/>
      <c r="F108" s="156"/>
      <c r="G108" s="436"/>
      <c r="H108" s="442" t="str">
        <f>OBRA!AD107</f>
        <v>-</v>
      </c>
      <c r="I108" s="438"/>
      <c r="J108" s="444" t="str">
        <f>OBRA!AE107</f>
        <v>-</v>
      </c>
      <c r="K108" s="439"/>
      <c r="L108" s="442" t="str">
        <f>OBRA!AF107</f>
        <v>-</v>
      </c>
      <c r="M108" s="440"/>
      <c r="N108" s="442" t="str">
        <f>OBRA!AG107</f>
        <v>-</v>
      </c>
      <c r="O108" s="152"/>
      <c r="P108" s="152"/>
      <c r="Q108" s="439"/>
      <c r="R108" s="445" t="str">
        <f>OBRA!AH107</f>
        <v>-</v>
      </c>
      <c r="S108" s="423"/>
      <c r="T108" s="446" t="str">
        <f>OBRA!U107</f>
        <v>-</v>
      </c>
      <c r="U108" s="447" t="str">
        <f>OBRA!V107</f>
        <v>JUAN CARLOS NAVARRO ROSALES</v>
      </c>
      <c r="V108" s="1281"/>
      <c r="W108" s="20" t="str">
        <f>OBRA!L107</f>
        <v>DOP/AD/005/2015</v>
      </c>
      <c r="X108" s="13"/>
      <c r="Y108" s="13"/>
      <c r="Z108" s="448" t="str">
        <f>OBRA!K107</f>
        <v>RAMO 33</v>
      </c>
      <c r="AA108" s="13"/>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428">
        <f>OBRA!S107</f>
        <v>42216</v>
      </c>
      <c r="AH108" s="54"/>
      <c r="AI108" s="231"/>
      <c r="AJ108" s="267"/>
      <c r="AK108" s="267"/>
      <c r="AL108" s="432"/>
      <c r="AM108" s="573" t="str">
        <f>GRAL!B109</f>
        <v>2012-2015</v>
      </c>
      <c r="AN108" s="574"/>
      <c r="AO108" s="13"/>
    </row>
    <row r="109" spans="1:41" ht="45.75" hidden="1" thickTop="1">
      <c r="A109" s="166">
        <f>OBRA!I108</f>
        <v>2015</v>
      </c>
      <c r="B109" s="2036"/>
      <c r="C109" s="433"/>
      <c r="D109" s="154"/>
      <c r="E109" s="156"/>
      <c r="F109" s="156"/>
      <c r="G109" s="436"/>
      <c r="H109" s="442" t="str">
        <f>OBRA!AD108</f>
        <v>-</v>
      </c>
      <c r="I109" s="438"/>
      <c r="J109" s="444" t="str">
        <f>OBRA!AE108</f>
        <v>-</v>
      </c>
      <c r="K109" s="439"/>
      <c r="L109" s="442" t="str">
        <f>OBRA!AF108</f>
        <v>-</v>
      </c>
      <c r="M109" s="440"/>
      <c r="N109" s="442" t="str">
        <f>OBRA!AG108</f>
        <v>-</v>
      </c>
      <c r="O109" s="152"/>
      <c r="P109" s="152"/>
      <c r="Q109" s="439"/>
      <c r="R109" s="445" t="str">
        <f>OBRA!AH108</f>
        <v>-</v>
      </c>
      <c r="S109" s="423"/>
      <c r="T109" s="446" t="str">
        <f>OBRA!U108</f>
        <v>-</v>
      </c>
      <c r="U109" s="447" t="str">
        <f>OBRA!V108</f>
        <v>JUAN CARLOS NAVARRO ROSALES</v>
      </c>
      <c r="V109" s="1281"/>
      <c r="W109" s="20" t="str">
        <f>OBRA!L108</f>
        <v>DOP/AD/006/2015</v>
      </c>
      <c r="X109" s="13"/>
      <c r="Y109" s="13"/>
      <c r="Z109" s="448" t="str">
        <f>OBRA!K108</f>
        <v>RAMO 33</v>
      </c>
      <c r="AA109" s="13"/>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428">
        <f>OBRA!S108</f>
        <v>42216</v>
      </c>
      <c r="AH109" s="54"/>
      <c r="AI109" s="231"/>
      <c r="AJ109" s="267"/>
      <c r="AK109" s="267"/>
      <c r="AL109" s="432"/>
      <c r="AM109" s="573" t="str">
        <f>GRAL!B110</f>
        <v>2012-2015</v>
      </c>
      <c r="AN109" s="574"/>
      <c r="AO109" s="13"/>
    </row>
    <row r="110" spans="1:41" ht="45.75" hidden="1" thickTop="1">
      <c r="A110" s="166">
        <f>OBRA!I109</f>
        <v>2015</v>
      </c>
      <c r="B110" s="2036"/>
      <c r="C110" s="433"/>
      <c r="D110" s="154"/>
      <c r="E110" s="156"/>
      <c r="F110" s="156"/>
      <c r="G110" s="436"/>
      <c r="H110" s="442" t="str">
        <f>OBRA!AD109</f>
        <v>-</v>
      </c>
      <c r="I110" s="438"/>
      <c r="J110" s="444" t="str">
        <f>OBRA!AE109</f>
        <v>-</v>
      </c>
      <c r="K110" s="439"/>
      <c r="L110" s="442" t="str">
        <f>OBRA!AF109</f>
        <v>-</v>
      </c>
      <c r="M110" s="440"/>
      <c r="N110" s="442" t="str">
        <f>OBRA!AG109</f>
        <v>-</v>
      </c>
      <c r="O110" s="152"/>
      <c r="P110" s="152"/>
      <c r="Q110" s="439"/>
      <c r="R110" s="445" t="str">
        <f>OBRA!AH109</f>
        <v>-</v>
      </c>
      <c r="S110" s="423"/>
      <c r="T110" s="446" t="str">
        <f>OBRA!U109</f>
        <v>-</v>
      </c>
      <c r="U110" s="447" t="str">
        <f>OBRA!V109</f>
        <v>JUAN CARLOS NAVARRO ROSALES</v>
      </c>
      <c r="V110" s="1281"/>
      <c r="W110" s="20" t="str">
        <f>OBRA!L109</f>
        <v>DOP/AD/007/2015</v>
      </c>
      <c r="X110" s="13"/>
      <c r="Y110" s="13"/>
      <c r="Z110" s="448" t="str">
        <f>OBRA!K109</f>
        <v>RAMO 33</v>
      </c>
      <c r="AA110" s="13"/>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428">
        <f>OBRA!S109</f>
        <v>42226</v>
      </c>
      <c r="AH110" s="54"/>
      <c r="AI110" s="231"/>
      <c r="AJ110" s="267"/>
      <c r="AK110" s="267"/>
      <c r="AL110" s="432"/>
      <c r="AM110" s="573" t="str">
        <f>GRAL!B111</f>
        <v>2012-2015</v>
      </c>
      <c r="AN110" s="574"/>
      <c r="AO110" s="13"/>
    </row>
    <row r="111" spans="1:41" ht="60.75" hidden="1" thickTop="1">
      <c r="A111" s="166">
        <f>OBRA!I110</f>
        <v>2015</v>
      </c>
      <c r="B111" s="2036"/>
      <c r="C111" s="433"/>
      <c r="D111" s="154"/>
      <c r="E111" s="156"/>
      <c r="F111" s="156"/>
      <c r="G111" s="436"/>
      <c r="H111" s="442" t="str">
        <f>OBRA!AD110</f>
        <v>-</v>
      </c>
      <c r="I111" s="438"/>
      <c r="J111" s="444" t="str">
        <f>OBRA!AE110</f>
        <v>-</v>
      </c>
      <c r="K111" s="439"/>
      <c r="L111" s="442" t="str">
        <f>OBRA!AF110</f>
        <v>-</v>
      </c>
      <c r="M111" s="440"/>
      <c r="N111" s="442" t="str">
        <f>OBRA!AG110</f>
        <v>-</v>
      </c>
      <c r="O111" s="152"/>
      <c r="P111" s="152"/>
      <c r="Q111" s="439"/>
      <c r="R111" s="445" t="str">
        <f>OBRA!AH110</f>
        <v>-</v>
      </c>
      <c r="S111" s="423"/>
      <c r="T111" s="446" t="str">
        <f>OBRA!U110</f>
        <v>-</v>
      </c>
      <c r="U111" s="447" t="str">
        <f>OBRA!V110</f>
        <v>JUAN CARLOS NAVARRO ROSALES</v>
      </c>
      <c r="V111" s="1281"/>
      <c r="W111" s="20" t="str">
        <f>OBRA!L110</f>
        <v>DOP/AD/008/2015</v>
      </c>
      <c r="X111" s="13"/>
      <c r="Y111" s="13"/>
      <c r="Z111" s="448" t="str">
        <f>OBRA!K110</f>
        <v>RAMO 33</v>
      </c>
      <c r="AA111" s="13"/>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428">
        <f>OBRA!S110</f>
        <v>42216</v>
      </c>
      <c r="AH111" s="54"/>
      <c r="AI111" s="231"/>
      <c r="AJ111" s="267"/>
      <c r="AK111" s="267"/>
      <c r="AL111" s="432"/>
      <c r="AM111" s="573" t="str">
        <f>GRAL!B112</f>
        <v>2012-2015</v>
      </c>
      <c r="AN111" s="574"/>
      <c r="AO111" s="13"/>
    </row>
    <row r="112" spans="1:41" ht="45.75" hidden="1" thickTop="1">
      <c r="A112" s="166">
        <f>OBRA!I111</f>
        <v>2015</v>
      </c>
      <c r="B112" s="2036"/>
      <c r="C112" s="433"/>
      <c r="D112" s="154"/>
      <c r="E112" s="156"/>
      <c r="F112" s="156"/>
      <c r="G112" s="436"/>
      <c r="H112" s="442" t="str">
        <f>OBRA!AD111</f>
        <v>-</v>
      </c>
      <c r="I112" s="438"/>
      <c r="J112" s="444" t="str">
        <f>OBRA!AE111</f>
        <v>-</v>
      </c>
      <c r="K112" s="439"/>
      <c r="L112" s="442" t="str">
        <f>OBRA!AF111</f>
        <v>-</v>
      </c>
      <c r="M112" s="440"/>
      <c r="N112" s="442" t="str">
        <f>OBRA!AG111</f>
        <v>-</v>
      </c>
      <c r="O112" s="152"/>
      <c r="P112" s="152"/>
      <c r="Q112" s="439"/>
      <c r="R112" s="445" t="str">
        <f>OBRA!AH111</f>
        <v>-</v>
      </c>
      <c r="S112" s="423"/>
      <c r="T112" s="446" t="str">
        <f>OBRA!U111</f>
        <v>-</v>
      </c>
      <c r="U112" s="447" t="str">
        <f>OBRA!V111</f>
        <v>JUAN CARLOS NAVARRO ROSALES</v>
      </c>
      <c r="V112" s="1281"/>
      <c r="W112" s="20" t="str">
        <f>OBRA!L111</f>
        <v>DOP/AD/009/2015</v>
      </c>
      <c r="X112" s="13"/>
      <c r="Y112" s="13"/>
      <c r="Z112" s="448" t="str">
        <f>OBRA!K111</f>
        <v>RAMO 33</v>
      </c>
      <c r="AA112" s="13"/>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428">
        <f>OBRA!S111</f>
        <v>42210</v>
      </c>
      <c r="AH112" s="54"/>
      <c r="AI112" s="231"/>
      <c r="AJ112" s="267"/>
      <c r="AK112" s="267"/>
      <c r="AL112" s="432"/>
      <c r="AM112" s="573" t="str">
        <f>GRAL!B113</f>
        <v>2012-2015</v>
      </c>
      <c r="AN112" s="574"/>
      <c r="AO112" s="13"/>
    </row>
    <row r="113" spans="1:41" ht="60.75" hidden="1" thickTop="1">
      <c r="A113" s="166">
        <f>OBRA!I112</f>
        <v>2015</v>
      </c>
      <c r="B113" s="2036"/>
      <c r="C113" s="433"/>
      <c r="D113" s="154"/>
      <c r="E113" s="156"/>
      <c r="F113" s="156"/>
      <c r="G113" s="436"/>
      <c r="H113" s="442" t="str">
        <f>OBRA!AD112</f>
        <v>-</v>
      </c>
      <c r="I113" s="438"/>
      <c r="J113" s="444" t="str">
        <f>OBRA!AE112</f>
        <v>-</v>
      </c>
      <c r="K113" s="439"/>
      <c r="L113" s="442" t="str">
        <f>OBRA!AF112</f>
        <v>-</v>
      </c>
      <c r="M113" s="440"/>
      <c r="N113" s="442" t="str">
        <f>OBRA!AG112</f>
        <v>-</v>
      </c>
      <c r="O113" s="152"/>
      <c r="P113" s="152"/>
      <c r="Q113" s="439"/>
      <c r="R113" s="445" t="str">
        <f>OBRA!AH112</f>
        <v>-</v>
      </c>
      <c r="S113" s="423"/>
      <c r="T113" s="446" t="str">
        <f>OBRA!U112</f>
        <v>-</v>
      </c>
      <c r="U113" s="447" t="str">
        <f>OBRA!V112</f>
        <v>JUAN CARLOS NAVARRO ROSALES</v>
      </c>
      <c r="V113" s="1281"/>
      <c r="W113" s="20" t="str">
        <f>OBRA!L112</f>
        <v>DOP/AD/010/2015</v>
      </c>
      <c r="X113" s="13"/>
      <c r="Y113" s="13"/>
      <c r="Z113" s="448" t="str">
        <f>OBRA!K112</f>
        <v>RAMO 33</v>
      </c>
      <c r="AA113" s="13"/>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428">
        <f>OBRA!S112</f>
        <v>42226</v>
      </c>
      <c r="AH113" s="54"/>
      <c r="AI113" s="231"/>
      <c r="AJ113" s="267"/>
      <c r="AK113" s="267"/>
      <c r="AL113" s="432"/>
      <c r="AM113" s="573" t="str">
        <f>GRAL!B114</f>
        <v>2012-2015</v>
      </c>
      <c r="AN113" s="574"/>
      <c r="AO113" s="13"/>
    </row>
    <row r="114" spans="1:41" ht="60.75" hidden="1" thickTop="1">
      <c r="A114" s="166">
        <f>OBRA!I113</f>
        <v>2015</v>
      </c>
      <c r="B114" s="2036"/>
      <c r="C114" s="433"/>
      <c r="D114" s="154"/>
      <c r="E114" s="156"/>
      <c r="F114" s="156"/>
      <c r="G114" s="436"/>
      <c r="H114" s="442" t="str">
        <f>OBRA!AD113</f>
        <v>-</v>
      </c>
      <c r="I114" s="438"/>
      <c r="J114" s="444" t="str">
        <f>OBRA!AE113</f>
        <v>-</v>
      </c>
      <c r="K114" s="439"/>
      <c r="L114" s="442" t="str">
        <f>OBRA!AF113</f>
        <v>-</v>
      </c>
      <c r="M114" s="440"/>
      <c r="N114" s="442" t="str">
        <f>OBRA!AG113</f>
        <v>-</v>
      </c>
      <c r="O114" s="152"/>
      <c r="P114" s="152"/>
      <c r="Q114" s="439"/>
      <c r="R114" s="445" t="str">
        <f>OBRA!AH113</f>
        <v>-</v>
      </c>
      <c r="S114" s="423"/>
      <c r="T114" s="446" t="str">
        <f>OBRA!U113</f>
        <v>-</v>
      </c>
      <c r="U114" s="447" t="str">
        <f>OBRA!V113</f>
        <v>JUAN CARLOS NAVARRO ROSALES</v>
      </c>
      <c r="V114" s="1281"/>
      <c r="W114" s="20" t="str">
        <f>OBRA!L113</f>
        <v>DOP/AD/011/2015</v>
      </c>
      <c r="X114" s="13"/>
      <c r="Y114" s="13"/>
      <c r="Z114" s="448" t="str">
        <f>OBRA!K113</f>
        <v>RAMO 33</v>
      </c>
      <c r="AA114" s="13"/>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428">
        <f>OBRA!S113</f>
        <v>42238</v>
      </c>
      <c r="AH114" s="54"/>
      <c r="AI114" s="231"/>
      <c r="AJ114" s="267"/>
      <c r="AK114" s="267"/>
      <c r="AL114" s="432"/>
      <c r="AM114" s="573" t="str">
        <f>GRAL!B115</f>
        <v>2012-2015</v>
      </c>
      <c r="AN114" s="574"/>
      <c r="AO114" s="13"/>
    </row>
    <row r="115" spans="1:41" ht="60.75" hidden="1" thickTop="1">
      <c r="A115" s="166">
        <f>OBRA!I114</f>
        <v>2015</v>
      </c>
      <c r="B115" s="2036"/>
      <c r="C115" s="433"/>
      <c r="D115" s="154"/>
      <c r="E115" s="156"/>
      <c r="F115" s="156"/>
      <c r="G115" s="436"/>
      <c r="H115" s="442" t="str">
        <f>OBRA!AD114</f>
        <v>-</v>
      </c>
      <c r="I115" s="438"/>
      <c r="J115" s="444" t="str">
        <f>OBRA!AE114</f>
        <v>-</v>
      </c>
      <c r="K115" s="439"/>
      <c r="L115" s="442" t="str">
        <f>OBRA!AF114</f>
        <v>-</v>
      </c>
      <c r="M115" s="440"/>
      <c r="N115" s="442" t="str">
        <f>OBRA!AG114</f>
        <v>-</v>
      </c>
      <c r="O115" s="152"/>
      <c r="P115" s="152"/>
      <c r="Q115" s="439"/>
      <c r="R115" s="445" t="str">
        <f>OBRA!AH114</f>
        <v>-</v>
      </c>
      <c r="S115" s="423"/>
      <c r="T115" s="446" t="str">
        <f>OBRA!U114</f>
        <v>-</v>
      </c>
      <c r="U115" s="447" t="str">
        <f>OBRA!V114</f>
        <v>JUAN CARLOS NAVARRO ROSALES</v>
      </c>
      <c r="V115" s="1281"/>
      <c r="W115" s="20" t="str">
        <f>OBRA!L114</f>
        <v>DOP/AD/012/2015</v>
      </c>
      <c r="X115" s="13"/>
      <c r="Y115" s="13"/>
      <c r="Z115" s="448" t="str">
        <f>OBRA!K114</f>
        <v>RAMO 33</v>
      </c>
      <c r="AA115" s="13"/>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428">
        <f>OBRA!S114</f>
        <v>42210</v>
      </c>
      <c r="AH115" s="54"/>
      <c r="AI115" s="231"/>
      <c r="AJ115" s="267"/>
      <c r="AK115" s="267"/>
      <c r="AL115" s="432"/>
      <c r="AM115" s="573" t="str">
        <f>GRAL!B116</f>
        <v>2012-2015</v>
      </c>
      <c r="AN115" s="574"/>
      <c r="AO115" s="13"/>
    </row>
    <row r="116" spans="1:41" ht="45.75" hidden="1" thickTop="1">
      <c r="A116" s="166">
        <f>OBRA!I115</f>
        <v>2015</v>
      </c>
      <c r="B116" s="2036"/>
      <c r="C116" s="433"/>
      <c r="D116" s="154"/>
      <c r="E116" s="156"/>
      <c r="F116" s="156"/>
      <c r="G116" s="436"/>
      <c r="H116" s="442" t="str">
        <f>OBRA!AD115</f>
        <v>-</v>
      </c>
      <c r="I116" s="438"/>
      <c r="J116" s="444" t="str">
        <f>OBRA!AE115</f>
        <v>-</v>
      </c>
      <c r="K116" s="439"/>
      <c r="L116" s="442" t="str">
        <f>OBRA!AF115</f>
        <v>-</v>
      </c>
      <c r="M116" s="440"/>
      <c r="N116" s="442" t="str">
        <f>OBRA!AG115</f>
        <v>-</v>
      </c>
      <c r="O116" s="152"/>
      <c r="P116" s="152"/>
      <c r="Q116" s="439"/>
      <c r="R116" s="445" t="str">
        <f>OBRA!AH115</f>
        <v>-</v>
      </c>
      <c r="S116" s="423"/>
      <c r="T116" s="446" t="str">
        <f>OBRA!U115</f>
        <v>-</v>
      </c>
      <c r="U116" s="447" t="str">
        <f>OBRA!V115</f>
        <v>JUAN CARLOS NAVARRO ROSALES</v>
      </c>
      <c r="V116" s="1281"/>
      <c r="W116" s="20" t="str">
        <f>OBRA!L115</f>
        <v>DOP/AD/013/2015</v>
      </c>
      <c r="X116" s="13"/>
      <c r="Y116" s="13"/>
      <c r="Z116" s="448" t="str">
        <f>OBRA!K115</f>
        <v>RAMO 33</v>
      </c>
      <c r="AA116" s="13"/>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428">
        <f>OBRA!S115</f>
        <v>42231</v>
      </c>
      <c r="AH116" s="54"/>
      <c r="AI116" s="231"/>
      <c r="AJ116" s="267"/>
      <c r="AK116" s="267"/>
      <c r="AL116" s="432"/>
      <c r="AM116" s="573" t="str">
        <f>GRAL!B117</f>
        <v>2012-2015</v>
      </c>
      <c r="AN116" s="574"/>
      <c r="AO116" s="13"/>
    </row>
    <row r="117" spans="1:41" ht="60.75" hidden="1" thickTop="1">
      <c r="A117" s="166">
        <f>OBRA!I116</f>
        <v>2015</v>
      </c>
      <c r="B117" s="2036"/>
      <c r="C117" s="433"/>
      <c r="D117" s="154"/>
      <c r="E117" s="156"/>
      <c r="F117" s="156"/>
      <c r="G117" s="436"/>
      <c r="H117" s="442" t="str">
        <f>OBRA!AD116</f>
        <v>-</v>
      </c>
      <c r="I117" s="438"/>
      <c r="J117" s="444" t="str">
        <f>OBRA!AE116</f>
        <v>-</v>
      </c>
      <c r="K117" s="439"/>
      <c r="L117" s="442" t="str">
        <f>OBRA!AF116</f>
        <v>-</v>
      </c>
      <c r="M117" s="440"/>
      <c r="N117" s="442" t="str">
        <f>OBRA!AG116</f>
        <v>-</v>
      </c>
      <c r="O117" s="152"/>
      <c r="P117" s="152"/>
      <c r="Q117" s="439"/>
      <c r="R117" s="445" t="str">
        <f>OBRA!AH116</f>
        <v>-</v>
      </c>
      <c r="S117" s="423"/>
      <c r="T117" s="446" t="str">
        <f>OBRA!U116</f>
        <v>-</v>
      </c>
      <c r="U117" s="447" t="str">
        <f>OBRA!V116</f>
        <v>JUAN CARLOS NAVARRO ROSALES</v>
      </c>
      <c r="V117" s="1281"/>
      <c r="W117" s="20" t="str">
        <f>OBRA!L116</f>
        <v>DOP/AD/014/2015</v>
      </c>
      <c r="X117" s="13"/>
      <c r="Y117" s="13"/>
      <c r="Z117" s="448" t="str">
        <f>OBRA!K116</f>
        <v>RAMO 33</v>
      </c>
      <c r="AA117" s="13"/>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428">
        <f>OBRA!S116</f>
        <v>42247</v>
      </c>
      <c r="AH117" s="54"/>
      <c r="AI117" s="231"/>
      <c r="AJ117" s="267"/>
      <c r="AK117" s="267"/>
      <c r="AL117" s="432"/>
      <c r="AM117" s="573" t="str">
        <f>GRAL!B118</f>
        <v>2012-2015</v>
      </c>
      <c r="AN117" s="574"/>
      <c r="AO117" s="13"/>
    </row>
    <row r="118" spans="1:41" ht="60.75" hidden="1" thickTop="1">
      <c r="A118" s="166">
        <f>OBRA!I117</f>
        <v>2015</v>
      </c>
      <c r="B118" s="2036"/>
      <c r="C118" s="433"/>
      <c r="D118" s="154"/>
      <c r="E118" s="156"/>
      <c r="F118" s="156"/>
      <c r="G118" s="436"/>
      <c r="H118" s="442" t="str">
        <f>OBRA!AD117</f>
        <v>-</v>
      </c>
      <c r="I118" s="438"/>
      <c r="J118" s="444" t="str">
        <f>OBRA!AE117</f>
        <v>-</v>
      </c>
      <c r="K118" s="439"/>
      <c r="L118" s="442" t="str">
        <f>OBRA!AF117</f>
        <v>-</v>
      </c>
      <c r="M118" s="440"/>
      <c r="N118" s="442" t="str">
        <f>OBRA!AG117</f>
        <v>-</v>
      </c>
      <c r="O118" s="152"/>
      <c r="P118" s="152"/>
      <c r="Q118" s="439"/>
      <c r="R118" s="445" t="str">
        <f>OBRA!AH117</f>
        <v>-</v>
      </c>
      <c r="S118" s="423"/>
      <c r="T118" s="446" t="str">
        <f>OBRA!U117</f>
        <v>-</v>
      </c>
      <c r="U118" s="447" t="str">
        <f>OBRA!V117</f>
        <v>JUAN CARLOS NAVARRO ROSALES</v>
      </c>
      <c r="V118" s="1281"/>
      <c r="W118" s="20" t="str">
        <f>OBRA!L117</f>
        <v>DOP/AD/015/2015</v>
      </c>
      <c r="X118" s="13"/>
      <c r="Y118" s="13"/>
      <c r="Z118" s="448" t="str">
        <f>OBRA!K117</f>
        <v>RAMO 33</v>
      </c>
      <c r="AA118" s="13"/>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428">
        <f>OBRA!S117</f>
        <v>42231</v>
      </c>
      <c r="AH118" s="54"/>
      <c r="AI118" s="231"/>
      <c r="AJ118" s="267"/>
      <c r="AK118" s="267"/>
      <c r="AL118" s="432"/>
      <c r="AM118" s="573" t="str">
        <f>GRAL!B119</f>
        <v>2012-2015</v>
      </c>
      <c r="AN118" s="574"/>
      <c r="AO118" s="13"/>
    </row>
    <row r="119" spans="1:41" ht="60.75" hidden="1" thickTop="1">
      <c r="A119" s="166">
        <f>OBRA!I118</f>
        <v>2015</v>
      </c>
      <c r="B119" s="2036"/>
      <c r="C119" s="433"/>
      <c r="D119" s="154"/>
      <c r="E119" s="156"/>
      <c r="F119" s="156"/>
      <c r="G119" s="436"/>
      <c r="H119" s="442" t="str">
        <f>OBRA!AD118</f>
        <v>-</v>
      </c>
      <c r="I119" s="438"/>
      <c r="J119" s="444" t="str">
        <f>OBRA!AE118</f>
        <v>-</v>
      </c>
      <c r="K119" s="439"/>
      <c r="L119" s="442" t="str">
        <f>OBRA!AF118</f>
        <v>-</v>
      </c>
      <c r="M119" s="440"/>
      <c r="N119" s="442" t="str">
        <f>OBRA!AG118</f>
        <v>-</v>
      </c>
      <c r="O119" s="152"/>
      <c r="P119" s="152"/>
      <c r="Q119" s="439"/>
      <c r="R119" s="445" t="str">
        <f>OBRA!AH118</f>
        <v>-</v>
      </c>
      <c r="S119" s="423"/>
      <c r="T119" s="446" t="str">
        <f>OBRA!U118</f>
        <v>-</v>
      </c>
      <c r="U119" s="447" t="str">
        <f>OBRA!V118</f>
        <v>JUAN CARLOS NAVARRO ROSALES</v>
      </c>
      <c r="V119" s="1281"/>
      <c r="W119" s="20" t="str">
        <f>OBRA!L118</f>
        <v>DOP/AD/016/2015</v>
      </c>
      <c r="X119" s="13"/>
      <c r="Y119" s="13"/>
      <c r="Z119" s="448" t="str">
        <f>OBRA!K118</f>
        <v>RAMO 33</v>
      </c>
      <c r="AA119" s="13"/>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428">
        <f>OBRA!S118</f>
        <v>42247</v>
      </c>
      <c r="AH119" s="54"/>
      <c r="AI119" s="231"/>
      <c r="AJ119" s="267"/>
      <c r="AK119" s="267"/>
      <c r="AL119" s="432"/>
      <c r="AM119" s="573" t="str">
        <f>GRAL!B120</f>
        <v>2012-2015</v>
      </c>
      <c r="AN119" s="574"/>
      <c r="AO119" s="13"/>
    </row>
    <row r="120" spans="1:41" ht="60.75" hidden="1" thickTop="1">
      <c r="A120" s="166">
        <f>OBRA!I119</f>
        <v>2015</v>
      </c>
      <c r="B120" s="2036"/>
      <c r="C120" s="433"/>
      <c r="D120" s="154"/>
      <c r="E120" s="156"/>
      <c r="F120" s="156"/>
      <c r="G120" s="436"/>
      <c r="H120" s="442" t="str">
        <f>OBRA!AD119</f>
        <v>-</v>
      </c>
      <c r="I120" s="438"/>
      <c r="J120" s="444" t="str">
        <f>OBRA!AE119</f>
        <v>-</v>
      </c>
      <c r="K120" s="439"/>
      <c r="L120" s="442" t="str">
        <f>OBRA!AF119</f>
        <v>-</v>
      </c>
      <c r="M120" s="440"/>
      <c r="N120" s="442" t="str">
        <f>OBRA!AG119</f>
        <v>-</v>
      </c>
      <c r="O120" s="152"/>
      <c r="P120" s="152"/>
      <c r="Q120" s="439"/>
      <c r="R120" s="445" t="str">
        <f>OBRA!AH119</f>
        <v>-</v>
      </c>
      <c r="S120" s="423"/>
      <c r="T120" s="446" t="str">
        <f>OBRA!U119</f>
        <v>HIDROLOGIAA PERFORACION Y GESTION DEL AGUA SA DE CV</v>
      </c>
      <c r="U120" s="447" t="str">
        <f>OBRA!V119</f>
        <v>ING. RIGOBERTO OLMEDO RAMOS</v>
      </c>
      <c r="V120" s="1281"/>
      <c r="W120" s="20" t="str">
        <f>OBRA!L119</f>
        <v>GMJ 007C OP/2015</v>
      </c>
      <c r="X120" s="13"/>
      <c r="Y120" s="13"/>
      <c r="Z120" s="448" t="str">
        <f>OBRA!K119</f>
        <v>RAMO 33</v>
      </c>
      <c r="AA120" s="13"/>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428">
        <f>OBRA!S119</f>
        <v>42263</v>
      </c>
      <c r="AH120" s="54"/>
      <c r="AI120" s="231"/>
      <c r="AJ120" s="267"/>
      <c r="AK120" s="267"/>
      <c r="AL120" s="432"/>
      <c r="AM120" s="573" t="str">
        <f>GRAL!B121</f>
        <v>2012-2015</v>
      </c>
      <c r="AN120" s="574"/>
      <c r="AO120" s="13"/>
    </row>
    <row r="121" spans="1:41" ht="60.75" hidden="1" thickTop="1">
      <c r="A121" s="166">
        <f>OBRA!I120</f>
        <v>2015</v>
      </c>
      <c r="B121" s="2036"/>
      <c r="C121" s="433"/>
      <c r="D121" s="154"/>
      <c r="E121" s="156"/>
      <c r="F121" s="156"/>
      <c r="G121" s="436"/>
      <c r="H121" s="442" t="str">
        <f>OBRA!AD120</f>
        <v>-</v>
      </c>
      <c r="I121" s="438"/>
      <c r="J121" s="444" t="str">
        <f>OBRA!AE120</f>
        <v>-</v>
      </c>
      <c r="K121" s="439"/>
      <c r="L121" s="442" t="str">
        <f>OBRA!AF120</f>
        <v>-</v>
      </c>
      <c r="M121" s="440"/>
      <c r="N121" s="442" t="str">
        <f>OBRA!AG120</f>
        <v>-</v>
      </c>
      <c r="O121" s="152"/>
      <c r="P121" s="152"/>
      <c r="Q121" s="439"/>
      <c r="R121" s="445" t="str">
        <f>OBRA!AH120</f>
        <v>-</v>
      </c>
      <c r="S121" s="423"/>
      <c r="T121" s="446" t="str">
        <f>OBRA!U120</f>
        <v>-</v>
      </c>
      <c r="U121" s="447" t="str">
        <f>OBRA!V120</f>
        <v>JUAN CARLOS NAVARRO ROSALES</v>
      </c>
      <c r="V121" s="1281"/>
      <c r="W121" s="20" t="str">
        <f>OBRA!L120</f>
        <v>DOP/AD/017/2015</v>
      </c>
      <c r="X121" s="13"/>
      <c r="Y121" s="13"/>
      <c r="Z121" s="448" t="str">
        <f>OBRA!K120</f>
        <v>RAMO 33</v>
      </c>
      <c r="AA121" s="13"/>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428">
        <f>OBRA!S120</f>
        <v>42231</v>
      </c>
      <c r="AH121" s="54"/>
      <c r="AI121" s="231"/>
      <c r="AJ121" s="267"/>
      <c r="AK121" s="267"/>
      <c r="AL121" s="432"/>
      <c r="AM121" s="573" t="str">
        <f>GRAL!B122</f>
        <v>2012-2015</v>
      </c>
      <c r="AN121" s="574"/>
      <c r="AO121" s="13"/>
    </row>
    <row r="122" spans="1:41" ht="60.75" hidden="1" thickTop="1">
      <c r="A122" s="166">
        <f>OBRA!I121</f>
        <v>2015</v>
      </c>
      <c r="B122" s="2036"/>
      <c r="C122" s="433"/>
      <c r="D122" s="154"/>
      <c r="E122" s="156"/>
      <c r="F122" s="156"/>
      <c r="G122" s="436"/>
      <c r="H122" s="442" t="str">
        <f>OBRA!AD121</f>
        <v>-</v>
      </c>
      <c r="I122" s="438"/>
      <c r="J122" s="444" t="str">
        <f>OBRA!AE121</f>
        <v>-</v>
      </c>
      <c r="K122" s="439"/>
      <c r="L122" s="442" t="str">
        <f>OBRA!AF121</f>
        <v>-</v>
      </c>
      <c r="M122" s="440"/>
      <c r="N122" s="442" t="str">
        <f>OBRA!AG121</f>
        <v>-</v>
      </c>
      <c r="O122" s="152"/>
      <c r="P122" s="152"/>
      <c r="Q122" s="439"/>
      <c r="R122" s="445" t="str">
        <f>OBRA!AH121</f>
        <v>-</v>
      </c>
      <c r="S122" s="423"/>
      <c r="T122" s="446" t="str">
        <f>OBRA!U121</f>
        <v>-</v>
      </c>
      <c r="U122" s="447" t="str">
        <f>OBRA!V121</f>
        <v>JUAN CARLOS NAVARRO ROSALES</v>
      </c>
      <c r="V122" s="1281"/>
      <c r="W122" s="20" t="str">
        <f>OBRA!L121</f>
        <v>DOP/AD/018/2015</v>
      </c>
      <c r="X122" s="13"/>
      <c r="Y122" s="13"/>
      <c r="Z122" s="448" t="str">
        <f>OBRA!K121</f>
        <v>RAMO 33</v>
      </c>
      <c r="AA122" s="13"/>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428">
        <f>OBRA!S121</f>
        <v>42195</v>
      </c>
      <c r="AH122" s="54"/>
      <c r="AI122" s="231"/>
      <c r="AJ122" s="267"/>
      <c r="AK122" s="267"/>
      <c r="AL122" s="432"/>
      <c r="AM122" s="573" t="str">
        <f>GRAL!B123</f>
        <v>2012-2015</v>
      </c>
      <c r="AN122" s="574"/>
      <c r="AO122" s="13"/>
    </row>
    <row r="123" spans="1:41" ht="60.75" hidden="1" thickTop="1">
      <c r="A123" s="166">
        <f>OBRA!I122</f>
        <v>2015</v>
      </c>
      <c r="B123" s="2036"/>
      <c r="C123" s="433"/>
      <c r="D123" s="154"/>
      <c r="E123" s="156"/>
      <c r="F123" s="156"/>
      <c r="G123" s="436"/>
      <c r="H123" s="442" t="str">
        <f>OBRA!AD122</f>
        <v>-</v>
      </c>
      <c r="I123" s="438"/>
      <c r="J123" s="444" t="str">
        <f>OBRA!AE122</f>
        <v>-</v>
      </c>
      <c r="K123" s="439"/>
      <c r="L123" s="442" t="str">
        <f>OBRA!AF122</f>
        <v>-</v>
      </c>
      <c r="M123" s="440"/>
      <c r="N123" s="442" t="str">
        <f>OBRA!AG122</f>
        <v>-</v>
      </c>
      <c r="O123" s="152"/>
      <c r="P123" s="152"/>
      <c r="Q123" s="439"/>
      <c r="R123" s="445" t="str">
        <f>OBRA!AH122</f>
        <v>-</v>
      </c>
      <c r="S123" s="423"/>
      <c r="T123" s="446" t="str">
        <f>OBRA!U122</f>
        <v>-</v>
      </c>
      <c r="U123" s="447" t="str">
        <f>OBRA!V122</f>
        <v>JUAN CARLOS NAVARRO ROSALES</v>
      </c>
      <c r="V123" s="1281"/>
      <c r="W123" s="20" t="str">
        <f>OBRA!L122</f>
        <v>DOP/AD/019/2015</v>
      </c>
      <c r="X123" s="13"/>
      <c r="Y123" s="13"/>
      <c r="Z123" s="448" t="str">
        <f>OBRA!K122</f>
        <v>RAMO 33</v>
      </c>
      <c r="AA123" s="13"/>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428">
        <f>OBRA!S122</f>
        <v>42231</v>
      </c>
      <c r="AH123" s="54"/>
      <c r="AI123" s="231"/>
      <c r="AJ123" s="267"/>
      <c r="AK123" s="267"/>
      <c r="AL123" s="432"/>
      <c r="AM123" s="573" t="str">
        <f>GRAL!B124</f>
        <v>2012-2015</v>
      </c>
      <c r="AN123" s="574"/>
      <c r="AO123" s="13"/>
    </row>
    <row r="124" spans="1:41" ht="60.75" hidden="1" thickTop="1">
      <c r="A124" s="166">
        <f>OBRA!I123</f>
        <v>2015</v>
      </c>
      <c r="B124" s="2036"/>
      <c r="C124" s="433"/>
      <c r="D124" s="154"/>
      <c r="E124" s="156"/>
      <c r="F124" s="156"/>
      <c r="G124" s="436"/>
      <c r="H124" s="442" t="str">
        <f>OBRA!AD123</f>
        <v>-</v>
      </c>
      <c r="I124" s="438"/>
      <c r="J124" s="444" t="str">
        <f>OBRA!AE123</f>
        <v>-</v>
      </c>
      <c r="K124" s="439"/>
      <c r="L124" s="442" t="str">
        <f>OBRA!AF123</f>
        <v>-</v>
      </c>
      <c r="M124" s="440"/>
      <c r="N124" s="442" t="str">
        <f>OBRA!AG123</f>
        <v>-</v>
      </c>
      <c r="O124" s="152"/>
      <c r="P124" s="152"/>
      <c r="Q124" s="439"/>
      <c r="R124" s="445" t="str">
        <f>OBRA!AH123</f>
        <v>-</v>
      </c>
      <c r="S124" s="423"/>
      <c r="T124" s="446" t="str">
        <f>OBRA!U123</f>
        <v>-</v>
      </c>
      <c r="U124" s="447" t="str">
        <f>OBRA!V123</f>
        <v>JUAN CARLOS NAVARRO ROSALES</v>
      </c>
      <c r="V124" s="1281"/>
      <c r="W124" s="20" t="str">
        <f>OBRA!L123</f>
        <v>DOP/AD/020/2015</v>
      </c>
      <c r="X124" s="13"/>
      <c r="Y124" s="13"/>
      <c r="Z124" s="448" t="str">
        <f>OBRA!K123</f>
        <v>RAMO 33</v>
      </c>
      <c r="AA124" s="13"/>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428">
        <f>OBRA!S123</f>
        <v>42247</v>
      </c>
      <c r="AH124" s="54"/>
      <c r="AI124" s="231"/>
      <c r="AJ124" s="267"/>
      <c r="AK124" s="267"/>
      <c r="AL124" s="432"/>
      <c r="AM124" s="573" t="str">
        <f>GRAL!B125</f>
        <v>2012-2015</v>
      </c>
      <c r="AN124" s="574"/>
      <c r="AO124" s="13"/>
    </row>
    <row r="125" spans="1:41" ht="60.75" hidden="1" thickTop="1">
      <c r="A125" s="166">
        <f>OBRA!I124</f>
        <v>2015</v>
      </c>
      <c r="B125" s="2036"/>
      <c r="C125" s="433"/>
      <c r="D125" s="154"/>
      <c r="E125" s="156"/>
      <c r="F125" s="156"/>
      <c r="G125" s="436"/>
      <c r="H125" s="442" t="str">
        <f>OBRA!AD124</f>
        <v>-</v>
      </c>
      <c r="I125" s="438"/>
      <c r="J125" s="444" t="str">
        <f>OBRA!AE124</f>
        <v>-</v>
      </c>
      <c r="K125" s="439"/>
      <c r="L125" s="442" t="str">
        <f>OBRA!AF124</f>
        <v>-</v>
      </c>
      <c r="M125" s="440"/>
      <c r="N125" s="442" t="str">
        <f>OBRA!AG124</f>
        <v>-</v>
      </c>
      <c r="O125" s="152"/>
      <c r="P125" s="152"/>
      <c r="Q125" s="439"/>
      <c r="R125" s="445" t="str">
        <f>OBRA!AH124</f>
        <v>-</v>
      </c>
      <c r="S125" s="423"/>
      <c r="T125" s="446" t="str">
        <f>OBRA!U124</f>
        <v>-</v>
      </c>
      <c r="U125" s="447" t="str">
        <f>OBRA!V124</f>
        <v>JUAN CARLOS NAVARRO ROSALES</v>
      </c>
      <c r="V125" s="1281"/>
      <c r="W125" s="20" t="str">
        <f>OBRA!L124</f>
        <v>DOP/AD/021/2015</v>
      </c>
      <c r="X125" s="13"/>
      <c r="Y125" s="13"/>
      <c r="Z125" s="448" t="str">
        <f>OBRA!K124</f>
        <v>RAMO 33</v>
      </c>
      <c r="AA125" s="13"/>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428">
        <f>OBRA!S124</f>
        <v>42245</v>
      </c>
      <c r="AH125" s="54"/>
      <c r="AI125" s="231"/>
      <c r="AJ125" s="267"/>
      <c r="AK125" s="267"/>
      <c r="AL125" s="432"/>
      <c r="AM125" s="573" t="str">
        <f>GRAL!B126</f>
        <v>2012-2015</v>
      </c>
      <c r="AN125" s="574"/>
      <c r="AO125" s="13"/>
    </row>
    <row r="126" spans="1:41" ht="45.75" hidden="1" thickTop="1">
      <c r="A126" s="166">
        <f>OBRA!I125</f>
        <v>2015</v>
      </c>
      <c r="B126" s="2036"/>
      <c r="C126" s="433"/>
      <c r="D126" s="154"/>
      <c r="E126" s="156"/>
      <c r="F126" s="156"/>
      <c r="G126" s="436"/>
      <c r="H126" s="442" t="str">
        <f>OBRA!AD125</f>
        <v>-</v>
      </c>
      <c r="I126" s="438"/>
      <c r="J126" s="444" t="str">
        <f>OBRA!AE125</f>
        <v>-</v>
      </c>
      <c r="K126" s="439"/>
      <c r="L126" s="442" t="str">
        <f>OBRA!AF125</f>
        <v>-</v>
      </c>
      <c r="M126" s="440"/>
      <c r="N126" s="442" t="str">
        <f>OBRA!AG125</f>
        <v>-</v>
      </c>
      <c r="O126" s="152"/>
      <c r="P126" s="152"/>
      <c r="Q126" s="439"/>
      <c r="R126" s="445" t="str">
        <f>OBRA!AH125</f>
        <v>-</v>
      </c>
      <c r="S126" s="423"/>
      <c r="T126" s="446" t="str">
        <f>OBRA!U125</f>
        <v>-</v>
      </c>
      <c r="U126" s="447" t="str">
        <f>OBRA!V125</f>
        <v>JUAN CARLOS NAVARRO ROSALES</v>
      </c>
      <c r="V126" s="1281"/>
      <c r="W126" s="20" t="str">
        <f>OBRA!L125</f>
        <v>DOP/AD/022/2015</v>
      </c>
      <c r="X126" s="13"/>
      <c r="Y126" s="13"/>
      <c r="Z126" s="448" t="str">
        <f>OBRA!K125</f>
        <v>RAMO 33</v>
      </c>
      <c r="AA126" s="13"/>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428">
        <f>OBRA!S125</f>
        <v>42247</v>
      </c>
      <c r="AH126" s="54"/>
      <c r="AI126" s="231"/>
      <c r="AJ126" s="267"/>
      <c r="AK126" s="267"/>
      <c r="AL126" s="432"/>
      <c r="AM126" s="573" t="str">
        <f>GRAL!B127</f>
        <v>2012-2015</v>
      </c>
      <c r="AN126" s="574"/>
      <c r="AO126" s="13"/>
    </row>
    <row r="127" spans="1:41" ht="75.75" hidden="1" thickTop="1">
      <c r="A127" s="166">
        <f>OBRA!I126</f>
        <v>2015</v>
      </c>
      <c r="B127" s="2036"/>
      <c r="C127" s="433"/>
      <c r="D127" s="154"/>
      <c r="E127" s="156"/>
      <c r="F127" s="156"/>
      <c r="G127" s="436"/>
      <c r="H127" s="442" t="str">
        <f>OBRA!AD126</f>
        <v>-</v>
      </c>
      <c r="I127" s="438"/>
      <c r="J127" s="444" t="str">
        <f>OBRA!AE126</f>
        <v>-</v>
      </c>
      <c r="K127" s="439"/>
      <c r="L127" s="442" t="str">
        <f>OBRA!AF126</f>
        <v>-</v>
      </c>
      <c r="M127" s="440"/>
      <c r="N127" s="442" t="str">
        <f>OBRA!AG126</f>
        <v>-</v>
      </c>
      <c r="O127" s="152"/>
      <c r="P127" s="152"/>
      <c r="Q127" s="439"/>
      <c r="R127" s="445" t="str">
        <f>OBRA!AH126</f>
        <v>-</v>
      </c>
      <c r="S127" s="423"/>
      <c r="T127" s="446" t="str">
        <f>OBRA!U126</f>
        <v>-</v>
      </c>
      <c r="U127" s="447" t="str">
        <f>OBRA!V126</f>
        <v>ING. RIGOBERTO OLMEDO RAMOS</v>
      </c>
      <c r="V127" s="1281"/>
      <c r="W127" s="20" t="str">
        <f>OBRA!L126</f>
        <v>DOP/AD/023/2015</v>
      </c>
      <c r="X127" s="13"/>
      <c r="Y127" s="13"/>
      <c r="Z127" s="448" t="str">
        <f>OBRA!K126</f>
        <v>CUENTA CORRIENTE</v>
      </c>
      <c r="AA127" s="13"/>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428" t="s">
        <v>68</v>
      </c>
      <c r="AH127" s="54"/>
      <c r="AI127" s="231"/>
      <c r="AJ127" s="267"/>
      <c r="AK127" s="267"/>
      <c r="AL127" s="432"/>
      <c r="AM127" s="573" t="str">
        <f>GRAL!B128</f>
        <v>2012-2015</v>
      </c>
      <c r="AN127" s="574"/>
      <c r="AO127" s="13"/>
    </row>
    <row r="128" spans="1:41" ht="45.75" hidden="1" thickTop="1">
      <c r="A128" s="166">
        <f>OBRA!I127</f>
        <v>2015</v>
      </c>
      <c r="B128" s="2036"/>
      <c r="C128" s="433"/>
      <c r="D128" s="154"/>
      <c r="E128" s="156"/>
      <c r="F128" s="156"/>
      <c r="G128" s="436"/>
      <c r="H128" s="442" t="str">
        <f>OBRA!AD127</f>
        <v>-</v>
      </c>
      <c r="I128" s="438"/>
      <c r="J128" s="444" t="str">
        <f>OBRA!AE127</f>
        <v>-</v>
      </c>
      <c r="K128" s="439"/>
      <c r="L128" s="442" t="str">
        <f>OBRA!AF127</f>
        <v>-</v>
      </c>
      <c r="M128" s="440"/>
      <c r="N128" s="442" t="str">
        <f>OBRA!AG127</f>
        <v>-</v>
      </c>
      <c r="O128" s="152"/>
      <c r="P128" s="152"/>
      <c r="Q128" s="439"/>
      <c r="R128" s="445" t="str">
        <f>OBRA!AH127</f>
        <v>-</v>
      </c>
      <c r="S128" s="423"/>
      <c r="T128" s="446" t="str">
        <f>OBRA!U127</f>
        <v>-</v>
      </c>
      <c r="U128" s="447" t="str">
        <f>OBRA!V127</f>
        <v>ING. RIGOBERTO OLMEDO RAMOS</v>
      </c>
      <c r="V128" s="1281"/>
      <c r="W128" s="20" t="str">
        <f>OBRA!L127</f>
        <v>DOP/AD/024/2015</v>
      </c>
      <c r="X128" s="13"/>
      <c r="Y128" s="13"/>
      <c r="Z128" s="448" t="str">
        <f>OBRA!K127</f>
        <v>RAMO 33</v>
      </c>
      <c r="AA128" s="13"/>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428">
        <f>OBRA!S127</f>
        <v>42210</v>
      </c>
      <c r="AH128" s="54"/>
      <c r="AI128" s="231"/>
      <c r="AJ128" s="267"/>
      <c r="AK128" s="267"/>
      <c r="AL128" s="432"/>
      <c r="AM128" s="573" t="str">
        <f>GRAL!B129</f>
        <v>2012-2015</v>
      </c>
      <c r="AN128" s="574"/>
      <c r="AO128" s="13"/>
    </row>
    <row r="129" spans="1:41" ht="45.75" hidden="1" thickTop="1">
      <c r="A129" s="166">
        <f>OBRA!I128</f>
        <v>2015</v>
      </c>
      <c r="B129" s="2036"/>
      <c r="C129" s="433"/>
      <c r="D129" s="154"/>
      <c r="E129" s="156"/>
      <c r="F129" s="156"/>
      <c r="G129" s="436"/>
      <c r="H129" s="442" t="str">
        <f>OBRA!AD128</f>
        <v>-</v>
      </c>
      <c r="I129" s="438"/>
      <c r="J129" s="444" t="str">
        <f>OBRA!AE128</f>
        <v>-</v>
      </c>
      <c r="K129" s="439"/>
      <c r="L129" s="442" t="str">
        <f>OBRA!AF128</f>
        <v>-</v>
      </c>
      <c r="M129" s="440"/>
      <c r="N129" s="442" t="str">
        <f>OBRA!AG128</f>
        <v>-</v>
      </c>
      <c r="O129" s="152"/>
      <c r="P129" s="152"/>
      <c r="Q129" s="439"/>
      <c r="R129" s="445" t="str">
        <f>OBRA!AH128</f>
        <v>-</v>
      </c>
      <c r="S129" s="423"/>
      <c r="T129" s="446" t="str">
        <f>OBRA!U128</f>
        <v>-</v>
      </c>
      <c r="U129" s="447" t="str">
        <f>OBRA!V128</f>
        <v>JUAN CARLOS NAVARRO ROSALES</v>
      </c>
      <c r="V129" s="1281"/>
      <c r="W129" s="20" t="str">
        <f>OBRA!L128</f>
        <v>DOP/AD/025/2015</v>
      </c>
      <c r="X129" s="13"/>
      <c r="Y129" s="13"/>
      <c r="Z129" s="448" t="str">
        <f>OBRA!K128</f>
        <v>RAMO 33</v>
      </c>
      <c r="AA129" s="13"/>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428">
        <f>OBRA!S128</f>
        <v>42272</v>
      </c>
      <c r="AH129" s="54"/>
      <c r="AI129" s="231"/>
      <c r="AJ129" s="267"/>
      <c r="AK129" s="267"/>
      <c r="AL129" s="432"/>
      <c r="AM129" s="573" t="str">
        <f>GRAL!B130</f>
        <v>2012-2015</v>
      </c>
      <c r="AN129" s="574"/>
      <c r="AO129" s="13"/>
    </row>
    <row r="130" spans="1:41" ht="90.75" hidden="1" thickTop="1">
      <c r="A130" s="166">
        <f>OBRA!I129</f>
        <v>2015</v>
      </c>
      <c r="B130" s="2036"/>
      <c r="C130" s="433"/>
      <c r="D130" s="154"/>
      <c r="E130" s="156"/>
      <c r="F130" s="156"/>
      <c r="G130" s="436"/>
      <c r="H130" s="442" t="str">
        <f>OBRA!AD129</f>
        <v>-</v>
      </c>
      <c r="I130" s="438"/>
      <c r="J130" s="444" t="str">
        <f>OBRA!AE129</f>
        <v>-</v>
      </c>
      <c r="K130" s="439"/>
      <c r="L130" s="442" t="str">
        <f>OBRA!AF129</f>
        <v>-</v>
      </c>
      <c r="M130" s="440"/>
      <c r="N130" s="442" t="str">
        <f>OBRA!AG129</f>
        <v>-</v>
      </c>
      <c r="O130" s="152"/>
      <c r="P130" s="152"/>
      <c r="Q130" s="439"/>
      <c r="R130" s="445" t="str">
        <f>OBRA!AH129</f>
        <v>-</v>
      </c>
      <c r="S130" s="423"/>
      <c r="T130" s="446" t="str">
        <f>OBRA!U129</f>
        <v>-</v>
      </c>
      <c r="U130" s="447" t="str">
        <f>OBRA!V129</f>
        <v>ING. J. GUADALUPE IBARRA RAMIREZ</v>
      </c>
      <c r="V130" s="1281"/>
      <c r="W130" s="20" t="str">
        <f>OBRA!L129</f>
        <v>DOP/AD/012/2015</v>
      </c>
      <c r="X130" s="13"/>
      <c r="Y130" s="13"/>
      <c r="Z130" s="448" t="str">
        <f>OBRA!K129</f>
        <v>RAMO 33</v>
      </c>
      <c r="AA130" s="13"/>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428">
        <f>OBRA!S129</f>
        <v>42369</v>
      </c>
      <c r="AH130" s="54"/>
      <c r="AI130" s="231"/>
      <c r="AJ130" s="267"/>
      <c r="AK130" s="267"/>
      <c r="AL130" s="432"/>
      <c r="AM130" s="573" t="str">
        <f>GRAL!B131</f>
        <v>2012-2015</v>
      </c>
      <c r="AN130" s="574"/>
      <c r="AO130" s="13"/>
    </row>
    <row r="131" spans="1:41" ht="75.75" hidden="1" thickTop="1">
      <c r="A131" s="166">
        <f>OBRA!I130</f>
        <v>2015</v>
      </c>
      <c r="B131" s="2036"/>
      <c r="C131" s="433"/>
      <c r="D131" s="154"/>
      <c r="E131" s="156"/>
      <c r="F131" s="156"/>
      <c r="G131" s="436"/>
      <c r="H131" s="442" t="str">
        <f>OBRA!AD130</f>
        <v>-</v>
      </c>
      <c r="I131" s="438"/>
      <c r="J131" s="444" t="str">
        <f>OBRA!AE130</f>
        <v>-</v>
      </c>
      <c r="K131" s="439"/>
      <c r="L131" s="442" t="str">
        <f>OBRA!AF130</f>
        <v>-</v>
      </c>
      <c r="M131" s="440"/>
      <c r="N131" s="442" t="str">
        <f>OBRA!AG130</f>
        <v>-</v>
      </c>
      <c r="O131" s="152"/>
      <c r="P131" s="152"/>
      <c r="Q131" s="439"/>
      <c r="R131" s="445" t="str">
        <f>OBRA!AH130</f>
        <v>-</v>
      </c>
      <c r="S131" s="423"/>
      <c r="T131" s="446" t="str">
        <f>OBRA!U130</f>
        <v>-</v>
      </c>
      <c r="U131" s="447" t="str">
        <f>OBRA!V130</f>
        <v>ING. J. GUADALUPE IBARRA RAMIREZ</v>
      </c>
      <c r="V131" s="1281"/>
      <c r="W131" s="20" t="str">
        <f>OBRA!L130</f>
        <v>DOP/AD/026/2015</v>
      </c>
      <c r="X131" s="13"/>
      <c r="Y131" s="13"/>
      <c r="Z131" s="448" t="str">
        <f>OBRA!K130</f>
        <v>CUENTA CORRIENTE</v>
      </c>
      <c r="AA131" s="13"/>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428">
        <f>OBRA!S130</f>
        <v>42338</v>
      </c>
      <c r="AH131" s="54"/>
      <c r="AI131" s="231"/>
      <c r="AJ131" s="267"/>
      <c r="AK131" s="267"/>
      <c r="AL131" s="432"/>
      <c r="AM131" s="573" t="str">
        <f>GRAL!B132</f>
        <v>2012-2015</v>
      </c>
      <c r="AN131" s="574"/>
      <c r="AO131" s="13"/>
    </row>
    <row r="132" spans="1:41" ht="90.75" hidden="1" thickTop="1">
      <c r="A132" s="166">
        <f>OBRA!I131</f>
        <v>2015</v>
      </c>
      <c r="B132" s="2036"/>
      <c r="C132" s="433"/>
      <c r="D132" s="154"/>
      <c r="E132" s="156"/>
      <c r="F132" s="156"/>
      <c r="G132" s="436"/>
      <c r="H132" s="442" t="str">
        <f>OBRA!AD131</f>
        <v>-</v>
      </c>
      <c r="I132" s="438"/>
      <c r="J132" s="444" t="str">
        <f>OBRA!AE131</f>
        <v>-</v>
      </c>
      <c r="K132" s="439"/>
      <c r="L132" s="442" t="str">
        <f>OBRA!AF131</f>
        <v>-</v>
      </c>
      <c r="M132" s="440"/>
      <c r="N132" s="442" t="str">
        <f>OBRA!AG131</f>
        <v>-</v>
      </c>
      <c r="O132" s="152"/>
      <c r="P132" s="152"/>
      <c r="Q132" s="439"/>
      <c r="R132" s="445" t="str">
        <f>OBRA!AH131</f>
        <v>-</v>
      </c>
      <c r="S132" s="423"/>
      <c r="T132" s="446" t="str">
        <f>OBRA!U131</f>
        <v>-</v>
      </c>
      <c r="U132" s="447" t="str">
        <f>OBRA!V131</f>
        <v>ING. J. GUADALUPE IBARRA RAMIREZ</v>
      </c>
      <c r="V132" s="1281"/>
      <c r="W132" s="20" t="str">
        <f>OBRA!L131</f>
        <v xml:space="preserve">DOP/AD/027/2015 </v>
      </c>
      <c r="X132" s="13"/>
      <c r="Y132" s="13"/>
      <c r="Z132" s="448" t="str">
        <f>OBRA!K131</f>
        <v>R33 - FONDEREG</v>
      </c>
      <c r="AA132" s="13"/>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428">
        <f>OBRA!S131</f>
        <v>42369</v>
      </c>
      <c r="AH132" s="54"/>
      <c r="AI132" s="231"/>
      <c r="AJ132" s="267"/>
      <c r="AK132" s="267"/>
      <c r="AL132" s="432"/>
      <c r="AM132" s="573" t="str">
        <f>GRAL!B133</f>
        <v>2015-2018</v>
      </c>
      <c r="AN132" s="574"/>
      <c r="AO132" s="13"/>
    </row>
    <row r="133" spans="1:41" ht="90.75" hidden="1" thickTop="1">
      <c r="A133" s="166">
        <f>OBRA!I132</f>
        <v>2015</v>
      </c>
      <c r="B133" s="2036"/>
      <c r="C133" s="433"/>
      <c r="D133" s="154"/>
      <c r="E133" s="156"/>
      <c r="F133" s="156"/>
      <c r="G133" s="436"/>
      <c r="H133" s="442" t="str">
        <f>OBRA!AD132</f>
        <v>-</v>
      </c>
      <c r="I133" s="438"/>
      <c r="J133" s="444" t="str">
        <f>OBRA!AE132</f>
        <v>-</v>
      </c>
      <c r="K133" s="439"/>
      <c r="L133" s="442" t="str">
        <f>OBRA!AF132</f>
        <v>-</v>
      </c>
      <c r="M133" s="440"/>
      <c r="N133" s="442" t="str">
        <f>OBRA!AG132</f>
        <v>-</v>
      </c>
      <c r="O133" s="152"/>
      <c r="P133" s="152"/>
      <c r="Q133" s="439"/>
      <c r="R133" s="445" t="str">
        <f>OBRA!AH132</f>
        <v>-</v>
      </c>
      <c r="S133" s="423"/>
      <c r="T133" s="446" t="str">
        <f>OBRA!U132</f>
        <v>-</v>
      </c>
      <c r="U133" s="447" t="str">
        <f>OBRA!V132</f>
        <v>ING. J. GUADALUPE IBARRA RAMIREZ</v>
      </c>
      <c r="V133" s="1281"/>
      <c r="W133" s="20" t="str">
        <f>OBRA!L132</f>
        <v>DOP/AD/028/2015</v>
      </c>
      <c r="X133" s="13"/>
      <c r="Y133" s="13"/>
      <c r="Z133" s="448" t="str">
        <f>OBRA!K132</f>
        <v>FONDEREG</v>
      </c>
      <c r="AA133" s="13"/>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428">
        <f>OBRA!S132</f>
        <v>42369</v>
      </c>
      <c r="AH133" s="54"/>
      <c r="AI133" s="231"/>
      <c r="AJ133" s="267"/>
      <c r="AK133" s="267"/>
      <c r="AL133" s="432"/>
      <c r="AM133" s="573" t="str">
        <f>GRAL!B134</f>
        <v>2015-2018</v>
      </c>
      <c r="AN133" s="574"/>
      <c r="AO133" s="13"/>
    </row>
    <row r="134" spans="1:41" ht="83.25" hidden="1" customHeight="1">
      <c r="A134" s="166">
        <f>OBRA!I133</f>
        <v>2015</v>
      </c>
      <c r="B134" s="1675"/>
      <c r="C134" s="434"/>
      <c r="D134" s="154"/>
      <c r="E134" s="156"/>
      <c r="F134" s="156"/>
      <c r="G134" s="437"/>
      <c r="H134" s="442" t="str">
        <f>OBRA!AD133</f>
        <v>-</v>
      </c>
      <c r="I134" s="438"/>
      <c r="J134" s="444" t="str">
        <f>OBRA!AE133</f>
        <v>-</v>
      </c>
      <c r="K134" s="439"/>
      <c r="L134" s="442" t="str">
        <f>OBRA!AF133</f>
        <v>-</v>
      </c>
      <c r="M134" s="440"/>
      <c r="N134" s="442" t="str">
        <f>OBRA!AG133</f>
        <v>-</v>
      </c>
      <c r="O134" s="152"/>
      <c r="P134" s="152"/>
      <c r="Q134" s="439"/>
      <c r="R134" s="445" t="str">
        <f>OBRA!AH133</f>
        <v>-</v>
      </c>
      <c r="S134" s="420"/>
      <c r="T134" s="446" t="str">
        <f>OBRA!U133</f>
        <v>-</v>
      </c>
      <c r="U134" s="447" t="str">
        <f>OBRA!V133</f>
        <v>-</v>
      </c>
      <c r="V134" s="1281"/>
      <c r="W134" s="20" t="str">
        <f>OBRA!L133</f>
        <v>CNCA/GDSPC/COLAB/03422</v>
      </c>
      <c r="X134" s="13"/>
      <c r="Y134" s="13"/>
      <c r="Z134" s="448" t="str">
        <f>OBRA!K133</f>
        <v>FOREMODA</v>
      </c>
      <c r="AA134" s="13"/>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428">
        <f>OBRA!S133</f>
        <v>42696</v>
      </c>
      <c r="AH134" s="54"/>
      <c r="AI134" s="231"/>
      <c r="AJ134" s="267"/>
      <c r="AK134" s="267"/>
      <c r="AL134" s="432"/>
      <c r="AM134" s="573" t="str">
        <f>GRAL!B135</f>
        <v>2015-2018</v>
      </c>
      <c r="AN134" s="574"/>
      <c r="AO134" s="13"/>
    </row>
    <row r="135" spans="1:41" s="110" customFormat="1" ht="60.75" hidden="1" thickTop="1">
      <c r="A135" s="166">
        <f>OBRA!I134</f>
        <v>2015</v>
      </c>
      <c r="B135" s="1675"/>
      <c r="C135" s="434"/>
      <c r="D135" s="155"/>
      <c r="E135" s="157"/>
      <c r="F135" s="157"/>
      <c r="G135" s="437"/>
      <c r="H135" s="442" t="str">
        <f>OBRA!AD134</f>
        <v>-</v>
      </c>
      <c r="I135" s="438"/>
      <c r="J135" s="444" t="str">
        <f>OBRA!AE134</f>
        <v>-</v>
      </c>
      <c r="K135" s="439"/>
      <c r="L135" s="442" t="str">
        <f>OBRA!AF134</f>
        <v>-</v>
      </c>
      <c r="M135" s="440"/>
      <c r="N135" s="442" t="str">
        <f>OBRA!AG134</f>
        <v>-</v>
      </c>
      <c r="O135" s="158"/>
      <c r="P135" s="158"/>
      <c r="Q135" s="439"/>
      <c r="R135" s="445" t="str">
        <f>OBRA!AH134</f>
        <v>-</v>
      </c>
      <c r="S135" s="195"/>
      <c r="T135" s="446" t="str">
        <f>OBRA!U134</f>
        <v>ARGUELLES ARQUITECTOS S.A. DE C.V.</v>
      </c>
      <c r="U135" s="447" t="str">
        <f>OBRA!V134</f>
        <v>ARQ. FRANCISCO SALAZAR</v>
      </c>
      <c r="V135" s="1281"/>
      <c r="W135" s="20" t="str">
        <f>OBRA!L134</f>
        <v>GMJC001OP-2015</v>
      </c>
      <c r="X135" s="13"/>
      <c r="Y135" s="13"/>
      <c r="Z135" s="448" t="str">
        <f>OBRA!K134</f>
        <v>FOREMODA</v>
      </c>
      <c r="AA135" s="13"/>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428">
        <f>OBRA!S134</f>
        <v>42704</v>
      </c>
      <c r="AH135" s="54"/>
      <c r="AI135" s="231"/>
      <c r="AJ135" s="267"/>
      <c r="AK135" s="267"/>
      <c r="AL135" s="432"/>
      <c r="AM135" s="573" t="str">
        <f>GRAL!B136</f>
        <v>2015-2018</v>
      </c>
      <c r="AN135" s="574"/>
      <c r="AO135" s="109"/>
    </row>
    <row r="136" spans="1:41" s="110" customFormat="1" ht="75.75" hidden="1" thickTop="1">
      <c r="A136" s="956">
        <f>OBRA!I135</f>
        <v>2015</v>
      </c>
      <c r="B136" s="946"/>
      <c r="C136" s="88"/>
      <c r="D136" s="155"/>
      <c r="E136" s="157"/>
      <c r="F136" s="157"/>
      <c r="G136" s="958"/>
      <c r="H136" s="158" t="str">
        <f>OBRA!AD135</f>
        <v>-</v>
      </c>
      <c r="I136" s="456"/>
      <c r="J136" s="117" t="str">
        <f>OBRA!AE135</f>
        <v>-</v>
      </c>
      <c r="K136" s="960"/>
      <c r="L136" s="158" t="str">
        <f>OBRA!AF135</f>
        <v>-</v>
      </c>
      <c r="M136" s="959"/>
      <c r="N136" s="158" t="str">
        <f>OBRA!AG135</f>
        <v>-</v>
      </c>
      <c r="O136" s="158"/>
      <c r="P136" s="158"/>
      <c r="Q136" s="960"/>
      <c r="R136" s="459" t="str">
        <f>OBRA!AH135</f>
        <v>-</v>
      </c>
      <c r="S136" s="109"/>
      <c r="T136" s="460" t="str">
        <f>OBRA!U135</f>
        <v>CONSTRUCCIONES VIKBRAK, S.A. DE C.V.</v>
      </c>
      <c r="U136" s="461" t="str">
        <f>OBRA!V135</f>
        <v xml:space="preserve">LIC. SALVADOR CONTRERAS </v>
      </c>
      <c r="V136" s="935"/>
      <c r="W136" s="955" t="str">
        <f>OBRA!L135</f>
        <v>GMJ 003C OP/2015</v>
      </c>
      <c r="X136" s="109"/>
      <c r="Y136" s="109"/>
      <c r="Z136" s="109" t="str">
        <f>OBRA!K135</f>
        <v>RAMO 33</v>
      </c>
      <c r="AA136" s="109"/>
      <c r="AB136" s="203" t="str">
        <f>OBRA!M135</f>
        <v>CANCELADA</v>
      </c>
      <c r="AC136" s="112" t="str">
        <f>OBRA!N135</f>
        <v>1 ER ETAPA DE REHABILITACION, RED DE DRENAJE Y REPOCISION DE EMPEDRADO AHOGADO EN CEMENTO EN LA CALLE ANIMA SOLA DE LA CABECERA MUNICIPAL DE JOCOTEPEC</v>
      </c>
      <c r="AD136" s="92">
        <f>OBRA!P135</f>
        <v>369433.09</v>
      </c>
      <c r="AE136" s="93">
        <f>OBRA!Q135</f>
        <v>42593</v>
      </c>
      <c r="AF136" s="94">
        <f>OBRA!R135</f>
        <v>42597</v>
      </c>
      <c r="AG136" s="429">
        <f>OBRA!S135</f>
        <v>42704</v>
      </c>
      <c r="AH136" s="107"/>
      <c r="AI136" s="90"/>
      <c r="AJ136" s="102"/>
      <c r="AK136" s="102"/>
      <c r="AL136" s="103"/>
      <c r="AM136" s="392" t="str">
        <f>GRAL!B137</f>
        <v>2012-2015</v>
      </c>
      <c r="AN136" s="961"/>
      <c r="AO136" s="109"/>
    </row>
    <row r="137" spans="1:41" ht="63.75" hidden="1" customHeight="1">
      <c r="A137" s="166">
        <f>OBRA!I136</f>
        <v>2016</v>
      </c>
      <c r="B137" s="2036"/>
      <c r="C137" s="433"/>
      <c r="D137" s="154"/>
      <c r="E137" s="156"/>
      <c r="F137" s="156"/>
      <c r="G137" s="436"/>
      <c r="H137" s="442" t="str">
        <f>OBRA!AD136</f>
        <v>-</v>
      </c>
      <c r="I137" s="438"/>
      <c r="J137" s="444" t="str">
        <f>OBRA!AE136</f>
        <v>-</v>
      </c>
      <c r="K137" s="439"/>
      <c r="L137" s="442" t="str">
        <f>OBRA!AF136</f>
        <v>-</v>
      </c>
      <c r="M137" s="440"/>
      <c r="N137" s="442" t="str">
        <f>OBRA!AG136</f>
        <v>-</v>
      </c>
      <c r="O137" s="152"/>
      <c r="P137" s="152"/>
      <c r="Q137" s="439"/>
      <c r="R137" s="445" t="str">
        <f>OBRA!AH136</f>
        <v>-</v>
      </c>
      <c r="S137" s="423"/>
      <c r="T137" s="446" t="str">
        <f>OBRA!U136</f>
        <v>-</v>
      </c>
      <c r="U137" s="447" t="str">
        <f>OBRA!V136</f>
        <v>ING. J. GUADALUPE IBARRA RAMIREZ</v>
      </c>
      <c r="V137" s="1281"/>
      <c r="W137" s="20" t="str">
        <f>OBRA!L136</f>
        <v>DOP/AD/001/2016</v>
      </c>
      <c r="X137" s="13"/>
      <c r="Y137" s="13"/>
      <c r="Z137" s="448" t="str">
        <f>OBRA!K136</f>
        <v>CUENTA CORRIENTE</v>
      </c>
      <c r="AA137" s="13"/>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428">
        <f>OBRA!S136</f>
        <v>42441</v>
      </c>
      <c r="AH137" s="54"/>
      <c r="AI137" s="231"/>
      <c r="AJ137" s="267"/>
      <c r="AK137" s="267"/>
      <c r="AL137" s="432"/>
      <c r="AM137" s="573" t="str">
        <f>GRAL!B138</f>
        <v>2015-2018</v>
      </c>
      <c r="AN137" s="574"/>
      <c r="AO137" s="13"/>
    </row>
    <row r="138" spans="1:41" ht="45.75" hidden="1" thickTop="1">
      <c r="A138" s="166">
        <f>OBRA!I137</f>
        <v>2016</v>
      </c>
      <c r="B138" s="2036"/>
      <c r="C138" s="433"/>
      <c r="D138" s="154"/>
      <c r="E138" s="156"/>
      <c r="F138" s="156"/>
      <c r="G138" s="436"/>
      <c r="H138" s="442" t="str">
        <f>OBRA!AD137</f>
        <v>-</v>
      </c>
      <c r="I138" s="438"/>
      <c r="J138" s="444" t="str">
        <f>OBRA!AE137</f>
        <v>-</v>
      </c>
      <c r="K138" s="439"/>
      <c r="L138" s="442" t="str">
        <f>OBRA!AF137</f>
        <v>-</v>
      </c>
      <c r="M138" s="440"/>
      <c r="N138" s="442" t="str">
        <f>OBRA!AG137</f>
        <v>-</v>
      </c>
      <c r="O138" s="152"/>
      <c r="P138" s="152"/>
      <c r="Q138" s="439"/>
      <c r="R138" s="445" t="str">
        <f>OBRA!AH137</f>
        <v>-</v>
      </c>
      <c r="S138" s="423"/>
      <c r="T138" s="446" t="str">
        <f>OBRA!U137</f>
        <v>-</v>
      </c>
      <c r="U138" s="447" t="str">
        <f>OBRA!V137</f>
        <v>ING. J. GUADALUPE IBARRA RAMIREZ</v>
      </c>
      <c r="V138" s="1281"/>
      <c r="W138" s="20" t="str">
        <f>OBRA!L137</f>
        <v>DOP/AD/002/2016</v>
      </c>
      <c r="X138" s="13"/>
      <c r="Y138" s="13"/>
      <c r="Z138" s="448" t="str">
        <f>OBRA!K137</f>
        <v>CUENTA CORRIENTE</v>
      </c>
      <c r="AA138" s="13"/>
      <c r="AB138" s="2" t="str">
        <f>OBRA!M137</f>
        <v>ADMINISTRACIÓN DIRECTA</v>
      </c>
      <c r="AC138" s="3" t="str">
        <f>OBRA!N137</f>
        <v>RELLENO Y REPARACIÓN DE SOCAVON, DESLAVE LATERAL EN CARRETERA DE SAN LUCIANO</v>
      </c>
      <c r="AD138" s="4">
        <f>OBRA!P137</f>
        <v>46400</v>
      </c>
      <c r="AE138" s="6">
        <f>OBRA!Q137</f>
        <v>42433</v>
      </c>
      <c r="AF138" s="5">
        <f>OBRA!R137</f>
        <v>42434</v>
      </c>
      <c r="AG138" s="428">
        <f>OBRA!S137</f>
        <v>42439</v>
      </c>
      <c r="AH138" s="54"/>
      <c r="AI138" s="231"/>
      <c r="AJ138" s="267"/>
      <c r="AK138" s="267"/>
      <c r="AL138" s="432"/>
      <c r="AM138" s="573" t="str">
        <f>GRAL!B139</f>
        <v>2015-2018</v>
      </c>
      <c r="AN138" s="574"/>
      <c r="AO138" s="13"/>
    </row>
    <row r="139" spans="1:41" ht="60.75" hidden="1" thickTop="1">
      <c r="A139" s="166">
        <f>OBRA!I138</f>
        <v>2016</v>
      </c>
      <c r="B139" s="2036"/>
      <c r="C139" s="433"/>
      <c r="D139" s="154"/>
      <c r="E139" s="156"/>
      <c r="F139" s="156"/>
      <c r="G139" s="436"/>
      <c r="H139" s="442" t="str">
        <f>OBRA!AD138</f>
        <v>-</v>
      </c>
      <c r="I139" s="438"/>
      <c r="J139" s="444" t="str">
        <f>OBRA!AE138</f>
        <v>-</v>
      </c>
      <c r="K139" s="439"/>
      <c r="L139" s="442" t="str">
        <f>OBRA!AF138</f>
        <v>-</v>
      </c>
      <c r="M139" s="440"/>
      <c r="N139" s="442" t="str">
        <f>OBRA!AG138</f>
        <v>-</v>
      </c>
      <c r="O139" s="152"/>
      <c r="P139" s="152"/>
      <c r="Q139" s="439"/>
      <c r="R139" s="445" t="str">
        <f>OBRA!AH138</f>
        <v>-</v>
      </c>
      <c r="S139" s="423"/>
      <c r="T139" s="446" t="str">
        <f>OBRA!U138</f>
        <v>-</v>
      </c>
      <c r="U139" s="447" t="str">
        <f>OBRA!V138</f>
        <v>ING. J. GUADALUPE IBARRA RAMIREZ</v>
      </c>
      <c r="V139" s="1281"/>
      <c r="W139" s="20" t="str">
        <f>OBRA!L138</f>
        <v>DOP/AD/003/2016</v>
      </c>
      <c r="X139" s="13"/>
      <c r="Y139" s="13"/>
      <c r="Z139" s="448" t="str">
        <f>OBRA!K138</f>
        <v>CUENTA CORRIENTE</v>
      </c>
      <c r="AA139" s="13"/>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428">
        <f>OBRA!S138</f>
        <v>42560</v>
      </c>
      <c r="AH139" s="54"/>
      <c r="AI139" s="231"/>
      <c r="AJ139" s="267"/>
      <c r="AK139" s="267"/>
      <c r="AL139" s="432"/>
      <c r="AM139" s="573" t="str">
        <f>GRAL!B140</f>
        <v>2015-2018</v>
      </c>
      <c r="AN139" s="574"/>
      <c r="AO139" s="13"/>
    </row>
    <row r="140" spans="1:41" ht="60.75" hidden="1" thickTop="1">
      <c r="A140" s="166">
        <f>OBRA!I139</f>
        <v>2016</v>
      </c>
      <c r="B140" s="2036"/>
      <c r="C140" s="433"/>
      <c r="D140" s="154"/>
      <c r="E140" s="156"/>
      <c r="F140" s="156"/>
      <c r="G140" s="436"/>
      <c r="H140" s="442" t="str">
        <f>OBRA!AD139</f>
        <v>-</v>
      </c>
      <c r="I140" s="438"/>
      <c r="J140" s="444" t="str">
        <f>OBRA!AE139</f>
        <v>-</v>
      </c>
      <c r="K140" s="439"/>
      <c r="L140" s="442" t="str">
        <f>OBRA!AF139</f>
        <v>-</v>
      </c>
      <c r="M140" s="440"/>
      <c r="N140" s="442" t="str">
        <f>OBRA!AG139</f>
        <v>-</v>
      </c>
      <c r="O140" s="152"/>
      <c r="P140" s="152"/>
      <c r="Q140" s="439"/>
      <c r="R140" s="445" t="str">
        <f>OBRA!AH139</f>
        <v>-</v>
      </c>
      <c r="S140" s="423"/>
      <c r="T140" s="446" t="str">
        <f>OBRA!U139</f>
        <v>-</v>
      </c>
      <c r="U140" s="447" t="str">
        <f>OBRA!V139</f>
        <v>ING. J. GUADALUPE IBARRA RAMIREZ</v>
      </c>
      <c r="V140" s="1281"/>
      <c r="W140" s="20" t="str">
        <f>OBRA!L139</f>
        <v>DOP/AD/004/2016</v>
      </c>
      <c r="X140" s="13"/>
      <c r="Y140" s="13"/>
      <c r="Z140" s="448" t="str">
        <f>OBRA!K139</f>
        <v>FORTALECE</v>
      </c>
      <c r="AA140" s="13"/>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428">
        <f>OBRA!S139</f>
        <v>42578</v>
      </c>
      <c r="AH140" s="54"/>
      <c r="AI140" s="231"/>
      <c r="AJ140" s="267"/>
      <c r="AK140" s="267"/>
      <c r="AL140" s="432"/>
      <c r="AM140" s="573" t="str">
        <f>GRAL!B141</f>
        <v>2015-2018</v>
      </c>
      <c r="AN140" s="574"/>
      <c r="AO140" s="13"/>
    </row>
    <row r="141" spans="1:41" ht="75.75" hidden="1" thickTop="1">
      <c r="A141" s="166">
        <f>OBRA!I140</f>
        <v>2016</v>
      </c>
      <c r="B141" s="2036"/>
      <c r="C141" s="433"/>
      <c r="D141" s="154"/>
      <c r="E141" s="156"/>
      <c r="F141" s="156"/>
      <c r="G141" s="436"/>
      <c r="H141" s="442" t="str">
        <f>OBRA!AD140</f>
        <v>-</v>
      </c>
      <c r="I141" s="438"/>
      <c r="J141" s="444" t="str">
        <f>OBRA!AE140</f>
        <v>-</v>
      </c>
      <c r="K141" s="439"/>
      <c r="L141" s="442" t="str">
        <f>OBRA!AF140</f>
        <v>-</v>
      </c>
      <c r="M141" s="440"/>
      <c r="N141" s="442" t="str">
        <f>OBRA!AG140</f>
        <v>-</v>
      </c>
      <c r="O141" s="152"/>
      <c r="P141" s="152"/>
      <c r="Q141" s="439"/>
      <c r="R141" s="445" t="str">
        <f>OBRA!AH140</f>
        <v>-</v>
      </c>
      <c r="S141" s="423"/>
      <c r="T141" s="446" t="str">
        <f>OBRA!U140</f>
        <v>-</v>
      </c>
      <c r="U141" s="447" t="str">
        <f>OBRA!V140</f>
        <v>ING. J. GUADALUPE IBARRA RAMIREZ</v>
      </c>
      <c r="V141" s="1281"/>
      <c r="W141" s="20" t="str">
        <f>OBRA!L140</f>
        <v>DOP/AD/005/2016</v>
      </c>
      <c r="X141" s="13"/>
      <c r="Y141" s="13"/>
      <c r="Z141" s="448" t="str">
        <f>OBRA!K140</f>
        <v>FORTALECE</v>
      </c>
      <c r="AA141" s="13"/>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428">
        <f>OBRA!S140</f>
        <v>42710</v>
      </c>
      <c r="AH141" s="54"/>
      <c r="AI141" s="231"/>
      <c r="AJ141" s="267"/>
      <c r="AK141" s="267"/>
      <c r="AL141" s="432"/>
      <c r="AM141" s="573" t="str">
        <f>GRAL!B142</f>
        <v>2015-2018</v>
      </c>
      <c r="AN141" s="574"/>
      <c r="AO141" s="13"/>
    </row>
    <row r="142" spans="1:41" ht="45.75" hidden="1" thickTop="1">
      <c r="A142" s="166">
        <f>OBRA!I141</f>
        <v>2016</v>
      </c>
      <c r="B142" s="2036"/>
      <c r="C142" s="433"/>
      <c r="D142" s="154"/>
      <c r="E142" s="156"/>
      <c r="F142" s="156"/>
      <c r="G142" s="436"/>
      <c r="H142" s="442" t="str">
        <f>OBRA!AD141</f>
        <v>-</v>
      </c>
      <c r="I142" s="438"/>
      <c r="J142" s="444" t="str">
        <f>OBRA!AE141</f>
        <v>-</v>
      </c>
      <c r="K142" s="439"/>
      <c r="L142" s="442" t="str">
        <f>OBRA!AF141</f>
        <v>-</v>
      </c>
      <c r="M142" s="440"/>
      <c r="N142" s="442" t="str">
        <f>OBRA!AG141</f>
        <v>-</v>
      </c>
      <c r="O142" s="152"/>
      <c r="P142" s="152"/>
      <c r="Q142" s="439"/>
      <c r="R142" s="445" t="str">
        <f>OBRA!AH141</f>
        <v>-</v>
      </c>
      <c r="S142" s="423"/>
      <c r="T142" s="446" t="str">
        <f>OBRA!U141</f>
        <v>-</v>
      </c>
      <c r="U142" s="447" t="str">
        <f>OBRA!V141</f>
        <v>ING. J. GUADALUPE IBARRA RAMIREZ</v>
      </c>
      <c r="V142" s="1281"/>
      <c r="W142" s="20" t="str">
        <f>OBRA!L141</f>
        <v>DOP/AD/006/2016</v>
      </c>
      <c r="X142" s="13"/>
      <c r="Y142" s="13"/>
      <c r="Z142" s="448" t="str">
        <f>OBRA!K141</f>
        <v>RAMO 33</v>
      </c>
      <c r="AA142" s="13"/>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428">
        <f>OBRA!S141</f>
        <v>42665</v>
      </c>
      <c r="AH142" s="54"/>
      <c r="AI142" s="231"/>
      <c r="AJ142" s="267"/>
      <c r="AK142" s="267"/>
      <c r="AL142" s="432"/>
      <c r="AM142" s="573" t="str">
        <f>GRAL!B143</f>
        <v>2015-2018</v>
      </c>
      <c r="AN142" s="574"/>
      <c r="AO142" s="13"/>
    </row>
    <row r="143" spans="1:41" ht="45.75" hidden="1" thickTop="1">
      <c r="A143" s="166">
        <f>OBRA!I142</f>
        <v>2016</v>
      </c>
      <c r="B143" s="2036"/>
      <c r="C143" s="433"/>
      <c r="D143" s="154"/>
      <c r="E143" s="156"/>
      <c r="F143" s="156"/>
      <c r="G143" s="436"/>
      <c r="H143" s="442" t="str">
        <f>OBRA!AD142</f>
        <v>-</v>
      </c>
      <c r="I143" s="438"/>
      <c r="J143" s="444" t="str">
        <f>OBRA!AE142</f>
        <v>-</v>
      </c>
      <c r="K143" s="439"/>
      <c r="L143" s="442" t="str">
        <f>OBRA!AF142</f>
        <v>-</v>
      </c>
      <c r="M143" s="440"/>
      <c r="N143" s="442" t="str">
        <f>OBRA!AG142</f>
        <v>-</v>
      </c>
      <c r="O143" s="152"/>
      <c r="P143" s="152"/>
      <c r="Q143" s="439"/>
      <c r="R143" s="445" t="str">
        <f>OBRA!AH142</f>
        <v>-</v>
      </c>
      <c r="S143" s="423"/>
      <c r="T143" s="446" t="str">
        <f>OBRA!U142</f>
        <v>-</v>
      </c>
      <c r="U143" s="447" t="str">
        <f>OBRA!V142</f>
        <v>ING. RIGOBERTO OLMEDO RAMOS</v>
      </c>
      <c r="V143" s="1281"/>
      <c r="W143" s="20" t="str">
        <f>OBRA!L142</f>
        <v>DOP/AD/007/2016</v>
      </c>
      <c r="X143" s="13"/>
      <c r="Y143" s="13"/>
      <c r="Z143" s="448" t="str">
        <f>OBRA!K142</f>
        <v>CUENTA CORRIENTE</v>
      </c>
      <c r="AA143" s="13"/>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428">
        <f>OBRA!S142</f>
        <v>42581</v>
      </c>
      <c r="AH143" s="54"/>
      <c r="AI143" s="231"/>
      <c r="AJ143" s="267"/>
      <c r="AK143" s="267"/>
      <c r="AL143" s="432"/>
      <c r="AM143" s="573" t="str">
        <f>GRAL!B144</f>
        <v>2015-2018</v>
      </c>
      <c r="AN143" s="574"/>
      <c r="AO143" s="13"/>
    </row>
    <row r="144" spans="1:41" ht="75.75" hidden="1" thickTop="1">
      <c r="A144" s="166">
        <f>OBRA!I143</f>
        <v>2016</v>
      </c>
      <c r="B144" s="2036"/>
      <c r="C144" s="433"/>
      <c r="D144" s="154"/>
      <c r="E144" s="156"/>
      <c r="F144" s="156"/>
      <c r="G144" s="436"/>
      <c r="H144" s="442" t="str">
        <f>OBRA!AD143</f>
        <v>-</v>
      </c>
      <c r="I144" s="438"/>
      <c r="J144" s="444" t="str">
        <f>OBRA!AE143</f>
        <v>-</v>
      </c>
      <c r="K144" s="439"/>
      <c r="L144" s="442" t="str">
        <f>OBRA!AF143</f>
        <v>-</v>
      </c>
      <c r="M144" s="440"/>
      <c r="N144" s="442" t="str">
        <f>OBRA!AG143</f>
        <v>-</v>
      </c>
      <c r="O144" s="152"/>
      <c r="P144" s="152"/>
      <c r="Q144" s="439"/>
      <c r="R144" s="445" t="str">
        <f>OBRA!AH143</f>
        <v>-</v>
      </c>
      <c r="S144" s="423"/>
      <c r="T144" s="446" t="str">
        <f>OBRA!U143</f>
        <v>-</v>
      </c>
      <c r="U144" s="447" t="str">
        <f>OBRA!V143</f>
        <v>ING. J. GUADALUPE IBARRA RAMIREZ</v>
      </c>
      <c r="V144" s="1281"/>
      <c r="W144" s="20" t="str">
        <f>OBRA!L143</f>
        <v>DOP/AD/008/2016</v>
      </c>
      <c r="X144" s="13"/>
      <c r="Y144" s="13"/>
      <c r="Z144" s="448" t="str">
        <f>OBRA!K143</f>
        <v>RAMO 33</v>
      </c>
      <c r="AA144" s="13"/>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428">
        <f>OBRA!S143</f>
        <v>42546</v>
      </c>
      <c r="AH144" s="54"/>
      <c r="AI144" s="231"/>
      <c r="AJ144" s="267"/>
      <c r="AK144" s="267"/>
      <c r="AL144" s="432"/>
      <c r="AM144" s="573" t="str">
        <f>GRAL!B145</f>
        <v>2015-2018</v>
      </c>
      <c r="AN144" s="574"/>
      <c r="AO144" s="13"/>
    </row>
    <row r="145" spans="1:41" ht="60.75" hidden="1" thickTop="1">
      <c r="A145" s="166">
        <f>OBRA!I144</f>
        <v>2016</v>
      </c>
      <c r="B145" s="2036"/>
      <c r="C145" s="433"/>
      <c r="D145" s="154"/>
      <c r="E145" s="156"/>
      <c r="F145" s="156"/>
      <c r="G145" s="436"/>
      <c r="H145" s="442" t="str">
        <f>OBRA!AD144</f>
        <v>-</v>
      </c>
      <c r="I145" s="438"/>
      <c r="J145" s="444" t="str">
        <f>OBRA!AE144</f>
        <v>-</v>
      </c>
      <c r="K145" s="439"/>
      <c r="L145" s="442" t="str">
        <f>OBRA!AF144</f>
        <v>-</v>
      </c>
      <c r="M145" s="440"/>
      <c r="N145" s="442" t="str">
        <f>OBRA!AG144</f>
        <v>-</v>
      </c>
      <c r="O145" s="152"/>
      <c r="P145" s="152"/>
      <c r="Q145" s="439"/>
      <c r="R145" s="445" t="str">
        <f>OBRA!AH144</f>
        <v>-</v>
      </c>
      <c r="S145" s="423"/>
      <c r="T145" s="446" t="str">
        <f>OBRA!U144</f>
        <v>-</v>
      </c>
      <c r="U145" s="447" t="str">
        <f>OBRA!V144</f>
        <v>ING. J. GUADALUPE IBARRA RAMIREZ</v>
      </c>
      <c r="V145" s="1281"/>
      <c r="W145" s="20" t="str">
        <f>OBRA!L144</f>
        <v>DOP/AD/009/2016</v>
      </c>
      <c r="X145" s="13"/>
      <c r="Y145" s="13"/>
      <c r="Z145" s="448" t="str">
        <f>OBRA!K144</f>
        <v>RAMO 33</v>
      </c>
      <c r="AA145" s="13"/>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428">
        <f>OBRA!S144</f>
        <v>42665</v>
      </c>
      <c r="AH145" s="54"/>
      <c r="AI145" s="231"/>
      <c r="AJ145" s="267"/>
      <c r="AK145" s="267"/>
      <c r="AL145" s="432"/>
      <c r="AM145" s="573" t="str">
        <f>GRAL!B146</f>
        <v>2015-2018</v>
      </c>
      <c r="AN145" s="574"/>
      <c r="AO145" s="13"/>
    </row>
    <row r="146" spans="1:41" ht="75.75" hidden="1" thickTop="1">
      <c r="A146" s="166">
        <f>OBRA!I145</f>
        <v>2016</v>
      </c>
      <c r="B146" s="2036"/>
      <c r="C146" s="433"/>
      <c r="D146" s="154"/>
      <c r="E146" s="156"/>
      <c r="F146" s="156"/>
      <c r="G146" s="436"/>
      <c r="H146" s="442" t="str">
        <f>OBRA!AD145</f>
        <v>-</v>
      </c>
      <c r="I146" s="438"/>
      <c r="J146" s="444" t="str">
        <f>OBRA!AE145</f>
        <v>-</v>
      </c>
      <c r="K146" s="439"/>
      <c r="L146" s="442" t="str">
        <f>OBRA!AF145</f>
        <v>-</v>
      </c>
      <c r="M146" s="440"/>
      <c r="N146" s="442" t="str">
        <f>OBRA!AG145</f>
        <v>-</v>
      </c>
      <c r="O146" s="152"/>
      <c r="P146" s="152"/>
      <c r="Q146" s="439"/>
      <c r="R146" s="445" t="str">
        <f>OBRA!AH145</f>
        <v>-</v>
      </c>
      <c r="S146" s="423"/>
      <c r="T146" s="446" t="str">
        <f>OBRA!U145</f>
        <v>-</v>
      </c>
      <c r="U146" s="447" t="str">
        <f>OBRA!V145</f>
        <v>ING. J. GUADALUPE IBARRA RAMIREZ</v>
      </c>
      <c r="V146" s="1281"/>
      <c r="W146" s="20" t="str">
        <f>OBRA!L145</f>
        <v>DOP/AD/010/2016</v>
      </c>
      <c r="X146" s="13"/>
      <c r="Y146" s="13"/>
      <c r="Z146" s="448" t="str">
        <f>OBRA!K145</f>
        <v>RAMO 33</v>
      </c>
      <c r="AA146" s="13"/>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428">
        <f>OBRA!S145</f>
        <v>42586</v>
      </c>
      <c r="AH146" s="54"/>
      <c r="AI146" s="231"/>
      <c r="AJ146" s="267"/>
      <c r="AK146" s="267"/>
      <c r="AL146" s="432"/>
      <c r="AM146" s="573" t="str">
        <f>GRAL!B147</f>
        <v>2015-2018</v>
      </c>
      <c r="AN146" s="574"/>
      <c r="AO146" s="13"/>
    </row>
    <row r="147" spans="1:41" ht="120.75" hidden="1" thickTop="1">
      <c r="A147" s="166">
        <f>OBRA!I146</f>
        <v>2016</v>
      </c>
      <c r="B147" s="2036"/>
      <c r="C147" s="433"/>
      <c r="D147" s="154"/>
      <c r="E147" s="156"/>
      <c r="F147" s="156"/>
      <c r="G147" s="436"/>
      <c r="H147" s="442" t="str">
        <f>OBRA!AD146</f>
        <v>-</v>
      </c>
      <c r="I147" s="438"/>
      <c r="J147" s="444" t="str">
        <f>OBRA!AE146</f>
        <v>-</v>
      </c>
      <c r="K147" s="439"/>
      <c r="L147" s="442" t="str">
        <f>OBRA!AF146</f>
        <v>-</v>
      </c>
      <c r="M147" s="440"/>
      <c r="N147" s="442" t="str">
        <f>OBRA!AG146</f>
        <v>-</v>
      </c>
      <c r="O147" s="152"/>
      <c r="P147" s="152"/>
      <c r="Q147" s="439"/>
      <c r="R147" s="445" t="str">
        <f>OBRA!AH146</f>
        <v>-</v>
      </c>
      <c r="S147" s="423"/>
      <c r="T147" s="446" t="str">
        <f>OBRA!U146</f>
        <v>-</v>
      </c>
      <c r="U147" s="447" t="str">
        <f>OBRA!V146</f>
        <v>ING. J. GUADALUPE IBARRA RAMIREZ</v>
      </c>
      <c r="V147" s="1281"/>
      <c r="W147" s="20" t="str">
        <f>OBRA!L146</f>
        <v>DOP/AD/011/2016</v>
      </c>
      <c r="X147" s="13"/>
      <c r="Y147" s="13"/>
      <c r="Z147" s="448" t="str">
        <f>OBRA!K146</f>
        <v>CUENTA CORRIENTE</v>
      </c>
      <c r="AA147" s="13"/>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428">
        <f>OBRA!S146</f>
        <v>42582</v>
      </c>
      <c r="AH147" s="54"/>
      <c r="AI147" s="231"/>
      <c r="AJ147" s="267"/>
      <c r="AK147" s="267"/>
      <c r="AL147" s="432"/>
      <c r="AM147" s="573" t="str">
        <f>GRAL!B148</f>
        <v>2015-2018</v>
      </c>
      <c r="AN147" s="574"/>
      <c r="AO147" s="13"/>
    </row>
    <row r="148" spans="1:41" ht="105.75" hidden="1" thickTop="1">
      <c r="A148" s="166">
        <f>OBRA!I147</f>
        <v>2016</v>
      </c>
      <c r="B148" s="2036"/>
      <c r="C148" s="433"/>
      <c r="D148" s="154"/>
      <c r="E148" s="156"/>
      <c r="F148" s="156"/>
      <c r="G148" s="436"/>
      <c r="H148" s="442" t="str">
        <f>OBRA!AD147</f>
        <v>-</v>
      </c>
      <c r="I148" s="438"/>
      <c r="J148" s="444" t="str">
        <f>OBRA!AE147</f>
        <v>-</v>
      </c>
      <c r="K148" s="439"/>
      <c r="L148" s="442" t="str">
        <f>OBRA!AF147</f>
        <v>-</v>
      </c>
      <c r="M148" s="440"/>
      <c r="N148" s="442" t="str">
        <f>OBRA!AG147</f>
        <v>-</v>
      </c>
      <c r="O148" s="152"/>
      <c r="P148" s="152"/>
      <c r="Q148" s="439"/>
      <c r="R148" s="445" t="str">
        <f>OBRA!AH147</f>
        <v>-</v>
      </c>
      <c r="S148" s="423"/>
      <c r="T148" s="446" t="str">
        <f>OBRA!U147</f>
        <v>-</v>
      </c>
      <c r="U148" s="447" t="str">
        <f>OBRA!V147</f>
        <v>ING. RIGOBERTO OLMEDO RAMOS</v>
      </c>
      <c r="V148" s="1281"/>
      <c r="W148" s="20" t="str">
        <f>OBRA!L147</f>
        <v>DOP/AD/012/2016</v>
      </c>
      <c r="X148" s="13"/>
      <c r="Y148" s="13"/>
      <c r="Z148" s="448" t="str">
        <f>OBRA!K147</f>
        <v>FONDEREG</v>
      </c>
      <c r="AA148" s="13"/>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428">
        <f>OBRA!S147</f>
        <v>42643</v>
      </c>
      <c r="AH148" s="54"/>
      <c r="AI148" s="231"/>
      <c r="AJ148" s="267"/>
      <c r="AK148" s="267"/>
      <c r="AL148" s="432"/>
      <c r="AM148" s="573" t="str">
        <f>GRAL!B149</f>
        <v>2015-2018</v>
      </c>
      <c r="AN148" s="574"/>
      <c r="AO148" s="13"/>
    </row>
    <row r="149" spans="1:41" ht="105.75" hidden="1" thickTop="1">
      <c r="A149" s="166">
        <f>OBRA!I148</f>
        <v>2016</v>
      </c>
      <c r="B149" s="2036"/>
      <c r="C149" s="433"/>
      <c r="D149" s="154"/>
      <c r="E149" s="156"/>
      <c r="F149" s="156"/>
      <c r="G149" s="436"/>
      <c r="H149" s="442" t="str">
        <f>OBRA!AD148</f>
        <v>-</v>
      </c>
      <c r="I149" s="438"/>
      <c r="J149" s="444" t="str">
        <f>OBRA!AE148</f>
        <v>-</v>
      </c>
      <c r="K149" s="439"/>
      <c r="L149" s="442" t="str">
        <f>OBRA!AF148</f>
        <v>-</v>
      </c>
      <c r="M149" s="440"/>
      <c r="N149" s="442" t="str">
        <f>OBRA!AG148</f>
        <v>-</v>
      </c>
      <c r="O149" s="152"/>
      <c r="P149" s="152"/>
      <c r="Q149" s="439"/>
      <c r="R149" s="445" t="str">
        <f>OBRA!AH148</f>
        <v>-</v>
      </c>
      <c r="S149" s="423"/>
      <c r="T149" s="446" t="str">
        <f>OBRA!U148</f>
        <v>-</v>
      </c>
      <c r="U149" s="447" t="str">
        <f>OBRA!V148</f>
        <v>ING. RIGOBERTO OLMEDO RAMOS</v>
      </c>
      <c r="V149" s="1281"/>
      <c r="W149" s="20" t="str">
        <f>OBRA!L148</f>
        <v>DOP/AD/013/2016</v>
      </c>
      <c r="X149" s="13"/>
      <c r="Y149" s="13"/>
      <c r="Z149" s="448" t="str">
        <f>OBRA!K148</f>
        <v>FONDEREG</v>
      </c>
      <c r="AA149" s="13"/>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428">
        <f>OBRA!S148</f>
        <v>42651</v>
      </c>
      <c r="AH149" s="54"/>
      <c r="AI149" s="231"/>
      <c r="AJ149" s="267"/>
      <c r="AK149" s="267"/>
      <c r="AL149" s="432"/>
      <c r="AM149" s="573" t="str">
        <f>GRAL!B150</f>
        <v>2015-2018</v>
      </c>
      <c r="AN149" s="574"/>
      <c r="AO149" s="13"/>
    </row>
    <row r="150" spans="1:41" ht="93" hidden="1" customHeight="1">
      <c r="A150" s="166">
        <f>OBRA!I149</f>
        <v>2016</v>
      </c>
      <c r="B150" s="2036"/>
      <c r="C150" s="433"/>
      <c r="D150" s="154"/>
      <c r="E150" s="156"/>
      <c r="F150" s="156"/>
      <c r="G150" s="436"/>
      <c r="H150" s="442" t="str">
        <f>OBRA!AD149</f>
        <v>-</v>
      </c>
      <c r="I150" s="438"/>
      <c r="J150" s="444" t="str">
        <f>OBRA!AE149</f>
        <v>-</v>
      </c>
      <c r="K150" s="439"/>
      <c r="L150" s="442" t="str">
        <f>OBRA!AF149</f>
        <v>-</v>
      </c>
      <c r="M150" s="440"/>
      <c r="N150" s="442" t="str">
        <f>OBRA!AG149</f>
        <v>-</v>
      </c>
      <c r="O150" s="152"/>
      <c r="P150" s="152"/>
      <c r="Q150" s="439"/>
      <c r="R150" s="445" t="str">
        <f>OBRA!AH149</f>
        <v>-</v>
      </c>
      <c r="S150" s="423"/>
      <c r="T150" s="446" t="str">
        <f>OBRA!U149</f>
        <v>-</v>
      </c>
      <c r="U150" s="447" t="str">
        <f>OBRA!V149</f>
        <v>ING. RIGOBERTO OLMEDO RAMOS</v>
      </c>
      <c r="V150" s="1281"/>
      <c r="W150" s="20" t="str">
        <f>OBRA!L149</f>
        <v>DOP/AD/014/2016</v>
      </c>
      <c r="X150" s="13"/>
      <c r="Y150" s="13"/>
      <c r="Z150" s="448" t="str">
        <f>OBRA!K149</f>
        <v>FONDEREG</v>
      </c>
      <c r="AA150" s="13"/>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428">
        <f>OBRA!S149</f>
        <v>42719</v>
      </c>
      <c r="AH150" s="54"/>
      <c r="AI150" s="231"/>
      <c r="AJ150" s="267"/>
      <c r="AK150" s="267"/>
      <c r="AL150" s="432"/>
      <c r="AM150" s="573" t="str">
        <f>GRAL!B151</f>
        <v>2015-2018</v>
      </c>
      <c r="AN150" s="574"/>
      <c r="AO150" s="13"/>
    </row>
    <row r="151" spans="1:41" ht="75.75" hidden="1" thickTop="1">
      <c r="A151" s="166">
        <f>OBRA!I150</f>
        <v>2016</v>
      </c>
      <c r="B151" s="2036"/>
      <c r="C151" s="433"/>
      <c r="D151" s="154"/>
      <c r="E151" s="156"/>
      <c r="F151" s="156"/>
      <c r="G151" s="436"/>
      <c r="H151" s="442" t="str">
        <f>OBRA!AD150</f>
        <v>-</v>
      </c>
      <c r="I151" s="438"/>
      <c r="J151" s="444" t="str">
        <f>OBRA!AE150</f>
        <v>-</v>
      </c>
      <c r="K151" s="439"/>
      <c r="L151" s="442" t="str">
        <f>OBRA!AF150</f>
        <v>-</v>
      </c>
      <c r="M151" s="440"/>
      <c r="N151" s="442" t="str">
        <f>OBRA!AG150</f>
        <v>-</v>
      </c>
      <c r="O151" s="152"/>
      <c r="P151" s="152"/>
      <c r="Q151" s="439"/>
      <c r="R151" s="445" t="str">
        <f>OBRA!AH150</f>
        <v>-</v>
      </c>
      <c r="S151" s="423"/>
      <c r="T151" s="446" t="str">
        <f>OBRA!U150</f>
        <v>-</v>
      </c>
      <c r="U151" s="447" t="str">
        <f>OBRA!V150</f>
        <v>ING. J. GUADALUPE IBARRA RAMIREZ</v>
      </c>
      <c r="V151" s="1281"/>
      <c r="W151" s="20" t="str">
        <f>OBRA!L150</f>
        <v>DOP/AD/015/2016</v>
      </c>
      <c r="X151" s="13"/>
      <c r="Y151" s="13"/>
      <c r="Z151" s="448" t="str">
        <f>OBRA!K150</f>
        <v>CUENTA CORRIENTE</v>
      </c>
      <c r="AA151" s="13"/>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428">
        <f>OBRA!S150</f>
        <v>42622</v>
      </c>
      <c r="AH151" s="54"/>
      <c r="AI151" s="231"/>
      <c r="AJ151" s="267"/>
      <c r="AK151" s="267"/>
      <c r="AL151" s="432"/>
      <c r="AM151" s="573" t="str">
        <f>GRAL!B152</f>
        <v>2015-2018</v>
      </c>
      <c r="AN151" s="574"/>
      <c r="AO151" s="13"/>
    </row>
    <row r="152" spans="1:41" ht="87.75" hidden="1" customHeight="1">
      <c r="A152" s="166">
        <f>OBRA!I151</f>
        <v>2016</v>
      </c>
      <c r="B152" s="2036"/>
      <c r="C152" s="433"/>
      <c r="D152" s="154"/>
      <c r="E152" s="156"/>
      <c r="F152" s="156"/>
      <c r="G152" s="436"/>
      <c r="H152" s="442" t="str">
        <f>OBRA!AD151</f>
        <v>-</v>
      </c>
      <c r="I152" s="438"/>
      <c r="J152" s="444" t="str">
        <f>OBRA!AE151</f>
        <v>-</v>
      </c>
      <c r="K152" s="439"/>
      <c r="L152" s="442" t="str">
        <f>OBRA!AF151</f>
        <v>-</v>
      </c>
      <c r="M152" s="440"/>
      <c r="N152" s="442" t="str">
        <f>OBRA!AG151</f>
        <v>-</v>
      </c>
      <c r="O152" s="152"/>
      <c r="P152" s="152"/>
      <c r="Q152" s="439"/>
      <c r="R152" s="445" t="str">
        <f>OBRA!AH151</f>
        <v>-</v>
      </c>
      <c r="S152" s="423"/>
      <c r="T152" s="446" t="str">
        <f>OBRA!U151</f>
        <v>-</v>
      </c>
      <c r="U152" s="447" t="str">
        <f>OBRA!V151</f>
        <v>ING. J. GUADALUPE IBARRA RAMIREZ</v>
      </c>
      <c r="V152" s="1281"/>
      <c r="W152" s="20" t="str">
        <f>OBRA!L151</f>
        <v>DOP/AD/016/2016</v>
      </c>
      <c r="X152" s="13"/>
      <c r="Y152" s="13"/>
      <c r="Z152" s="448" t="str">
        <f>OBRA!K151</f>
        <v>CUENTA CORRIENTE</v>
      </c>
      <c r="AA152" s="13"/>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428">
        <f>OBRA!S151</f>
        <v>42622</v>
      </c>
      <c r="AH152" s="54"/>
      <c r="AI152" s="231"/>
      <c r="AJ152" s="267"/>
      <c r="AK152" s="267"/>
      <c r="AL152" s="432"/>
      <c r="AM152" s="573" t="str">
        <f>GRAL!B153</f>
        <v>2015-2018</v>
      </c>
      <c r="AN152" s="574"/>
      <c r="AO152" s="13"/>
    </row>
    <row r="153" spans="1:41" ht="90" hidden="1" customHeight="1">
      <c r="A153" s="166">
        <f>OBRA!I152</f>
        <v>2016</v>
      </c>
      <c r="B153" s="2036"/>
      <c r="C153" s="433"/>
      <c r="D153" s="154"/>
      <c r="E153" s="156"/>
      <c r="F153" s="156"/>
      <c r="G153" s="436"/>
      <c r="H153" s="442" t="str">
        <f>OBRA!AD152</f>
        <v>-</v>
      </c>
      <c r="I153" s="438"/>
      <c r="J153" s="444" t="str">
        <f>OBRA!AE152</f>
        <v>-</v>
      </c>
      <c r="K153" s="439"/>
      <c r="L153" s="442" t="str">
        <f>OBRA!AF152</f>
        <v>-</v>
      </c>
      <c r="M153" s="440"/>
      <c r="N153" s="442" t="str">
        <f>OBRA!AG152</f>
        <v>-</v>
      </c>
      <c r="O153" s="152"/>
      <c r="P153" s="152"/>
      <c r="Q153" s="439"/>
      <c r="R153" s="445" t="str">
        <f>OBRA!AH152</f>
        <v>-</v>
      </c>
      <c r="S153" s="423"/>
      <c r="T153" s="446" t="str">
        <f>OBRA!U152</f>
        <v>-</v>
      </c>
      <c r="U153" s="447" t="str">
        <f>OBRA!V152</f>
        <v>ING. RIGOBERTO OLMEDO RAMOS</v>
      </c>
      <c r="V153" s="1281"/>
      <c r="W153" s="20" t="str">
        <f>OBRA!L152</f>
        <v>DOP/AD/017/2016</v>
      </c>
      <c r="X153" s="13"/>
      <c r="Y153" s="13"/>
      <c r="Z153" s="448" t="str">
        <f>OBRA!K152</f>
        <v>3X1 PARA MIGRANTES</v>
      </c>
      <c r="AA153" s="13"/>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428">
        <f>OBRA!S152</f>
        <v>42643</v>
      </c>
      <c r="AH153" s="54"/>
      <c r="AI153" s="231"/>
      <c r="AJ153" s="267"/>
      <c r="AK153" s="267"/>
      <c r="AL153" s="432"/>
      <c r="AM153" s="573" t="str">
        <f>GRAL!B154</f>
        <v>2015-2018</v>
      </c>
      <c r="AN153" s="574"/>
      <c r="AO153" s="13"/>
    </row>
    <row r="154" spans="1:41" ht="75.75" hidden="1" thickTop="1">
      <c r="A154" s="166">
        <f>OBRA!I153</f>
        <v>2016</v>
      </c>
      <c r="B154" s="2036"/>
      <c r="C154" s="433"/>
      <c r="D154" s="154"/>
      <c r="E154" s="156"/>
      <c r="F154" s="156"/>
      <c r="G154" s="436"/>
      <c r="H154" s="442" t="str">
        <f>OBRA!AD153</f>
        <v>-</v>
      </c>
      <c r="I154" s="438"/>
      <c r="J154" s="444" t="str">
        <f>OBRA!AE153</f>
        <v>-</v>
      </c>
      <c r="K154" s="439"/>
      <c r="L154" s="442" t="str">
        <f>OBRA!AF153</f>
        <v>-</v>
      </c>
      <c r="M154" s="440"/>
      <c r="N154" s="442" t="str">
        <f>OBRA!AG153</f>
        <v>-</v>
      </c>
      <c r="O154" s="152"/>
      <c r="P154" s="152"/>
      <c r="Q154" s="439"/>
      <c r="R154" s="445" t="str">
        <f>OBRA!AH153</f>
        <v>-</v>
      </c>
      <c r="S154" s="423"/>
      <c r="T154" s="446" t="str">
        <f>OBRA!U153</f>
        <v>-</v>
      </c>
      <c r="U154" s="447" t="str">
        <f>OBRA!V153</f>
        <v>ING. RIGOBERTO OLMEDO RAMOS</v>
      </c>
      <c r="V154" s="1281"/>
      <c r="W154" s="20" t="str">
        <f>OBRA!L153</f>
        <v>DOP/AD/018/2016</v>
      </c>
      <c r="X154" s="13"/>
      <c r="Y154" s="13"/>
      <c r="Z154" s="448" t="str">
        <f>OBRA!K153</f>
        <v>3X1 PARA MIGRANTES</v>
      </c>
      <c r="AA154" s="13"/>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428">
        <f>OBRA!S153</f>
        <v>42651</v>
      </c>
      <c r="AH154" s="54"/>
      <c r="AI154" s="231"/>
      <c r="AJ154" s="267"/>
      <c r="AK154" s="267"/>
      <c r="AL154" s="432"/>
      <c r="AM154" s="573" t="str">
        <f>GRAL!B155</f>
        <v>2015-2018</v>
      </c>
      <c r="AN154" s="574"/>
      <c r="AO154" s="13"/>
    </row>
    <row r="155" spans="1:41" ht="90" hidden="1" customHeight="1">
      <c r="A155" s="166">
        <f>OBRA!I154</f>
        <v>2016</v>
      </c>
      <c r="B155" s="2036"/>
      <c r="C155" s="433"/>
      <c r="D155" s="154"/>
      <c r="E155" s="156"/>
      <c r="F155" s="156"/>
      <c r="G155" s="436"/>
      <c r="H155" s="442" t="str">
        <f>OBRA!AD154</f>
        <v>-</v>
      </c>
      <c r="I155" s="438"/>
      <c r="J155" s="444" t="str">
        <f>OBRA!AE154</f>
        <v>-</v>
      </c>
      <c r="K155" s="439"/>
      <c r="L155" s="442" t="str">
        <f>OBRA!AF154</f>
        <v>-</v>
      </c>
      <c r="M155" s="440"/>
      <c r="N155" s="442" t="str">
        <f>OBRA!AG154</f>
        <v>-</v>
      </c>
      <c r="O155" s="152"/>
      <c r="P155" s="152"/>
      <c r="Q155" s="439"/>
      <c r="R155" s="445" t="str">
        <f>OBRA!AH154</f>
        <v>-</v>
      </c>
      <c r="S155" s="423"/>
      <c r="T155" s="446" t="str">
        <f>OBRA!U154</f>
        <v>-</v>
      </c>
      <c r="U155" s="447" t="str">
        <f>OBRA!V154</f>
        <v>ING. RIGOBERTO OLMEDO RAMOS</v>
      </c>
      <c r="V155" s="1281"/>
      <c r="W155" s="20" t="str">
        <f>OBRA!L154</f>
        <v>DOP/AD/019/2016</v>
      </c>
      <c r="X155" s="13"/>
      <c r="Y155" s="13"/>
      <c r="Z155" s="448" t="str">
        <f>OBRA!K154</f>
        <v>3X1 PARA MIGRANTES</v>
      </c>
      <c r="AA155" s="13"/>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428">
        <f>OBRA!S154</f>
        <v>42663</v>
      </c>
      <c r="AH155" s="54"/>
      <c r="AI155" s="231"/>
      <c r="AJ155" s="267"/>
      <c r="AK155" s="267"/>
      <c r="AL155" s="432"/>
      <c r="AM155" s="573" t="str">
        <f>GRAL!B156</f>
        <v>2015-2018</v>
      </c>
      <c r="AN155" s="574"/>
      <c r="AO155" s="13"/>
    </row>
    <row r="156" spans="1:41" ht="93" hidden="1" customHeight="1">
      <c r="A156" s="166">
        <f>OBRA!I155</f>
        <v>2016</v>
      </c>
      <c r="B156" s="2036"/>
      <c r="C156" s="433"/>
      <c r="D156" s="154"/>
      <c r="E156" s="156"/>
      <c r="F156" s="156"/>
      <c r="G156" s="436"/>
      <c r="H156" s="442" t="str">
        <f>OBRA!AD155</f>
        <v>-</v>
      </c>
      <c r="I156" s="438"/>
      <c r="J156" s="444" t="str">
        <f>OBRA!AE155</f>
        <v>-</v>
      </c>
      <c r="K156" s="439"/>
      <c r="L156" s="442" t="str">
        <f>OBRA!AF155</f>
        <v>-</v>
      </c>
      <c r="M156" s="440"/>
      <c r="N156" s="442" t="str">
        <f>OBRA!AG155</f>
        <v>-</v>
      </c>
      <c r="O156" s="152"/>
      <c r="P156" s="152"/>
      <c r="Q156" s="439"/>
      <c r="R156" s="445" t="str">
        <f>OBRA!AH155</f>
        <v>-</v>
      </c>
      <c r="S156" s="423"/>
      <c r="T156" s="446" t="str">
        <f>OBRA!U155</f>
        <v>-</v>
      </c>
      <c r="U156" s="447" t="str">
        <f>OBRA!V155</f>
        <v>ING. RIGOBERTO OLMEDO RAMOS</v>
      </c>
      <c r="V156" s="1281"/>
      <c r="W156" s="20" t="str">
        <f>OBRA!L155</f>
        <v>DOP/AD/020/2016</v>
      </c>
      <c r="X156" s="13"/>
      <c r="Y156" s="13"/>
      <c r="Z156" s="448" t="str">
        <f>OBRA!K155</f>
        <v>3X1 PARA MIGRANTES</v>
      </c>
      <c r="AA156" s="13"/>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428">
        <f>OBRA!S155</f>
        <v>42663</v>
      </c>
      <c r="AH156" s="54"/>
      <c r="AI156" s="231"/>
      <c r="AJ156" s="267"/>
      <c r="AK156" s="267"/>
      <c r="AL156" s="432"/>
      <c r="AM156" s="573" t="str">
        <f>GRAL!B157</f>
        <v>2015-2018</v>
      </c>
      <c r="AN156" s="574"/>
      <c r="AO156" s="13"/>
    </row>
    <row r="157" spans="1:41" ht="93" hidden="1" customHeight="1">
      <c r="A157" s="166">
        <f>OBRA!I156</f>
        <v>2016</v>
      </c>
      <c r="B157" s="2036"/>
      <c r="C157" s="433"/>
      <c r="D157" s="154"/>
      <c r="E157" s="156"/>
      <c r="F157" s="156"/>
      <c r="G157" s="436"/>
      <c r="H157" s="442" t="str">
        <f>OBRA!AD156</f>
        <v>-</v>
      </c>
      <c r="I157" s="438"/>
      <c r="J157" s="444" t="str">
        <f>OBRA!AE156</f>
        <v>-</v>
      </c>
      <c r="K157" s="439"/>
      <c r="L157" s="442" t="str">
        <f>OBRA!AF156</f>
        <v>-</v>
      </c>
      <c r="M157" s="440"/>
      <c r="N157" s="442" t="str">
        <f>OBRA!AG156</f>
        <v>-</v>
      </c>
      <c r="O157" s="152"/>
      <c r="P157" s="152"/>
      <c r="Q157" s="439"/>
      <c r="R157" s="445" t="str">
        <f>OBRA!AH156</f>
        <v>-</v>
      </c>
      <c r="S157" s="423"/>
      <c r="T157" s="446" t="str">
        <f>OBRA!U156</f>
        <v>-</v>
      </c>
      <c r="U157" s="447" t="str">
        <f>OBRA!V156</f>
        <v>ING. RIGOBERTO OLMEDO RAMOS</v>
      </c>
      <c r="V157" s="1281"/>
      <c r="W157" s="20" t="str">
        <f>OBRA!L156</f>
        <v>DOP/AD/021/2016</v>
      </c>
      <c r="X157" s="13"/>
      <c r="Y157" s="13"/>
      <c r="Z157" s="448" t="str">
        <f>OBRA!K156</f>
        <v>3X1 PARA MIGRANTES</v>
      </c>
      <c r="AA157" s="13"/>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428">
        <f>OBRA!S156</f>
        <v>42669</v>
      </c>
      <c r="AH157" s="54"/>
      <c r="AI157" s="231"/>
      <c r="AJ157" s="267"/>
      <c r="AK157" s="267"/>
      <c r="AL157" s="432"/>
      <c r="AM157" s="573" t="str">
        <f>GRAL!B158</f>
        <v>2015-2018</v>
      </c>
      <c r="AN157" s="574"/>
      <c r="AO157" s="13"/>
    </row>
    <row r="158" spans="1:41" ht="56.25" hidden="1" customHeight="1">
      <c r="A158" s="166">
        <f>OBRA!I157</f>
        <v>2016</v>
      </c>
      <c r="B158" s="2036"/>
      <c r="C158" s="433"/>
      <c r="D158" s="154"/>
      <c r="E158" s="156"/>
      <c r="F158" s="156"/>
      <c r="G158" s="436"/>
      <c r="H158" s="442" t="str">
        <f>OBRA!AD157</f>
        <v>-</v>
      </c>
      <c r="I158" s="438"/>
      <c r="J158" s="444" t="str">
        <f>OBRA!AE157</f>
        <v>-</v>
      </c>
      <c r="K158" s="439"/>
      <c r="L158" s="442" t="str">
        <f>OBRA!AF157</f>
        <v>-</v>
      </c>
      <c r="M158" s="440"/>
      <c r="N158" s="442" t="str">
        <f>OBRA!AG157</f>
        <v>-</v>
      </c>
      <c r="O158" s="152"/>
      <c r="P158" s="152"/>
      <c r="Q158" s="439"/>
      <c r="R158" s="445" t="str">
        <f>OBRA!AH157</f>
        <v>-</v>
      </c>
      <c r="S158" s="423"/>
      <c r="T158" s="446" t="str">
        <f>OBRA!U157</f>
        <v>-</v>
      </c>
      <c r="U158" s="447" t="str">
        <f>OBRA!V157</f>
        <v>ING. RIGOBERTO OLMEDO RAMOS</v>
      </c>
      <c r="V158" s="1281"/>
      <c r="W158" s="20" t="str">
        <f>OBRA!L157</f>
        <v>DOP/AD/022/2016</v>
      </c>
      <c r="X158" s="13"/>
      <c r="Y158" s="13"/>
      <c r="Z158" s="448" t="str">
        <f>OBRA!K157</f>
        <v>3X1 PARA MIGRANTES</v>
      </c>
      <c r="AA158" s="13"/>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428">
        <f>OBRA!S157</f>
        <v>42684</v>
      </c>
      <c r="AH158" s="54"/>
      <c r="AI158" s="231"/>
      <c r="AJ158" s="267"/>
      <c r="AK158" s="267"/>
      <c r="AL158" s="432"/>
      <c r="AM158" s="573" t="str">
        <f>GRAL!B159</f>
        <v>2015-2018</v>
      </c>
      <c r="AN158" s="574"/>
      <c r="AO158" s="13"/>
    </row>
    <row r="159" spans="1:41" ht="62.25" hidden="1" customHeight="1">
      <c r="A159" s="166">
        <f>OBRA!I158</f>
        <v>2016</v>
      </c>
      <c r="B159" s="2036"/>
      <c r="C159" s="433"/>
      <c r="D159" s="154"/>
      <c r="E159" s="156"/>
      <c r="F159" s="156"/>
      <c r="G159" s="436"/>
      <c r="H159" s="442" t="str">
        <f>OBRA!AD158</f>
        <v>-</v>
      </c>
      <c r="I159" s="438"/>
      <c r="J159" s="444" t="str">
        <f>OBRA!AE158</f>
        <v>-</v>
      </c>
      <c r="K159" s="439"/>
      <c r="L159" s="442" t="str">
        <f>OBRA!AF158</f>
        <v>-</v>
      </c>
      <c r="M159" s="440"/>
      <c r="N159" s="442" t="str">
        <f>OBRA!AG158</f>
        <v>-</v>
      </c>
      <c r="O159" s="152"/>
      <c r="P159" s="152"/>
      <c r="Q159" s="439"/>
      <c r="R159" s="445" t="str">
        <f>OBRA!AH158</f>
        <v>-</v>
      </c>
      <c r="S159" s="423"/>
      <c r="T159" s="446" t="str">
        <f>OBRA!U158</f>
        <v>-</v>
      </c>
      <c r="U159" s="447" t="str">
        <f>OBRA!V158</f>
        <v>ING. RIGOBERTO OLMEDO RAMOS</v>
      </c>
      <c r="V159" s="1281"/>
      <c r="W159" s="20" t="str">
        <f>OBRA!L158</f>
        <v>DOP/AD/023/2016</v>
      </c>
      <c r="X159" s="13"/>
      <c r="Y159" s="13"/>
      <c r="Z159" s="448" t="str">
        <f>OBRA!K158</f>
        <v>3X1 PARA MIGRANTES</v>
      </c>
      <c r="AA159" s="13"/>
      <c r="AB159" s="2" t="str">
        <f>OBRA!M158</f>
        <v>ADMINISTRACIÓN DIRECTA</v>
      </c>
      <c r="AC159" s="3" t="str">
        <f>OBRA!N158</f>
        <v>CONSTRUCCIÓN DE DRENAJE PLUVIAL EN CALLE PRIVADA CAMICHINES DE LA CABECERA</v>
      </c>
      <c r="AD159" s="4">
        <f>OBRA!P158</f>
        <v>233400</v>
      </c>
      <c r="AE159" s="6">
        <f>OBRA!Q158</f>
        <v>42627</v>
      </c>
      <c r="AF159" s="5">
        <f>OBRA!R158</f>
        <v>42690</v>
      </c>
      <c r="AG159" s="428">
        <f>OBRA!S158</f>
        <v>42700</v>
      </c>
      <c r="AH159" s="54"/>
      <c r="AI159" s="231"/>
      <c r="AJ159" s="267"/>
      <c r="AK159" s="267"/>
      <c r="AL159" s="432"/>
      <c r="AM159" s="573" t="str">
        <f>GRAL!B160</f>
        <v>2015-2018</v>
      </c>
      <c r="AN159" s="574"/>
      <c r="AO159" s="13"/>
    </row>
    <row r="160" spans="1:41" ht="87" hidden="1" customHeight="1">
      <c r="A160" s="166">
        <f>OBRA!I159</f>
        <v>2016</v>
      </c>
      <c r="B160" s="2036"/>
      <c r="C160" s="433"/>
      <c r="D160" s="154"/>
      <c r="E160" s="156"/>
      <c r="F160" s="156"/>
      <c r="G160" s="436"/>
      <c r="H160" s="442" t="str">
        <f>OBRA!AD159</f>
        <v>-</v>
      </c>
      <c r="I160" s="438"/>
      <c r="J160" s="444" t="str">
        <f>OBRA!AE159</f>
        <v>-</v>
      </c>
      <c r="K160" s="439"/>
      <c r="L160" s="442" t="str">
        <f>OBRA!AF159</f>
        <v>-</v>
      </c>
      <c r="M160" s="440"/>
      <c r="N160" s="442" t="str">
        <f>OBRA!AG159</f>
        <v>-</v>
      </c>
      <c r="O160" s="152"/>
      <c r="P160" s="152"/>
      <c r="Q160" s="439"/>
      <c r="R160" s="445" t="str">
        <f>OBRA!AH159</f>
        <v>-</v>
      </c>
      <c r="S160" s="423"/>
      <c r="T160" s="446" t="str">
        <f>OBRA!U159</f>
        <v>-</v>
      </c>
      <c r="U160" s="447" t="str">
        <f>OBRA!V159</f>
        <v>ING. RIGOBERTO OLMEDO RAMOS</v>
      </c>
      <c r="V160" s="1281"/>
      <c r="W160" s="20" t="str">
        <f>OBRA!L159</f>
        <v>DOP/AD/024/2016</v>
      </c>
      <c r="X160" s="13"/>
      <c r="Y160" s="13"/>
      <c r="Z160" s="448" t="str">
        <f>OBRA!K159</f>
        <v>3X1 PARA MIGRANTES</v>
      </c>
      <c r="AA160" s="13"/>
      <c r="AB160" s="2" t="str">
        <f>OBRA!M159</f>
        <v>ADMINISTRACIÓN DIRECTA</v>
      </c>
      <c r="AC160" s="3" t="str">
        <f>OBRA!N159</f>
        <v>COLOCACIÓN DE ADOQUÍN EN CALLE PRIVADA CAMICHINES, EN LA CABECERA</v>
      </c>
      <c r="AD160" s="4">
        <f>OBRA!P159</f>
        <v>456248</v>
      </c>
      <c r="AE160" s="6">
        <f>OBRA!Q159</f>
        <v>42641</v>
      </c>
      <c r="AF160" s="5">
        <f>OBRA!R159</f>
        <v>42702</v>
      </c>
      <c r="AG160" s="428">
        <f>OBRA!S159</f>
        <v>42721</v>
      </c>
      <c r="AH160" s="54"/>
      <c r="AI160" s="231"/>
      <c r="AJ160" s="267"/>
      <c r="AK160" s="267"/>
      <c r="AL160" s="432"/>
      <c r="AM160" s="573" t="str">
        <f>GRAL!B161</f>
        <v>2015-2018</v>
      </c>
      <c r="AN160" s="574"/>
      <c r="AO160" s="13"/>
    </row>
    <row r="161" spans="1:41" ht="61.5" hidden="1" customHeight="1">
      <c r="A161" s="166">
        <f>OBRA!I160</f>
        <v>2016</v>
      </c>
      <c r="B161" s="2036"/>
      <c r="C161" s="433"/>
      <c r="D161" s="154"/>
      <c r="E161" s="156"/>
      <c r="F161" s="156"/>
      <c r="G161" s="436"/>
      <c r="H161" s="442" t="str">
        <f>OBRA!AD160</f>
        <v>-</v>
      </c>
      <c r="I161" s="438"/>
      <c r="J161" s="444" t="str">
        <f>OBRA!AE160</f>
        <v>-</v>
      </c>
      <c r="K161" s="439"/>
      <c r="L161" s="442" t="str">
        <f>OBRA!AF160</f>
        <v>-</v>
      </c>
      <c r="M161" s="440"/>
      <c r="N161" s="442" t="str">
        <f>OBRA!AG160</f>
        <v>-</v>
      </c>
      <c r="O161" s="152"/>
      <c r="P161" s="152"/>
      <c r="Q161" s="439"/>
      <c r="R161" s="445" t="str">
        <f>OBRA!AH160</f>
        <v>-</v>
      </c>
      <c r="S161" s="423"/>
      <c r="T161" s="446" t="str">
        <f>OBRA!U160</f>
        <v>-</v>
      </c>
      <c r="U161" s="447" t="str">
        <f>OBRA!V160</f>
        <v>ING. RIGOBERTO OLMEDO RAMOS</v>
      </c>
      <c r="V161" s="1281"/>
      <c r="W161" s="20" t="str">
        <f>OBRA!L160</f>
        <v>DOP/AD/025/2016</v>
      </c>
      <c r="X161" s="13"/>
      <c r="Y161" s="13"/>
      <c r="Z161" s="448" t="str">
        <f>OBRA!K160</f>
        <v>3X1 PARA MIGRANTES</v>
      </c>
      <c r="AA161" s="13"/>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428">
        <f>OBRA!S160</f>
        <v>42672</v>
      </c>
      <c r="AH161" s="54"/>
      <c r="AI161" s="231"/>
      <c r="AJ161" s="267"/>
      <c r="AK161" s="267"/>
      <c r="AL161" s="432"/>
      <c r="AM161" s="573" t="str">
        <f>GRAL!B162</f>
        <v>2015-2018</v>
      </c>
      <c r="AN161" s="574"/>
      <c r="AO161" s="13"/>
    </row>
    <row r="162" spans="1:41" ht="110.25" hidden="1" customHeight="1">
      <c r="A162" s="166">
        <f>OBRA!I161</f>
        <v>2016</v>
      </c>
      <c r="B162" s="2036"/>
      <c r="C162" s="433"/>
      <c r="D162" s="154"/>
      <c r="E162" s="156"/>
      <c r="F162" s="156"/>
      <c r="G162" s="436"/>
      <c r="H162" s="442" t="str">
        <f>OBRA!AD161</f>
        <v>-</v>
      </c>
      <c r="I162" s="438"/>
      <c r="J162" s="444" t="str">
        <f>OBRA!AE161</f>
        <v>-</v>
      </c>
      <c r="K162" s="439"/>
      <c r="L162" s="442" t="str">
        <f>OBRA!AF161</f>
        <v>-</v>
      </c>
      <c r="M162" s="440"/>
      <c r="N162" s="442" t="str">
        <f>OBRA!AG161</f>
        <v>-</v>
      </c>
      <c r="O162" s="152"/>
      <c r="P162" s="152"/>
      <c r="Q162" s="439"/>
      <c r="R162" s="445" t="str">
        <f>OBRA!AH161</f>
        <v>-</v>
      </c>
      <c r="S162" s="423"/>
      <c r="T162" s="446" t="str">
        <f>OBRA!U161</f>
        <v>-</v>
      </c>
      <c r="U162" s="447" t="str">
        <f>OBRA!V161</f>
        <v>ING. RIGOBERTO OLMEDO RAMOS</v>
      </c>
      <c r="V162" s="1281"/>
      <c r="W162" s="20" t="str">
        <f>OBRA!L161</f>
        <v>DOP/AD/026/2016</v>
      </c>
      <c r="X162" s="13"/>
      <c r="Y162" s="13"/>
      <c r="Z162" s="448" t="str">
        <f>OBRA!K161</f>
        <v>3X1 PARA MIGRANTES</v>
      </c>
      <c r="AA162" s="13"/>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428">
        <f>OBRA!S161</f>
        <v>42704</v>
      </c>
      <c r="AH162" s="54"/>
      <c r="AI162" s="231"/>
      <c r="AJ162" s="267"/>
      <c r="AK162" s="267"/>
      <c r="AL162" s="432"/>
      <c r="AM162" s="573" t="str">
        <f>GRAL!B163</f>
        <v>2015-2018</v>
      </c>
      <c r="AN162" s="574"/>
      <c r="AO162" s="13"/>
    </row>
    <row r="163" spans="1:41" ht="67.5" hidden="1" customHeight="1">
      <c r="A163" s="166">
        <f>OBRA!I162</f>
        <v>2016</v>
      </c>
      <c r="B163" s="2036"/>
      <c r="C163" s="433"/>
      <c r="D163" s="154"/>
      <c r="E163" s="156"/>
      <c r="F163" s="156"/>
      <c r="G163" s="436"/>
      <c r="H163" s="442" t="str">
        <f>OBRA!AD162</f>
        <v>-</v>
      </c>
      <c r="I163" s="438"/>
      <c r="J163" s="444" t="str">
        <f>OBRA!AE162</f>
        <v>-</v>
      </c>
      <c r="K163" s="439"/>
      <c r="L163" s="442" t="str">
        <f>OBRA!AF162</f>
        <v>-</v>
      </c>
      <c r="M163" s="440"/>
      <c r="N163" s="442" t="str">
        <f>OBRA!AG162</f>
        <v>-</v>
      </c>
      <c r="O163" s="152"/>
      <c r="P163" s="152"/>
      <c r="Q163" s="439"/>
      <c r="R163" s="445" t="str">
        <f>OBRA!AH162</f>
        <v>-</v>
      </c>
      <c r="S163" s="423"/>
      <c r="T163" s="446" t="str">
        <f>OBRA!U162</f>
        <v>-</v>
      </c>
      <c r="U163" s="447" t="str">
        <f>OBRA!V162</f>
        <v>ING. J. GUADALUPE IBARRA RAMIREZ</v>
      </c>
      <c r="V163" s="1281"/>
      <c r="W163" s="20" t="str">
        <f>OBRA!L162</f>
        <v>DOP/AD/027/2016</v>
      </c>
      <c r="X163" s="13"/>
      <c r="Y163" s="13"/>
      <c r="Z163" s="448" t="str">
        <f>OBRA!K162</f>
        <v xml:space="preserve">Fortalecimiento Financiero Para La Inversion </v>
      </c>
      <c r="AA163" s="13"/>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428">
        <f>OBRA!S162</f>
        <v>42734</v>
      </c>
      <c r="AH163" s="54"/>
      <c r="AI163" s="231"/>
      <c r="AJ163" s="267"/>
      <c r="AK163" s="267"/>
      <c r="AL163" s="432"/>
      <c r="AM163" s="573" t="str">
        <f>GRAL!B164</f>
        <v>2015-2018</v>
      </c>
      <c r="AN163" s="574"/>
      <c r="AO163" s="13"/>
    </row>
    <row r="164" spans="1:41" ht="110.25" hidden="1" customHeight="1">
      <c r="A164" s="166">
        <f>OBRA!I163</f>
        <v>2016</v>
      </c>
      <c r="B164" s="2036"/>
      <c r="C164" s="433"/>
      <c r="D164" s="154"/>
      <c r="E164" s="156"/>
      <c r="F164" s="156"/>
      <c r="G164" s="436"/>
      <c r="H164" s="442" t="str">
        <f>OBRA!AD163</f>
        <v>-</v>
      </c>
      <c r="I164" s="438"/>
      <c r="J164" s="444" t="str">
        <f>OBRA!AE163</f>
        <v>-</v>
      </c>
      <c r="K164" s="439"/>
      <c r="L164" s="442" t="str">
        <f>OBRA!AF163</f>
        <v>-</v>
      </c>
      <c r="M164" s="440"/>
      <c r="N164" s="442" t="str">
        <f>OBRA!AG163</f>
        <v>-</v>
      </c>
      <c r="O164" s="152"/>
      <c r="P164" s="152"/>
      <c r="Q164" s="439"/>
      <c r="R164" s="445" t="str">
        <f>OBRA!AH163</f>
        <v>-</v>
      </c>
      <c r="S164" s="423"/>
      <c r="T164" s="446" t="str">
        <f>OBRA!U163</f>
        <v>-</v>
      </c>
      <c r="U164" s="447" t="str">
        <f>OBRA!V163</f>
        <v>ING. J. GUADALUPE IBARRA RAMIREZ</v>
      </c>
      <c r="V164" s="1281"/>
      <c r="W164" s="20" t="str">
        <f>OBRA!L163</f>
        <v>DOP/AD/028/2016</v>
      </c>
      <c r="X164" s="13"/>
      <c r="Y164" s="13"/>
      <c r="Z164" s="448" t="str">
        <f>OBRA!K163</f>
        <v>RAMO 33</v>
      </c>
      <c r="AA164" s="13"/>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428">
        <f>OBRA!S163</f>
        <v>42735</v>
      </c>
      <c r="AH164" s="54"/>
      <c r="AI164" s="231"/>
      <c r="AJ164" s="267"/>
      <c r="AK164" s="267"/>
      <c r="AL164" s="432"/>
      <c r="AM164" s="573" t="str">
        <f>GRAL!B165</f>
        <v>2015-2018</v>
      </c>
      <c r="AN164" s="574"/>
      <c r="AO164" s="13"/>
    </row>
    <row r="165" spans="1:41" ht="110.25" hidden="1" customHeight="1">
      <c r="A165" s="166">
        <f>OBRA!I164</f>
        <v>2016</v>
      </c>
      <c r="B165" s="2036"/>
      <c r="C165" s="433"/>
      <c r="D165" s="154"/>
      <c r="E165" s="156"/>
      <c r="F165" s="156"/>
      <c r="G165" s="436"/>
      <c r="H165" s="442" t="str">
        <f>OBRA!AD164</f>
        <v>-</v>
      </c>
      <c r="I165" s="438"/>
      <c r="J165" s="444" t="str">
        <f>OBRA!AE164</f>
        <v>-</v>
      </c>
      <c r="K165" s="439"/>
      <c r="L165" s="442" t="str">
        <f>OBRA!AF164</f>
        <v>-</v>
      </c>
      <c r="M165" s="440"/>
      <c r="N165" s="442" t="str">
        <f>OBRA!AG164</f>
        <v>-</v>
      </c>
      <c r="O165" s="152"/>
      <c r="P165" s="152"/>
      <c r="Q165" s="439"/>
      <c r="R165" s="445" t="str">
        <f>OBRA!AH164</f>
        <v>-</v>
      </c>
      <c r="S165" s="423"/>
      <c r="T165" s="446" t="str">
        <f>OBRA!U164</f>
        <v>-</v>
      </c>
      <c r="U165" s="447" t="str">
        <f>OBRA!V164</f>
        <v>ING. ANGEL ALBERTO HERNANDEZ MORA</v>
      </c>
      <c r="V165" s="1281"/>
      <c r="W165" s="20" t="str">
        <f>OBRA!L164</f>
        <v>DOP/AD/029/2016</v>
      </c>
      <c r="X165" s="13"/>
      <c r="Y165" s="13"/>
      <c r="Z165" s="448" t="str">
        <f>OBRA!K164</f>
        <v>CUENTA CORRIENTE</v>
      </c>
      <c r="AA165" s="13"/>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428">
        <f>OBRA!S164</f>
        <v>42711</v>
      </c>
      <c r="AH165" s="54"/>
      <c r="AI165" s="231"/>
      <c r="AJ165" s="267"/>
      <c r="AK165" s="267"/>
      <c r="AL165" s="432"/>
      <c r="AM165" s="573" t="str">
        <f>GRAL!B166</f>
        <v>2015-2018</v>
      </c>
      <c r="AN165" s="574"/>
      <c r="AO165" s="13"/>
    </row>
    <row r="166" spans="1:41" ht="123" hidden="1" customHeight="1">
      <c r="A166" s="166">
        <f>OBRA!I165</f>
        <v>2016</v>
      </c>
      <c r="B166" s="2036"/>
      <c r="C166" s="433"/>
      <c r="D166" s="154"/>
      <c r="E166" s="156"/>
      <c r="F166" s="156"/>
      <c r="G166" s="436"/>
      <c r="H166" s="442" t="str">
        <f>OBRA!AD165</f>
        <v>-</v>
      </c>
      <c r="I166" s="438"/>
      <c r="J166" s="444" t="str">
        <f>OBRA!AE165</f>
        <v>-</v>
      </c>
      <c r="K166" s="439"/>
      <c r="L166" s="442" t="str">
        <f>OBRA!AF165</f>
        <v>-</v>
      </c>
      <c r="M166" s="440"/>
      <c r="N166" s="442" t="str">
        <f>OBRA!AG165</f>
        <v>-</v>
      </c>
      <c r="O166" s="152"/>
      <c r="P166" s="152"/>
      <c r="Q166" s="439"/>
      <c r="R166" s="445" t="str">
        <f>OBRA!AH165</f>
        <v>-</v>
      </c>
      <c r="S166" s="423"/>
      <c r="T166" s="446" t="str">
        <f>OBRA!U165</f>
        <v>-</v>
      </c>
      <c r="U166" s="447" t="str">
        <f>OBRA!V165</f>
        <v>ING. J. GUADALUPE IBARRA RAMIREZ</v>
      </c>
      <c r="V166" s="1281"/>
      <c r="W166" s="20" t="str">
        <f>OBRA!L165</f>
        <v>DOP/AD/030/2016</v>
      </c>
      <c r="X166" s="13"/>
      <c r="Y166" s="13"/>
      <c r="Z166" s="448" t="str">
        <f>OBRA!K165</f>
        <v>RAMO 33</v>
      </c>
      <c r="AA166" s="13"/>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428">
        <f>OBRA!S165</f>
        <v>42705</v>
      </c>
      <c r="AH166" s="54"/>
      <c r="AI166" s="231"/>
      <c r="AJ166" s="267"/>
      <c r="AK166" s="267"/>
      <c r="AL166" s="432"/>
      <c r="AM166" s="573" t="str">
        <f>GRAL!B167</f>
        <v>2015-2018</v>
      </c>
      <c r="AN166" s="574"/>
      <c r="AO166" s="13"/>
    </row>
    <row r="167" spans="1:41" ht="110.25" hidden="1" customHeight="1">
      <c r="A167" s="166">
        <f>OBRA!I166</f>
        <v>2016</v>
      </c>
      <c r="B167" s="2036"/>
      <c r="C167" s="433"/>
      <c r="D167" s="154"/>
      <c r="E167" s="156"/>
      <c r="F167" s="156"/>
      <c r="G167" s="436"/>
      <c r="H167" s="442" t="str">
        <f>OBRA!AD166</f>
        <v>-</v>
      </c>
      <c r="I167" s="438"/>
      <c r="J167" s="444" t="str">
        <f>OBRA!AE166</f>
        <v>-</v>
      </c>
      <c r="K167" s="439"/>
      <c r="L167" s="442" t="str">
        <f>OBRA!AF166</f>
        <v>-</v>
      </c>
      <c r="M167" s="440"/>
      <c r="N167" s="442" t="str">
        <f>OBRA!AG166</f>
        <v>-</v>
      </c>
      <c r="O167" s="152"/>
      <c r="P167" s="152"/>
      <c r="Q167" s="439"/>
      <c r="R167" s="445" t="str">
        <f>OBRA!AH166</f>
        <v>-</v>
      </c>
      <c r="S167" s="423"/>
      <c r="T167" s="446" t="str">
        <f>OBRA!U166</f>
        <v>-</v>
      </c>
      <c r="U167" s="447" t="str">
        <f>OBRA!V166</f>
        <v>ING. J. GUADALUPE IBARRA RAMIREZ</v>
      </c>
      <c r="V167" s="1281"/>
      <c r="W167" s="20" t="str">
        <f>OBRA!L166</f>
        <v>DOP/AD/031/2016</v>
      </c>
      <c r="X167" s="13"/>
      <c r="Y167" s="13"/>
      <c r="Z167" s="448" t="str">
        <f>OBRA!K166</f>
        <v>RAMO 33</v>
      </c>
      <c r="AA167" s="13"/>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428">
        <f>OBRA!S166</f>
        <v>42719</v>
      </c>
      <c r="AH167" s="54"/>
      <c r="AI167" s="231"/>
      <c r="AJ167" s="267"/>
      <c r="AK167" s="267"/>
      <c r="AL167" s="432"/>
      <c r="AM167" s="573" t="str">
        <f>GRAL!B168</f>
        <v>2015-2018</v>
      </c>
      <c r="AN167" s="574"/>
      <c r="AO167" s="13"/>
    </row>
    <row r="168" spans="1:41" ht="110.25" hidden="1" customHeight="1">
      <c r="A168" s="166">
        <f>OBRA!I167</f>
        <v>2016</v>
      </c>
      <c r="B168" s="2036"/>
      <c r="C168" s="433"/>
      <c r="D168" s="154"/>
      <c r="E168" s="156"/>
      <c r="F168" s="156"/>
      <c r="G168" s="436"/>
      <c r="H168" s="442" t="str">
        <f>OBRA!AD167</f>
        <v>-</v>
      </c>
      <c r="I168" s="438"/>
      <c r="J168" s="444" t="str">
        <f>OBRA!AE167</f>
        <v>-</v>
      </c>
      <c r="K168" s="439"/>
      <c r="L168" s="442" t="str">
        <f>OBRA!AF167</f>
        <v>-</v>
      </c>
      <c r="M168" s="440"/>
      <c r="N168" s="442" t="str">
        <f>OBRA!AG167</f>
        <v>-</v>
      </c>
      <c r="O168" s="152"/>
      <c r="P168" s="152"/>
      <c r="Q168" s="439"/>
      <c r="R168" s="445" t="str">
        <f>OBRA!AH167</f>
        <v>-</v>
      </c>
      <c r="S168" s="423"/>
      <c r="T168" s="446" t="str">
        <f>OBRA!U167</f>
        <v>-</v>
      </c>
      <c r="U168" s="447" t="str">
        <f>OBRA!V167</f>
        <v>ING. J. GUADALUPE IBARRA RAMIREZ</v>
      </c>
      <c r="V168" s="1281"/>
      <c r="W168" s="20" t="str">
        <f>OBRA!L167</f>
        <v>DOP/AD/032/2016</v>
      </c>
      <c r="X168" s="13"/>
      <c r="Y168" s="13"/>
      <c r="Z168" s="448" t="str">
        <f>OBRA!K167</f>
        <v>RAMO 33</v>
      </c>
      <c r="AA168" s="13"/>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428">
        <f>OBRA!S167</f>
        <v>42735</v>
      </c>
      <c r="AH168" s="54"/>
      <c r="AI168" s="231"/>
      <c r="AJ168" s="267"/>
      <c r="AK168" s="267"/>
      <c r="AL168" s="432"/>
      <c r="AM168" s="573" t="str">
        <f>GRAL!B169</f>
        <v>2015-2018</v>
      </c>
      <c r="AN168" s="574"/>
      <c r="AO168" s="13"/>
    </row>
    <row r="169" spans="1:41" ht="208.5" hidden="1" customHeight="1">
      <c r="A169" s="166">
        <f>OBRA!I168</f>
        <v>2016</v>
      </c>
      <c r="B169" s="2036"/>
      <c r="C169" s="433"/>
      <c r="D169" s="154"/>
      <c r="E169" s="156"/>
      <c r="F169" s="156"/>
      <c r="G169" s="436"/>
      <c r="H169" s="442" t="str">
        <f>OBRA!AD168</f>
        <v>-</v>
      </c>
      <c r="I169" s="438"/>
      <c r="J169" s="444" t="str">
        <f>OBRA!AE168</f>
        <v>-</v>
      </c>
      <c r="K169" s="439"/>
      <c r="L169" s="442" t="str">
        <f>OBRA!AF168</f>
        <v>-</v>
      </c>
      <c r="M169" s="440"/>
      <c r="N169" s="442" t="str">
        <f>OBRA!AG168</f>
        <v>-</v>
      </c>
      <c r="O169" s="152"/>
      <c r="P169" s="152"/>
      <c r="Q169" s="439"/>
      <c r="R169" s="445" t="str">
        <f>OBRA!AH168</f>
        <v>-</v>
      </c>
      <c r="S169" s="423"/>
      <c r="T169" s="446" t="str">
        <f>OBRA!U168</f>
        <v>-</v>
      </c>
      <c r="U169" s="447" t="str">
        <f>OBRA!V168</f>
        <v>ING. RIGOBERTO OLMEDO RAMOS</v>
      </c>
      <c r="V169" s="1281"/>
      <c r="W169" s="20" t="str">
        <f>OBRA!L168</f>
        <v>DOP/AD/033/2016</v>
      </c>
      <c r="X169" s="13"/>
      <c r="Y169" s="13"/>
      <c r="Z169" s="448" t="str">
        <f>OBRA!K168</f>
        <v>3X1 PARA MIGRANTES</v>
      </c>
      <c r="AA169" s="13"/>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428">
        <f>OBRA!S168</f>
        <v>42735</v>
      </c>
      <c r="AH169" s="54"/>
      <c r="AI169" s="231"/>
      <c r="AJ169" s="267"/>
      <c r="AK169" s="267"/>
      <c r="AL169" s="432"/>
      <c r="AM169" s="573" t="str">
        <f>GRAL!B170</f>
        <v>2015-2018</v>
      </c>
      <c r="AN169" s="574"/>
      <c r="AO169" s="13"/>
    </row>
    <row r="170" spans="1:41" ht="180.75" hidden="1" thickTop="1">
      <c r="A170" s="166">
        <f>OBRA!I169</f>
        <v>2016</v>
      </c>
      <c r="B170" s="2036"/>
      <c r="C170" s="433"/>
      <c r="D170" s="154"/>
      <c r="E170" s="156"/>
      <c r="F170" s="156"/>
      <c r="G170" s="436"/>
      <c r="H170" s="442" t="str">
        <f>OBRA!AD169</f>
        <v>-</v>
      </c>
      <c r="I170" s="438"/>
      <c r="J170" s="444" t="str">
        <f>OBRA!AE169</f>
        <v>-</v>
      </c>
      <c r="K170" s="439"/>
      <c r="L170" s="442" t="str">
        <f>OBRA!AF169</f>
        <v>-</v>
      </c>
      <c r="M170" s="440"/>
      <c r="N170" s="442" t="str">
        <f>OBRA!AG169</f>
        <v>-</v>
      </c>
      <c r="O170" s="152"/>
      <c r="P170" s="152"/>
      <c r="Q170" s="439"/>
      <c r="R170" s="445" t="str">
        <f>OBRA!AH169</f>
        <v>-</v>
      </c>
      <c r="S170" s="423"/>
      <c r="T170" s="446" t="str">
        <f>OBRA!U169</f>
        <v>ELECTRIFICACIONES MUGA, S.A. DE C.V.</v>
      </c>
      <c r="U170" s="447" t="str">
        <f>OBRA!V169</f>
        <v>ING. RIGOBERTO OLMEDO RAMOS</v>
      </c>
      <c r="V170" s="1281"/>
      <c r="W170" s="20" t="str">
        <f>OBRA!L169</f>
        <v>GMJ 001C OP/2016</v>
      </c>
      <c r="X170" s="13"/>
      <c r="Y170" s="13"/>
      <c r="Z170" s="448" t="str">
        <f>OBRA!K169</f>
        <v>PATRIMONIO MUNICIPAL</v>
      </c>
      <c r="AA170" s="13"/>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428">
        <f>OBRA!S169</f>
        <v>42583</v>
      </c>
      <c r="AH170" s="54"/>
      <c r="AI170" s="231"/>
      <c r="AJ170" s="267"/>
      <c r="AK170" s="267"/>
      <c r="AL170" s="432"/>
      <c r="AM170" s="573" t="str">
        <f>GRAL!B171</f>
        <v>2015-2018</v>
      </c>
      <c r="AN170" s="574"/>
      <c r="AO170" s="13"/>
    </row>
    <row r="171" spans="1:41" ht="60.75" hidden="1" thickTop="1">
      <c r="A171" s="166">
        <f>OBRA!I170</f>
        <v>2016</v>
      </c>
      <c r="B171" s="2036"/>
      <c r="C171" s="433"/>
      <c r="D171" s="154"/>
      <c r="E171" s="156"/>
      <c r="F171" s="156"/>
      <c r="G171" s="436"/>
      <c r="H171" s="442" t="str">
        <f>OBRA!AD170</f>
        <v>-</v>
      </c>
      <c r="I171" s="438"/>
      <c r="J171" s="444" t="str">
        <f>OBRA!AE170</f>
        <v>-</v>
      </c>
      <c r="K171" s="439"/>
      <c r="L171" s="442" t="str">
        <f>OBRA!AF170</f>
        <v>-</v>
      </c>
      <c r="M171" s="440"/>
      <c r="N171" s="442" t="str">
        <f>OBRA!AG170</f>
        <v>-</v>
      </c>
      <c r="O171" s="152"/>
      <c r="P171" s="152"/>
      <c r="Q171" s="439"/>
      <c r="R171" s="445" t="str">
        <f>OBRA!AH170</f>
        <v>-</v>
      </c>
      <c r="S171" s="423"/>
      <c r="T171" s="446" t="str">
        <f>OBRA!U170</f>
        <v>RAMPER DRILLINGS S.A. DE C.V.</v>
      </c>
      <c r="U171" s="447" t="str">
        <f>OBRA!V170</f>
        <v>ING. J. GUADALUPE IBARRA RAMIREZ</v>
      </c>
      <c r="V171" s="1281"/>
      <c r="W171" s="20" t="str">
        <f>OBRA!L170</f>
        <v>GMJ 002C OP/2016</v>
      </c>
      <c r="X171" s="13"/>
      <c r="Y171" s="13"/>
      <c r="Z171" s="448" t="str">
        <f>OBRA!K170</f>
        <v>RAMO 33</v>
      </c>
      <c r="AA171" s="13"/>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428">
        <f>OBRA!S170</f>
        <v>42498</v>
      </c>
      <c r="AH171" s="54"/>
      <c r="AI171" s="231"/>
      <c r="AJ171" s="267"/>
      <c r="AK171" s="267"/>
      <c r="AL171" s="432"/>
      <c r="AM171" s="573" t="str">
        <f>GRAL!B172</f>
        <v>2015-2018</v>
      </c>
      <c r="AN171" s="574"/>
      <c r="AO171" s="13"/>
    </row>
    <row r="172" spans="1:41" ht="112.5" hidden="1" customHeight="1">
      <c r="A172" s="166">
        <f>OBRA!I171</f>
        <v>2016</v>
      </c>
      <c r="B172" s="2036"/>
      <c r="C172" s="433"/>
      <c r="D172" s="154"/>
      <c r="E172" s="156"/>
      <c r="F172" s="156"/>
      <c r="G172" s="436"/>
      <c r="H172" s="442" t="str">
        <f>OBRA!AD171</f>
        <v>-</v>
      </c>
      <c r="I172" s="438"/>
      <c r="J172" s="444" t="str">
        <f>OBRA!AE171</f>
        <v>-</v>
      </c>
      <c r="K172" s="439"/>
      <c r="L172" s="442" t="str">
        <f>OBRA!AF171</f>
        <v>-</v>
      </c>
      <c r="M172" s="440"/>
      <c r="N172" s="442" t="str">
        <f>OBRA!AG171</f>
        <v>-</v>
      </c>
      <c r="O172" s="152"/>
      <c r="P172" s="152"/>
      <c r="Q172" s="439"/>
      <c r="R172" s="445" t="str">
        <f>OBRA!AH171</f>
        <v>-</v>
      </c>
      <c r="S172" s="423"/>
      <c r="T172" s="446" t="str">
        <f>OBRA!U171</f>
        <v>ENERGIAS RENOVABLES DE LA RIVERA S.A. DE C.V</v>
      </c>
      <c r="U172" s="447" t="str">
        <f>OBRA!V171</f>
        <v>ING. RIGOBERTO OLMEDO RAMOS</v>
      </c>
      <c r="V172" s="1281"/>
      <c r="W172" s="20" t="str">
        <f>OBRA!L171</f>
        <v>GMJ 003C OP/2016</v>
      </c>
      <c r="X172" s="13"/>
      <c r="Y172" s="13"/>
      <c r="Z172" s="448" t="str">
        <f>OBRA!K171</f>
        <v>FONDEREG</v>
      </c>
      <c r="AA172" s="13"/>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428">
        <f>OBRA!S171</f>
        <v>42628</v>
      </c>
      <c r="AH172" s="54"/>
      <c r="AI172" s="231"/>
      <c r="AJ172" s="267"/>
      <c r="AK172" s="267"/>
      <c r="AL172" s="432"/>
      <c r="AM172" s="573" t="str">
        <f>GRAL!B173</f>
        <v>2015-2018</v>
      </c>
      <c r="AN172" s="574"/>
      <c r="AO172" s="13"/>
    </row>
    <row r="173" spans="1:41" ht="112.5" hidden="1" customHeight="1">
      <c r="A173" s="166">
        <f>OBRA!I172</f>
        <v>2016</v>
      </c>
      <c r="B173" s="2036"/>
      <c r="C173" s="433"/>
      <c r="D173" s="154"/>
      <c r="E173" s="156"/>
      <c r="F173" s="156"/>
      <c r="G173" s="436"/>
      <c r="H173" s="442" t="str">
        <f>OBRA!AD172</f>
        <v>-</v>
      </c>
      <c r="I173" s="438"/>
      <c r="J173" s="444" t="str">
        <f>OBRA!AE172</f>
        <v>-</v>
      </c>
      <c r="K173" s="439"/>
      <c r="L173" s="442" t="str">
        <f>OBRA!AF172</f>
        <v>-</v>
      </c>
      <c r="M173" s="440"/>
      <c r="N173" s="442" t="str">
        <f>OBRA!AG172</f>
        <v>-</v>
      </c>
      <c r="O173" s="152"/>
      <c r="P173" s="152"/>
      <c r="Q173" s="439"/>
      <c r="R173" s="445" t="str">
        <f>OBRA!AH172</f>
        <v>-</v>
      </c>
      <c r="S173" s="423"/>
      <c r="T173" s="446" t="str">
        <f>OBRA!U172</f>
        <v>LIC. CARLOS MANUEL PELAYO CERVERA</v>
      </c>
      <c r="U173" s="447" t="str">
        <f>OBRA!V172</f>
        <v>LIC. SALVADOR CONTRERAS OLGUÍN</v>
      </c>
      <c r="V173" s="1281"/>
      <c r="W173" s="20" t="str">
        <f>OBRA!L172</f>
        <v>GMJ 004C OP/2016</v>
      </c>
      <c r="X173" s="13"/>
      <c r="Y173" s="13"/>
      <c r="Z173" s="448" t="str">
        <f>OBRA!K172</f>
        <v>RAMO 33</v>
      </c>
      <c r="AA173" s="13"/>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428">
        <f>OBRA!S172</f>
        <v>42704</v>
      </c>
      <c r="AH173" s="54"/>
      <c r="AI173" s="231"/>
      <c r="AJ173" s="267"/>
      <c r="AK173" s="267"/>
      <c r="AL173" s="432"/>
      <c r="AM173" s="573" t="str">
        <f>GRAL!B174</f>
        <v>2015-2018</v>
      </c>
      <c r="AN173" s="574"/>
      <c r="AO173" s="13"/>
    </row>
    <row r="174" spans="1:41" ht="114.75" hidden="1" customHeight="1">
      <c r="A174" s="166">
        <f>OBRA!I173</f>
        <v>2016</v>
      </c>
      <c r="B174" s="2036"/>
      <c r="C174" s="433"/>
      <c r="D174" s="154"/>
      <c r="E174" s="156"/>
      <c r="F174" s="156"/>
      <c r="G174" s="436"/>
      <c r="H174" s="442" t="str">
        <f>OBRA!AD173</f>
        <v>-</v>
      </c>
      <c r="I174" s="438"/>
      <c r="J174" s="444" t="str">
        <f>OBRA!AE173</f>
        <v>-</v>
      </c>
      <c r="K174" s="439"/>
      <c r="L174" s="442" t="str">
        <f>OBRA!AF173</f>
        <v>-</v>
      </c>
      <c r="M174" s="440"/>
      <c r="N174" s="442" t="str">
        <f>OBRA!AG173</f>
        <v>-</v>
      </c>
      <c r="O174" s="152"/>
      <c r="P174" s="152"/>
      <c r="Q174" s="439"/>
      <c r="R174" s="445" t="str">
        <f>OBRA!AH173</f>
        <v>-</v>
      </c>
      <c r="S174" s="423"/>
      <c r="T174" s="446" t="str">
        <f>OBRA!U173</f>
        <v>LIC. CARLOS MANUEL PELAYO CERVERA</v>
      </c>
      <c r="U174" s="447" t="str">
        <f>OBRA!V173</f>
        <v>LIC. SALVADOR CONTRERAS OLGUÍN</v>
      </c>
      <c r="V174" s="1281"/>
      <c r="W174" s="20" t="str">
        <f>OBRA!L173</f>
        <v>GMJ 005C OP/2016</v>
      </c>
      <c r="X174" s="13"/>
      <c r="Y174" s="13"/>
      <c r="Z174" s="448" t="str">
        <f>OBRA!K173</f>
        <v>RAMO 33</v>
      </c>
      <c r="AA174" s="13"/>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428">
        <f>OBRA!S173</f>
        <v>42704</v>
      </c>
      <c r="AH174" s="54"/>
      <c r="AI174" s="231"/>
      <c r="AJ174" s="267"/>
      <c r="AK174" s="267"/>
      <c r="AL174" s="432"/>
      <c r="AM174" s="573" t="str">
        <f>GRAL!B175</f>
        <v>2015-2018</v>
      </c>
      <c r="AN174" s="574"/>
      <c r="AO174" s="13"/>
    </row>
    <row r="175" spans="1:41" ht="105.75" hidden="1" customHeight="1">
      <c r="A175" s="166">
        <f>OBRA!I174</f>
        <v>-2015</v>
      </c>
      <c r="B175" s="2036"/>
      <c r="C175" s="433"/>
      <c r="D175" s="154"/>
      <c r="E175" s="156"/>
      <c r="F175" s="156"/>
      <c r="G175" s="436"/>
      <c r="H175" s="442" t="str">
        <f>OBRA!AD174</f>
        <v>-</v>
      </c>
      <c r="I175" s="438"/>
      <c r="J175" s="444" t="str">
        <f>OBRA!AE174</f>
        <v>-</v>
      </c>
      <c r="K175" s="439"/>
      <c r="L175" s="442" t="str">
        <f>OBRA!AF174</f>
        <v>-</v>
      </c>
      <c r="M175" s="440"/>
      <c r="N175" s="442" t="str">
        <f>OBRA!AG174</f>
        <v>-</v>
      </c>
      <c r="O175" s="152"/>
      <c r="P175" s="152"/>
      <c r="Q175" s="439"/>
      <c r="R175" s="445" t="str">
        <f>OBRA!AH174</f>
        <v>-</v>
      </c>
      <c r="S175" s="423"/>
      <c r="T175" s="446" t="str">
        <f>OBRA!U174</f>
        <v>CONSTRUCCIONES VIKBRAK, S.A. DE C.V.</v>
      </c>
      <c r="U175" s="447" t="str">
        <f>OBRA!V174</f>
        <v>LIC. SALVADOR CONTRERAS OLGUÍN</v>
      </c>
      <c r="V175" s="1281"/>
      <c r="W175" s="20" t="str">
        <f>OBRA!L174</f>
        <v>GMJ 006C OP/2016</v>
      </c>
      <c r="X175" s="13"/>
      <c r="Y175" s="13"/>
      <c r="Z175" s="448" t="str">
        <f>OBRA!K174</f>
        <v>RAMO 33</v>
      </c>
      <c r="AA175" s="13"/>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428">
        <f>OBRA!S174</f>
        <v>42704</v>
      </c>
      <c r="AH175" s="54"/>
      <c r="AI175" s="231"/>
      <c r="AJ175" s="267"/>
      <c r="AK175" s="267"/>
      <c r="AL175" s="432"/>
      <c r="AM175" s="573" t="str">
        <f>GRAL!B176</f>
        <v>2015-2018</v>
      </c>
      <c r="AN175" s="574"/>
      <c r="AO175" s="13"/>
    </row>
    <row r="176" spans="1:41" ht="93.75" hidden="1" customHeight="1">
      <c r="A176" s="166">
        <f>OBRA!I175</f>
        <v>-2015</v>
      </c>
      <c r="B176" s="2036"/>
      <c r="C176" s="433"/>
      <c r="D176" s="154"/>
      <c r="E176" s="156"/>
      <c r="F176" s="156"/>
      <c r="G176" s="436"/>
      <c r="H176" s="442" t="str">
        <f>OBRA!AD175</f>
        <v>-</v>
      </c>
      <c r="I176" s="438"/>
      <c r="J176" s="444" t="str">
        <f>OBRA!AE175</f>
        <v>-</v>
      </c>
      <c r="K176" s="439"/>
      <c r="L176" s="442" t="str">
        <f>OBRA!AF175</f>
        <v>-</v>
      </c>
      <c r="M176" s="440"/>
      <c r="N176" s="442" t="str">
        <f>OBRA!AG175</f>
        <v>-</v>
      </c>
      <c r="O176" s="152"/>
      <c r="P176" s="152"/>
      <c r="Q176" s="439"/>
      <c r="R176" s="445" t="str">
        <f>OBRA!AH175</f>
        <v>-</v>
      </c>
      <c r="S176" s="423"/>
      <c r="T176" s="446" t="str">
        <f>OBRA!U175</f>
        <v>CONSTRUCCIONES VIKBRAK, S.A. DE C.V.</v>
      </c>
      <c r="U176" s="447" t="str">
        <f>OBRA!V175</f>
        <v>LIC. SALVADOR CONTRERAS OLGUÍN</v>
      </c>
      <c r="V176" s="1281"/>
      <c r="W176" s="20" t="str">
        <f>OBRA!L175</f>
        <v>GMJ 007C OP/2016</v>
      </c>
      <c r="X176" s="13"/>
      <c r="Y176" s="13"/>
      <c r="Z176" s="448" t="str">
        <f>OBRA!K175</f>
        <v>RAMO 33</v>
      </c>
      <c r="AA176" s="13"/>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428">
        <f>OBRA!S175</f>
        <v>42704</v>
      </c>
      <c r="AH176" s="54"/>
      <c r="AI176" s="231"/>
      <c r="AJ176" s="267"/>
      <c r="AK176" s="267"/>
      <c r="AL176" s="432"/>
      <c r="AM176" s="573" t="str">
        <f>GRAL!B177</f>
        <v>2015-2018</v>
      </c>
      <c r="AN176" s="574"/>
      <c r="AO176" s="13"/>
    </row>
    <row r="177" spans="1:41" ht="60.75" hidden="1" thickTop="1">
      <c r="A177" s="166">
        <f>OBRA!I176</f>
        <v>2016</v>
      </c>
      <c r="B177" s="2036"/>
      <c r="C177" s="433"/>
      <c r="D177" s="154"/>
      <c r="E177" s="156"/>
      <c r="F177" s="156"/>
      <c r="G177" s="436"/>
      <c r="H177" s="442" t="str">
        <f>OBRA!AD176</f>
        <v>-</v>
      </c>
      <c r="I177" s="438"/>
      <c r="J177" s="444" t="str">
        <f>OBRA!AE176</f>
        <v>-</v>
      </c>
      <c r="K177" s="439"/>
      <c r="L177" s="442" t="str">
        <f>OBRA!AF176</f>
        <v>-</v>
      </c>
      <c r="M177" s="440"/>
      <c r="N177" s="442" t="str">
        <f>OBRA!AG176</f>
        <v>-</v>
      </c>
      <c r="O177" s="152"/>
      <c r="P177" s="152"/>
      <c r="Q177" s="439"/>
      <c r="R177" s="445" t="str">
        <f>OBRA!AH176</f>
        <v>-</v>
      </c>
      <c r="S177" s="423"/>
      <c r="T177" s="446" t="str">
        <f>OBRA!U176</f>
        <v>CONSTRUCCIONES VIKBRAK, S.A. DE C.V.</v>
      </c>
      <c r="U177" s="447" t="str">
        <f>OBRA!V176</f>
        <v>LIC. SALVADOR CONTRERAS OLGUÍN</v>
      </c>
      <c r="V177" s="1281"/>
      <c r="W177" s="20" t="str">
        <f>OBRA!L176</f>
        <v>GMJ 008C OP/2016</v>
      </c>
      <c r="X177" s="13"/>
      <c r="Y177" s="13"/>
      <c r="Z177" s="448" t="str">
        <f>OBRA!K176</f>
        <v>RAMO 33</v>
      </c>
      <c r="AA177" s="13"/>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428">
        <f>OBRA!S176</f>
        <v>42704</v>
      </c>
      <c r="AH177" s="54"/>
      <c r="AI177" s="231"/>
      <c r="AJ177" s="267"/>
      <c r="AK177" s="267"/>
      <c r="AL177" s="432"/>
      <c r="AM177" s="573" t="str">
        <f>GRAL!B178</f>
        <v>2015-2018</v>
      </c>
      <c r="AN177" s="574"/>
      <c r="AO177" s="13"/>
    </row>
    <row r="178" spans="1:41" ht="77.25" hidden="1" customHeight="1">
      <c r="A178" s="166">
        <f>OBRA!I177</f>
        <v>2016</v>
      </c>
      <c r="B178" s="2036"/>
      <c r="C178" s="433"/>
      <c r="D178" s="154"/>
      <c r="E178" s="156"/>
      <c r="F178" s="156"/>
      <c r="G178" s="436"/>
      <c r="H178" s="442" t="str">
        <f>OBRA!AD177</f>
        <v>-</v>
      </c>
      <c r="I178" s="438"/>
      <c r="J178" s="444" t="str">
        <f>OBRA!AE177</f>
        <v>-</v>
      </c>
      <c r="K178" s="439"/>
      <c r="L178" s="442" t="str">
        <f>OBRA!AF177</f>
        <v>-</v>
      </c>
      <c r="M178" s="440"/>
      <c r="N178" s="442" t="str">
        <f>OBRA!AG177</f>
        <v>-</v>
      </c>
      <c r="O178" s="152"/>
      <c r="P178" s="152"/>
      <c r="Q178" s="439"/>
      <c r="R178" s="445" t="str">
        <f>OBRA!AH177</f>
        <v>-</v>
      </c>
      <c r="S178" s="423"/>
      <c r="T178" s="446" t="str">
        <f>OBRA!U177</f>
        <v>CONSTRUCCIONES VIKBRAK, S.A. DE C.V.</v>
      </c>
      <c r="U178" s="447" t="str">
        <f>OBRA!V177</f>
        <v>LIC. SALVADOR CONTRERAS OLGUÍN</v>
      </c>
      <c r="V178" s="1281"/>
      <c r="W178" s="20" t="str">
        <f>OBRA!L177</f>
        <v>GMJ 009C OP/2016</v>
      </c>
      <c r="X178" s="13"/>
      <c r="Y178" s="13"/>
      <c r="Z178" s="448" t="str">
        <f>OBRA!K177</f>
        <v>RAMO 33</v>
      </c>
      <c r="AA178" s="13"/>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428">
        <f>OBRA!S177</f>
        <v>42704</v>
      </c>
      <c r="AH178" s="54"/>
      <c r="AI178" s="231"/>
      <c r="AJ178" s="267"/>
      <c r="AK178" s="267"/>
      <c r="AL178" s="432"/>
      <c r="AM178" s="573" t="str">
        <f>GRAL!B179</f>
        <v>2015-2018</v>
      </c>
      <c r="AN178" s="574"/>
      <c r="AO178" s="13"/>
    </row>
    <row r="179" spans="1:41" ht="73.5" hidden="1" customHeight="1">
      <c r="A179" s="166">
        <f>OBRA!I178</f>
        <v>2016</v>
      </c>
      <c r="B179" s="2036"/>
      <c r="C179" s="433"/>
      <c r="D179" s="154"/>
      <c r="E179" s="156"/>
      <c r="F179" s="156"/>
      <c r="G179" s="436"/>
      <c r="H179" s="442" t="str">
        <f>OBRA!AD178</f>
        <v>-</v>
      </c>
      <c r="I179" s="438"/>
      <c r="J179" s="444" t="str">
        <f>OBRA!AE178</f>
        <v>-</v>
      </c>
      <c r="K179" s="439"/>
      <c r="L179" s="442" t="str">
        <f>OBRA!AF178</f>
        <v>-</v>
      </c>
      <c r="M179" s="440"/>
      <c r="N179" s="442" t="str">
        <f>OBRA!AG178</f>
        <v>-</v>
      </c>
      <c r="O179" s="152"/>
      <c r="P179" s="152"/>
      <c r="Q179" s="439"/>
      <c r="R179" s="445" t="str">
        <f>OBRA!AH178</f>
        <v>-</v>
      </c>
      <c r="S179" s="424" t="s">
        <v>2380</v>
      </c>
      <c r="T179" s="446" t="str">
        <f>OBRA!U178</f>
        <v>ING. GERARDO DANIEL PELAYO CERVERA</v>
      </c>
      <c r="U179" s="447" t="str">
        <f>OBRA!V178</f>
        <v>LIC. SALVADOR CONTRERAS OLGUÍN</v>
      </c>
      <c r="V179" s="1281"/>
      <c r="W179" s="20" t="str">
        <f>OBRA!L178</f>
        <v>GMJ 010C OP/2016</v>
      </c>
      <c r="X179" s="13"/>
      <c r="Y179" s="13"/>
      <c r="Z179" s="448" t="str">
        <f>OBRA!K178</f>
        <v>RAMO 33</v>
      </c>
      <c r="AA179" s="13"/>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428">
        <f>OBRA!S178</f>
        <v>42704</v>
      </c>
      <c r="AH179" s="54"/>
      <c r="AI179" s="231"/>
      <c r="AJ179" s="267"/>
      <c r="AK179" s="267"/>
      <c r="AL179" s="432"/>
      <c r="AM179" s="573" t="str">
        <f>GRAL!B180</f>
        <v>2015-2018</v>
      </c>
      <c r="AN179" s="574"/>
      <c r="AO179" s="13"/>
    </row>
    <row r="180" spans="1:41" ht="133.5" hidden="1" customHeight="1">
      <c r="A180" s="166">
        <f>OBRA!I179</f>
        <v>2016</v>
      </c>
      <c r="B180" s="2036"/>
      <c r="C180" s="433"/>
      <c r="D180" s="179" t="s">
        <v>2381</v>
      </c>
      <c r="E180" s="178" t="s">
        <v>2382</v>
      </c>
      <c r="F180" s="178" t="s">
        <v>2383</v>
      </c>
      <c r="G180" s="436"/>
      <c r="H180" s="442" t="str">
        <f>OBRA!AD179</f>
        <v>-</v>
      </c>
      <c r="I180" s="438"/>
      <c r="J180" s="444" t="str">
        <f>OBRA!AE179</f>
        <v>-</v>
      </c>
      <c r="K180" s="439"/>
      <c r="L180" s="442" t="str">
        <f>OBRA!AF179</f>
        <v>-</v>
      </c>
      <c r="M180" s="440"/>
      <c r="N180" s="442" t="str">
        <f>OBRA!AG179</f>
        <v>-</v>
      </c>
      <c r="O180" s="176" t="s">
        <v>2384</v>
      </c>
      <c r="P180" s="177">
        <v>0.375</v>
      </c>
      <c r="Q180" s="439"/>
      <c r="R180" s="445" t="str">
        <f>OBRA!AH179</f>
        <v>-</v>
      </c>
      <c r="S180" s="423"/>
      <c r="T180" s="446" t="str">
        <f>OBRA!U179</f>
        <v>ING. GERARDO DANIEL PELAYO CERVERA</v>
      </c>
      <c r="U180" s="447" t="str">
        <f>OBRA!V179</f>
        <v>LIC. SALVADOR CONTRERAS OLGUÍN</v>
      </c>
      <c r="V180" s="1281"/>
      <c r="W180" s="20" t="str">
        <f>OBRA!L179</f>
        <v>GMJ 011C OP/2016</v>
      </c>
      <c r="X180" s="13"/>
      <c r="Y180" s="13"/>
      <c r="Z180" s="448" t="str">
        <f>OBRA!K179</f>
        <v>RAMO 33</v>
      </c>
      <c r="AA180" s="13"/>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428">
        <f>OBRA!S179</f>
        <v>42704</v>
      </c>
      <c r="AH180" s="54"/>
      <c r="AI180" s="231"/>
      <c r="AJ180" s="267"/>
      <c r="AK180" s="267"/>
      <c r="AL180" s="432"/>
      <c r="AM180" s="573" t="str">
        <f>GRAL!B181</f>
        <v>2015-2018</v>
      </c>
      <c r="AN180" s="574"/>
      <c r="AO180" s="13"/>
    </row>
    <row r="181" spans="1:41" ht="317.25" hidden="1" customHeight="1">
      <c r="A181" s="166">
        <f>OBRA!I180</f>
        <v>2016</v>
      </c>
      <c r="B181" s="2036"/>
      <c r="C181" s="450" t="s">
        <v>2385</v>
      </c>
      <c r="D181" s="179" t="s">
        <v>2386</v>
      </c>
      <c r="E181" s="178" t="s">
        <v>2382</v>
      </c>
      <c r="F181" s="178" t="s">
        <v>2383</v>
      </c>
      <c r="G181" s="452" t="s">
        <v>2387</v>
      </c>
      <c r="H181" s="442">
        <f>OBRA!AD180</f>
        <v>42619</v>
      </c>
      <c r="I181" s="452" t="s">
        <v>2388</v>
      </c>
      <c r="J181" s="444">
        <f>OBRA!AE180</f>
        <v>42621</v>
      </c>
      <c r="K181" s="453" t="s">
        <v>2389</v>
      </c>
      <c r="L181" s="442">
        <f>OBRA!AF180</f>
        <v>42621</v>
      </c>
      <c r="M181" s="453" t="s">
        <v>2390</v>
      </c>
      <c r="N181" s="442">
        <f>OBRA!AG180</f>
        <v>42628</v>
      </c>
      <c r="O181" s="176" t="s">
        <v>2384</v>
      </c>
      <c r="P181" s="604">
        <v>0.375</v>
      </c>
      <c r="Q181" s="453" t="s">
        <v>2391</v>
      </c>
      <c r="R181" s="445">
        <f>OBRA!AH180</f>
        <v>42632</v>
      </c>
      <c r="S181" s="424" t="s">
        <v>2392</v>
      </c>
      <c r="T181" s="446" t="str">
        <f>OBRA!U180</f>
        <v>A&amp;G URBANIZADORA S.A. DE C.V.</v>
      </c>
      <c r="U181" s="447" t="str">
        <f>OBRA!V180</f>
        <v>ING. J. GUADALUPE IBARRA RAMIREZ</v>
      </c>
      <c r="V181" s="1281"/>
      <c r="W181" s="35" t="str">
        <f>OBRA!L180</f>
        <v>GMJ 012C OP/2016</v>
      </c>
      <c r="X181" s="453" t="s">
        <v>1811</v>
      </c>
      <c r="Y181" s="451" t="s">
        <v>2393</v>
      </c>
      <c r="Z181" s="449" t="str">
        <f>OBRA!K180</f>
        <v xml:space="preserve">Fortalecimiento Financiero Para La Inversion </v>
      </c>
      <c r="AA181" s="13" t="s">
        <v>2394</v>
      </c>
      <c r="AB181" s="2" t="str">
        <f>OBRA!M180</f>
        <v>POR INVITACION RESTRINGIDA</v>
      </c>
      <c r="AC181" s="328"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428">
        <f>OBRA!S180</f>
        <v>42719</v>
      </c>
      <c r="AH181" s="54"/>
      <c r="AI181" s="231" t="s">
        <v>2344</v>
      </c>
      <c r="AJ181" s="202" t="s">
        <v>1431</v>
      </c>
      <c r="AK181" s="454" t="s">
        <v>1816</v>
      </c>
      <c r="AL181" s="455" t="s">
        <v>2395</v>
      </c>
      <c r="AM181" s="231" t="str">
        <f>GRAL!B182</f>
        <v>2015-2018</v>
      </c>
      <c r="AN181" s="1009" t="s">
        <v>551</v>
      </c>
      <c r="AO181" s="13"/>
    </row>
    <row r="182" spans="1:41" ht="60" hidden="1" customHeight="1">
      <c r="A182" s="166">
        <f>OBRA!I181</f>
        <v>2016</v>
      </c>
      <c r="B182" s="2036"/>
      <c r="C182" s="433"/>
      <c r="D182" s="154"/>
      <c r="E182" s="156"/>
      <c r="F182" s="156"/>
      <c r="G182" s="436"/>
      <c r="H182" s="442" t="str">
        <f>OBRA!AD181</f>
        <v>-</v>
      </c>
      <c r="I182" s="438"/>
      <c r="J182" s="444" t="str">
        <f>OBRA!AE181</f>
        <v>-</v>
      </c>
      <c r="K182" s="439"/>
      <c r="L182" s="442" t="str">
        <f>OBRA!AF181</f>
        <v>-</v>
      </c>
      <c r="M182" s="453"/>
      <c r="N182" s="442" t="str">
        <f>OBRA!AG181</f>
        <v>-</v>
      </c>
      <c r="O182" s="152"/>
      <c r="P182" s="152"/>
      <c r="Q182" s="453"/>
      <c r="R182" s="445" t="str">
        <f>OBRA!AH181</f>
        <v>-</v>
      </c>
      <c r="S182" s="424" t="s">
        <v>2396</v>
      </c>
      <c r="T182" s="446" t="str">
        <f>OBRA!U181</f>
        <v>ENERGIAS RENOVABLES DE LA RIVERA S.A. DE C.V</v>
      </c>
      <c r="U182" s="447" t="str">
        <f>OBRA!V181</f>
        <v>ING. RIGOBERTO OLMEDO RAMOS</v>
      </c>
      <c r="V182" s="1281"/>
      <c r="W182" s="20" t="str">
        <f>OBRA!L181</f>
        <v>GMJ 013C OP/2016</v>
      </c>
      <c r="X182" s="453"/>
      <c r="Y182" s="13"/>
      <c r="Z182" s="448" t="str">
        <f>OBRA!K181</f>
        <v>RAMO 33</v>
      </c>
      <c r="AA182" s="13"/>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428">
        <f>OBRA!S181</f>
        <v>42734</v>
      </c>
      <c r="AH182" s="54"/>
      <c r="AI182" s="231"/>
      <c r="AJ182" s="267"/>
      <c r="AK182" s="267"/>
      <c r="AL182" s="432"/>
      <c r="AM182" s="573" t="str">
        <f>GRAL!B183</f>
        <v>2015-2018</v>
      </c>
      <c r="AN182" s="574"/>
      <c r="AO182" s="13"/>
    </row>
    <row r="183" spans="1:41" s="110" customFormat="1" ht="75.75" hidden="1" thickTop="1">
      <c r="A183" s="956">
        <f>OBRA!I182</f>
        <v>2016</v>
      </c>
      <c r="B183" s="962"/>
      <c r="C183" s="155"/>
      <c r="D183" s="155"/>
      <c r="E183" s="157"/>
      <c r="F183" s="157"/>
      <c r="G183" s="157"/>
      <c r="H183" s="158" t="str">
        <f>OBRA!AD182</f>
        <v>-</v>
      </c>
      <c r="I183" s="456"/>
      <c r="J183" s="117" t="str">
        <f>OBRA!AE182</f>
        <v>-</v>
      </c>
      <c r="K183" s="457"/>
      <c r="L183" s="158" t="str">
        <f>OBRA!AF182</f>
        <v>-</v>
      </c>
      <c r="M183" s="458"/>
      <c r="N183" s="158" t="str">
        <f>OBRA!AG182</f>
        <v>-</v>
      </c>
      <c r="O183" s="158"/>
      <c r="P183" s="168"/>
      <c r="Q183" s="458"/>
      <c r="R183" s="459" t="str">
        <f>OBRA!AH182</f>
        <v>-</v>
      </c>
      <c r="S183" s="155" t="s">
        <v>2396</v>
      </c>
      <c r="T183" s="460" t="str">
        <f>OBRA!U182</f>
        <v>ENERGIAS RENOVABLES DE LA RIVERA S.A. DE C.V</v>
      </c>
      <c r="U183" s="461" t="str">
        <f>OBRA!V182</f>
        <v>ING. RIGOBERTO OLMEDO RAMOS</v>
      </c>
      <c r="V183" s="935"/>
      <c r="W183" s="340" t="str">
        <f>OBRA!L183</f>
        <v>GMJ 015C OP/2016</v>
      </c>
      <c r="X183" s="458"/>
      <c r="Y183" s="462"/>
      <c r="Z183" s="109" t="str">
        <f>OBRA!K182</f>
        <v>RAMO 33</v>
      </c>
      <c r="AA183" s="109"/>
      <c r="AB183" s="203" t="s">
        <v>251</v>
      </c>
      <c r="AC183" s="112" t="str">
        <f>OBRA!N183</f>
        <v>EMPEDRADO AHOGADO EN CEMENTO EN CALLE INSURGENTES PRIMERA ETAPA, ZAPOTITAN DE HIDALGO</v>
      </c>
      <c r="AD183" s="92">
        <f>OBRA!P183</f>
        <v>2426000</v>
      </c>
      <c r="AE183" s="93" t="str">
        <f>OBRA!Q183</f>
        <v>-</v>
      </c>
      <c r="AF183" s="94" t="str">
        <f>OBRA!R183</f>
        <v>-</v>
      </c>
      <c r="AG183" s="429" t="str">
        <f>OBRA!S183</f>
        <v>-</v>
      </c>
      <c r="AH183" s="107"/>
      <c r="AI183" s="340"/>
      <c r="AJ183" s="91" t="s">
        <v>1431</v>
      </c>
      <c r="AK183" s="91"/>
      <c r="AL183" s="89"/>
      <c r="AM183" s="392" t="str">
        <f>GRAL!B184</f>
        <v>2015-2018</v>
      </c>
      <c r="AN183" s="564"/>
      <c r="AO183" s="109"/>
    </row>
    <row r="184" spans="1:41" s="110" customFormat="1" ht="130.5" hidden="1" customHeight="1">
      <c r="A184" s="956">
        <f>OBRA!I183</f>
        <v>2016</v>
      </c>
      <c r="B184" s="962"/>
      <c r="C184" s="155"/>
      <c r="D184" s="155" t="s">
        <v>2397</v>
      </c>
      <c r="E184" s="157" t="s">
        <v>2382</v>
      </c>
      <c r="F184" s="157" t="s">
        <v>2383</v>
      </c>
      <c r="G184" s="157"/>
      <c r="H184" s="158" t="str">
        <f>OBRA!AD183</f>
        <v>-</v>
      </c>
      <c r="I184" s="456"/>
      <c r="J184" s="117" t="str">
        <f>OBRA!AE183</f>
        <v>-</v>
      </c>
      <c r="K184" s="457"/>
      <c r="L184" s="158" t="str">
        <f>OBRA!AF183</f>
        <v>-</v>
      </c>
      <c r="M184" s="458"/>
      <c r="N184" s="158" t="str">
        <f>OBRA!AG183</f>
        <v>-</v>
      </c>
      <c r="O184" s="963" t="s">
        <v>2384</v>
      </c>
      <c r="P184" s="964">
        <v>0.375</v>
      </c>
      <c r="Q184" s="458"/>
      <c r="R184" s="459" t="str">
        <f>OBRA!AH183</f>
        <v>-</v>
      </c>
      <c r="S184" s="944"/>
      <c r="T184" s="965" t="s">
        <v>2398</v>
      </c>
      <c r="U184" s="461" t="str">
        <f>OBRA!V183</f>
        <v>ING. RIGOBERTO OLMEDO RAMOS</v>
      </c>
      <c r="V184" s="935"/>
      <c r="W184" s="340" t="str">
        <f>OBRA!L183</f>
        <v>GMJ 015C OP/2016</v>
      </c>
      <c r="X184" s="458"/>
      <c r="Y184" s="462"/>
      <c r="Z184" s="462" t="str">
        <f>OBRA!K183</f>
        <v>3X1 PARA MIGRANTES</v>
      </c>
      <c r="AA184" s="462" t="s">
        <v>2399</v>
      </c>
      <c r="AB184" s="203" t="str">
        <f>OBRA!M183</f>
        <v>CANCELADA</v>
      </c>
      <c r="AC184" s="112" t="str">
        <f>OBRA!N183</f>
        <v>EMPEDRADO AHOGADO EN CEMENTO EN CALLE INSURGENTES PRIMERA ETAPA, ZAPOTITAN DE HIDALGO</v>
      </c>
      <c r="AD184" s="92">
        <f>OBRA!P183</f>
        <v>2426000</v>
      </c>
      <c r="AE184" s="93" t="str">
        <f>OBRA!Q183</f>
        <v>-</v>
      </c>
      <c r="AF184" s="94" t="str">
        <f>OBRA!R183</f>
        <v>-</v>
      </c>
      <c r="AG184" s="429" t="str">
        <f>OBRA!S183</f>
        <v>-</v>
      </c>
      <c r="AH184" s="107"/>
      <c r="AI184" s="96" t="s">
        <v>2344</v>
      </c>
      <c r="AJ184" s="91" t="s">
        <v>1431</v>
      </c>
      <c r="AK184" s="91"/>
      <c r="AL184" s="89"/>
      <c r="AM184" s="392" t="str">
        <f>GRAL!B185</f>
        <v>2012-2015</v>
      </c>
      <c r="AN184" s="564"/>
      <c r="AO184" s="109"/>
    </row>
    <row r="185" spans="1:41" ht="152.25" hidden="1" customHeight="1">
      <c r="A185" s="166">
        <f>OBRA!I184</f>
        <v>2016</v>
      </c>
      <c r="B185" s="933"/>
      <c r="C185" s="463" t="s">
        <v>2400</v>
      </c>
      <c r="D185" s="179" t="s">
        <v>2397</v>
      </c>
      <c r="E185" s="178" t="s">
        <v>2382</v>
      </c>
      <c r="F185" s="178" t="s">
        <v>2383</v>
      </c>
      <c r="G185" s="452" t="s">
        <v>2401</v>
      </c>
      <c r="H185" s="442">
        <f>OBRA!AD184</f>
        <v>42669</v>
      </c>
      <c r="I185" s="452" t="s">
        <v>2402</v>
      </c>
      <c r="J185" s="444">
        <f>OBRA!AE184</f>
        <v>42671</v>
      </c>
      <c r="K185" s="453" t="s">
        <v>2403</v>
      </c>
      <c r="L185" s="442">
        <f>OBRA!AF184</f>
        <v>42675</v>
      </c>
      <c r="M185" s="453" t="s">
        <v>2404</v>
      </c>
      <c r="N185" s="442">
        <f>OBRA!AG184</f>
        <v>42678</v>
      </c>
      <c r="O185" s="176" t="s">
        <v>2384</v>
      </c>
      <c r="P185" s="177">
        <v>0.375</v>
      </c>
      <c r="Q185" s="453" t="s">
        <v>2405</v>
      </c>
      <c r="R185" s="445">
        <f>OBRA!AH184</f>
        <v>42681</v>
      </c>
      <c r="S185" s="424" t="s">
        <v>2392</v>
      </c>
      <c r="T185" s="446" t="str">
        <f>OBRA!U184</f>
        <v>TAG SOLUCIONES INTEGRALES S.A DE C.V.</v>
      </c>
      <c r="U185" s="447" t="str">
        <f>OBRA!V184</f>
        <v>ING. J. GUADALUPE IBARRA RAMIREZ</v>
      </c>
      <c r="V185" s="1281"/>
      <c r="W185" s="35" t="str">
        <f>OBRA!L184</f>
        <v>GMJ 016C OP/2016</v>
      </c>
      <c r="X185" s="453" t="s">
        <v>1830</v>
      </c>
      <c r="Y185" s="451" t="s">
        <v>2406</v>
      </c>
      <c r="Z185" s="449" t="str">
        <f>OBRA!K184</f>
        <v xml:space="preserve">Fortalecimiento Financiero Para La Inversion </v>
      </c>
      <c r="AA185" s="13" t="s">
        <v>2394</v>
      </c>
      <c r="AB185" s="2" t="str">
        <f>OBRA!M184</f>
        <v>POR INVITACION RESTRINGIDA</v>
      </c>
      <c r="AC185" s="328"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428">
        <f>OBRA!S184</f>
        <v>42735</v>
      </c>
      <c r="AH185" s="54"/>
      <c r="AI185" s="266" t="s">
        <v>2344</v>
      </c>
      <c r="AJ185" s="202" t="s">
        <v>1431</v>
      </c>
      <c r="AK185" s="454" t="s">
        <v>1835</v>
      </c>
      <c r="AL185" s="455" t="s">
        <v>2407</v>
      </c>
      <c r="AM185" s="573" t="str">
        <f>GRAL!B186</f>
        <v>2015-2018</v>
      </c>
      <c r="AN185" s="1009" t="s">
        <v>551</v>
      </c>
      <c r="AO185" s="13"/>
    </row>
    <row r="186" spans="1:41" ht="321.75" hidden="1" customHeight="1">
      <c r="A186" s="166">
        <f>OBRA!I185</f>
        <v>2016</v>
      </c>
      <c r="B186" s="2036"/>
      <c r="C186" s="450" t="s">
        <v>2408</v>
      </c>
      <c r="D186" s="179" t="s">
        <v>2409</v>
      </c>
      <c r="E186" s="178" t="s">
        <v>2410</v>
      </c>
      <c r="F186" s="178" t="s">
        <v>2383</v>
      </c>
      <c r="G186" s="452" t="s">
        <v>2411</v>
      </c>
      <c r="H186" s="442">
        <f>OBRA!AD185</f>
        <v>42669</v>
      </c>
      <c r="I186" s="452" t="s">
        <v>2412</v>
      </c>
      <c r="J186" s="444">
        <f>OBRA!AE185</f>
        <v>42671</v>
      </c>
      <c r="K186" s="453" t="s">
        <v>2413</v>
      </c>
      <c r="L186" s="442">
        <f>OBRA!AF185</f>
        <v>42675</v>
      </c>
      <c r="M186" s="453" t="s">
        <v>2414</v>
      </c>
      <c r="N186" s="442">
        <f>OBRA!AG185</f>
        <v>42678</v>
      </c>
      <c r="O186" s="176" t="s">
        <v>2384</v>
      </c>
      <c r="P186" s="177">
        <v>0.375</v>
      </c>
      <c r="Q186" s="453" t="s">
        <v>2415</v>
      </c>
      <c r="R186" s="445">
        <f>OBRA!AH185</f>
        <v>42681</v>
      </c>
      <c r="S186" s="587" t="s">
        <v>2416</v>
      </c>
      <c r="T186" s="446" t="str">
        <f>OBRA!U185</f>
        <v xml:space="preserve">GRUPO DESARROLLADOR INMOBILIARIO CEMERAMA S.A. DE C.V. </v>
      </c>
      <c r="U186" s="447" t="str">
        <f>OBRA!V185</f>
        <v xml:space="preserve">LIC. SALVADOR CONTRERAS </v>
      </c>
      <c r="V186" s="1281"/>
      <c r="W186" s="35" t="str">
        <f>OBRA!L185</f>
        <v>GMJ 017C OP/2016</v>
      </c>
      <c r="X186" s="453" t="s">
        <v>1836</v>
      </c>
      <c r="Y186" s="451" t="s">
        <v>2406</v>
      </c>
      <c r="Z186" s="449" t="str">
        <f>OBRA!K185</f>
        <v xml:space="preserve">Fortalecimiento Financiero Para La Inversion </v>
      </c>
      <c r="AA186" s="13" t="s">
        <v>2394</v>
      </c>
      <c r="AB186" s="2" t="str">
        <f>OBRA!M185</f>
        <v>POR INVITACION RESTRINGIDA</v>
      </c>
      <c r="AC186" s="328"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428">
        <f>OBRA!S185</f>
        <v>42735</v>
      </c>
      <c r="AH186" s="54"/>
      <c r="AI186" s="266" t="s">
        <v>2344</v>
      </c>
      <c r="AJ186" s="202" t="s">
        <v>1431</v>
      </c>
      <c r="AK186" s="454" t="s">
        <v>1841</v>
      </c>
      <c r="AL186" s="455" t="s">
        <v>2417</v>
      </c>
      <c r="AM186" s="573" t="str">
        <f>GRAL!B187</f>
        <v>2015-2018</v>
      </c>
      <c r="AN186" s="1009" t="s">
        <v>551</v>
      </c>
      <c r="AO186" s="13"/>
    </row>
    <row r="187" spans="1:41" ht="301.5" hidden="1" customHeight="1">
      <c r="A187" s="166">
        <f>OBRA!I186</f>
        <v>2016</v>
      </c>
      <c r="B187" s="2036"/>
      <c r="C187" s="450" t="s">
        <v>2418</v>
      </c>
      <c r="D187" s="179" t="s">
        <v>2419</v>
      </c>
      <c r="E187" s="178" t="s">
        <v>2420</v>
      </c>
      <c r="F187" s="178" t="s">
        <v>2421</v>
      </c>
      <c r="G187" s="452" t="s">
        <v>2422</v>
      </c>
      <c r="H187" s="442">
        <f>OBRA!AD186</f>
        <v>42653</v>
      </c>
      <c r="I187" s="452" t="s">
        <v>2423</v>
      </c>
      <c r="J187" s="444">
        <f>OBRA!AE186</f>
        <v>42656</v>
      </c>
      <c r="K187" s="453" t="s">
        <v>2424</v>
      </c>
      <c r="L187" s="442">
        <f>OBRA!AF186</f>
        <v>42661</v>
      </c>
      <c r="M187" s="453" t="s">
        <v>2425</v>
      </c>
      <c r="N187" s="442">
        <f>OBRA!AG186</f>
        <v>42663</v>
      </c>
      <c r="O187" s="176" t="s">
        <v>2384</v>
      </c>
      <c r="P187" s="177">
        <v>0.375</v>
      </c>
      <c r="Q187" s="453" t="s">
        <v>2426</v>
      </c>
      <c r="R187" s="445">
        <f>OBRA!AH186</f>
        <v>42668</v>
      </c>
      <c r="S187" s="587" t="s">
        <v>2416</v>
      </c>
      <c r="T187" s="446" t="str">
        <f>OBRA!U186</f>
        <v xml:space="preserve">GRUPO DESARROLLADOR INMOBILIARIO CEMERAMA S.A. DE C.V. </v>
      </c>
      <c r="U187" s="447" t="str">
        <f>OBRA!V186</f>
        <v xml:space="preserve">LIC. SALVADOR CONTRERAS </v>
      </c>
      <c r="V187" s="1281"/>
      <c r="W187" s="35" t="str">
        <f>OBRA!L186</f>
        <v>GMJ 018C OP/2016</v>
      </c>
      <c r="X187" s="453" t="s">
        <v>1844</v>
      </c>
      <c r="Y187" s="451" t="s">
        <v>2427</v>
      </c>
      <c r="Z187" s="449" t="str">
        <f>OBRA!K186</f>
        <v>SEDATU</v>
      </c>
      <c r="AA187" s="13" t="s">
        <v>2394</v>
      </c>
      <c r="AB187" s="2" t="str">
        <f>OBRA!M186</f>
        <v>POR INVITACION RESTRINGIDA</v>
      </c>
      <c r="AC187" s="328" t="str">
        <f>OBRA!N186</f>
        <v>CONSTRUCCIÓN DE PLAZOLETA "EL CHANTE" MUNICIPIO DE JOCOTEPEC, JALISCO</v>
      </c>
      <c r="AD187" s="4">
        <f>OBRA!P186</f>
        <v>2389400</v>
      </c>
      <c r="AE187" s="6">
        <f>OBRA!Q186</f>
        <v>42669</v>
      </c>
      <c r="AF187" s="5">
        <f>OBRA!R186</f>
        <v>42671</v>
      </c>
      <c r="AG187" s="428">
        <f>OBRA!S186</f>
        <v>42735</v>
      </c>
      <c r="AH187" s="54"/>
      <c r="AI187" s="266" t="s">
        <v>2344</v>
      </c>
      <c r="AJ187" s="454" t="s">
        <v>2428</v>
      </c>
      <c r="AK187" s="454" t="s">
        <v>2429</v>
      </c>
      <c r="AL187" s="455" t="s">
        <v>2430</v>
      </c>
      <c r="AM187" s="231" t="str">
        <f>GRAL!B188</f>
        <v>2015-2018</v>
      </c>
      <c r="AN187" s="1009" t="s">
        <v>551</v>
      </c>
      <c r="AO187" s="13"/>
    </row>
    <row r="188" spans="1:41" ht="90.75" hidden="1" customHeight="1">
      <c r="A188" s="166">
        <f>OBRA!I187</f>
        <v>2016</v>
      </c>
      <c r="B188" s="2036"/>
      <c r="C188" s="433"/>
      <c r="D188" s="154"/>
      <c r="E188" s="156"/>
      <c r="F188" s="156"/>
      <c r="G188" s="436"/>
      <c r="H188" s="442" t="str">
        <f>OBRA!AD187</f>
        <v>-</v>
      </c>
      <c r="I188" s="452"/>
      <c r="J188" s="444" t="str">
        <f>OBRA!AE187</f>
        <v>-</v>
      </c>
      <c r="K188" s="439"/>
      <c r="L188" s="442" t="str">
        <f>OBRA!AF187</f>
        <v>-</v>
      </c>
      <c r="M188" s="453"/>
      <c r="N188" s="442" t="str">
        <f>OBRA!AG187</f>
        <v>-</v>
      </c>
      <c r="O188" s="152"/>
      <c r="P188" s="175"/>
      <c r="Q188" s="453"/>
      <c r="R188" s="445" t="str">
        <f>OBRA!AH187</f>
        <v>-</v>
      </c>
      <c r="S188" s="515" t="s">
        <v>2431</v>
      </c>
      <c r="T188" s="446" t="str">
        <f>OBRA!U187</f>
        <v>CONSTRUCCIONES VIKBRAK, S.A. DE C.V.</v>
      </c>
      <c r="U188" s="447" t="str">
        <f>OBRA!V187</f>
        <v>LIC. SALVADOR CONTRERAS OLGUÍN</v>
      </c>
      <c r="V188" s="1281"/>
      <c r="W188" s="35" t="str">
        <f>OBRA!L187</f>
        <v>GMJ 019C OP/2016</v>
      </c>
      <c r="X188" s="453"/>
      <c r="Y188" s="451"/>
      <c r="Z188" s="449" t="str">
        <f>OBRA!K187</f>
        <v>RAMO 33</v>
      </c>
      <c r="AA188" s="13"/>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428">
        <f>OBRA!S187</f>
        <v>42735</v>
      </c>
      <c r="AH188" s="54"/>
      <c r="AI188" s="231"/>
      <c r="AJ188" s="267"/>
      <c r="AK188" s="267"/>
      <c r="AL188" s="432"/>
      <c r="AM188" s="573" t="str">
        <f>GRAL!B189</f>
        <v>2015-2018</v>
      </c>
      <c r="AN188" s="574"/>
      <c r="AO188" s="13"/>
    </row>
    <row r="189" spans="1:41" ht="120" hidden="1" customHeight="1">
      <c r="A189" s="166">
        <f>OBRA!I188</f>
        <v>2016</v>
      </c>
      <c r="B189" s="2036"/>
      <c r="C189" s="433"/>
      <c r="D189" s="154"/>
      <c r="E189" s="156"/>
      <c r="F189" s="156"/>
      <c r="G189" s="436"/>
      <c r="H189" s="442" t="str">
        <f>OBRA!AD188</f>
        <v>-</v>
      </c>
      <c r="I189" s="452"/>
      <c r="J189" s="444" t="str">
        <f>OBRA!AE188</f>
        <v>-</v>
      </c>
      <c r="K189" s="439"/>
      <c r="L189" s="442" t="str">
        <f>OBRA!AF188</f>
        <v>-</v>
      </c>
      <c r="M189" s="453"/>
      <c r="N189" s="442" t="str">
        <f>OBRA!AG188</f>
        <v>-</v>
      </c>
      <c r="O189" s="152"/>
      <c r="P189" s="175"/>
      <c r="Q189" s="453"/>
      <c r="R189" s="445" t="str">
        <f>OBRA!AH188</f>
        <v>-</v>
      </c>
      <c r="S189" s="515" t="s">
        <v>2432</v>
      </c>
      <c r="T189" s="446" t="str">
        <f>OBRA!U188</f>
        <v>LIC. CARLOS MANUEL PELAYO CERVERA</v>
      </c>
      <c r="U189" s="447" t="str">
        <f>OBRA!V188</f>
        <v>LIC. SALVADOR CONTRERAS OLGUÍN</v>
      </c>
      <c r="V189" s="1281"/>
      <c r="W189" s="35" t="str">
        <f>OBRA!L188</f>
        <v>GMJ 020C OP/2016</v>
      </c>
      <c r="X189" s="453"/>
      <c r="Y189" s="451"/>
      <c r="Z189" s="449" t="str">
        <f>OBRA!K188</f>
        <v>RAMO 33</v>
      </c>
      <c r="AA189" s="13"/>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428">
        <f>OBRA!S188</f>
        <v>42735</v>
      </c>
      <c r="AH189" s="54"/>
      <c r="AI189" s="231"/>
      <c r="AJ189" s="267"/>
      <c r="AK189" s="267"/>
      <c r="AL189" s="432"/>
      <c r="AM189" s="573" t="str">
        <f>GRAL!B190</f>
        <v>2015-2018</v>
      </c>
      <c r="AN189" s="574"/>
      <c r="AO189" s="13"/>
    </row>
    <row r="190" spans="1:41" s="110" customFormat="1" ht="75.75" hidden="1" thickTop="1">
      <c r="A190" s="166">
        <f>OBRA!I189</f>
        <v>2016</v>
      </c>
      <c r="B190" s="2036"/>
      <c r="C190" s="433"/>
      <c r="D190" s="155"/>
      <c r="E190" s="157"/>
      <c r="F190" s="157"/>
      <c r="G190" s="436"/>
      <c r="H190" s="442" t="str">
        <f>OBRA!AD189</f>
        <v>-</v>
      </c>
      <c r="I190" s="452"/>
      <c r="J190" s="444" t="str">
        <f>OBRA!AE189</f>
        <v>-</v>
      </c>
      <c r="K190" s="439"/>
      <c r="L190" s="442" t="str">
        <f>OBRA!AF189</f>
        <v>-</v>
      </c>
      <c r="M190" s="453"/>
      <c r="N190" s="442" t="str">
        <f>OBRA!AG189</f>
        <v>-</v>
      </c>
      <c r="O190" s="158"/>
      <c r="P190" s="175"/>
      <c r="Q190" s="453"/>
      <c r="R190" s="445" t="str">
        <f>OBRA!AH189</f>
        <v>-</v>
      </c>
      <c r="S190" s="424" t="s">
        <v>2433</v>
      </c>
      <c r="T190" s="446" t="str">
        <f>OBRA!U189</f>
        <v>ENERGIAS RENOVABLES DE LA RIVERA S.A. DE C.V</v>
      </c>
      <c r="U190" s="447" t="str">
        <f>OBRA!V189</f>
        <v>ING. J. GUADALUPE IBARRA RAMIREZ</v>
      </c>
      <c r="V190" s="1281"/>
      <c r="W190" s="35" t="str">
        <f>OBRA!L189</f>
        <v>GMJ 021C OP/2016</v>
      </c>
      <c r="X190" s="453"/>
      <c r="Y190" s="451"/>
      <c r="Z190" s="449" t="str">
        <f>OBRA!K189</f>
        <v xml:space="preserve">Fortalecimiento Financiero Para La Inversion </v>
      </c>
      <c r="AA190" s="13"/>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428">
        <f>OBRA!S189</f>
        <v>42734</v>
      </c>
      <c r="AH190" s="54"/>
      <c r="AI190" s="231"/>
      <c r="AJ190" s="267"/>
      <c r="AK190" s="267"/>
      <c r="AL190" s="432"/>
      <c r="AM190" s="573" t="str">
        <f>GRAL!B191</f>
        <v>2015-2018</v>
      </c>
      <c r="AN190" s="574"/>
      <c r="AO190" s="109"/>
    </row>
    <row r="191" spans="1:41" s="110" customFormat="1" ht="27" hidden="1" thickTop="1">
      <c r="A191" s="956">
        <f>OBRA!I190</f>
        <v>2016</v>
      </c>
      <c r="B191" s="2037"/>
      <c r="C191" s="957"/>
      <c r="D191" s="155"/>
      <c r="E191" s="157"/>
      <c r="F191" s="157"/>
      <c r="G191" s="958"/>
      <c r="H191" s="158" t="str">
        <f>OBRA!AD190</f>
        <v>-</v>
      </c>
      <c r="I191" s="966"/>
      <c r="J191" s="117" t="str">
        <f>OBRA!AE190</f>
        <v>-</v>
      </c>
      <c r="K191" s="960"/>
      <c r="L191" s="158" t="str">
        <f>OBRA!AF190</f>
        <v>-</v>
      </c>
      <c r="M191" s="458"/>
      <c r="N191" s="158" t="str">
        <f>OBRA!AG190</f>
        <v>-</v>
      </c>
      <c r="O191" s="158"/>
      <c r="P191" s="964"/>
      <c r="Q191" s="458"/>
      <c r="R191" s="459" t="str">
        <f>OBRA!AH190</f>
        <v>-</v>
      </c>
      <c r="S191" s="109"/>
      <c r="T191" s="460">
        <f>OBRA!U190</f>
        <v>0</v>
      </c>
      <c r="U191" s="461">
        <f>OBRA!V190</f>
        <v>0</v>
      </c>
      <c r="V191" s="935"/>
      <c r="W191" s="340" t="str">
        <f>OBRA!L190</f>
        <v>GMJ 022C OP/2016</v>
      </c>
      <c r="X191" s="458"/>
      <c r="Y191" s="462"/>
      <c r="Z191" s="462">
        <f>OBRA!K190</f>
        <v>0</v>
      </c>
      <c r="AA191" s="109"/>
      <c r="AB191" s="203" t="str">
        <f>OBRA!M190</f>
        <v>CANCELADA</v>
      </c>
      <c r="AC191" s="112" t="str">
        <f>OBRA!N190</f>
        <v>CANCELADO</v>
      </c>
      <c r="AD191" s="92">
        <f>OBRA!P190</f>
        <v>0</v>
      </c>
      <c r="AE191" s="93">
        <f>OBRA!Q190</f>
        <v>0</v>
      </c>
      <c r="AF191" s="94">
        <f>OBRA!R190</f>
        <v>0</v>
      </c>
      <c r="AG191" s="429">
        <f>OBRA!S190</f>
        <v>0</v>
      </c>
      <c r="AH191" s="107"/>
      <c r="AI191" s="90"/>
      <c r="AJ191" s="102"/>
      <c r="AK191" s="102"/>
      <c r="AL191" s="103"/>
      <c r="AM191" s="392" t="str">
        <f>GRAL!B192</f>
        <v>2012-2015</v>
      </c>
      <c r="AN191" s="961"/>
      <c r="AO191" s="109"/>
    </row>
    <row r="192" spans="1:41" s="110" customFormat="1" ht="120.75" hidden="1" thickTop="1">
      <c r="A192" s="956">
        <f>OBRA!I191</f>
        <v>2016</v>
      </c>
      <c r="B192" s="2037"/>
      <c r="C192" s="957"/>
      <c r="D192" s="155"/>
      <c r="E192" s="157" t="s">
        <v>2434</v>
      </c>
      <c r="F192" s="157" t="s">
        <v>2383</v>
      </c>
      <c r="G192" s="958"/>
      <c r="H192" s="158" t="str">
        <f>OBRA!AD191</f>
        <v>-</v>
      </c>
      <c r="I192" s="966"/>
      <c r="J192" s="117" t="str">
        <f>OBRA!AE191</f>
        <v>-</v>
      </c>
      <c r="K192" s="960"/>
      <c r="L192" s="158" t="str">
        <f>OBRA!AF191</f>
        <v>-</v>
      </c>
      <c r="M192" s="458"/>
      <c r="N192" s="158" t="str">
        <f>OBRA!AG191</f>
        <v>-</v>
      </c>
      <c r="O192" s="963" t="s">
        <v>2384</v>
      </c>
      <c r="P192" s="964"/>
      <c r="Q192" s="458"/>
      <c r="R192" s="459" t="str">
        <f>OBRA!AH191</f>
        <v>-</v>
      </c>
      <c r="S192" s="109"/>
      <c r="T192" s="460">
        <f>OBRA!U191</f>
        <v>0</v>
      </c>
      <c r="U192" s="461">
        <f>OBRA!V191</f>
        <v>0</v>
      </c>
      <c r="V192" s="935"/>
      <c r="W192" s="340" t="str">
        <f>OBRA!L191</f>
        <v>GMJ 023C OP/2016</v>
      </c>
      <c r="X192" s="458"/>
      <c r="Y192" s="462"/>
      <c r="Z192" s="462">
        <f>OBRA!K191</f>
        <v>0</v>
      </c>
      <c r="AA192" s="109"/>
      <c r="AB192" s="203" t="str">
        <f>OBRA!M191</f>
        <v>CANCELADA</v>
      </c>
      <c r="AC192" s="112" t="str">
        <f>OBRA!N191</f>
        <v>CANCELADO</v>
      </c>
      <c r="AD192" s="92">
        <f>OBRA!P191</f>
        <v>0</v>
      </c>
      <c r="AE192" s="93">
        <f>OBRA!Q191</f>
        <v>0</v>
      </c>
      <c r="AF192" s="94">
        <f>OBRA!R191</f>
        <v>0</v>
      </c>
      <c r="AG192" s="429">
        <f>OBRA!S191</f>
        <v>0</v>
      </c>
      <c r="AH192" s="107"/>
      <c r="AI192" s="90"/>
      <c r="AJ192" s="102"/>
      <c r="AK192" s="102"/>
      <c r="AL192" s="103"/>
      <c r="AM192" s="392" t="str">
        <f>GRAL!B193</f>
        <v>2012-2015</v>
      </c>
      <c r="AN192" s="961"/>
      <c r="AO192" s="109"/>
    </row>
    <row r="193" spans="1:41" ht="225.75" hidden="1" customHeight="1">
      <c r="A193" s="166">
        <f>OBRA!I192</f>
        <v>2016</v>
      </c>
      <c r="B193" s="2036"/>
      <c r="C193" s="339" t="s">
        <v>68</v>
      </c>
      <c r="D193" s="179" t="s">
        <v>68</v>
      </c>
      <c r="E193" s="178" t="s">
        <v>68</v>
      </c>
      <c r="F193" s="178" t="s">
        <v>68</v>
      </c>
      <c r="G193" s="452" t="s">
        <v>2435</v>
      </c>
      <c r="H193" s="442">
        <f>OBRA!AD192</f>
        <v>42698</v>
      </c>
      <c r="I193" s="452" t="s">
        <v>2436</v>
      </c>
      <c r="J193" s="444">
        <f>OBRA!AE192</f>
        <v>42709</v>
      </c>
      <c r="K193" s="452" t="s">
        <v>2437</v>
      </c>
      <c r="L193" s="444">
        <f>OBRA!AF192</f>
        <v>42709</v>
      </c>
      <c r="M193" s="452" t="s">
        <v>1868</v>
      </c>
      <c r="N193" s="444">
        <f>OBRA!AG192</f>
        <v>42720</v>
      </c>
      <c r="O193" s="176" t="s">
        <v>2384</v>
      </c>
      <c r="P193" s="177">
        <v>0.375</v>
      </c>
      <c r="Q193" s="580" t="s">
        <v>2438</v>
      </c>
      <c r="R193" s="642">
        <f>OBRA!AH192</f>
        <v>42720</v>
      </c>
      <c r="S193" s="587" t="s">
        <v>2439</v>
      </c>
      <c r="T193" s="446" t="str">
        <f>OBRA!U192</f>
        <v>ING. GEOLOGO: J. TRINIDAD NUÑEZ BRITO</v>
      </c>
      <c r="U193" s="447" t="str">
        <f>OBRA!V192</f>
        <v>ING. RIGOBERTO OLMEDO RAMOS</v>
      </c>
      <c r="V193" s="1281"/>
      <c r="W193" s="35" t="str">
        <f>OBRA!L192</f>
        <v>GMJ 024C OP/2016</v>
      </c>
      <c r="X193" s="453" t="s">
        <v>1866</v>
      </c>
      <c r="Y193" s="451" t="s">
        <v>2440</v>
      </c>
      <c r="Z193" s="449" t="str">
        <f>OBRA!K192</f>
        <v>RAMO 33</v>
      </c>
      <c r="AA193" s="13" t="s">
        <v>2354</v>
      </c>
      <c r="AB193" s="2" t="str">
        <f>OBRA!M192</f>
        <v>POR INVITACION RESTRINGIDA</v>
      </c>
      <c r="AC193" s="328" t="str">
        <f>OBRA!N192</f>
        <v>CONSTRUCCIÓN Y AFORO DE POZO PROFUNDO EN LA CALLE JUAREZ, LOCALIDAD DE CHANTEPEC, MUNICIPIO DE JOCOTEPEC, JALISCO</v>
      </c>
      <c r="AD193" s="4">
        <f>OBRA!P192</f>
        <v>1630380</v>
      </c>
      <c r="AE193" s="6">
        <f>OBRA!Q192</f>
        <v>42720</v>
      </c>
      <c r="AF193" s="5">
        <f>OBRA!R192</f>
        <v>42720</v>
      </c>
      <c r="AG193" s="428">
        <f>OBRA!S192</f>
        <v>42794</v>
      </c>
      <c r="AH193" s="54"/>
      <c r="AI193" s="266" t="s">
        <v>2344</v>
      </c>
      <c r="AJ193" s="426" t="s">
        <v>1431</v>
      </c>
      <c r="AK193" s="454" t="s">
        <v>1870</v>
      </c>
      <c r="AL193" s="455" t="s">
        <v>2441</v>
      </c>
      <c r="AM193" s="231" t="str">
        <f>GRAL!B194</f>
        <v>2015-2018</v>
      </c>
      <c r="AN193" s="1009" t="s">
        <v>551</v>
      </c>
      <c r="AO193" s="13"/>
    </row>
    <row r="194" spans="1:41" ht="224.25" hidden="1" customHeight="1">
      <c r="A194" s="166">
        <f>OBRA!I193</f>
        <v>-2016</v>
      </c>
      <c r="B194" s="2036"/>
      <c r="C194" s="450" t="s">
        <v>2442</v>
      </c>
      <c r="D194" s="179" t="s">
        <v>2443</v>
      </c>
      <c r="E194" s="178" t="s">
        <v>2444</v>
      </c>
      <c r="F194" s="178" t="s">
        <v>2421</v>
      </c>
      <c r="G194" s="452" t="s">
        <v>2445</v>
      </c>
      <c r="H194" s="442">
        <f>OBRA!AD193</f>
        <v>42718</v>
      </c>
      <c r="I194" s="452" t="s">
        <v>2446</v>
      </c>
      <c r="J194" s="444">
        <f>OBRA!AE193</f>
        <v>42723</v>
      </c>
      <c r="K194" s="453" t="s">
        <v>2447</v>
      </c>
      <c r="L194" s="442">
        <f>OBRA!AF193</f>
        <v>42724</v>
      </c>
      <c r="M194" s="452" t="s">
        <v>2448</v>
      </c>
      <c r="N194" s="442">
        <f>OBRA!AG193</f>
        <v>42730</v>
      </c>
      <c r="O194" s="176" t="s">
        <v>2384</v>
      </c>
      <c r="P194" s="177">
        <v>0.375</v>
      </c>
      <c r="Q194" s="580" t="s">
        <v>2449</v>
      </c>
      <c r="R194" s="445">
        <f>OBRA!AH193</f>
        <v>42733</v>
      </c>
      <c r="S194" s="587" t="s">
        <v>2450</v>
      </c>
      <c r="T194" s="446" t="s">
        <v>471</v>
      </c>
      <c r="U194" s="447" t="str">
        <f>OBRA!V193</f>
        <v>ARQ. FRANCISCO SALAZAR</v>
      </c>
      <c r="V194" s="1281"/>
      <c r="W194" s="35" t="str">
        <f>OBRA!L193</f>
        <v>GMJ 025C OP/2016</v>
      </c>
      <c r="X194" s="580" t="s">
        <v>1873</v>
      </c>
      <c r="Y194" s="451" t="s">
        <v>2451</v>
      </c>
      <c r="Z194" s="449" t="str">
        <f>OBRA!K193</f>
        <v>FOREMODA</v>
      </c>
      <c r="AA194" s="451" t="s">
        <v>2452</v>
      </c>
      <c r="AB194" s="2" t="str">
        <f>OBRA!M193</f>
        <v>POR INVITACION RESTRINGIDA</v>
      </c>
      <c r="AC194" s="328" t="str">
        <f>OBRA!N193</f>
        <v>RESTAURACIÓN DE LA PARROQUIA DEL SEÑOR DEL MONTE EN JOCOTEPEC, JALISCO</v>
      </c>
      <c r="AD194" s="4">
        <f>OBRA!P193</f>
        <v>1800000</v>
      </c>
      <c r="AE194" s="6">
        <f>OBRA!Q193</f>
        <v>42779</v>
      </c>
      <c r="AF194" s="5">
        <f>OBRA!R193</f>
        <v>42779</v>
      </c>
      <c r="AG194" s="428">
        <f>OBRA!S193</f>
        <v>43039</v>
      </c>
      <c r="AH194" s="54"/>
      <c r="AI194" s="266" t="s">
        <v>2344</v>
      </c>
      <c r="AJ194" s="602" t="s">
        <v>2453</v>
      </c>
      <c r="AK194" s="602" t="s">
        <v>1848</v>
      </c>
      <c r="AL194" s="455" t="s">
        <v>2454</v>
      </c>
      <c r="AM194" s="991" t="str">
        <f>GRAL!B195</f>
        <v>2015-2018</v>
      </c>
      <c r="AN194" s="449" t="s">
        <v>551</v>
      </c>
      <c r="AO194" s="13"/>
    </row>
    <row r="195" spans="1:41" ht="30" hidden="1" customHeight="1">
      <c r="A195" s="166">
        <f>OBRA!I194</f>
        <v>2016</v>
      </c>
      <c r="B195" s="2036"/>
      <c r="C195" s="433"/>
      <c r="D195" s="154"/>
      <c r="E195" s="156"/>
      <c r="F195" s="156"/>
      <c r="G195" s="436"/>
      <c r="H195" s="442" t="str">
        <f>OBRA!AD194</f>
        <v>-</v>
      </c>
      <c r="I195" s="438"/>
      <c r="J195" s="444" t="str">
        <f>OBRA!AE194</f>
        <v>-</v>
      </c>
      <c r="K195" s="439"/>
      <c r="L195" s="442" t="str">
        <f>OBRA!AF194</f>
        <v>-</v>
      </c>
      <c r="M195" s="440"/>
      <c r="N195" s="442" t="str">
        <f>OBRA!AG194</f>
        <v>-</v>
      </c>
      <c r="O195" s="152"/>
      <c r="P195" s="152"/>
      <c r="Q195" s="439"/>
      <c r="R195" s="445" t="str">
        <f>OBRA!AH194</f>
        <v>-</v>
      </c>
      <c r="S195" s="423"/>
      <c r="T195" s="446" t="str">
        <f>OBRA!U194</f>
        <v>-</v>
      </c>
      <c r="U195" s="447" t="str">
        <f>OBRA!V194</f>
        <v>-</v>
      </c>
      <c r="V195" s="1281"/>
      <c r="W195" s="35" t="str">
        <f>OBRA!L194</f>
        <v>FONDEREG 2016/05 Sureste/121</v>
      </c>
      <c r="X195" s="13"/>
      <c r="Y195" s="13"/>
      <c r="Z195" s="448" t="str">
        <f>OBRA!K194</f>
        <v>FONDEREG</v>
      </c>
      <c r="AA195" s="13"/>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428" t="str">
        <f>OBRA!S194</f>
        <v>-</v>
      </c>
      <c r="AH195" s="54"/>
      <c r="AI195" s="231"/>
      <c r="AJ195" s="267"/>
      <c r="AK195" s="267"/>
      <c r="AL195" s="432"/>
      <c r="AM195" s="573" t="str">
        <f>GRAL!B196</f>
        <v>2015-2018</v>
      </c>
      <c r="AN195" s="574"/>
      <c r="AO195" s="13"/>
    </row>
    <row r="196" spans="1:41" ht="30" hidden="1" customHeight="1">
      <c r="A196" s="166">
        <f>OBRA!I195</f>
        <v>2016</v>
      </c>
      <c r="B196" s="2036"/>
      <c r="C196" s="433"/>
      <c r="D196" s="154"/>
      <c r="E196" s="156"/>
      <c r="F196" s="156"/>
      <c r="G196" s="436"/>
      <c r="H196" s="442" t="str">
        <f>OBRA!AD195</f>
        <v>-</v>
      </c>
      <c r="I196" s="438"/>
      <c r="J196" s="444" t="str">
        <f>OBRA!AE195</f>
        <v>-</v>
      </c>
      <c r="K196" s="439"/>
      <c r="L196" s="442" t="str">
        <f>OBRA!AF195</f>
        <v>-</v>
      </c>
      <c r="M196" s="440"/>
      <c r="N196" s="442" t="str">
        <f>OBRA!AG195</f>
        <v>-</v>
      </c>
      <c r="O196" s="152"/>
      <c r="P196" s="152"/>
      <c r="Q196" s="439"/>
      <c r="R196" s="445" t="str">
        <f>OBRA!AH195</f>
        <v>-</v>
      </c>
      <c r="S196" s="423"/>
      <c r="T196" s="446" t="str">
        <f>OBRA!U195</f>
        <v>-</v>
      </c>
      <c r="U196" s="447" t="str">
        <f>OBRA!V195</f>
        <v>-</v>
      </c>
      <c r="V196" s="1281"/>
      <c r="W196" s="35" t="str">
        <f>OBRA!L195</f>
        <v>FONDO PARA EL FORTALECIMIENTO 2016 "B"</v>
      </c>
      <c r="X196" s="13"/>
      <c r="Y196" s="13"/>
      <c r="Z196" s="448" t="str">
        <f>OBRA!K195</f>
        <v xml:space="preserve">FONDO PARA EL FORTALECIMIENTO </v>
      </c>
      <c r="AA196" s="13"/>
      <c r="AB196" s="2" t="str">
        <f>OBRA!M195</f>
        <v>CONVENIO</v>
      </c>
      <c r="AC196" s="3" t="str">
        <f>OBRA!N195</f>
        <v>-</v>
      </c>
      <c r="AD196" s="4">
        <f>OBRA!P195</f>
        <v>10000000</v>
      </c>
      <c r="AE196" s="6">
        <f>OBRA!Q195</f>
        <v>42614</v>
      </c>
      <c r="AF196" s="5" t="str">
        <f>OBRA!R195</f>
        <v>-</v>
      </c>
      <c r="AG196" s="428" t="str">
        <f>OBRA!S195</f>
        <v>-</v>
      </c>
      <c r="AH196" s="54"/>
      <c r="AI196" s="231"/>
      <c r="AJ196" s="267"/>
      <c r="AK196" s="267"/>
      <c r="AL196" s="432"/>
      <c r="AM196" s="573" t="str">
        <f>GRAL!B197</f>
        <v>2015-2018</v>
      </c>
      <c r="AN196" s="574"/>
      <c r="AO196" s="13"/>
    </row>
    <row r="197" spans="1:41" ht="30" hidden="1" customHeight="1">
      <c r="A197" s="166">
        <f>OBRA!I196</f>
        <v>2016</v>
      </c>
      <c r="B197" s="2036"/>
      <c r="C197" s="433"/>
      <c r="D197" s="154"/>
      <c r="E197" s="156"/>
      <c r="F197" s="156"/>
      <c r="G197" s="436"/>
      <c r="H197" s="442" t="str">
        <f>OBRA!AD196</f>
        <v>-</v>
      </c>
      <c r="I197" s="438"/>
      <c r="J197" s="444" t="str">
        <f>OBRA!AE196</f>
        <v>-</v>
      </c>
      <c r="K197" s="439"/>
      <c r="L197" s="442" t="str">
        <f>OBRA!AF196</f>
        <v>-</v>
      </c>
      <c r="M197" s="440"/>
      <c r="N197" s="442" t="str">
        <f>OBRA!AG196</f>
        <v>-</v>
      </c>
      <c r="O197" s="152"/>
      <c r="P197" s="152"/>
      <c r="Q197" s="439"/>
      <c r="R197" s="445" t="str">
        <f>OBRA!AH196</f>
        <v>-</v>
      </c>
      <c r="S197" s="423"/>
      <c r="T197" s="446" t="str">
        <f>OBRA!U196</f>
        <v>-</v>
      </c>
      <c r="U197" s="447" t="str">
        <f>OBRA!V196</f>
        <v>-</v>
      </c>
      <c r="V197" s="1281"/>
      <c r="W197" s="35" t="str">
        <f>OBRA!L196</f>
        <v>P3X1-14-PIS-0563-16</v>
      </c>
      <c r="X197" s="13"/>
      <c r="Y197" s="13"/>
      <c r="Z197" s="448" t="str">
        <f>OBRA!K196</f>
        <v>3X1 PARA MIGRANTES</v>
      </c>
      <c r="AA197" s="13"/>
      <c r="AB197" s="2" t="str">
        <f>OBRA!M196</f>
        <v>CONVENIO</v>
      </c>
      <c r="AC197" s="3" t="str">
        <f>OBRA!N196</f>
        <v>COLOCACIÓN DE ADOQUIN EN CALLE PRIVADA CAMICHINES</v>
      </c>
      <c r="AD197" s="4">
        <f>OBRA!P196</f>
        <v>456248</v>
      </c>
      <c r="AE197" s="6">
        <f>OBRA!Q196</f>
        <v>42583</v>
      </c>
      <c r="AF197" s="5" t="str">
        <f>OBRA!R196</f>
        <v>-</v>
      </c>
      <c r="AG197" s="428" t="str">
        <f>OBRA!S196</f>
        <v>-</v>
      </c>
      <c r="AH197" s="54"/>
      <c r="AI197" s="231"/>
      <c r="AJ197" s="267"/>
      <c r="AK197" s="267"/>
      <c r="AL197" s="432"/>
      <c r="AM197" s="573" t="str">
        <f>GRAL!B198</f>
        <v>2015-2018</v>
      </c>
      <c r="AN197" s="574"/>
      <c r="AO197" s="13"/>
    </row>
    <row r="198" spans="1:41" ht="30" hidden="1" customHeight="1">
      <c r="A198" s="166">
        <f>OBRA!I197</f>
        <v>2016</v>
      </c>
      <c r="B198" s="2036"/>
      <c r="C198" s="433"/>
      <c r="D198" s="154"/>
      <c r="E198" s="156"/>
      <c r="F198" s="156"/>
      <c r="G198" s="436"/>
      <c r="H198" s="442" t="str">
        <f>OBRA!AD197</f>
        <v>-</v>
      </c>
      <c r="I198" s="438"/>
      <c r="J198" s="444" t="str">
        <f>OBRA!AE197</f>
        <v>-</v>
      </c>
      <c r="K198" s="439"/>
      <c r="L198" s="442" t="str">
        <f>OBRA!AF197</f>
        <v>-</v>
      </c>
      <c r="M198" s="440"/>
      <c r="N198" s="442" t="str">
        <f>OBRA!AG197</f>
        <v>-</v>
      </c>
      <c r="O198" s="152"/>
      <c r="P198" s="152"/>
      <c r="Q198" s="439"/>
      <c r="R198" s="445" t="str">
        <f>OBRA!AH197</f>
        <v>-</v>
      </c>
      <c r="S198" s="423"/>
      <c r="T198" s="446" t="str">
        <f>OBRA!U197</f>
        <v>-</v>
      </c>
      <c r="U198" s="447" t="str">
        <f>OBRA!V197</f>
        <v>-</v>
      </c>
      <c r="V198" s="1281"/>
      <c r="W198" s="35" t="str">
        <f>OBRA!L197</f>
        <v>P3X1-14-PIS-0521-16</v>
      </c>
      <c r="X198" s="13"/>
      <c r="Y198" s="13"/>
      <c r="Z198" s="448" t="str">
        <f>OBRA!K197</f>
        <v>3X1 PARA MIGRANTES</v>
      </c>
      <c r="AA198" s="13"/>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428" t="str">
        <f>OBRA!S197</f>
        <v>-</v>
      </c>
      <c r="AH198" s="54"/>
      <c r="AI198" s="231"/>
      <c r="AJ198" s="267"/>
      <c r="AK198" s="267"/>
      <c r="AL198" s="432"/>
      <c r="AM198" s="573" t="str">
        <f>GRAL!B199</f>
        <v>2015-2018</v>
      </c>
      <c r="AN198" s="574"/>
      <c r="AO198" s="13"/>
    </row>
    <row r="199" spans="1:41" ht="30" hidden="1" customHeight="1">
      <c r="A199" s="166">
        <f>OBRA!I198</f>
        <v>2016</v>
      </c>
      <c r="B199" s="2036"/>
      <c r="C199" s="433"/>
      <c r="D199" s="154"/>
      <c r="E199" s="156"/>
      <c r="F199" s="156"/>
      <c r="G199" s="436"/>
      <c r="H199" s="442" t="str">
        <f>OBRA!AD198</f>
        <v>-</v>
      </c>
      <c r="I199" s="438"/>
      <c r="J199" s="444" t="str">
        <f>OBRA!AE198</f>
        <v>-</v>
      </c>
      <c r="K199" s="439"/>
      <c r="L199" s="442" t="str">
        <f>OBRA!AF198</f>
        <v>-</v>
      </c>
      <c r="M199" s="440"/>
      <c r="N199" s="442" t="str">
        <f>OBRA!AG198</f>
        <v>-</v>
      </c>
      <c r="O199" s="152"/>
      <c r="P199" s="152"/>
      <c r="Q199" s="439"/>
      <c r="R199" s="445" t="str">
        <f>OBRA!AH198</f>
        <v>-</v>
      </c>
      <c r="S199" s="423"/>
      <c r="T199" s="446" t="str">
        <f>OBRA!U198</f>
        <v>-</v>
      </c>
      <c r="U199" s="447" t="str">
        <f>OBRA!V198</f>
        <v>-</v>
      </c>
      <c r="V199" s="1281"/>
      <c r="W199" s="35" t="str">
        <f>OBRA!L198</f>
        <v>P3X1-14-PIS-0559-16</v>
      </c>
      <c r="X199" s="13"/>
      <c r="Y199" s="13"/>
      <c r="Z199" s="448" t="str">
        <f>OBRA!K198</f>
        <v>3X1 PARA MIGRANTES</v>
      </c>
      <c r="AA199" s="13"/>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428" t="str">
        <f>OBRA!S198</f>
        <v>-</v>
      </c>
      <c r="AH199" s="54"/>
      <c r="AI199" s="231"/>
      <c r="AJ199" s="267"/>
      <c r="AK199" s="267"/>
      <c r="AL199" s="432"/>
      <c r="AM199" s="573" t="str">
        <f>GRAL!B200</f>
        <v>2015-2018</v>
      </c>
      <c r="AN199" s="574"/>
      <c r="AO199" s="13"/>
    </row>
    <row r="200" spans="1:41" ht="30" hidden="1" customHeight="1">
      <c r="A200" s="166">
        <f>OBRA!I199</f>
        <v>2016</v>
      </c>
      <c r="B200" s="2036"/>
      <c r="C200" s="433"/>
      <c r="D200" s="154"/>
      <c r="E200" s="156"/>
      <c r="F200" s="156"/>
      <c r="G200" s="436"/>
      <c r="H200" s="442" t="str">
        <f>OBRA!AD199</f>
        <v>-</v>
      </c>
      <c r="I200" s="438"/>
      <c r="J200" s="444" t="str">
        <f>OBRA!AE199</f>
        <v>-</v>
      </c>
      <c r="K200" s="439"/>
      <c r="L200" s="442" t="str">
        <f>OBRA!AF199</f>
        <v>-</v>
      </c>
      <c r="M200" s="440"/>
      <c r="N200" s="442" t="str">
        <f>OBRA!AG199</f>
        <v>-</v>
      </c>
      <c r="O200" s="152"/>
      <c r="P200" s="152"/>
      <c r="Q200" s="439"/>
      <c r="R200" s="445" t="str">
        <f>OBRA!AH199</f>
        <v>-</v>
      </c>
      <c r="S200" s="423"/>
      <c r="T200" s="446" t="str">
        <f>OBRA!U199</f>
        <v>-</v>
      </c>
      <c r="U200" s="447" t="str">
        <f>OBRA!V199</f>
        <v>-</v>
      </c>
      <c r="V200" s="1281"/>
      <c r="W200" s="35" t="str">
        <f>OBRA!L199</f>
        <v>P3X1-14-PIS-0564-16</v>
      </c>
      <c r="X200" s="13"/>
      <c r="Y200" s="13"/>
      <c r="Z200" s="448" t="str">
        <f>OBRA!K199</f>
        <v>3X1 PARA MIGRANTES</v>
      </c>
      <c r="AA200" s="13"/>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428" t="str">
        <f>OBRA!S199</f>
        <v>-</v>
      </c>
      <c r="AH200" s="54"/>
      <c r="AI200" s="231"/>
      <c r="AJ200" s="267"/>
      <c r="AK200" s="267"/>
      <c r="AL200" s="432"/>
      <c r="AM200" s="573" t="str">
        <f>GRAL!B201</f>
        <v>2015-2018</v>
      </c>
      <c r="AN200" s="574"/>
      <c r="AO200" s="13"/>
    </row>
    <row r="201" spans="1:41" ht="30" hidden="1" customHeight="1">
      <c r="A201" s="166">
        <f>OBRA!I200</f>
        <v>2016</v>
      </c>
      <c r="B201" s="2036"/>
      <c r="C201" s="433"/>
      <c r="D201" s="154"/>
      <c r="E201" s="156"/>
      <c r="F201" s="156"/>
      <c r="G201" s="436"/>
      <c r="H201" s="442" t="str">
        <f>OBRA!AD200</f>
        <v>-</v>
      </c>
      <c r="I201" s="438"/>
      <c r="J201" s="444" t="str">
        <f>OBRA!AE200</f>
        <v>-</v>
      </c>
      <c r="K201" s="439"/>
      <c r="L201" s="442" t="str">
        <f>OBRA!AF200</f>
        <v>-</v>
      </c>
      <c r="M201" s="440"/>
      <c r="N201" s="442" t="str">
        <f>OBRA!AG200</f>
        <v>-</v>
      </c>
      <c r="O201" s="152"/>
      <c r="P201" s="152"/>
      <c r="Q201" s="439"/>
      <c r="R201" s="445" t="str">
        <f>OBRA!AH200</f>
        <v>-</v>
      </c>
      <c r="S201" s="423"/>
      <c r="T201" s="446" t="str">
        <f>OBRA!U200</f>
        <v>-</v>
      </c>
      <c r="U201" s="447" t="str">
        <f>OBRA!V200</f>
        <v>-</v>
      </c>
      <c r="V201" s="1281"/>
      <c r="W201" s="35" t="str">
        <f>OBRA!L200</f>
        <v>P3X1-14-PIS-0562-16</v>
      </c>
      <c r="X201" s="13"/>
      <c r="Y201" s="13"/>
      <c r="Z201" s="448" t="str">
        <f>OBRA!K200</f>
        <v>3X1 PARA MIGRANTES</v>
      </c>
      <c r="AA201" s="13"/>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428" t="str">
        <f>OBRA!S200</f>
        <v>-</v>
      </c>
      <c r="AH201" s="54"/>
      <c r="AI201" s="231"/>
      <c r="AJ201" s="267"/>
      <c r="AK201" s="267"/>
      <c r="AL201" s="432"/>
      <c r="AM201" s="573" t="str">
        <f>GRAL!B202</f>
        <v>2015-2018</v>
      </c>
      <c r="AN201" s="574"/>
      <c r="AO201" s="13"/>
    </row>
    <row r="202" spans="1:41" ht="30" hidden="1" customHeight="1">
      <c r="A202" s="166">
        <f>OBRA!I201</f>
        <v>2016</v>
      </c>
      <c r="B202" s="2036"/>
      <c r="C202" s="433"/>
      <c r="D202" s="154"/>
      <c r="E202" s="156"/>
      <c r="F202" s="156"/>
      <c r="G202" s="436"/>
      <c r="H202" s="442" t="str">
        <f>OBRA!AD201</f>
        <v>-</v>
      </c>
      <c r="I202" s="438"/>
      <c r="J202" s="444" t="str">
        <f>OBRA!AE201</f>
        <v>-</v>
      </c>
      <c r="K202" s="439"/>
      <c r="L202" s="442" t="str">
        <f>OBRA!AF201</f>
        <v>-</v>
      </c>
      <c r="M202" s="440"/>
      <c r="N202" s="442" t="str">
        <f>OBRA!AG201</f>
        <v>-</v>
      </c>
      <c r="O202" s="152"/>
      <c r="P202" s="152"/>
      <c r="Q202" s="439"/>
      <c r="R202" s="445" t="str">
        <f>OBRA!AH201</f>
        <v>-</v>
      </c>
      <c r="S202" s="423"/>
      <c r="T202" s="446" t="str">
        <f>OBRA!U201</f>
        <v>-</v>
      </c>
      <c r="U202" s="447" t="str">
        <f>OBRA!V201</f>
        <v>-</v>
      </c>
      <c r="V202" s="1281"/>
      <c r="W202" s="35" t="str">
        <f>OBRA!L201</f>
        <v>P3X1-14-PIS-0558-16</v>
      </c>
      <c r="X202" s="13"/>
      <c r="Y202" s="13"/>
      <c r="Z202" s="448" t="str">
        <f>OBRA!K201</f>
        <v>3X1 PARA MIGRANTES</v>
      </c>
      <c r="AA202" s="13"/>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428" t="str">
        <f>OBRA!S201</f>
        <v>-</v>
      </c>
      <c r="AH202" s="54"/>
      <c r="AI202" s="231"/>
      <c r="AJ202" s="267"/>
      <c r="AK202" s="267"/>
      <c r="AL202" s="432"/>
      <c r="AM202" s="573" t="str">
        <f>GRAL!B203</f>
        <v>2015-2018</v>
      </c>
      <c r="AN202" s="574"/>
      <c r="AO202" s="13"/>
    </row>
    <row r="203" spans="1:41" ht="30" hidden="1" customHeight="1">
      <c r="A203" s="166">
        <f>OBRA!I202</f>
        <v>2016</v>
      </c>
      <c r="B203" s="2036"/>
      <c r="C203" s="433"/>
      <c r="D203" s="154"/>
      <c r="E203" s="156"/>
      <c r="F203" s="156"/>
      <c r="G203" s="436"/>
      <c r="H203" s="442" t="str">
        <f>OBRA!AD202</f>
        <v>-</v>
      </c>
      <c r="I203" s="438"/>
      <c r="J203" s="444" t="str">
        <f>OBRA!AE202</f>
        <v>-</v>
      </c>
      <c r="K203" s="439"/>
      <c r="L203" s="442" t="str">
        <f>OBRA!AF202</f>
        <v>-</v>
      </c>
      <c r="M203" s="440"/>
      <c r="N203" s="442" t="str">
        <f>OBRA!AG202</f>
        <v>-</v>
      </c>
      <c r="O203" s="152"/>
      <c r="P203" s="152"/>
      <c r="Q203" s="439"/>
      <c r="R203" s="445" t="str">
        <f>OBRA!AH202</f>
        <v>-</v>
      </c>
      <c r="S203" s="423"/>
      <c r="T203" s="446" t="str">
        <f>OBRA!U202</f>
        <v>-</v>
      </c>
      <c r="U203" s="447" t="str">
        <f>OBRA!V202</f>
        <v>-</v>
      </c>
      <c r="V203" s="1281"/>
      <c r="W203" s="35" t="str">
        <f>OBRA!L202</f>
        <v>P3X1-14-PIS-0566-16</v>
      </c>
      <c r="X203" s="13"/>
      <c r="Y203" s="13"/>
      <c r="Z203" s="448" t="str">
        <f>OBRA!K202</f>
        <v>3X1 PARA MIGRANTES</v>
      </c>
      <c r="AA203" s="13"/>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428" t="str">
        <f>OBRA!S202</f>
        <v>-</v>
      </c>
      <c r="AH203" s="54"/>
      <c r="AI203" s="231"/>
      <c r="AJ203" s="267"/>
      <c r="AK203" s="267"/>
      <c r="AL203" s="432"/>
      <c r="AM203" s="573" t="str">
        <f>GRAL!B204</f>
        <v>2015-2018</v>
      </c>
      <c r="AN203" s="574"/>
      <c r="AO203" s="13"/>
    </row>
    <row r="204" spans="1:41" ht="30" hidden="1" customHeight="1">
      <c r="A204" s="166">
        <f>OBRA!I203</f>
        <v>2016</v>
      </c>
      <c r="B204" s="2036"/>
      <c r="C204" s="433"/>
      <c r="D204" s="154"/>
      <c r="E204" s="156"/>
      <c r="F204" s="156"/>
      <c r="G204" s="436"/>
      <c r="H204" s="442" t="str">
        <f>OBRA!AD203</f>
        <v>-</v>
      </c>
      <c r="I204" s="438"/>
      <c r="J204" s="444" t="str">
        <f>OBRA!AE203</f>
        <v>-</v>
      </c>
      <c r="K204" s="439"/>
      <c r="L204" s="442" t="str">
        <f>OBRA!AF203</f>
        <v>-</v>
      </c>
      <c r="M204" s="440"/>
      <c r="N204" s="442" t="str">
        <f>OBRA!AG203</f>
        <v>-</v>
      </c>
      <c r="O204" s="152"/>
      <c r="P204" s="152"/>
      <c r="Q204" s="439"/>
      <c r="R204" s="445" t="str">
        <f>OBRA!AH203</f>
        <v>-</v>
      </c>
      <c r="S204" s="423"/>
      <c r="T204" s="446" t="str">
        <f>OBRA!U203</f>
        <v>-</v>
      </c>
      <c r="U204" s="447" t="str">
        <f>OBRA!V203</f>
        <v>-</v>
      </c>
      <c r="V204" s="1281"/>
      <c r="W204" s="35" t="str">
        <f>OBRA!L203</f>
        <v>P3X1-14-PIS-0556-16</v>
      </c>
      <c r="X204" s="13"/>
      <c r="Y204" s="13"/>
      <c r="Z204" s="448" t="str">
        <f>OBRA!K203</f>
        <v>3X1 PARA MIGRANTES</v>
      </c>
      <c r="AA204" s="13"/>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428" t="str">
        <f>OBRA!S203</f>
        <v>-</v>
      </c>
      <c r="AH204" s="54"/>
      <c r="AI204" s="231"/>
      <c r="AJ204" s="267"/>
      <c r="AK204" s="267"/>
      <c r="AL204" s="432"/>
      <c r="AM204" s="573" t="str">
        <f>GRAL!B205</f>
        <v>2015-2018</v>
      </c>
      <c r="AN204" s="574"/>
      <c r="AO204" s="13"/>
    </row>
    <row r="205" spans="1:41" ht="30" hidden="1" customHeight="1">
      <c r="A205" s="166">
        <f>OBRA!I204</f>
        <v>2016</v>
      </c>
      <c r="B205" s="2036"/>
      <c r="C205" s="433"/>
      <c r="D205" s="154"/>
      <c r="E205" s="156"/>
      <c r="F205" s="156"/>
      <c r="G205" s="436"/>
      <c r="H205" s="442" t="str">
        <f>OBRA!AD204</f>
        <v>-</v>
      </c>
      <c r="I205" s="438"/>
      <c r="J205" s="444" t="str">
        <f>OBRA!AE204</f>
        <v>-</v>
      </c>
      <c r="K205" s="439"/>
      <c r="L205" s="442" t="str">
        <f>OBRA!AF204</f>
        <v>-</v>
      </c>
      <c r="M205" s="440"/>
      <c r="N205" s="442" t="str">
        <f>OBRA!AG204</f>
        <v>-</v>
      </c>
      <c r="O205" s="152"/>
      <c r="P205" s="152"/>
      <c r="Q205" s="439"/>
      <c r="R205" s="445" t="str">
        <f>OBRA!AH204</f>
        <v>-</v>
      </c>
      <c r="S205" s="423"/>
      <c r="T205" s="446" t="str">
        <f>OBRA!U204</f>
        <v>-</v>
      </c>
      <c r="U205" s="447" t="str">
        <f>OBRA!V204</f>
        <v>-</v>
      </c>
      <c r="V205" s="1281"/>
      <c r="W205" s="35" t="str">
        <f>OBRA!L204</f>
        <v>P3X1-14-PIS-0560-16</v>
      </c>
      <c r="X205" s="13"/>
      <c r="Y205" s="13"/>
      <c r="Z205" s="448" t="str">
        <f>OBRA!K204</f>
        <v>3X1 PARA MIGRANTES</v>
      </c>
      <c r="AA205" s="13"/>
      <c r="AB205" s="2" t="str">
        <f>OBRA!M204</f>
        <v>CONVENIO</v>
      </c>
      <c r="AC205" s="3" t="str">
        <f>OBRA!N204</f>
        <v>EMPEDRADO AHOGADO EN CEMENTO EN CALLE INSURGENTES PRIMERA ETAPA, ZAPOTITAN DE HIDALGO</v>
      </c>
      <c r="AD205" s="4">
        <f>OBRA!P204</f>
        <v>2426000</v>
      </c>
      <c r="AE205" s="6">
        <f>OBRA!Q204</f>
        <v>42583</v>
      </c>
      <c r="AF205" s="5" t="str">
        <f>OBRA!R204</f>
        <v>-</v>
      </c>
      <c r="AG205" s="428" t="str">
        <f>OBRA!S204</f>
        <v>-</v>
      </c>
      <c r="AH205" s="54"/>
      <c r="AI205" s="231"/>
      <c r="AJ205" s="267"/>
      <c r="AK205" s="267"/>
      <c r="AL205" s="432"/>
      <c r="AM205" s="573" t="str">
        <f>GRAL!B206</f>
        <v>2015-2018</v>
      </c>
      <c r="AN205" s="574"/>
      <c r="AO205" s="13"/>
    </row>
    <row r="206" spans="1:41" ht="30" hidden="1" customHeight="1">
      <c r="A206" s="166">
        <f>OBRA!I205</f>
        <v>2016</v>
      </c>
      <c r="B206" s="2036"/>
      <c r="C206" s="433"/>
      <c r="D206" s="154"/>
      <c r="E206" s="156"/>
      <c r="F206" s="156"/>
      <c r="G206" s="436"/>
      <c r="H206" s="442" t="str">
        <f>OBRA!AD205</f>
        <v>-</v>
      </c>
      <c r="I206" s="438"/>
      <c r="J206" s="444" t="str">
        <f>OBRA!AE205</f>
        <v>-</v>
      </c>
      <c r="K206" s="439"/>
      <c r="L206" s="442" t="str">
        <f>OBRA!AF205</f>
        <v>-</v>
      </c>
      <c r="M206" s="440"/>
      <c r="N206" s="442" t="str">
        <f>OBRA!AG205</f>
        <v>-</v>
      </c>
      <c r="O206" s="152"/>
      <c r="P206" s="152"/>
      <c r="Q206" s="439"/>
      <c r="R206" s="445" t="str">
        <f>OBRA!AH205</f>
        <v>-</v>
      </c>
      <c r="S206" s="423"/>
      <c r="T206" s="446" t="str">
        <f>OBRA!U205</f>
        <v>-</v>
      </c>
      <c r="U206" s="447" t="str">
        <f>OBRA!V205</f>
        <v>-</v>
      </c>
      <c r="V206" s="1281"/>
      <c r="W206" s="35" t="str">
        <f>OBRA!L205</f>
        <v>P3X1-14-PIS-0567-16</v>
      </c>
      <c r="X206" s="13"/>
      <c r="Y206" s="13"/>
      <c r="Z206" s="448" t="str">
        <f>OBRA!K205</f>
        <v>3X1 PARA MIGRANTES</v>
      </c>
      <c r="AA206" s="13"/>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428" t="str">
        <f>OBRA!S205</f>
        <v>-</v>
      </c>
      <c r="AH206" s="54"/>
      <c r="AI206" s="231"/>
      <c r="AJ206" s="267"/>
      <c r="AK206" s="267"/>
      <c r="AL206" s="432"/>
      <c r="AM206" s="573" t="str">
        <f>GRAL!B207</f>
        <v>2015-2018</v>
      </c>
      <c r="AN206" s="574"/>
      <c r="AO206" s="13"/>
    </row>
    <row r="207" spans="1:41" ht="43.5" hidden="1" customHeight="1">
      <c r="A207" s="166">
        <f>OBRA!I206</f>
        <v>2016</v>
      </c>
      <c r="B207" s="2036"/>
      <c r="C207" s="433"/>
      <c r="D207" s="154"/>
      <c r="E207" s="156"/>
      <c r="F207" s="156"/>
      <c r="G207" s="436"/>
      <c r="H207" s="442" t="str">
        <f>OBRA!AD206</f>
        <v>-</v>
      </c>
      <c r="I207" s="438"/>
      <c r="J207" s="444" t="str">
        <f>OBRA!AE206</f>
        <v>-</v>
      </c>
      <c r="K207" s="439"/>
      <c r="L207" s="442" t="str">
        <f>OBRA!AF206</f>
        <v>-</v>
      </c>
      <c r="M207" s="440"/>
      <c r="N207" s="442" t="str">
        <f>OBRA!AG206</f>
        <v>-</v>
      </c>
      <c r="O207" s="152"/>
      <c r="P207" s="152"/>
      <c r="Q207" s="439"/>
      <c r="R207" s="445" t="str">
        <f>OBRA!AH206</f>
        <v>-</v>
      </c>
      <c r="S207" s="423"/>
      <c r="T207" s="446" t="str">
        <f>OBRA!U206</f>
        <v>-</v>
      </c>
      <c r="U207" s="447" t="str">
        <f>OBRA!V206</f>
        <v>-</v>
      </c>
      <c r="V207" s="1281"/>
      <c r="W207" s="35" t="str">
        <f>OBRA!L206</f>
        <v>P3X1-14-PIS-0561-16</v>
      </c>
      <c r="X207" s="13"/>
      <c r="Y207" s="13"/>
      <c r="Z207" s="448" t="str">
        <f>OBRA!K206</f>
        <v>3X1 PARA MIGRANTES</v>
      </c>
      <c r="AA207" s="13"/>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428" t="str">
        <f>OBRA!S206</f>
        <v>-</v>
      </c>
      <c r="AH207" s="54"/>
      <c r="AI207" s="231"/>
      <c r="AJ207" s="267"/>
      <c r="AK207" s="267"/>
      <c r="AL207" s="432"/>
      <c r="AM207" s="573" t="str">
        <f>GRAL!B208</f>
        <v>2015-2018</v>
      </c>
      <c r="AN207" s="574"/>
      <c r="AO207" s="13"/>
    </row>
    <row r="208" spans="1:41" ht="30" hidden="1" customHeight="1">
      <c r="A208" s="166">
        <f>OBRA!I207</f>
        <v>2017</v>
      </c>
      <c r="B208" s="2036"/>
      <c r="C208" s="433"/>
      <c r="D208" s="154"/>
      <c r="E208" s="156"/>
      <c r="F208" s="156"/>
      <c r="G208" s="436"/>
      <c r="H208" s="442" t="str">
        <f>OBRA!AD207</f>
        <v>-</v>
      </c>
      <c r="I208" s="438"/>
      <c r="J208" s="444" t="str">
        <f>OBRA!AE207</f>
        <v>-</v>
      </c>
      <c r="K208" s="439"/>
      <c r="L208" s="442" t="str">
        <f>OBRA!AF207</f>
        <v>-</v>
      </c>
      <c r="M208" s="440"/>
      <c r="N208" s="442" t="str">
        <f>OBRA!AG207</f>
        <v>-</v>
      </c>
      <c r="O208" s="152"/>
      <c r="P208" s="152"/>
      <c r="Q208" s="439"/>
      <c r="R208" s="445" t="str">
        <f>OBRA!AH207</f>
        <v>-</v>
      </c>
      <c r="S208" s="423"/>
      <c r="T208" s="446" t="str">
        <f>OBRA!U207</f>
        <v>N/A</v>
      </c>
      <c r="U208" s="447" t="str">
        <f>OBRA!V207</f>
        <v>-</v>
      </c>
      <c r="V208" s="1281"/>
      <c r="W208" s="35" t="str">
        <f>OBRA!L207</f>
        <v>FONDEREG 2017/05 SURESTE/121</v>
      </c>
      <c r="X208" s="13"/>
      <c r="Y208" s="13"/>
      <c r="Z208" s="448" t="str">
        <f>OBRA!K207</f>
        <v>FONDEREG</v>
      </c>
      <c r="AA208" s="13"/>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428" t="str">
        <f>OBRA!S207</f>
        <v>-</v>
      </c>
      <c r="AH208" s="54"/>
      <c r="AI208" s="231"/>
      <c r="AJ208" s="267"/>
      <c r="AK208" s="267"/>
      <c r="AL208" s="432"/>
      <c r="AM208" s="573" t="str">
        <f>GRAL!B209</f>
        <v>2015-2018</v>
      </c>
      <c r="AN208" s="574"/>
      <c r="AO208" s="13"/>
    </row>
    <row r="209" spans="1:41" ht="30" hidden="1" customHeight="1">
      <c r="A209" s="166">
        <f>OBRA!I208</f>
        <v>2017</v>
      </c>
      <c r="B209" s="2036"/>
      <c r="C209" s="433"/>
      <c r="D209" s="154"/>
      <c r="E209" s="156"/>
      <c r="F209" s="156"/>
      <c r="G209" s="436"/>
      <c r="H209" s="442" t="str">
        <f>OBRA!AD208</f>
        <v>-</v>
      </c>
      <c r="I209" s="438"/>
      <c r="J209" s="444" t="str">
        <f>OBRA!AE208</f>
        <v>-</v>
      </c>
      <c r="K209" s="439"/>
      <c r="L209" s="442" t="str">
        <f>OBRA!AF208</f>
        <v>-</v>
      </c>
      <c r="M209" s="440"/>
      <c r="N209" s="442" t="str">
        <f>OBRA!AG208</f>
        <v>-</v>
      </c>
      <c r="O209" s="152"/>
      <c r="P209" s="152"/>
      <c r="Q209" s="439"/>
      <c r="R209" s="445" t="str">
        <f>OBRA!AH208</f>
        <v>-</v>
      </c>
      <c r="S209" s="423"/>
      <c r="T209" s="446" t="str">
        <f>OBRA!U208</f>
        <v>N/A</v>
      </c>
      <c r="U209" s="447" t="str">
        <f>OBRA!V208</f>
        <v>-</v>
      </c>
      <c r="V209" s="1281"/>
      <c r="W209" s="35" t="str">
        <f>OBRA!L208</f>
        <v>-</v>
      </c>
      <c r="X209" s="13"/>
      <c r="Y209" s="13"/>
      <c r="Z209" s="448" t="str">
        <f>OBRA!K208</f>
        <v>FOCOCI</v>
      </c>
      <c r="AA209" s="13"/>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428" t="str">
        <f>OBRA!S208</f>
        <v>-</v>
      </c>
      <c r="AH209" s="54"/>
      <c r="AI209" s="231"/>
      <c r="AJ209" s="267"/>
      <c r="AK209" s="267"/>
      <c r="AL209" s="432"/>
      <c r="AM209" s="573" t="str">
        <f>GRAL!B210</f>
        <v>2015-2018</v>
      </c>
      <c r="AN209" s="574"/>
      <c r="AO209" s="13"/>
    </row>
    <row r="210" spans="1:41" ht="30" hidden="1" customHeight="1">
      <c r="A210" s="166">
        <f>OBRA!I209</f>
        <v>2017</v>
      </c>
      <c r="B210" s="2036"/>
      <c r="C210" s="433"/>
      <c r="D210" s="154"/>
      <c r="E210" s="156"/>
      <c r="F210" s="156"/>
      <c r="G210" s="436"/>
      <c r="H210" s="442" t="str">
        <f>OBRA!AD209</f>
        <v>-</v>
      </c>
      <c r="I210" s="438"/>
      <c r="J210" s="444" t="str">
        <f>OBRA!AE209</f>
        <v>-</v>
      </c>
      <c r="K210" s="439"/>
      <c r="L210" s="442" t="str">
        <f>OBRA!AF209</f>
        <v>-</v>
      </c>
      <c r="M210" s="440"/>
      <c r="N210" s="442" t="str">
        <f>OBRA!AG209</f>
        <v>-</v>
      </c>
      <c r="O210" s="152"/>
      <c r="P210" s="152"/>
      <c r="Q210" s="439"/>
      <c r="R210" s="445" t="str">
        <f>OBRA!AH209</f>
        <v>-</v>
      </c>
      <c r="S210" s="423"/>
      <c r="T210" s="446" t="str">
        <f>OBRA!U209</f>
        <v>N/A</v>
      </c>
      <c r="U210" s="447" t="str">
        <f>OBRA!V209</f>
        <v>-</v>
      </c>
      <c r="V210" s="1281"/>
      <c r="W210" s="35" t="str">
        <f>OBRA!L209</f>
        <v xml:space="preserve">PROYECTOS DESARROLLO REGIONAL </v>
      </c>
      <c r="X210" s="13"/>
      <c r="Y210" s="13"/>
      <c r="Z210" s="448" t="str">
        <f>OBRA!K209</f>
        <v xml:space="preserve">PROYECTOS DESARROLLO REGIONAL </v>
      </c>
      <c r="AA210" s="13"/>
      <c r="AB210" s="2" t="str">
        <f>OBRA!M209</f>
        <v>CONVENIO</v>
      </c>
      <c r="AC210" s="3" t="str">
        <f>OBRA!N209</f>
        <v>-</v>
      </c>
      <c r="AD210" s="4">
        <f>OBRA!P209</f>
        <v>2910056.73</v>
      </c>
      <c r="AE210" s="6">
        <f>OBRA!Q209</f>
        <v>42863</v>
      </c>
      <c r="AF210" s="5" t="str">
        <f>OBRA!R209</f>
        <v>-</v>
      </c>
      <c r="AG210" s="428" t="str">
        <f>OBRA!S209</f>
        <v>-</v>
      </c>
      <c r="AH210" s="54"/>
      <c r="AI210" s="231"/>
      <c r="AJ210" s="267"/>
      <c r="AK210" s="267"/>
      <c r="AL210" s="432"/>
      <c r="AM210" s="573" t="str">
        <f>GRAL!B211</f>
        <v>2015-2018</v>
      </c>
      <c r="AN210" s="574"/>
      <c r="AO210" s="13"/>
    </row>
    <row r="211" spans="1:41" ht="30" hidden="1" customHeight="1">
      <c r="A211" s="166">
        <f>OBRA!I210</f>
        <v>2017</v>
      </c>
      <c r="B211" s="2036"/>
      <c r="C211" s="433"/>
      <c r="D211" s="154"/>
      <c r="E211" s="156"/>
      <c r="F211" s="156"/>
      <c r="G211" s="436"/>
      <c r="H211" s="442" t="str">
        <f>OBRA!AD210</f>
        <v>-</v>
      </c>
      <c r="I211" s="438"/>
      <c r="J211" s="444" t="str">
        <f>OBRA!AE210</f>
        <v>-</v>
      </c>
      <c r="K211" s="439"/>
      <c r="L211" s="442" t="str">
        <f>OBRA!AF210</f>
        <v>-</v>
      </c>
      <c r="M211" s="440"/>
      <c r="N211" s="442" t="str">
        <f>OBRA!AG210</f>
        <v>-</v>
      </c>
      <c r="O211" s="152"/>
      <c r="P211" s="152"/>
      <c r="Q211" s="439"/>
      <c r="R211" s="445" t="str">
        <f>OBRA!AH210</f>
        <v>-</v>
      </c>
      <c r="S211" s="423"/>
      <c r="T211" s="446" t="str">
        <f>OBRA!U210</f>
        <v>N/A</v>
      </c>
      <c r="U211" s="447" t="str">
        <f>OBRA!V210</f>
        <v>-</v>
      </c>
      <c r="V211" s="1281"/>
      <c r="W211" s="35" t="str">
        <f>OBRA!L210</f>
        <v>PROYECTOS DESARROLLO REGIONAL B</v>
      </c>
      <c r="X211" s="13"/>
      <c r="Y211" s="13"/>
      <c r="Z211" s="448" t="str">
        <f>OBRA!K210</f>
        <v xml:space="preserve">PROYECTOS DESARROLLO REGIONAL </v>
      </c>
      <c r="AA211" s="13"/>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428" t="str">
        <f>OBRA!S210</f>
        <v>-</v>
      </c>
      <c r="AH211" s="54"/>
      <c r="AI211" s="231"/>
      <c r="AJ211" s="267"/>
      <c r="AK211" s="267"/>
      <c r="AL211" s="432"/>
      <c r="AM211" s="573" t="str">
        <f>GRAL!B212</f>
        <v>2015-2018</v>
      </c>
      <c r="AN211" s="574"/>
      <c r="AO211" s="13"/>
    </row>
    <row r="212" spans="1:41" ht="30" hidden="1" customHeight="1">
      <c r="A212" s="166">
        <f>OBRA!I211</f>
        <v>2017</v>
      </c>
      <c r="B212" s="2036"/>
      <c r="C212" s="433"/>
      <c r="D212" s="154"/>
      <c r="E212" s="156"/>
      <c r="F212" s="156"/>
      <c r="G212" s="436"/>
      <c r="H212" s="442" t="str">
        <f>OBRA!AD211</f>
        <v>-</v>
      </c>
      <c r="I212" s="438"/>
      <c r="J212" s="444" t="str">
        <f>OBRA!AE211</f>
        <v>-</v>
      </c>
      <c r="K212" s="439"/>
      <c r="L212" s="442" t="str">
        <f>OBRA!AF211</f>
        <v>-</v>
      </c>
      <c r="M212" s="440"/>
      <c r="N212" s="442" t="str">
        <f>OBRA!AG211</f>
        <v>-</v>
      </c>
      <c r="O212" s="152"/>
      <c r="P212" s="152"/>
      <c r="Q212" s="439"/>
      <c r="R212" s="445" t="str">
        <f>OBRA!AH211</f>
        <v>-</v>
      </c>
      <c r="S212" s="423"/>
      <c r="T212" s="446" t="str">
        <f>OBRA!U211</f>
        <v>N/A</v>
      </c>
      <c r="U212" s="447" t="str">
        <f>OBRA!V211</f>
        <v>ARQ. JAIME CONDE GOMEZ</v>
      </c>
      <c r="V212" s="1281"/>
      <c r="W212" s="35" t="str">
        <f>OBRA!L211</f>
        <v>DOP/AD/001/2017</v>
      </c>
      <c r="X212" s="13"/>
      <c r="Y212" s="13"/>
      <c r="Z212" s="448" t="str">
        <f>OBRA!K211</f>
        <v>CUENTA CORRIENTE</v>
      </c>
      <c r="AA212" s="13"/>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428">
        <f>OBRA!S211</f>
        <v>42746</v>
      </c>
      <c r="AH212" s="54"/>
      <c r="AI212" s="231"/>
      <c r="AJ212" s="267"/>
      <c r="AK212" s="267"/>
      <c r="AL212" s="432"/>
      <c r="AM212" s="573" t="str">
        <f>GRAL!B213</f>
        <v>2015-2018</v>
      </c>
      <c r="AN212" s="574"/>
      <c r="AO212" s="13"/>
    </row>
    <row r="213" spans="1:41" ht="30" hidden="1" customHeight="1">
      <c r="A213" s="166">
        <f>OBRA!I212</f>
        <v>2017</v>
      </c>
      <c r="B213" s="2036"/>
      <c r="C213" s="433"/>
      <c r="D213" s="154"/>
      <c r="E213" s="156"/>
      <c r="F213" s="156"/>
      <c r="G213" s="436"/>
      <c r="H213" s="442" t="str">
        <f>OBRA!AD212</f>
        <v>-</v>
      </c>
      <c r="I213" s="438"/>
      <c r="J213" s="444" t="str">
        <f>OBRA!AE212</f>
        <v>-</v>
      </c>
      <c r="K213" s="439"/>
      <c r="L213" s="442" t="str">
        <f>OBRA!AF212</f>
        <v>-</v>
      </c>
      <c r="M213" s="440"/>
      <c r="N213" s="442" t="str">
        <f>OBRA!AG212</f>
        <v>-</v>
      </c>
      <c r="O213" s="152"/>
      <c r="P213" s="152"/>
      <c r="Q213" s="439"/>
      <c r="R213" s="445" t="str">
        <f>OBRA!AH212</f>
        <v>-</v>
      </c>
      <c r="S213" s="423"/>
      <c r="T213" s="446" t="str">
        <f>OBRA!U212</f>
        <v>N/A</v>
      </c>
      <c r="U213" s="447" t="str">
        <f>OBRA!V212</f>
        <v>ARQ. JAIME CONDE GOMEZ</v>
      </c>
      <c r="V213" s="1281"/>
      <c r="W213" s="35" t="str">
        <f>OBRA!L212</f>
        <v>DOP/AD/002/2017</v>
      </c>
      <c r="X213" s="13"/>
      <c r="Y213" s="13"/>
      <c r="Z213" s="448" t="str">
        <f>OBRA!K212</f>
        <v>CUENTA CORRIENTE</v>
      </c>
      <c r="AA213" s="13"/>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428">
        <f>OBRA!S212</f>
        <v>43046</v>
      </c>
      <c r="AH213" s="54"/>
      <c r="AI213" s="231"/>
      <c r="AJ213" s="267"/>
      <c r="AK213" s="267"/>
      <c r="AL213" s="432"/>
      <c r="AM213" s="573" t="str">
        <f>GRAL!B214</f>
        <v>2015-2018</v>
      </c>
      <c r="AN213" s="574"/>
      <c r="AO213" s="13"/>
    </row>
    <row r="214" spans="1:41" ht="30" hidden="1" customHeight="1">
      <c r="A214" s="166">
        <f>OBRA!I213</f>
        <v>2017</v>
      </c>
      <c r="B214" s="2036"/>
      <c r="C214" s="433"/>
      <c r="D214" s="154"/>
      <c r="E214" s="156"/>
      <c r="F214" s="156"/>
      <c r="G214" s="436"/>
      <c r="H214" s="442" t="str">
        <f>OBRA!AD213</f>
        <v>-</v>
      </c>
      <c r="I214" s="438"/>
      <c r="J214" s="444" t="str">
        <f>OBRA!AE213</f>
        <v>-</v>
      </c>
      <c r="K214" s="439"/>
      <c r="L214" s="442" t="str">
        <f>OBRA!AF213</f>
        <v>-</v>
      </c>
      <c r="M214" s="440"/>
      <c r="N214" s="442" t="str">
        <f>OBRA!AG213</f>
        <v>-</v>
      </c>
      <c r="O214" s="152"/>
      <c r="P214" s="152"/>
      <c r="Q214" s="439"/>
      <c r="R214" s="445" t="str">
        <f>OBRA!AH213</f>
        <v>-</v>
      </c>
      <c r="S214" s="423"/>
      <c r="T214" s="446" t="str">
        <f>OBRA!U213</f>
        <v>N/A</v>
      </c>
      <c r="U214" s="447" t="str">
        <f>OBRA!V213</f>
        <v>ING. RIGOBERTO OLMEDO RAMOS</v>
      </c>
      <c r="V214" s="1281"/>
      <c r="W214" s="35" t="str">
        <f>OBRA!L213</f>
        <v>DOP/AD/003/2017</v>
      </c>
      <c r="X214" s="13"/>
      <c r="Y214" s="13"/>
      <c r="Z214" s="448" t="str">
        <f>OBRA!K213</f>
        <v>CUENTA CORRIENTE</v>
      </c>
      <c r="AA214" s="13"/>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428">
        <f>OBRA!S213</f>
        <v>42959</v>
      </c>
      <c r="AH214" s="54"/>
      <c r="AI214" s="231"/>
      <c r="AJ214" s="267"/>
      <c r="AK214" s="267"/>
      <c r="AL214" s="432"/>
      <c r="AM214" s="573" t="str">
        <f>GRAL!B215</f>
        <v>2015-2018</v>
      </c>
      <c r="AN214" s="574"/>
      <c r="AO214" s="13"/>
    </row>
    <row r="215" spans="1:41" ht="30" hidden="1" customHeight="1">
      <c r="A215" s="166">
        <f>OBRA!I214</f>
        <v>2017</v>
      </c>
      <c r="B215" s="2036"/>
      <c r="C215" s="433"/>
      <c r="D215" s="154"/>
      <c r="E215" s="156"/>
      <c r="F215" s="156"/>
      <c r="G215" s="436"/>
      <c r="H215" s="442" t="str">
        <f>OBRA!AD214</f>
        <v>-</v>
      </c>
      <c r="I215" s="438"/>
      <c r="J215" s="444" t="str">
        <f>OBRA!AE214</f>
        <v>-</v>
      </c>
      <c r="K215" s="439"/>
      <c r="L215" s="442" t="str">
        <f>OBRA!AF214</f>
        <v>-</v>
      </c>
      <c r="M215" s="440"/>
      <c r="N215" s="442" t="str">
        <f>OBRA!AG214</f>
        <v>-</v>
      </c>
      <c r="O215" s="152"/>
      <c r="P215" s="152"/>
      <c r="Q215" s="439"/>
      <c r="R215" s="445" t="str">
        <f>OBRA!AH214</f>
        <v>-</v>
      </c>
      <c r="S215" s="423"/>
      <c r="T215" s="446" t="str">
        <f>OBRA!U214</f>
        <v>N/A</v>
      </c>
      <c r="U215" s="447" t="str">
        <f>OBRA!V214</f>
        <v>ING. RIGOBERTO OLMEDO RAMOS</v>
      </c>
      <c r="V215" s="1281"/>
      <c r="W215" s="35" t="str">
        <f>OBRA!L214</f>
        <v>DOP/AD/004/2017</v>
      </c>
      <c r="X215" s="13"/>
      <c r="Y215" s="13"/>
      <c r="Z215" s="448" t="str">
        <f>OBRA!K214</f>
        <v>CUENTA CORRIENTE</v>
      </c>
      <c r="AA215" s="13"/>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428">
        <f>OBRA!S214</f>
        <v>42959</v>
      </c>
      <c r="AH215" s="54"/>
      <c r="AI215" s="231"/>
      <c r="AJ215" s="267"/>
      <c r="AK215" s="267"/>
      <c r="AL215" s="432"/>
      <c r="AM215" s="573" t="str">
        <f>GRAL!B216</f>
        <v>2015-2018</v>
      </c>
      <c r="AN215" s="574"/>
      <c r="AO215" s="13"/>
    </row>
    <row r="216" spans="1:41" ht="30" hidden="1" customHeight="1">
      <c r="A216" s="166">
        <f>OBRA!I215</f>
        <v>2017</v>
      </c>
      <c r="B216" s="2036"/>
      <c r="C216" s="433"/>
      <c r="D216" s="154"/>
      <c r="E216" s="156"/>
      <c r="F216" s="156"/>
      <c r="G216" s="436"/>
      <c r="H216" s="442" t="str">
        <f>OBRA!AD215</f>
        <v>-</v>
      </c>
      <c r="I216" s="438"/>
      <c r="J216" s="444" t="str">
        <f>OBRA!AE215</f>
        <v>-</v>
      </c>
      <c r="K216" s="439"/>
      <c r="L216" s="442" t="str">
        <f>OBRA!AF215</f>
        <v>-</v>
      </c>
      <c r="M216" s="440"/>
      <c r="N216" s="442" t="str">
        <f>OBRA!AG215</f>
        <v>-</v>
      </c>
      <c r="O216" s="152"/>
      <c r="P216" s="152"/>
      <c r="Q216" s="439"/>
      <c r="R216" s="445" t="str">
        <f>OBRA!AH215</f>
        <v>-</v>
      </c>
      <c r="S216" s="423"/>
      <c r="T216" s="446" t="str">
        <f>OBRA!U215</f>
        <v>N/A</v>
      </c>
      <c r="U216" s="447" t="str">
        <f>OBRA!V215</f>
        <v>ING. J. GUADALUPE IBARRA RAMIREZ</v>
      </c>
      <c r="V216" s="1281"/>
      <c r="W216" s="35" t="str">
        <f>OBRA!L215</f>
        <v>DOP/AD/005/2017</v>
      </c>
      <c r="X216" s="13"/>
      <c r="Y216" s="13"/>
      <c r="Z216" s="448" t="str">
        <f>OBRA!K215</f>
        <v>CUENTA CORRIENTE</v>
      </c>
      <c r="AA216" s="13"/>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428">
        <f>OBRA!S215</f>
        <v>43008</v>
      </c>
      <c r="AH216" s="54"/>
      <c r="AI216" s="231"/>
      <c r="AJ216" s="267"/>
      <c r="AK216" s="267"/>
      <c r="AL216" s="432"/>
      <c r="AM216" s="573" t="str">
        <f>GRAL!B217</f>
        <v>2015-2018</v>
      </c>
      <c r="AN216" s="574"/>
      <c r="AO216" s="13"/>
    </row>
    <row r="217" spans="1:41" s="110" customFormat="1" ht="30" hidden="1" customHeight="1">
      <c r="A217" s="956">
        <f>OBRA!I216</f>
        <v>2017</v>
      </c>
      <c r="B217" s="2037"/>
      <c r="C217" s="957"/>
      <c r="D217" s="155"/>
      <c r="E217" s="157"/>
      <c r="F217" s="157"/>
      <c r="G217" s="958"/>
      <c r="H217" s="158" t="str">
        <f>OBRA!AD216</f>
        <v>-</v>
      </c>
      <c r="I217" s="456"/>
      <c r="J217" s="117" t="str">
        <f>OBRA!AE216</f>
        <v>-</v>
      </c>
      <c r="K217" s="960"/>
      <c r="L217" s="158" t="str">
        <f>OBRA!AF216</f>
        <v>-</v>
      </c>
      <c r="M217" s="959"/>
      <c r="N217" s="158" t="str">
        <f>OBRA!AG216</f>
        <v>-</v>
      </c>
      <c r="O217" s="158"/>
      <c r="P217" s="158"/>
      <c r="Q217" s="960"/>
      <c r="R217" s="459" t="str">
        <f>OBRA!AH216</f>
        <v>-</v>
      </c>
      <c r="S217" s="109"/>
      <c r="T217" s="460" t="str">
        <f>OBRA!U216</f>
        <v>-</v>
      </c>
      <c r="U217" s="461">
        <f>OBRA!V216</f>
        <v>0</v>
      </c>
      <c r="V217" s="935"/>
      <c r="W217" s="35" t="str">
        <f>OBRA!L216</f>
        <v>DOP/AD/006/2017</v>
      </c>
      <c r="X217" s="109"/>
      <c r="Y217" s="109"/>
      <c r="Z217" s="109">
        <f>OBRA!K216</f>
        <v>0</v>
      </c>
      <c r="AA217" s="109"/>
      <c r="AB217" s="203" t="str">
        <f>OBRA!M216</f>
        <v>CANCELADA</v>
      </c>
      <c r="AC217" s="112">
        <f>OBRA!N216</f>
        <v>0</v>
      </c>
      <c r="AD217" s="92">
        <f>OBRA!P216</f>
        <v>0</v>
      </c>
      <c r="AE217" s="93">
        <f>OBRA!Q216</f>
        <v>0</v>
      </c>
      <c r="AF217" s="94">
        <f>OBRA!R216</f>
        <v>0</v>
      </c>
      <c r="AG217" s="429">
        <f>OBRA!S216</f>
        <v>0</v>
      </c>
      <c r="AH217" s="107"/>
      <c r="AI217" s="90"/>
      <c r="AJ217" s="102"/>
      <c r="AK217" s="102"/>
      <c r="AL217" s="103"/>
      <c r="AM217" s="392" t="str">
        <f>GRAL!B218</f>
        <v>2012-2015</v>
      </c>
      <c r="AN217" s="961"/>
      <c r="AO217" s="109"/>
    </row>
    <row r="218" spans="1:41" ht="30" hidden="1" customHeight="1">
      <c r="A218" s="166">
        <f>OBRA!I217</f>
        <v>2017</v>
      </c>
      <c r="B218" s="2036"/>
      <c r="C218" s="433"/>
      <c r="D218" s="154"/>
      <c r="E218" s="156"/>
      <c r="F218" s="156"/>
      <c r="G218" s="436"/>
      <c r="H218" s="442" t="str">
        <f>OBRA!AD217</f>
        <v>-</v>
      </c>
      <c r="I218" s="438"/>
      <c r="J218" s="444" t="str">
        <f>OBRA!AE217</f>
        <v>-</v>
      </c>
      <c r="K218" s="439"/>
      <c r="L218" s="442" t="str">
        <f>OBRA!AF217</f>
        <v>-</v>
      </c>
      <c r="M218" s="440"/>
      <c r="N218" s="442" t="str">
        <f>OBRA!AG217</f>
        <v>-</v>
      </c>
      <c r="O218" s="152"/>
      <c r="P218" s="152"/>
      <c r="Q218" s="439"/>
      <c r="R218" s="445" t="str">
        <f>OBRA!AH217</f>
        <v>-</v>
      </c>
      <c r="S218" s="423"/>
      <c r="T218" s="446" t="str">
        <f>OBRA!U217</f>
        <v>N/A</v>
      </c>
      <c r="U218" s="447" t="str">
        <f>OBRA!V217</f>
        <v>ING. JUAN MANUEL GARCIA ESCOTO</v>
      </c>
      <c r="V218" s="1281"/>
      <c r="W218" s="35" t="str">
        <f>OBRA!L217</f>
        <v>DOP/AD/007/2017</v>
      </c>
      <c r="X218" s="13"/>
      <c r="Y218" s="13"/>
      <c r="Z218" s="448" t="str">
        <f>OBRA!K217</f>
        <v>CUENTA CORRIENTE</v>
      </c>
      <c r="AA218" s="13"/>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428">
        <f>OBRA!S217</f>
        <v>43084</v>
      </c>
      <c r="AH218" s="54"/>
      <c r="AI218" s="231"/>
      <c r="AJ218" s="267"/>
      <c r="AK218" s="267"/>
      <c r="AL218" s="432"/>
      <c r="AM218" s="573" t="str">
        <f>GRAL!B219</f>
        <v>2015-2018</v>
      </c>
      <c r="AN218" s="574"/>
      <c r="AO218" s="13"/>
    </row>
    <row r="219" spans="1:41" ht="30" hidden="1" customHeight="1">
      <c r="A219" s="166">
        <f>OBRA!I218</f>
        <v>2017</v>
      </c>
      <c r="B219" s="2036"/>
      <c r="C219" s="433"/>
      <c r="D219" s="154"/>
      <c r="E219" s="156"/>
      <c r="F219" s="156"/>
      <c r="G219" s="436"/>
      <c r="H219" s="442" t="str">
        <f>OBRA!AD218</f>
        <v>-</v>
      </c>
      <c r="I219" s="438"/>
      <c r="J219" s="444" t="str">
        <f>OBRA!AE218</f>
        <v>-</v>
      </c>
      <c r="K219" s="439"/>
      <c r="L219" s="442" t="str">
        <f>OBRA!AF218</f>
        <v>-</v>
      </c>
      <c r="M219" s="440"/>
      <c r="N219" s="442" t="str">
        <f>OBRA!AG218</f>
        <v>-</v>
      </c>
      <c r="O219" s="152"/>
      <c r="P219" s="152"/>
      <c r="Q219" s="439"/>
      <c r="R219" s="445" t="str">
        <f>OBRA!AH218</f>
        <v>-</v>
      </c>
      <c r="S219" s="423"/>
      <c r="T219" s="446" t="str">
        <f>OBRA!U218</f>
        <v>N/A</v>
      </c>
      <c r="U219" s="447" t="str">
        <f>OBRA!V218</f>
        <v>ING. ANGEL ALBERTO HERNANDEZ MORA</v>
      </c>
      <c r="V219" s="1281"/>
      <c r="W219" s="35" t="str">
        <f>OBRA!L218</f>
        <v>DOP/AD/008/2017</v>
      </c>
      <c r="X219" s="13"/>
      <c r="Y219" s="13"/>
      <c r="Z219" s="448" t="str">
        <f>OBRA!K218</f>
        <v>RAMO 33</v>
      </c>
      <c r="AA219" s="13"/>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428">
        <f>OBRA!S218</f>
        <v>43066</v>
      </c>
      <c r="AH219" s="54"/>
      <c r="AI219" s="231"/>
      <c r="AJ219" s="267"/>
      <c r="AK219" s="267"/>
      <c r="AL219" s="432"/>
      <c r="AM219" s="573" t="str">
        <f>GRAL!B220</f>
        <v>2015-2018</v>
      </c>
      <c r="AN219" s="574"/>
      <c r="AO219" s="13"/>
    </row>
    <row r="220" spans="1:41" ht="30" hidden="1" customHeight="1">
      <c r="A220" s="166">
        <f>OBRA!I219</f>
        <v>2017</v>
      </c>
      <c r="B220" s="2036"/>
      <c r="C220" s="433"/>
      <c r="D220" s="154"/>
      <c r="E220" s="156"/>
      <c r="F220" s="156"/>
      <c r="G220" s="436"/>
      <c r="H220" s="442" t="str">
        <f>OBRA!AD219</f>
        <v>-</v>
      </c>
      <c r="I220" s="438"/>
      <c r="J220" s="444" t="str">
        <f>OBRA!AE219</f>
        <v>-</v>
      </c>
      <c r="K220" s="439"/>
      <c r="L220" s="442" t="str">
        <f>OBRA!AF219</f>
        <v>-</v>
      </c>
      <c r="M220" s="440"/>
      <c r="N220" s="442" t="str">
        <f>OBRA!AG219</f>
        <v>-</v>
      </c>
      <c r="O220" s="152"/>
      <c r="P220" s="152"/>
      <c r="Q220" s="439"/>
      <c r="R220" s="445" t="str">
        <f>OBRA!AH219</f>
        <v>-</v>
      </c>
      <c r="S220" s="423"/>
      <c r="T220" s="446" t="str">
        <f>OBRA!U219</f>
        <v>N/A</v>
      </c>
      <c r="U220" s="447" t="str">
        <f>OBRA!V219</f>
        <v>ING. ANGEL ALBERTO HERNANDEZ MORA</v>
      </c>
      <c r="V220" s="1281"/>
      <c r="W220" s="35" t="str">
        <f>OBRA!L219</f>
        <v>DOP/AD/009/2017</v>
      </c>
      <c r="X220" s="13"/>
      <c r="Y220" s="13"/>
      <c r="Z220" s="448" t="str">
        <f>OBRA!K219</f>
        <v>RAMO 33</v>
      </c>
      <c r="AA220" s="13"/>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428">
        <f>OBRA!S219</f>
        <v>43099</v>
      </c>
      <c r="AH220" s="54"/>
      <c r="AI220" s="231"/>
      <c r="AJ220" s="267"/>
      <c r="AK220" s="267"/>
      <c r="AL220" s="432"/>
      <c r="AM220" s="573" t="str">
        <f>GRAL!B221</f>
        <v>2015-2018</v>
      </c>
      <c r="AN220" s="574"/>
      <c r="AO220" s="13"/>
    </row>
    <row r="221" spans="1:41" ht="30" hidden="1" customHeight="1">
      <c r="A221" s="166">
        <f>OBRA!I220</f>
        <v>2017</v>
      </c>
      <c r="B221" s="2036"/>
      <c r="C221" s="433"/>
      <c r="D221" s="154"/>
      <c r="E221" s="156"/>
      <c r="F221" s="156"/>
      <c r="G221" s="436"/>
      <c r="H221" s="442" t="str">
        <f>OBRA!AD220</f>
        <v>-</v>
      </c>
      <c r="I221" s="438"/>
      <c r="J221" s="444" t="str">
        <f>OBRA!AE220</f>
        <v>-</v>
      </c>
      <c r="K221" s="439"/>
      <c r="L221" s="442" t="str">
        <f>OBRA!AF220</f>
        <v>-</v>
      </c>
      <c r="M221" s="440"/>
      <c r="N221" s="442" t="str">
        <f>OBRA!AG220</f>
        <v>-</v>
      </c>
      <c r="O221" s="152"/>
      <c r="P221" s="152"/>
      <c r="Q221" s="439"/>
      <c r="R221" s="445" t="str">
        <f>OBRA!AH220</f>
        <v>-</v>
      </c>
      <c r="S221" s="423"/>
      <c r="T221" s="446" t="str">
        <f>OBRA!U220</f>
        <v>N/A</v>
      </c>
      <c r="U221" s="447" t="str">
        <f>OBRA!V220</f>
        <v>ING. ANGEL ALBERTO HERNANDEZ MORA</v>
      </c>
      <c r="V221" s="1281"/>
      <c r="W221" s="35" t="str">
        <f>OBRA!L220</f>
        <v>DOP/AD/010/2017</v>
      </c>
      <c r="X221" s="13"/>
      <c r="Y221" s="13"/>
      <c r="Z221" s="448" t="str">
        <f>OBRA!K220</f>
        <v>RAMO 33</v>
      </c>
      <c r="AA221" s="13"/>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428">
        <f>OBRA!S220</f>
        <v>43099</v>
      </c>
      <c r="AH221" s="54"/>
      <c r="AI221" s="231"/>
      <c r="AJ221" s="267"/>
      <c r="AK221" s="267"/>
      <c r="AL221" s="432"/>
      <c r="AM221" s="573" t="str">
        <f>GRAL!B222</f>
        <v>2015-2018</v>
      </c>
      <c r="AN221" s="574"/>
      <c r="AO221" s="13"/>
    </row>
    <row r="222" spans="1:41" ht="30" hidden="1" customHeight="1">
      <c r="A222" s="166">
        <f>OBRA!I221</f>
        <v>2017</v>
      </c>
      <c r="B222" s="2036"/>
      <c r="C222" s="433"/>
      <c r="D222" s="154"/>
      <c r="E222" s="156"/>
      <c r="F222" s="156"/>
      <c r="G222" s="436"/>
      <c r="H222" s="442" t="str">
        <f>OBRA!AD221</f>
        <v>-</v>
      </c>
      <c r="I222" s="438"/>
      <c r="J222" s="444" t="str">
        <f>OBRA!AE221</f>
        <v>-</v>
      </c>
      <c r="K222" s="439"/>
      <c r="L222" s="442" t="str">
        <f>OBRA!AF221</f>
        <v>-</v>
      </c>
      <c r="M222" s="440"/>
      <c r="N222" s="442" t="str">
        <f>OBRA!AG221</f>
        <v>-</v>
      </c>
      <c r="O222" s="152"/>
      <c r="P222" s="152"/>
      <c r="Q222" s="439"/>
      <c r="R222" s="445" t="str">
        <f>OBRA!AH221</f>
        <v>-</v>
      </c>
      <c r="S222" s="423"/>
      <c r="T222" s="446" t="str">
        <f>OBRA!U221</f>
        <v>N/A</v>
      </c>
      <c r="U222" s="447" t="str">
        <f>OBRA!V221</f>
        <v>ARQ. JAIME CONDE GOMEZ</v>
      </c>
      <c r="V222" s="1281"/>
      <c r="W222" s="35" t="str">
        <f>OBRA!L221</f>
        <v>DOP/AD/011/2017</v>
      </c>
      <c r="X222" s="13"/>
      <c r="Y222" s="13"/>
      <c r="Z222" s="448" t="str">
        <f>OBRA!K221</f>
        <v>CUENTA CORRIENTE</v>
      </c>
      <c r="AA222" s="13"/>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428">
        <f>OBRA!S221</f>
        <v>43099</v>
      </c>
      <c r="AH222" s="54"/>
      <c r="AI222" s="231"/>
      <c r="AJ222" s="267"/>
      <c r="AK222" s="267"/>
      <c r="AL222" s="432"/>
      <c r="AM222" s="573" t="str">
        <f>GRAL!B223</f>
        <v>2015-2018</v>
      </c>
      <c r="AN222" s="574"/>
      <c r="AO222" s="13"/>
    </row>
    <row r="223" spans="1:41" s="110" customFormat="1" ht="30" hidden="1" customHeight="1">
      <c r="A223" s="956">
        <f>OBRA!I222</f>
        <v>2017</v>
      </c>
      <c r="B223" s="2037"/>
      <c r="C223" s="957"/>
      <c r="D223" s="155"/>
      <c r="E223" s="157"/>
      <c r="F223" s="157"/>
      <c r="G223" s="958"/>
      <c r="H223" s="158">
        <f>OBRA!AD222</f>
        <v>0</v>
      </c>
      <c r="I223" s="456"/>
      <c r="J223" s="117">
        <f>OBRA!AE222</f>
        <v>0</v>
      </c>
      <c r="K223" s="960"/>
      <c r="L223" s="158">
        <f>OBRA!AF222</f>
        <v>0</v>
      </c>
      <c r="M223" s="959"/>
      <c r="N223" s="158">
        <f>OBRA!AG222</f>
        <v>0</v>
      </c>
      <c r="O223" s="158"/>
      <c r="P223" s="158"/>
      <c r="Q223" s="960"/>
      <c r="R223" s="459">
        <f>OBRA!AH222</f>
        <v>0</v>
      </c>
      <c r="S223" s="109"/>
      <c r="T223" s="460" t="str">
        <f>OBRA!U222</f>
        <v>-</v>
      </c>
      <c r="U223" s="461">
        <f>OBRA!V222</f>
        <v>0</v>
      </c>
      <c r="V223" s="935"/>
      <c r="W223" s="35" t="str">
        <f>OBRA!L222</f>
        <v>DOP/AD/012/2017</v>
      </c>
      <c r="X223" s="109"/>
      <c r="Y223" s="109"/>
      <c r="Z223" s="109" t="str">
        <f>OBRA!K222</f>
        <v>RAMO 33</v>
      </c>
      <c r="AA223" s="109"/>
      <c r="AB223" s="203" t="str">
        <f>OBRA!M222</f>
        <v>CANCELADA</v>
      </c>
      <c r="AC223" s="112" t="str">
        <f>OBRA!N222</f>
        <v>REHABILITACION DE LINEA DE AGUA POTABLE EN CALLE INDEPENDENCIA ENTRE CARRETERA Y CERRADA, EN LA LOCALIDAD DE SAN JUAN COSALA, DEL MUNICIPIO DE JOCOTEPEC, JALISCO</v>
      </c>
      <c r="AD223" s="92">
        <f>OBRA!P222</f>
        <v>46522.58</v>
      </c>
      <c r="AE223" s="93">
        <f>OBRA!Q222</f>
        <v>0</v>
      </c>
      <c r="AF223" s="94">
        <f>OBRA!R222</f>
        <v>42979</v>
      </c>
      <c r="AG223" s="429">
        <f>OBRA!S222</f>
        <v>42734</v>
      </c>
      <c r="AH223" s="107"/>
      <c r="AI223" s="90"/>
      <c r="AJ223" s="102"/>
      <c r="AK223" s="102"/>
      <c r="AL223" s="103"/>
      <c r="AM223" s="392" t="str">
        <f>GRAL!B224</f>
        <v>2012-2015</v>
      </c>
      <c r="AN223" s="961"/>
      <c r="AO223" s="109"/>
    </row>
    <row r="224" spans="1:41" s="110" customFormat="1" ht="30" hidden="1" customHeight="1">
      <c r="A224" s="956">
        <f>OBRA!I223</f>
        <v>2017</v>
      </c>
      <c r="B224" s="2037"/>
      <c r="C224" s="957"/>
      <c r="D224" s="155"/>
      <c r="E224" s="157"/>
      <c r="F224" s="157"/>
      <c r="G224" s="958"/>
      <c r="H224" s="158">
        <f>OBRA!AD223</f>
        <v>0</v>
      </c>
      <c r="I224" s="456"/>
      <c r="J224" s="117">
        <f>OBRA!AE223</f>
        <v>0</v>
      </c>
      <c r="K224" s="960"/>
      <c r="L224" s="158">
        <f>OBRA!AF223</f>
        <v>0</v>
      </c>
      <c r="M224" s="959"/>
      <c r="N224" s="158">
        <f>OBRA!AG223</f>
        <v>0</v>
      </c>
      <c r="O224" s="158"/>
      <c r="P224" s="158"/>
      <c r="Q224" s="960"/>
      <c r="R224" s="459">
        <f>OBRA!AH223</f>
        <v>0</v>
      </c>
      <c r="S224" s="109"/>
      <c r="T224" s="460" t="str">
        <f>OBRA!U223</f>
        <v>-</v>
      </c>
      <c r="U224" s="461">
        <f>OBRA!V223</f>
        <v>0</v>
      </c>
      <c r="V224" s="935"/>
      <c r="W224" s="35" t="str">
        <f>OBRA!L223</f>
        <v>DOP/AD/013/2017</v>
      </c>
      <c r="X224" s="109"/>
      <c r="Y224" s="109"/>
      <c r="Z224" s="109" t="str">
        <f>OBRA!K223</f>
        <v>RAMO 33</v>
      </c>
      <c r="AA224" s="109"/>
      <c r="AB224" s="203" t="str">
        <f>OBRA!M223</f>
        <v>CANCELADA</v>
      </c>
      <c r="AC224" s="112" t="str">
        <f>OBRA!N223</f>
        <v>FABRICACION DE EMPEDRADO AHOGADO EN CEMENTO EN CALLE INDEPENDENCIA, EN LA LOCALIDAD DE SAN JUAN COSALA, DEL MUNICIPIO DE JOCOTEPEC, JALISCO</v>
      </c>
      <c r="AD224" s="92">
        <f>OBRA!P223</f>
        <v>107544.91</v>
      </c>
      <c r="AE224" s="93">
        <f>OBRA!Q223</f>
        <v>0</v>
      </c>
      <c r="AF224" s="94">
        <f>OBRA!R223</f>
        <v>43070</v>
      </c>
      <c r="AG224" s="429">
        <f>OBRA!S223</f>
        <v>43099</v>
      </c>
      <c r="AH224" s="107"/>
      <c r="AI224" s="90"/>
      <c r="AJ224" s="102"/>
      <c r="AK224" s="102"/>
      <c r="AL224" s="103"/>
      <c r="AM224" s="392" t="str">
        <f>GRAL!B225</f>
        <v>2012-2015</v>
      </c>
      <c r="AN224" s="961"/>
      <c r="AO224" s="109"/>
    </row>
    <row r="225" spans="1:41" ht="30" hidden="1" customHeight="1">
      <c r="A225" s="166">
        <f>OBRA!I224</f>
        <v>2017</v>
      </c>
      <c r="B225" s="2036"/>
      <c r="C225" s="433"/>
      <c r="D225" s="154"/>
      <c r="E225" s="156"/>
      <c r="F225" s="156"/>
      <c r="G225" s="436"/>
      <c r="H225" s="442" t="str">
        <f>OBRA!AD224</f>
        <v>-</v>
      </c>
      <c r="I225" s="438"/>
      <c r="J225" s="444" t="str">
        <f>OBRA!AE224</f>
        <v>-</v>
      </c>
      <c r="K225" s="439"/>
      <c r="L225" s="442" t="str">
        <f>OBRA!AF224</f>
        <v>-</v>
      </c>
      <c r="M225" s="440"/>
      <c r="N225" s="442" t="str">
        <f>OBRA!AG224</f>
        <v>-</v>
      </c>
      <c r="O225" s="152"/>
      <c r="P225" s="152"/>
      <c r="Q225" s="439"/>
      <c r="R225" s="445" t="str">
        <f>OBRA!AH224</f>
        <v>-</v>
      </c>
      <c r="S225" s="423"/>
      <c r="T225" s="446" t="str">
        <f>OBRA!U224</f>
        <v>N/A</v>
      </c>
      <c r="U225" s="447" t="str">
        <f>OBRA!V224</f>
        <v>ING. JUAN MANUEL GARCIA ESCOTO</v>
      </c>
      <c r="V225" s="1281"/>
      <c r="W225" s="35" t="str">
        <f>OBRA!L224</f>
        <v>DOP/AD/014/2017</v>
      </c>
      <c r="X225" s="13"/>
      <c r="Y225" s="13"/>
      <c r="Z225" s="448" t="str">
        <f>OBRA!K224</f>
        <v>CUENTA CORRIENTE</v>
      </c>
      <c r="AA225" s="13"/>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428">
        <f>OBRA!S224</f>
        <v>43099</v>
      </c>
      <c r="AH225" s="54"/>
      <c r="AI225" s="231"/>
      <c r="AJ225" s="267"/>
      <c r="AK225" s="267"/>
      <c r="AL225" s="432"/>
      <c r="AM225" s="573" t="str">
        <f>GRAL!B226</f>
        <v>2015-2018</v>
      </c>
      <c r="AN225" s="574"/>
      <c r="AO225" s="13"/>
    </row>
    <row r="226" spans="1:41" s="110" customFormat="1" ht="30" hidden="1" customHeight="1">
      <c r="A226" s="956">
        <f>OBRA!I225</f>
        <v>2017</v>
      </c>
      <c r="B226" s="2037"/>
      <c r="C226" s="957"/>
      <c r="D226" s="155"/>
      <c r="E226" s="157"/>
      <c r="F226" s="157"/>
      <c r="G226" s="958"/>
      <c r="H226" s="158">
        <f>OBRA!AD225</f>
        <v>0</v>
      </c>
      <c r="I226" s="456"/>
      <c r="J226" s="117">
        <f>OBRA!AE225</f>
        <v>0</v>
      </c>
      <c r="K226" s="960"/>
      <c r="L226" s="158">
        <f>OBRA!AF225</f>
        <v>0</v>
      </c>
      <c r="M226" s="959"/>
      <c r="N226" s="158">
        <f>OBRA!AG225</f>
        <v>0</v>
      </c>
      <c r="O226" s="158"/>
      <c r="P226" s="158"/>
      <c r="Q226" s="960"/>
      <c r="R226" s="459">
        <f>OBRA!AH225</f>
        <v>0</v>
      </c>
      <c r="S226" s="109"/>
      <c r="T226" s="460" t="str">
        <f>OBRA!U225</f>
        <v>-</v>
      </c>
      <c r="U226" s="461">
        <f>OBRA!V225</f>
        <v>0</v>
      </c>
      <c r="V226" s="935"/>
      <c r="W226" s="35" t="str">
        <f>OBRA!L225</f>
        <v>DOP/AD/015/2017</v>
      </c>
      <c r="X226" s="109"/>
      <c r="Y226" s="109"/>
      <c r="Z226" s="109">
        <f>OBRA!K225</f>
        <v>0</v>
      </c>
      <c r="AA226" s="109"/>
      <c r="AB226" s="203" t="str">
        <f>OBRA!M225</f>
        <v>CANCELADA</v>
      </c>
      <c r="AC226" s="112">
        <f>OBRA!N225</f>
        <v>0</v>
      </c>
      <c r="AD226" s="92">
        <f>OBRA!P225</f>
        <v>0</v>
      </c>
      <c r="AE226" s="93">
        <f>OBRA!Q225</f>
        <v>0</v>
      </c>
      <c r="AF226" s="94">
        <f>OBRA!R225</f>
        <v>0</v>
      </c>
      <c r="AG226" s="429">
        <f>OBRA!S225</f>
        <v>0</v>
      </c>
      <c r="AH226" s="107"/>
      <c r="AI226" s="90"/>
      <c r="AJ226" s="102"/>
      <c r="AK226" s="102"/>
      <c r="AL226" s="103"/>
      <c r="AM226" s="392" t="str">
        <f>GRAL!B227</f>
        <v>2012-2015</v>
      </c>
      <c r="AN226" s="961"/>
      <c r="AO226" s="109"/>
    </row>
    <row r="227" spans="1:41" ht="30" hidden="1" customHeight="1">
      <c r="A227" s="166">
        <f>OBRA!I226</f>
        <v>2017</v>
      </c>
      <c r="B227" s="2036"/>
      <c r="C227" s="433"/>
      <c r="D227" s="154"/>
      <c r="E227" s="156"/>
      <c r="F227" s="156"/>
      <c r="G227" s="436"/>
      <c r="H227" s="442" t="str">
        <f>OBRA!AD226</f>
        <v>-</v>
      </c>
      <c r="I227" s="438"/>
      <c r="J227" s="444" t="str">
        <f>OBRA!AE226</f>
        <v>-</v>
      </c>
      <c r="K227" s="439"/>
      <c r="L227" s="442" t="str">
        <f>OBRA!AF226</f>
        <v>-</v>
      </c>
      <c r="M227" s="440"/>
      <c r="N227" s="442" t="str">
        <f>OBRA!AG226</f>
        <v>-</v>
      </c>
      <c r="O227" s="152"/>
      <c r="P227" s="152"/>
      <c r="Q227" s="439"/>
      <c r="R227" s="445" t="str">
        <f>OBRA!AH226</f>
        <v>-</v>
      </c>
      <c r="S227" s="423"/>
      <c r="T227" s="446" t="str">
        <f>OBRA!U226</f>
        <v>ASFALTOS GUADALAJARA, S.A.P.I. DE C.V.</v>
      </c>
      <c r="U227" s="447" t="str">
        <f>OBRA!V226</f>
        <v>ING. ANGEL ALBERTO HERNANDEZ MORA</v>
      </c>
      <c r="V227" s="1281"/>
      <c r="W227" s="35" t="str">
        <f>OBRA!L226</f>
        <v>GMJ 001C OP/2017</v>
      </c>
      <c r="X227" s="13"/>
      <c r="Y227" s="13"/>
      <c r="Z227" s="448" t="str">
        <f>OBRA!K226</f>
        <v>CUENTA CORRIENTE</v>
      </c>
      <c r="AA227" s="13"/>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428">
        <f>OBRA!S226</f>
        <v>42746</v>
      </c>
      <c r="AH227" s="54"/>
      <c r="AI227" s="231"/>
      <c r="AJ227" s="267"/>
      <c r="AK227" s="267"/>
      <c r="AL227" s="432"/>
      <c r="AM227" s="573" t="str">
        <f>GRAL!B228</f>
        <v>2015-2018</v>
      </c>
      <c r="AN227" s="574"/>
      <c r="AO227" s="13"/>
    </row>
    <row r="228" spans="1:41" ht="30" hidden="1" customHeight="1">
      <c r="A228" s="166">
        <f>OBRA!I227</f>
        <v>2017</v>
      </c>
      <c r="B228" s="2036"/>
      <c r="C228" s="433"/>
      <c r="D228" s="154"/>
      <c r="E228" s="156"/>
      <c r="F228" s="156"/>
      <c r="G228" s="436"/>
      <c r="H228" s="442" t="str">
        <f>OBRA!AD227</f>
        <v>-</v>
      </c>
      <c r="I228" s="438"/>
      <c r="J228" s="444" t="str">
        <f>OBRA!AE227</f>
        <v>-</v>
      </c>
      <c r="K228" s="439"/>
      <c r="L228" s="442" t="str">
        <f>OBRA!AF227</f>
        <v>-</v>
      </c>
      <c r="M228" s="440"/>
      <c r="N228" s="442" t="str">
        <f>OBRA!AG227</f>
        <v>-</v>
      </c>
      <c r="O228" s="152"/>
      <c r="P228" s="152"/>
      <c r="Q228" s="439"/>
      <c r="R228" s="445" t="str">
        <f>OBRA!AH227</f>
        <v>-</v>
      </c>
      <c r="S228" s="423"/>
      <c r="T228" s="446" t="str">
        <f>OBRA!U227</f>
        <v>ASFALTOS GUADALAJARA, S.A.P.I. DE C.V.</v>
      </c>
      <c r="U228" s="447" t="str">
        <f>OBRA!V227</f>
        <v>ING. ANGEL ALBERTO HERNANDEZ MORA</v>
      </c>
      <c r="V228" s="1281"/>
      <c r="W228" s="35" t="str">
        <f>OBRA!L227</f>
        <v>GMJ 002C OP/2017</v>
      </c>
      <c r="X228" s="13"/>
      <c r="Y228" s="13"/>
      <c r="Z228" s="448" t="str">
        <f>OBRA!K227</f>
        <v>CUENTA CORRIENTE</v>
      </c>
      <c r="AA228" s="13"/>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428">
        <f>OBRA!S227</f>
        <v>42837</v>
      </c>
      <c r="AH228" s="54"/>
      <c r="AI228" s="231"/>
      <c r="AJ228" s="267"/>
      <c r="AK228" s="267"/>
      <c r="AL228" s="432"/>
      <c r="AM228" s="573" t="str">
        <f>GRAL!B229</f>
        <v>2015-2018</v>
      </c>
      <c r="AN228" s="574"/>
      <c r="AO228" s="13"/>
    </row>
    <row r="229" spans="1:41" ht="30" hidden="1" customHeight="1">
      <c r="A229" s="166">
        <f>OBRA!I228</f>
        <v>2017</v>
      </c>
      <c r="B229" s="2036"/>
      <c r="C229" s="433"/>
      <c r="D229" s="154"/>
      <c r="E229" s="156"/>
      <c r="F229" s="156"/>
      <c r="G229" s="436"/>
      <c r="H229" s="442" t="str">
        <f>OBRA!AD228</f>
        <v>-</v>
      </c>
      <c r="I229" s="438"/>
      <c r="J229" s="444" t="str">
        <f>OBRA!AE228</f>
        <v>-</v>
      </c>
      <c r="K229" s="439"/>
      <c r="L229" s="442" t="str">
        <f>OBRA!AF228</f>
        <v>-</v>
      </c>
      <c r="M229" s="440"/>
      <c r="N229" s="442" t="str">
        <f>OBRA!AG228</f>
        <v>-</v>
      </c>
      <c r="O229" s="152"/>
      <c r="P229" s="152"/>
      <c r="Q229" s="439"/>
      <c r="R229" s="445" t="str">
        <f>OBRA!AH228</f>
        <v>-</v>
      </c>
      <c r="S229" s="423"/>
      <c r="T229" s="446" t="str">
        <f>OBRA!U228</f>
        <v>ING. SERGIO CABRERA</v>
      </c>
      <c r="U229" s="447" t="str">
        <f>OBRA!V228</f>
        <v>ING. ANGEL ALBERTO HERNANDEZ MORA</v>
      </c>
      <c r="V229" s="1281"/>
      <c r="W229" s="35" t="str">
        <f>OBRA!L228</f>
        <v>GMJ 003C OP/2017</v>
      </c>
      <c r="X229" s="13"/>
      <c r="Y229" s="13"/>
      <c r="Z229" s="448" t="str">
        <f>OBRA!K228</f>
        <v>RAMO 33</v>
      </c>
      <c r="AA229" s="13"/>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428">
        <f>OBRA!S228</f>
        <v>42880</v>
      </c>
      <c r="AH229" s="54"/>
      <c r="AI229" s="231"/>
      <c r="AJ229" s="267"/>
      <c r="AK229" s="267"/>
      <c r="AL229" s="432"/>
      <c r="AM229" s="573" t="str">
        <f>GRAL!B230</f>
        <v>2015-2018</v>
      </c>
      <c r="AN229" s="574"/>
      <c r="AO229" s="13"/>
    </row>
    <row r="230" spans="1:41" ht="30" hidden="1" customHeight="1">
      <c r="A230" s="166">
        <f>OBRA!I229</f>
        <v>2017</v>
      </c>
      <c r="B230" s="933"/>
      <c r="C230" s="435"/>
      <c r="D230" s="154"/>
      <c r="E230" s="156"/>
      <c r="F230" s="156"/>
      <c r="G230" s="436"/>
      <c r="H230" s="442" t="str">
        <f>OBRA!AD229</f>
        <v>-</v>
      </c>
      <c r="I230" s="438"/>
      <c r="J230" s="444" t="str">
        <f>OBRA!AE229</f>
        <v>-</v>
      </c>
      <c r="K230" s="439"/>
      <c r="L230" s="442" t="str">
        <f>OBRA!AF229</f>
        <v>-</v>
      </c>
      <c r="M230" s="440"/>
      <c r="N230" s="442" t="str">
        <f>OBRA!AG229</f>
        <v>-</v>
      </c>
      <c r="O230" s="152"/>
      <c r="P230" s="152"/>
      <c r="Q230" s="439"/>
      <c r="R230" s="445" t="str">
        <f>OBRA!AH229</f>
        <v>-</v>
      </c>
      <c r="S230" s="423"/>
      <c r="T230" s="446" t="str">
        <f>OBRA!U229</f>
        <v>ING. SERGIO CABRERA</v>
      </c>
      <c r="U230" s="447" t="str">
        <f>OBRA!V229</f>
        <v>ING. ANGEL ALBERTO HERNANDEZ MORA</v>
      </c>
      <c r="V230" s="1281"/>
      <c r="W230" s="35" t="str">
        <f>OBRA!L229</f>
        <v>GMJ 004C OP/2017</v>
      </c>
      <c r="X230" s="13"/>
      <c r="Y230" s="13"/>
      <c r="Z230" s="448" t="str">
        <f>OBRA!K229</f>
        <v>RAMO 33</v>
      </c>
      <c r="AA230" s="13"/>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428">
        <f>OBRA!S229</f>
        <v>42885</v>
      </c>
      <c r="AH230" s="54"/>
      <c r="AI230" s="231"/>
      <c r="AJ230" s="267"/>
      <c r="AK230" s="267"/>
      <c r="AL230" s="432"/>
      <c r="AM230" s="573" t="str">
        <f>GRAL!B231</f>
        <v>2015-2018</v>
      </c>
      <c r="AN230" s="574"/>
      <c r="AO230" s="13"/>
    </row>
    <row r="231" spans="1:41" ht="30" hidden="1" customHeight="1">
      <c r="A231" s="166">
        <f>OBRA!I230</f>
        <v>2017</v>
      </c>
      <c r="B231" s="2036"/>
      <c r="C231" s="433"/>
      <c r="D231" s="154"/>
      <c r="E231" s="156"/>
      <c r="F231" s="156"/>
      <c r="G231" s="436"/>
      <c r="H231" s="442" t="str">
        <f>OBRA!AD230</f>
        <v>-</v>
      </c>
      <c r="I231" s="438"/>
      <c r="J231" s="444" t="str">
        <f>OBRA!AE230</f>
        <v>-</v>
      </c>
      <c r="K231" s="439"/>
      <c r="L231" s="442" t="str">
        <f>OBRA!AF230</f>
        <v>-</v>
      </c>
      <c r="M231" s="440"/>
      <c r="N231" s="442" t="str">
        <f>OBRA!AG230</f>
        <v>-</v>
      </c>
      <c r="O231" s="152"/>
      <c r="P231" s="152"/>
      <c r="Q231" s="439"/>
      <c r="R231" s="445" t="str">
        <f>OBRA!AH230</f>
        <v>-</v>
      </c>
      <c r="S231" s="423"/>
      <c r="T231" s="446" t="str">
        <f>OBRA!U230</f>
        <v>ING. SERGIO CABRERA</v>
      </c>
      <c r="U231" s="447" t="str">
        <f>OBRA!V230</f>
        <v>ING. ANGEL ALBERTO HERNANDEZ MORA</v>
      </c>
      <c r="V231" s="1281"/>
      <c r="W231" s="35" t="str">
        <f>OBRA!L230</f>
        <v>GMJ 005C OP/2017</v>
      </c>
      <c r="X231" s="13"/>
      <c r="Y231" s="13"/>
      <c r="Z231" s="448" t="str">
        <f>OBRA!K230</f>
        <v>RAMO 33</v>
      </c>
      <c r="AA231" s="13"/>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428">
        <f>OBRA!S230</f>
        <v>42901</v>
      </c>
      <c r="AH231" s="54"/>
      <c r="AI231" s="231"/>
      <c r="AJ231" s="267"/>
      <c r="AK231" s="267"/>
      <c r="AL231" s="432"/>
      <c r="AM231" s="573" t="str">
        <f>GRAL!B232</f>
        <v>2015-2018</v>
      </c>
      <c r="AN231" s="574"/>
      <c r="AO231" s="13"/>
    </row>
    <row r="232" spans="1:41" ht="30" hidden="1" customHeight="1">
      <c r="A232" s="166">
        <f>OBRA!I231</f>
        <v>2017</v>
      </c>
      <c r="B232" s="2036"/>
      <c r="C232" s="433"/>
      <c r="D232" s="154"/>
      <c r="E232" s="156"/>
      <c r="F232" s="156"/>
      <c r="G232" s="436"/>
      <c r="H232" s="442" t="str">
        <f>OBRA!AD231</f>
        <v>-</v>
      </c>
      <c r="I232" s="438"/>
      <c r="J232" s="444" t="str">
        <f>OBRA!AE231</f>
        <v>-</v>
      </c>
      <c r="K232" s="439"/>
      <c r="L232" s="442" t="str">
        <f>OBRA!AF231</f>
        <v>-</v>
      </c>
      <c r="M232" s="440"/>
      <c r="N232" s="442" t="str">
        <f>OBRA!AG231</f>
        <v>-</v>
      </c>
      <c r="O232" s="152"/>
      <c r="P232" s="152"/>
      <c r="Q232" s="439"/>
      <c r="R232" s="445" t="str">
        <f>OBRA!AH231</f>
        <v>-</v>
      </c>
      <c r="S232" s="423"/>
      <c r="T232" s="446" t="str">
        <f>OBRA!U231</f>
        <v xml:space="preserve">GRUPO DESARROLLADOR INMOBILIARIO CEMERAMA S.A. DE C.V. </v>
      </c>
      <c r="U232" s="447" t="str">
        <f>OBRA!V231</f>
        <v>LIC. SALVADOR CONTRERAS OLGUÍN</v>
      </c>
      <c r="V232" s="1281"/>
      <c r="W232" s="35" t="str">
        <f>OBRA!L231</f>
        <v>GMJ 006C OP/2017</v>
      </c>
      <c r="X232" s="13"/>
      <c r="Y232" s="13"/>
      <c r="Z232" s="448" t="str">
        <f>OBRA!K231</f>
        <v>RAMO 33</v>
      </c>
      <c r="AA232" s="13"/>
      <c r="AB232" s="2" t="str">
        <f>OBRA!M231</f>
        <v>ADJUDICACIÓN DIRECTA</v>
      </c>
      <c r="AC232" s="3" t="str">
        <f>OBRA!N231</f>
        <v>CONSTRUCCIÓN DE RED DE DRENAJE DE POZO A CALLE JUAREZ</v>
      </c>
      <c r="AD232" s="4">
        <f>OBRA!P231</f>
        <v>167666.94</v>
      </c>
      <c r="AE232" s="6">
        <f>OBRA!Q231</f>
        <v>42858</v>
      </c>
      <c r="AF232" s="5">
        <f>OBRA!R231</f>
        <v>42859</v>
      </c>
      <c r="AG232" s="428">
        <f>OBRA!S231</f>
        <v>42875</v>
      </c>
      <c r="AH232" s="54"/>
      <c r="AI232" s="231"/>
      <c r="AJ232" s="267"/>
      <c r="AK232" s="267"/>
      <c r="AL232" s="432"/>
      <c r="AM232" s="573" t="str">
        <f>GRAL!B233</f>
        <v>2015-2018</v>
      </c>
      <c r="AN232" s="574"/>
      <c r="AO232" s="13"/>
    </row>
    <row r="233" spans="1:41" ht="30" hidden="1" customHeight="1">
      <c r="A233" s="166">
        <f>OBRA!I232</f>
        <v>2017</v>
      </c>
      <c r="B233" s="2036"/>
      <c r="C233" s="433"/>
      <c r="D233" s="154"/>
      <c r="E233" s="156"/>
      <c r="F233" s="156"/>
      <c r="G233" s="436"/>
      <c r="H233" s="442" t="str">
        <f>OBRA!AD232</f>
        <v>-</v>
      </c>
      <c r="I233" s="438"/>
      <c r="J233" s="444" t="str">
        <f>OBRA!AE232</f>
        <v>-</v>
      </c>
      <c r="K233" s="439"/>
      <c r="L233" s="442" t="str">
        <f>OBRA!AF232</f>
        <v>-</v>
      </c>
      <c r="M233" s="440"/>
      <c r="N233" s="442" t="str">
        <f>OBRA!AG232</f>
        <v>-</v>
      </c>
      <c r="O233" s="152"/>
      <c r="P233" s="152"/>
      <c r="Q233" s="439"/>
      <c r="R233" s="445" t="str">
        <f>OBRA!AH232</f>
        <v>-</v>
      </c>
      <c r="S233" s="423"/>
      <c r="T233" s="446" t="str">
        <f>OBRA!U232</f>
        <v xml:space="preserve">GRUPO DESARROLLADOR INMOBILIARIO CEMERAMA S.A. DE C.V. </v>
      </c>
      <c r="U233" s="447" t="str">
        <f>OBRA!V232</f>
        <v>LIC. SALVADOR CONTRERAS OLGUÍN</v>
      </c>
      <c r="V233" s="1281"/>
      <c r="W233" s="35" t="str">
        <f>OBRA!L232</f>
        <v>GMJ 007C OP/2017</v>
      </c>
      <c r="X233" s="13"/>
      <c r="Y233" s="13"/>
      <c r="Z233" s="448" t="str">
        <f>OBRA!K232</f>
        <v>RAMO 33</v>
      </c>
      <c r="AA233" s="13"/>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428">
        <f>OBRA!S232</f>
        <v>42899</v>
      </c>
      <c r="AH233" s="54"/>
      <c r="AI233" s="231"/>
      <c r="AJ233" s="267"/>
      <c r="AK233" s="267"/>
      <c r="AL233" s="432"/>
      <c r="AM233" s="573" t="str">
        <f>GRAL!B234</f>
        <v>2015-2018</v>
      </c>
      <c r="AN233" s="574"/>
      <c r="AO233" s="13"/>
    </row>
    <row r="234" spans="1:41" ht="30" hidden="1" customHeight="1">
      <c r="A234" s="166">
        <f>OBRA!I233</f>
        <v>2017</v>
      </c>
      <c r="B234" s="2036"/>
      <c r="C234" s="433"/>
      <c r="D234" s="154"/>
      <c r="E234" s="156"/>
      <c r="F234" s="156"/>
      <c r="G234" s="436"/>
      <c r="H234" s="442" t="str">
        <f>OBRA!AD233</f>
        <v>-</v>
      </c>
      <c r="I234" s="438"/>
      <c r="J234" s="444" t="str">
        <f>OBRA!AE233</f>
        <v>-</v>
      </c>
      <c r="K234" s="439"/>
      <c r="L234" s="442" t="str">
        <f>OBRA!AF233</f>
        <v>-</v>
      </c>
      <c r="M234" s="440"/>
      <c r="N234" s="442" t="str">
        <f>OBRA!AG233</f>
        <v>-</v>
      </c>
      <c r="O234" s="152"/>
      <c r="P234" s="152"/>
      <c r="Q234" s="441"/>
      <c r="R234" s="445" t="str">
        <f>OBRA!AH233</f>
        <v>-</v>
      </c>
      <c r="S234" s="423"/>
      <c r="T234" s="446" t="str">
        <f>OBRA!U233</f>
        <v>CONSTRUCCIONES VIKBRAK, S.A. DE C.V.</v>
      </c>
      <c r="U234" s="447" t="str">
        <f>OBRA!V233</f>
        <v>ARQ. JAIME CONDE GOMEZ</v>
      </c>
      <c r="V234" s="1281"/>
      <c r="W234" s="35" t="str">
        <f>OBRA!L233</f>
        <v>GMJ 008C OP/2017</v>
      </c>
      <c r="X234" s="13"/>
      <c r="Y234" s="13"/>
      <c r="Z234" s="448" t="str">
        <f>OBRA!K233</f>
        <v>RAMO 33</v>
      </c>
      <c r="AA234" s="13"/>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428">
        <f>OBRA!S233</f>
        <v>42890</v>
      </c>
      <c r="AH234" s="54"/>
      <c r="AI234" s="231"/>
      <c r="AJ234" s="267"/>
      <c r="AK234" s="267"/>
      <c r="AL234" s="432"/>
      <c r="AM234" s="573" t="str">
        <f>GRAL!B235</f>
        <v>2015-2018</v>
      </c>
      <c r="AN234" s="574"/>
      <c r="AO234" s="13"/>
    </row>
    <row r="235" spans="1:41" ht="30" hidden="1" customHeight="1">
      <c r="A235" s="166">
        <f>OBRA!I234</f>
        <v>2017</v>
      </c>
      <c r="B235" s="2036"/>
      <c r="C235" s="433"/>
      <c r="D235" s="154"/>
      <c r="E235" s="156"/>
      <c r="F235" s="156"/>
      <c r="G235" s="436"/>
      <c r="H235" s="442" t="str">
        <f>OBRA!AD234</f>
        <v>-</v>
      </c>
      <c r="I235" s="438"/>
      <c r="J235" s="444" t="str">
        <f>OBRA!AE234</f>
        <v>-</v>
      </c>
      <c r="K235" s="439"/>
      <c r="L235" s="442" t="str">
        <f>OBRA!AF234</f>
        <v>-</v>
      </c>
      <c r="M235" s="440"/>
      <c r="N235" s="442" t="str">
        <f>OBRA!AG234</f>
        <v>-</v>
      </c>
      <c r="O235" s="152"/>
      <c r="P235" s="152"/>
      <c r="Q235" s="441"/>
      <c r="R235" s="445" t="str">
        <f>OBRA!AH234</f>
        <v>-</v>
      </c>
      <c r="S235" s="423"/>
      <c r="T235" s="446" t="str">
        <f>OBRA!U234</f>
        <v>CONSTRUCCIONES VIKBRAK, S.A. DE C.V.</v>
      </c>
      <c r="U235" s="447" t="str">
        <f>OBRA!V234</f>
        <v>ARQ. JAIME CONDE GOMEZ</v>
      </c>
      <c r="V235" s="1281"/>
      <c r="W235" s="35" t="str">
        <f>OBRA!L234</f>
        <v>GMJ 009C OP/2017</v>
      </c>
      <c r="X235" s="13"/>
      <c r="Y235" s="13"/>
      <c r="Z235" s="448" t="str">
        <f>OBRA!K234</f>
        <v>RAMO 33</v>
      </c>
      <c r="AA235" s="13"/>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428">
        <f>OBRA!S234</f>
        <v>42886</v>
      </c>
      <c r="AH235" s="54"/>
      <c r="AI235" s="231"/>
      <c r="AJ235" s="267"/>
      <c r="AK235" s="267"/>
      <c r="AL235" s="432"/>
      <c r="AM235" s="573" t="str">
        <f>GRAL!B236</f>
        <v>2015-2018</v>
      </c>
      <c r="AN235" s="574"/>
      <c r="AO235" s="13"/>
    </row>
    <row r="236" spans="1:41" ht="30" hidden="1" customHeight="1">
      <c r="A236" s="166">
        <f>OBRA!I235</f>
        <v>2017</v>
      </c>
      <c r="B236" s="2036"/>
      <c r="C236" s="433"/>
      <c r="D236" s="154"/>
      <c r="E236" s="156"/>
      <c r="F236" s="156"/>
      <c r="G236" s="436"/>
      <c r="H236" s="442" t="str">
        <f>OBRA!AD235</f>
        <v>-</v>
      </c>
      <c r="I236" s="438"/>
      <c r="J236" s="444" t="str">
        <f>OBRA!AE235</f>
        <v>-</v>
      </c>
      <c r="K236" s="439"/>
      <c r="L236" s="442" t="str">
        <f>OBRA!AF235</f>
        <v>-</v>
      </c>
      <c r="M236" s="440"/>
      <c r="N236" s="442" t="str">
        <f>OBRA!AG235</f>
        <v>-</v>
      </c>
      <c r="O236" s="152"/>
      <c r="P236" s="152"/>
      <c r="Q236" s="441"/>
      <c r="R236" s="445" t="str">
        <f>OBRA!AH235</f>
        <v>-</v>
      </c>
      <c r="S236" s="423"/>
      <c r="T236" s="446" t="str">
        <f>OBRA!U235</f>
        <v>CONSTRUCCIONES VIKBRAK, S.A. DE C.V.</v>
      </c>
      <c r="U236" s="447" t="str">
        <f>OBRA!V235</f>
        <v>ARQ. JAIME CONDE GOMEZ</v>
      </c>
      <c r="V236" s="1281"/>
      <c r="W236" s="35" t="str">
        <f>OBRA!L235</f>
        <v>GMJ 010C OP/2017</v>
      </c>
      <c r="X236" s="13"/>
      <c r="Y236" s="13"/>
      <c r="Z236" s="448" t="str">
        <f>OBRA!K235</f>
        <v>RAMO 33</v>
      </c>
      <c r="AA236" s="13"/>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428">
        <f>OBRA!S235</f>
        <v>42890</v>
      </c>
      <c r="AH236" s="54"/>
      <c r="AI236" s="231"/>
      <c r="AJ236" s="267"/>
      <c r="AK236" s="267"/>
      <c r="AL236" s="432"/>
      <c r="AM236" s="573" t="str">
        <f>GRAL!B237</f>
        <v>2015-2018</v>
      </c>
      <c r="AN236" s="574"/>
      <c r="AO236" s="13"/>
    </row>
    <row r="237" spans="1:41" ht="30" hidden="1" customHeight="1">
      <c r="A237" s="166">
        <f>OBRA!I236</f>
        <v>2017</v>
      </c>
      <c r="B237" s="2036"/>
      <c r="C237" s="433"/>
      <c r="D237" s="154"/>
      <c r="E237" s="156"/>
      <c r="F237" s="156"/>
      <c r="G237" s="436"/>
      <c r="H237" s="442" t="str">
        <f>OBRA!AD236</f>
        <v>-</v>
      </c>
      <c r="I237" s="438"/>
      <c r="J237" s="444" t="str">
        <f>OBRA!AE236</f>
        <v>-</v>
      </c>
      <c r="K237" s="439"/>
      <c r="L237" s="442" t="str">
        <f>OBRA!AF236</f>
        <v>-</v>
      </c>
      <c r="M237" s="440"/>
      <c r="N237" s="442" t="str">
        <f>OBRA!AG236</f>
        <v>-</v>
      </c>
      <c r="O237" s="152"/>
      <c r="P237" s="152"/>
      <c r="Q237" s="441"/>
      <c r="R237" s="445" t="str">
        <f>OBRA!AH236</f>
        <v>-</v>
      </c>
      <c r="S237" s="423"/>
      <c r="T237" s="446" t="str">
        <f>OBRA!U236</f>
        <v>CONSTRUCCIONES VIKBRAK, S.A. DE C.V.</v>
      </c>
      <c r="U237" s="447" t="str">
        <f>OBRA!V236</f>
        <v>ARQ. JAIME CONDE GOMEZ</v>
      </c>
      <c r="V237" s="1281"/>
      <c r="W237" s="35" t="str">
        <f>OBRA!L236</f>
        <v>GMJ 011C OP/2017</v>
      </c>
      <c r="X237" s="13"/>
      <c r="Y237" s="13"/>
      <c r="Z237" s="448" t="str">
        <f>OBRA!K236</f>
        <v>RAMO 33</v>
      </c>
      <c r="AA237" s="13"/>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428">
        <f>OBRA!S236</f>
        <v>42886</v>
      </c>
      <c r="AH237" s="54"/>
      <c r="AI237" s="231"/>
      <c r="AJ237" s="267"/>
      <c r="AK237" s="267"/>
      <c r="AL237" s="432"/>
      <c r="AM237" s="573" t="str">
        <f>GRAL!B238</f>
        <v>2015-2018</v>
      </c>
      <c r="AN237" s="574"/>
      <c r="AO237" s="13"/>
    </row>
    <row r="238" spans="1:41" ht="30" hidden="1" customHeight="1">
      <c r="A238" s="166">
        <f>OBRA!I237</f>
        <v>2017</v>
      </c>
      <c r="B238" s="2036"/>
      <c r="C238" s="433"/>
      <c r="D238" s="154"/>
      <c r="E238" s="156"/>
      <c r="F238" s="156"/>
      <c r="G238" s="436"/>
      <c r="H238" s="442" t="str">
        <f>OBRA!AD237</f>
        <v>-</v>
      </c>
      <c r="I238" s="438"/>
      <c r="J238" s="444" t="str">
        <f>OBRA!AE237</f>
        <v>-</v>
      </c>
      <c r="K238" s="439"/>
      <c r="L238" s="442" t="str">
        <f>OBRA!AF237</f>
        <v>-</v>
      </c>
      <c r="M238" s="440"/>
      <c r="N238" s="442" t="str">
        <f>OBRA!AG237</f>
        <v>-</v>
      </c>
      <c r="O238" s="152"/>
      <c r="P238" s="152"/>
      <c r="Q238" s="441"/>
      <c r="R238" s="445" t="str">
        <f>OBRA!AH237</f>
        <v>-</v>
      </c>
      <c r="S238" s="349"/>
      <c r="T238" s="446" t="str">
        <f>OBRA!U237</f>
        <v>CONSTRUCCIONES VIKBRAK, S.A. DE C.V.</v>
      </c>
      <c r="U238" s="447" t="str">
        <f>OBRA!V237</f>
        <v>ARQ. JAIME CONDE GOMEZ</v>
      </c>
      <c r="V238" s="1281"/>
      <c r="W238" s="35" t="str">
        <f>OBRA!L237</f>
        <v>GMJ 012C OP/2017</v>
      </c>
      <c r="X238" s="13"/>
      <c r="Y238" s="13"/>
      <c r="Z238" s="448" t="str">
        <f>OBRA!K237</f>
        <v>RAMO 33</v>
      </c>
      <c r="AA238" s="13"/>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428">
        <f>OBRA!S237</f>
        <v>42890</v>
      </c>
      <c r="AH238" s="54"/>
      <c r="AI238" s="231"/>
      <c r="AJ238" s="267"/>
      <c r="AK238" s="267"/>
      <c r="AL238" s="432"/>
      <c r="AM238" s="573" t="str">
        <f>GRAL!B239</f>
        <v>2015-2018</v>
      </c>
      <c r="AN238" s="574"/>
      <c r="AO238" s="13"/>
    </row>
    <row r="239" spans="1:41" ht="30" hidden="1" customHeight="1">
      <c r="A239" s="166">
        <f>OBRA!I238</f>
        <v>2017</v>
      </c>
      <c r="B239" s="2036"/>
      <c r="C239" s="433"/>
      <c r="D239" s="154"/>
      <c r="E239" s="156"/>
      <c r="F239" s="156"/>
      <c r="G239" s="436"/>
      <c r="H239" s="442" t="str">
        <f>OBRA!AD238</f>
        <v>-</v>
      </c>
      <c r="I239" s="438"/>
      <c r="J239" s="444" t="str">
        <f>OBRA!AE238</f>
        <v>-</v>
      </c>
      <c r="K239" s="439"/>
      <c r="L239" s="442" t="str">
        <f>OBRA!AF238</f>
        <v>-</v>
      </c>
      <c r="M239" s="440"/>
      <c r="N239" s="442" t="str">
        <f>OBRA!AG238</f>
        <v>-</v>
      </c>
      <c r="O239" s="152"/>
      <c r="P239" s="152"/>
      <c r="Q239" s="441"/>
      <c r="R239" s="445" t="str">
        <f>OBRA!AH238</f>
        <v>-</v>
      </c>
      <c r="S239" s="349"/>
      <c r="T239" s="446" t="str">
        <f>OBRA!U238</f>
        <v>CONSTRUCCIONES VIKBRAK, S.A. DE C.V.</v>
      </c>
      <c r="U239" s="447" t="str">
        <f>OBRA!V238</f>
        <v>ARQ. JAIME CONDE GOMEZ</v>
      </c>
      <c r="V239" s="1281"/>
      <c r="W239" s="35" t="str">
        <f>OBRA!L238</f>
        <v>GMJ 013C OP/2017</v>
      </c>
      <c r="X239" s="13"/>
      <c r="Y239" s="13"/>
      <c r="Z239" s="448" t="str">
        <f>OBRA!K238</f>
        <v>RAMO 33</v>
      </c>
      <c r="AA239" s="13"/>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428">
        <f>OBRA!S238</f>
        <v>42886</v>
      </c>
      <c r="AH239" s="54"/>
      <c r="AI239" s="231"/>
      <c r="AJ239" s="267"/>
      <c r="AK239" s="267"/>
      <c r="AL239" s="432"/>
      <c r="AM239" s="573" t="str">
        <f>GRAL!B240</f>
        <v>2015-2018</v>
      </c>
      <c r="AN239" s="574"/>
      <c r="AO239" s="13"/>
    </row>
    <row r="240" spans="1:41" ht="30" hidden="1" customHeight="1">
      <c r="A240" s="166">
        <f>OBRA!I239</f>
        <v>2017</v>
      </c>
      <c r="B240" s="2036"/>
      <c r="C240" s="433"/>
      <c r="D240" s="154"/>
      <c r="E240" s="156"/>
      <c r="F240" s="156"/>
      <c r="G240" s="436"/>
      <c r="H240" s="442" t="str">
        <f>OBRA!AD239</f>
        <v>-</v>
      </c>
      <c r="I240" s="438"/>
      <c r="J240" s="444" t="str">
        <f>OBRA!AE239</f>
        <v>-</v>
      </c>
      <c r="K240" s="439"/>
      <c r="L240" s="442" t="str">
        <f>OBRA!AF239</f>
        <v>-</v>
      </c>
      <c r="M240" s="440"/>
      <c r="N240" s="442" t="str">
        <f>OBRA!AG239</f>
        <v>-</v>
      </c>
      <c r="O240" s="152"/>
      <c r="P240" s="152"/>
      <c r="Q240" s="441"/>
      <c r="R240" s="445" t="str">
        <f>OBRA!AH239</f>
        <v>-</v>
      </c>
      <c r="S240" s="349"/>
      <c r="T240" s="446" t="str">
        <f>OBRA!U239</f>
        <v>SERVICIOS ARQUITECTÓNICOS MOAPAL S.A. DE C.V.</v>
      </c>
      <c r="U240" s="447" t="str">
        <f>OBRA!V239</f>
        <v>ING. J. GUADALUPE IBARRA RAMIREZ</v>
      </c>
      <c r="V240" s="1281"/>
      <c r="W240" s="35" t="str">
        <f>OBRA!L239</f>
        <v>GMJ 014C OP/2017</v>
      </c>
      <c r="X240" s="13"/>
      <c r="Y240" s="13"/>
      <c r="Z240" s="448" t="str">
        <f>OBRA!K239</f>
        <v>RAMO 33</v>
      </c>
      <c r="AA240" s="13"/>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428">
        <f>OBRA!S239</f>
        <v>42902</v>
      </c>
      <c r="AH240" s="54"/>
      <c r="AI240" s="231"/>
      <c r="AJ240" s="267"/>
      <c r="AK240" s="267"/>
      <c r="AL240" s="432"/>
      <c r="AM240" s="573" t="str">
        <f>GRAL!B241</f>
        <v>2015-2018</v>
      </c>
      <c r="AN240" s="574"/>
      <c r="AO240" s="13"/>
    </row>
    <row r="241" spans="1:41" ht="30" hidden="1" customHeight="1">
      <c r="A241" s="166">
        <f>OBRA!I240</f>
        <v>2017</v>
      </c>
      <c r="B241" s="2036"/>
      <c r="C241" s="433"/>
      <c r="D241" s="154"/>
      <c r="E241" s="156"/>
      <c r="F241" s="156"/>
      <c r="G241" s="436"/>
      <c r="H241" s="442" t="str">
        <f>OBRA!AD240</f>
        <v>-</v>
      </c>
      <c r="I241" s="438"/>
      <c r="J241" s="444" t="str">
        <f>OBRA!AE240</f>
        <v>-</v>
      </c>
      <c r="K241" s="439"/>
      <c r="L241" s="442" t="str">
        <f>OBRA!AF240</f>
        <v>-</v>
      </c>
      <c r="M241" s="440"/>
      <c r="N241" s="442" t="str">
        <f>OBRA!AG240</f>
        <v>-</v>
      </c>
      <c r="O241" s="152"/>
      <c r="P241" s="152"/>
      <c r="Q241" s="441"/>
      <c r="R241" s="445" t="str">
        <f>OBRA!AH240</f>
        <v>-</v>
      </c>
      <c r="S241" s="349"/>
      <c r="T241" s="446" t="str">
        <f>OBRA!U240</f>
        <v>SERVICIOS ARQUITECTÓNICOS MOAPAL S.A. DE C.V.</v>
      </c>
      <c r="U241" s="447" t="str">
        <f>OBRA!V240</f>
        <v>ING. J. GUADALUPE IBARRA RAMIREZ</v>
      </c>
      <c r="V241" s="1281"/>
      <c r="W241" s="35" t="str">
        <f>OBRA!L240</f>
        <v>GMJ 015C OP/2017</v>
      </c>
      <c r="X241" s="13"/>
      <c r="Y241" s="13"/>
      <c r="Z241" s="448" t="str">
        <f>OBRA!K240</f>
        <v>RAMO 33</v>
      </c>
      <c r="AA241" s="13"/>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428">
        <f>OBRA!S240</f>
        <v>42902</v>
      </c>
      <c r="AH241" s="54"/>
      <c r="AI241" s="231"/>
      <c r="AJ241" s="267"/>
      <c r="AK241" s="267"/>
      <c r="AL241" s="432"/>
      <c r="AM241" s="573" t="str">
        <f>GRAL!B242</f>
        <v>2015-2018</v>
      </c>
      <c r="AN241" s="574"/>
      <c r="AO241" s="13"/>
    </row>
    <row r="242" spans="1:41" ht="30" hidden="1" customHeight="1">
      <c r="A242" s="166">
        <f>OBRA!I241</f>
        <v>2017</v>
      </c>
      <c r="B242" s="2036"/>
      <c r="C242" s="433"/>
      <c r="D242" s="154"/>
      <c r="E242" s="156"/>
      <c r="F242" s="156"/>
      <c r="G242" s="436"/>
      <c r="H242" s="442" t="str">
        <f>OBRA!AD241</f>
        <v>-</v>
      </c>
      <c r="I242" s="438"/>
      <c r="J242" s="444" t="str">
        <f>OBRA!AE241</f>
        <v>-</v>
      </c>
      <c r="K242" s="439"/>
      <c r="L242" s="442" t="str">
        <f>OBRA!AF241</f>
        <v>-</v>
      </c>
      <c r="M242" s="440"/>
      <c r="N242" s="442" t="str">
        <f>OBRA!AG241</f>
        <v>-</v>
      </c>
      <c r="O242" s="152"/>
      <c r="P242" s="152"/>
      <c r="Q242" s="441"/>
      <c r="R242" s="445" t="str">
        <f>OBRA!AH241</f>
        <v>-</v>
      </c>
      <c r="S242" s="349"/>
      <c r="T242" s="446" t="str">
        <f>OBRA!U241</f>
        <v>ARGUELLES ARQUITECTOS S.A. DE C.V.</v>
      </c>
      <c r="U242" s="447" t="str">
        <f>OBRA!V241</f>
        <v>ARQ. JAIME CONDE GOMEZ</v>
      </c>
      <c r="V242" s="1281"/>
      <c r="W242" s="35" t="str">
        <f>OBRA!L241</f>
        <v>GMJ 016C OP/2017</v>
      </c>
      <c r="X242" s="13"/>
      <c r="Y242" s="13"/>
      <c r="Z242" s="448" t="str">
        <f>OBRA!K241</f>
        <v>CUENTA CORRIENTE</v>
      </c>
      <c r="AA242" s="13"/>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428">
        <f>OBRA!S241</f>
        <v>43027</v>
      </c>
      <c r="AH242" s="54"/>
      <c r="AI242" s="231"/>
      <c r="AJ242" s="267"/>
      <c r="AK242" s="267"/>
      <c r="AL242" s="432"/>
      <c r="AM242" s="573" t="str">
        <f>GRAL!B243</f>
        <v>2015-2018</v>
      </c>
      <c r="AN242" s="574"/>
      <c r="AO242" s="13"/>
    </row>
    <row r="243" spans="1:41" ht="30" hidden="1" customHeight="1">
      <c r="A243" s="166">
        <f>OBRA!I242</f>
        <v>2017</v>
      </c>
      <c r="B243" s="2036"/>
      <c r="C243" s="433"/>
      <c r="D243" s="154"/>
      <c r="E243" s="156"/>
      <c r="F243" s="156"/>
      <c r="G243" s="436"/>
      <c r="H243" s="442" t="str">
        <f>OBRA!AD242</f>
        <v>-</v>
      </c>
      <c r="I243" s="438"/>
      <c r="J243" s="444" t="str">
        <f>OBRA!AE242</f>
        <v>-</v>
      </c>
      <c r="K243" s="439"/>
      <c r="L243" s="442" t="str">
        <f>OBRA!AF242</f>
        <v>-</v>
      </c>
      <c r="M243" s="440"/>
      <c r="N243" s="442" t="str">
        <f>OBRA!AG242</f>
        <v>-</v>
      </c>
      <c r="O243" s="152"/>
      <c r="P243" s="152"/>
      <c r="Q243" s="441"/>
      <c r="R243" s="445" t="str">
        <f>OBRA!AH242</f>
        <v>-</v>
      </c>
      <c r="S243" s="349"/>
      <c r="T243" s="446" t="str">
        <f>OBRA!U242</f>
        <v>ING. SERGIO CABRERA</v>
      </c>
      <c r="U243" s="447" t="str">
        <f>OBRA!V242</f>
        <v>ING. J. GUADALUPE IBARRA RAMIREZ</v>
      </c>
      <c r="V243" s="1281"/>
      <c r="W243" s="35" t="str">
        <f>OBRA!L242</f>
        <v>GMJ 017C OP/2017</v>
      </c>
      <c r="X243" s="13"/>
      <c r="Y243" s="13"/>
      <c r="Z243" s="448" t="str">
        <f>OBRA!K242</f>
        <v>RAMO 33</v>
      </c>
      <c r="AA243" s="13"/>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428">
        <f>OBRA!S242</f>
        <v>42968</v>
      </c>
      <c r="AH243" s="54"/>
      <c r="AI243" s="231"/>
      <c r="AJ243" s="267"/>
      <c r="AK243" s="267"/>
      <c r="AL243" s="432"/>
      <c r="AM243" s="573" t="str">
        <f>GRAL!B244</f>
        <v>2015-2018</v>
      </c>
      <c r="AN243" s="574"/>
      <c r="AO243" s="13"/>
    </row>
    <row r="244" spans="1:41" ht="30" hidden="1" customHeight="1">
      <c r="A244" s="166">
        <f>OBRA!I243</f>
        <v>2017</v>
      </c>
      <c r="B244" s="2036"/>
      <c r="C244" s="433"/>
      <c r="D244" s="154"/>
      <c r="E244" s="156"/>
      <c r="F244" s="156"/>
      <c r="G244" s="436"/>
      <c r="H244" s="442" t="str">
        <f>OBRA!AD243</f>
        <v>-</v>
      </c>
      <c r="I244" s="438"/>
      <c r="J244" s="444" t="str">
        <f>OBRA!AE243</f>
        <v>-</v>
      </c>
      <c r="K244" s="439"/>
      <c r="L244" s="442" t="str">
        <f>OBRA!AF243</f>
        <v>-</v>
      </c>
      <c r="M244" s="440"/>
      <c r="N244" s="442" t="str">
        <f>OBRA!AG243</f>
        <v>-</v>
      </c>
      <c r="O244" s="152"/>
      <c r="P244" s="152"/>
      <c r="Q244" s="441"/>
      <c r="R244" s="445" t="str">
        <f>OBRA!AH243</f>
        <v>-</v>
      </c>
      <c r="S244" s="349"/>
      <c r="T244" s="446" t="str">
        <f>OBRA!U243</f>
        <v>ING. SERGIO CABRERA</v>
      </c>
      <c r="U244" s="447" t="str">
        <f>OBRA!V243</f>
        <v>ING. J. GUADALUPE IBARRA RAMIREZ</v>
      </c>
      <c r="V244" s="1281"/>
      <c r="W244" s="35" t="str">
        <f>OBRA!L243</f>
        <v>GMJ 018C OP/2017</v>
      </c>
      <c r="X244" s="13"/>
      <c r="Y244" s="13"/>
      <c r="Z244" s="448" t="str">
        <f>OBRA!K243</f>
        <v>RAMO 33</v>
      </c>
      <c r="AA244" s="13"/>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428">
        <f>OBRA!S243</f>
        <v>42968</v>
      </c>
      <c r="AH244" s="54"/>
      <c r="AI244" s="231"/>
      <c r="AJ244" s="267"/>
      <c r="AK244" s="267"/>
      <c r="AL244" s="432"/>
      <c r="AM244" s="573" t="str">
        <f>GRAL!B245</f>
        <v>2015-2018</v>
      </c>
      <c r="AN244" s="574"/>
      <c r="AO244" s="13"/>
    </row>
    <row r="245" spans="1:41" ht="30" hidden="1" customHeight="1">
      <c r="A245" s="166">
        <f>OBRA!I244</f>
        <v>2017</v>
      </c>
      <c r="B245" s="2036"/>
      <c r="C245" s="433"/>
      <c r="D245" s="154"/>
      <c r="E245" s="156"/>
      <c r="F245" s="156"/>
      <c r="G245" s="436"/>
      <c r="H245" s="442" t="str">
        <f>OBRA!AD244</f>
        <v>-</v>
      </c>
      <c r="I245" s="438"/>
      <c r="J245" s="444" t="str">
        <f>OBRA!AE244</f>
        <v>-</v>
      </c>
      <c r="K245" s="439"/>
      <c r="L245" s="442" t="str">
        <f>OBRA!AF244</f>
        <v>-</v>
      </c>
      <c r="M245" s="440"/>
      <c r="N245" s="442" t="str">
        <f>OBRA!AG244</f>
        <v>-</v>
      </c>
      <c r="O245" s="152"/>
      <c r="P245" s="152"/>
      <c r="Q245" s="441"/>
      <c r="R245" s="445" t="str">
        <f>OBRA!AH244</f>
        <v>-</v>
      </c>
      <c r="S245" s="349"/>
      <c r="T245" s="446" t="str">
        <f>OBRA!U244</f>
        <v>ING. SERGIO CABRERA</v>
      </c>
      <c r="U245" s="447" t="str">
        <f>OBRA!V244</f>
        <v>ING. J. GUADALUPE IBARRA RAMIREZ</v>
      </c>
      <c r="V245" s="1281"/>
      <c r="W245" s="35" t="str">
        <f>OBRA!L244</f>
        <v>GMJ 019C OP/2017</v>
      </c>
      <c r="X245" s="13"/>
      <c r="Y245" s="13"/>
      <c r="Z245" s="448" t="str">
        <f>OBRA!K244</f>
        <v>RAMO 33</v>
      </c>
      <c r="AA245" s="13"/>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428">
        <f>OBRA!S244</f>
        <v>42968</v>
      </c>
      <c r="AH245" s="54"/>
      <c r="AI245" s="231"/>
      <c r="AJ245" s="267"/>
      <c r="AK245" s="267"/>
      <c r="AL245" s="432"/>
      <c r="AM245" s="573" t="str">
        <f>GRAL!B246</f>
        <v>2015-2018</v>
      </c>
      <c r="AN245" s="574"/>
      <c r="AO245" s="13"/>
    </row>
    <row r="246" spans="1:41" ht="30" hidden="1" customHeight="1">
      <c r="A246" s="166">
        <f>OBRA!I245</f>
        <v>2017</v>
      </c>
      <c r="B246" s="2036"/>
      <c r="C246" s="433"/>
      <c r="D246" s="154"/>
      <c r="E246" s="156"/>
      <c r="F246" s="156"/>
      <c r="G246" s="436"/>
      <c r="H246" s="442" t="str">
        <f>OBRA!AD245</f>
        <v>-</v>
      </c>
      <c r="I246" s="438"/>
      <c r="J246" s="444" t="str">
        <f>OBRA!AE245</f>
        <v>-</v>
      </c>
      <c r="K246" s="439"/>
      <c r="L246" s="442" t="str">
        <f>OBRA!AF245</f>
        <v>-</v>
      </c>
      <c r="M246" s="440"/>
      <c r="N246" s="442" t="str">
        <f>OBRA!AG245</f>
        <v>-</v>
      </c>
      <c r="O246" s="152"/>
      <c r="P246" s="152"/>
      <c r="Q246" s="441"/>
      <c r="R246" s="445" t="str">
        <f>OBRA!AH245</f>
        <v>-</v>
      </c>
      <c r="S246" s="349"/>
      <c r="T246" s="446" t="str">
        <f>OBRA!U245</f>
        <v>ING. SERGIO CABRERA</v>
      </c>
      <c r="U246" s="447" t="str">
        <f>OBRA!V245</f>
        <v>ING. J. GUADALUPE IBARRA RAMIREZ</v>
      </c>
      <c r="V246" s="1281"/>
      <c r="W246" s="35" t="str">
        <f>OBRA!L245</f>
        <v>GMJ 020C OP/2017</v>
      </c>
      <c r="X246" s="13"/>
      <c r="Y246" s="13"/>
      <c r="Z246" s="448" t="str">
        <f>OBRA!K245</f>
        <v>RAMO 33</v>
      </c>
      <c r="AA246" s="13"/>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428">
        <f>OBRA!S245</f>
        <v>42968</v>
      </c>
      <c r="AH246" s="54"/>
      <c r="AI246" s="231"/>
      <c r="AJ246" s="267"/>
      <c r="AK246" s="267"/>
      <c r="AL246" s="432"/>
      <c r="AM246" s="573" t="str">
        <f>GRAL!B247</f>
        <v>2015-2018</v>
      </c>
      <c r="AN246" s="574"/>
      <c r="AO246" s="13"/>
    </row>
    <row r="247" spans="1:41" ht="30" hidden="1" customHeight="1">
      <c r="A247" s="166">
        <f>OBRA!I246</f>
        <v>2017</v>
      </c>
      <c r="B247" s="2036"/>
      <c r="C247" s="433"/>
      <c r="D247" s="154"/>
      <c r="E247" s="156"/>
      <c r="F247" s="156"/>
      <c r="G247" s="436"/>
      <c r="H247" s="442" t="str">
        <f>OBRA!AD246</f>
        <v>-</v>
      </c>
      <c r="I247" s="438"/>
      <c r="J247" s="444" t="str">
        <f>OBRA!AE246</f>
        <v>-</v>
      </c>
      <c r="K247" s="439"/>
      <c r="L247" s="442" t="str">
        <f>OBRA!AF246</f>
        <v>-</v>
      </c>
      <c r="M247" s="440"/>
      <c r="N247" s="442" t="str">
        <f>OBRA!AG246</f>
        <v>-</v>
      </c>
      <c r="O247" s="152"/>
      <c r="P247" s="152"/>
      <c r="Q247" s="441"/>
      <c r="R247" s="445" t="str">
        <f>OBRA!AH246</f>
        <v>-</v>
      </c>
      <c r="S247" s="349"/>
      <c r="T247" s="446" t="str">
        <f>OBRA!U246</f>
        <v>GILCO INGENIERIA S.A. DE C.V.</v>
      </c>
      <c r="U247" s="447" t="str">
        <f>OBRA!V246</f>
        <v>ING. J. GUADALUPE IBARRA RAMIREZ</v>
      </c>
      <c r="V247" s="1281"/>
      <c r="W247" s="35" t="str">
        <f>OBRA!L246</f>
        <v>GMJ 021C OP/2017</v>
      </c>
      <c r="X247" s="13"/>
      <c r="Y247" s="13"/>
      <c r="Z247" s="448" t="str">
        <f>OBRA!K246</f>
        <v>RAMO 33</v>
      </c>
      <c r="AA247" s="13"/>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428">
        <f>OBRA!S246</f>
        <v>42978</v>
      </c>
      <c r="AH247" s="54"/>
      <c r="AI247" s="231"/>
      <c r="AJ247" s="267"/>
      <c r="AK247" s="267"/>
      <c r="AL247" s="432"/>
      <c r="AM247" s="573" t="str">
        <f>GRAL!B248</f>
        <v>2015-2018</v>
      </c>
      <c r="AN247" s="574"/>
      <c r="AO247" s="13"/>
    </row>
    <row r="248" spans="1:41" ht="30" hidden="1" customHeight="1">
      <c r="A248" s="166">
        <f>OBRA!I247</f>
        <v>2017</v>
      </c>
      <c r="B248" s="2036"/>
      <c r="C248" s="433"/>
      <c r="D248" s="154"/>
      <c r="E248" s="156"/>
      <c r="F248" s="156"/>
      <c r="G248" s="436"/>
      <c r="H248" s="442" t="str">
        <f>OBRA!AD247</f>
        <v>-</v>
      </c>
      <c r="I248" s="438"/>
      <c r="J248" s="444" t="str">
        <f>OBRA!AE247</f>
        <v>-</v>
      </c>
      <c r="K248" s="439"/>
      <c r="L248" s="442" t="str">
        <f>OBRA!AF247</f>
        <v>-</v>
      </c>
      <c r="M248" s="440"/>
      <c r="N248" s="442" t="str">
        <f>OBRA!AG247</f>
        <v>-</v>
      </c>
      <c r="O248" s="152"/>
      <c r="P248" s="152"/>
      <c r="Q248" s="441"/>
      <c r="R248" s="445" t="str">
        <f>OBRA!AH247</f>
        <v>-</v>
      </c>
      <c r="S248" s="349"/>
      <c r="T248" s="446" t="str">
        <f>OBRA!U247</f>
        <v>GILCO INGENIERIA S.A. DE C.V.</v>
      </c>
      <c r="U248" s="447" t="str">
        <f>OBRA!V247</f>
        <v>ING. J. GUADALUPE IBARRA RAMIREZ</v>
      </c>
      <c r="V248" s="1281"/>
      <c r="W248" s="35" t="str">
        <f>OBRA!L247</f>
        <v>GMJ 022C OP/2017</v>
      </c>
      <c r="X248" s="13"/>
      <c r="Y248" s="13"/>
      <c r="Z248" s="448" t="str">
        <f>OBRA!K247</f>
        <v>RAMO 33</v>
      </c>
      <c r="AA248" s="13"/>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428">
        <f>OBRA!S247</f>
        <v>42978</v>
      </c>
      <c r="AH248" s="54"/>
      <c r="AI248" s="231"/>
      <c r="AJ248" s="267"/>
      <c r="AK248" s="267"/>
      <c r="AL248" s="432"/>
      <c r="AM248" s="573" t="str">
        <f>GRAL!B249</f>
        <v>2015-2018</v>
      </c>
      <c r="AN248" s="574"/>
      <c r="AO248" s="13"/>
    </row>
    <row r="249" spans="1:41" ht="30" hidden="1" customHeight="1">
      <c r="A249" s="166">
        <f>OBRA!I248</f>
        <v>2017</v>
      </c>
      <c r="B249" s="2036"/>
      <c r="C249" s="433"/>
      <c r="D249" s="154"/>
      <c r="E249" s="156"/>
      <c r="F249" s="156"/>
      <c r="G249" s="436"/>
      <c r="H249" s="442" t="str">
        <f>OBRA!AD248</f>
        <v>-</v>
      </c>
      <c r="I249" s="438"/>
      <c r="J249" s="444" t="str">
        <f>OBRA!AE248</f>
        <v>-</v>
      </c>
      <c r="K249" s="439"/>
      <c r="L249" s="442" t="str">
        <f>OBRA!AF248</f>
        <v>-</v>
      </c>
      <c r="M249" s="440"/>
      <c r="N249" s="442" t="str">
        <f>OBRA!AG248</f>
        <v>-</v>
      </c>
      <c r="O249" s="152"/>
      <c r="P249" s="152"/>
      <c r="Q249" s="441"/>
      <c r="R249" s="445" t="str">
        <f>OBRA!AH248</f>
        <v>-</v>
      </c>
      <c r="S249" s="349"/>
      <c r="T249" s="446" t="str">
        <f>OBRA!U248</f>
        <v>GILCO INGENIERIA S.A. DE C.V.</v>
      </c>
      <c r="U249" s="447" t="str">
        <f>OBRA!V248</f>
        <v>ING. J. GUADALUPE IBARRA RAMIREZ</v>
      </c>
      <c r="V249" s="1281"/>
      <c r="W249" s="35" t="str">
        <f>OBRA!L248</f>
        <v>GMJ 023C OP/2017</v>
      </c>
      <c r="X249" s="13"/>
      <c r="Y249" s="13"/>
      <c r="Z249" s="448" t="str">
        <f>OBRA!K248</f>
        <v>RAMO 33</v>
      </c>
      <c r="AA249" s="13"/>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428">
        <f>OBRA!S248</f>
        <v>42994</v>
      </c>
      <c r="AH249" s="54"/>
      <c r="AI249" s="231"/>
      <c r="AJ249" s="267"/>
      <c r="AK249" s="267"/>
      <c r="AL249" s="432"/>
      <c r="AM249" s="573" t="str">
        <f>GRAL!B250</f>
        <v>2015-2018</v>
      </c>
      <c r="AN249" s="574"/>
      <c r="AO249" s="13"/>
    </row>
    <row r="250" spans="1:41" ht="30" hidden="1" customHeight="1">
      <c r="A250" s="166">
        <f>OBRA!I249</f>
        <v>2017</v>
      </c>
      <c r="B250" s="2036"/>
      <c r="C250" s="433"/>
      <c r="D250" s="154"/>
      <c r="E250" s="156"/>
      <c r="F250" s="156"/>
      <c r="G250" s="436"/>
      <c r="H250" s="442" t="str">
        <f>OBRA!AD249</f>
        <v>-</v>
      </c>
      <c r="I250" s="438"/>
      <c r="J250" s="444" t="str">
        <f>OBRA!AE249</f>
        <v>-</v>
      </c>
      <c r="K250" s="439"/>
      <c r="L250" s="442" t="str">
        <f>OBRA!AF249</f>
        <v>-</v>
      </c>
      <c r="M250" s="440"/>
      <c r="N250" s="442" t="str">
        <f>OBRA!AG249</f>
        <v>-</v>
      </c>
      <c r="O250" s="152"/>
      <c r="P250" s="152"/>
      <c r="Q250" s="441"/>
      <c r="R250" s="445" t="str">
        <f>OBRA!AH249</f>
        <v>-</v>
      </c>
      <c r="S250" s="349"/>
      <c r="T250" s="446" t="str">
        <f>OBRA!U249</f>
        <v>GILCO INGENIERIA S.A. DE C.V.</v>
      </c>
      <c r="U250" s="447" t="str">
        <f>OBRA!V249</f>
        <v>ING. J. GUADALUPE IBARRA RAMIREZ</v>
      </c>
      <c r="V250" s="1281"/>
      <c r="W250" s="35" t="str">
        <f>OBRA!L249</f>
        <v>GMJ 024C OP/2017</v>
      </c>
      <c r="X250" s="13"/>
      <c r="Y250" s="13"/>
      <c r="Z250" s="448" t="str">
        <f>OBRA!K249</f>
        <v>RAMO 33</v>
      </c>
      <c r="AA250" s="13"/>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428">
        <f>OBRA!S249</f>
        <v>42994</v>
      </c>
      <c r="AH250" s="54"/>
      <c r="AI250" s="231"/>
      <c r="AJ250" s="267"/>
      <c r="AK250" s="267"/>
      <c r="AL250" s="432"/>
      <c r="AM250" s="573" t="str">
        <f>GRAL!B251</f>
        <v>2015-2018</v>
      </c>
      <c r="AN250" s="574"/>
      <c r="AO250" s="13"/>
    </row>
    <row r="251" spans="1:41" ht="30" hidden="1" customHeight="1">
      <c r="A251" s="166">
        <f>OBRA!I250</f>
        <v>2017</v>
      </c>
      <c r="B251" s="2036"/>
      <c r="C251" s="433"/>
      <c r="D251" s="154"/>
      <c r="E251" s="156"/>
      <c r="F251" s="156"/>
      <c r="G251" s="436"/>
      <c r="H251" s="442" t="str">
        <f>OBRA!AD250</f>
        <v>-</v>
      </c>
      <c r="I251" s="438"/>
      <c r="J251" s="444" t="str">
        <f>OBRA!AE250</f>
        <v>-</v>
      </c>
      <c r="K251" s="439"/>
      <c r="L251" s="442" t="str">
        <f>OBRA!AF250</f>
        <v>-</v>
      </c>
      <c r="M251" s="440"/>
      <c r="N251" s="442" t="str">
        <f>OBRA!AG250</f>
        <v>-</v>
      </c>
      <c r="O251" s="152"/>
      <c r="P251" s="152"/>
      <c r="Q251" s="441"/>
      <c r="R251" s="445" t="str">
        <f>OBRA!AH250</f>
        <v>-</v>
      </c>
      <c r="S251" s="349"/>
      <c r="T251" s="446" t="str">
        <f>OBRA!U250</f>
        <v>GILCO INGENIERIA S.A. DE C.V.</v>
      </c>
      <c r="U251" s="447" t="str">
        <f>OBRA!V250</f>
        <v>ING. J. GUADALUPE IBARRA RAMIREZ</v>
      </c>
      <c r="V251" s="1281"/>
      <c r="W251" s="35" t="str">
        <f>OBRA!L250</f>
        <v>GMJ 025C OP/2017</v>
      </c>
      <c r="X251" s="13"/>
      <c r="Y251" s="13"/>
      <c r="Z251" s="448" t="str">
        <f>OBRA!K250</f>
        <v>RAMO 33</v>
      </c>
      <c r="AA251" s="13"/>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428">
        <f>OBRA!S250</f>
        <v>43008</v>
      </c>
      <c r="AH251" s="54"/>
      <c r="AI251" s="231"/>
      <c r="AJ251" s="267"/>
      <c r="AK251" s="267"/>
      <c r="AL251" s="432"/>
      <c r="AM251" s="573" t="str">
        <f>GRAL!B252</f>
        <v>2015-2018</v>
      </c>
      <c r="AN251" s="574"/>
      <c r="AO251" s="13"/>
    </row>
    <row r="252" spans="1:41" ht="30" hidden="1" customHeight="1">
      <c r="A252" s="166">
        <f>OBRA!I251</f>
        <v>2017</v>
      </c>
      <c r="B252" s="2036"/>
      <c r="C252" s="433"/>
      <c r="D252" s="154"/>
      <c r="E252" s="156"/>
      <c r="F252" s="156"/>
      <c r="G252" s="436"/>
      <c r="H252" s="442" t="str">
        <f>OBRA!AD251</f>
        <v>-</v>
      </c>
      <c r="I252" s="438"/>
      <c r="J252" s="444" t="str">
        <f>OBRA!AE251</f>
        <v>-</v>
      </c>
      <c r="K252" s="439"/>
      <c r="L252" s="442" t="str">
        <f>OBRA!AF251</f>
        <v>-</v>
      </c>
      <c r="M252" s="440"/>
      <c r="N252" s="442" t="str">
        <f>OBRA!AG251</f>
        <v>-</v>
      </c>
      <c r="O252" s="152"/>
      <c r="P252" s="152"/>
      <c r="Q252" s="441"/>
      <c r="R252" s="445" t="str">
        <f>OBRA!AH251</f>
        <v>-</v>
      </c>
      <c r="S252" s="349"/>
      <c r="T252" s="446" t="str">
        <f>OBRA!U251</f>
        <v>GILCO INGENIERIA S.A. DE C.V.</v>
      </c>
      <c r="U252" s="447" t="str">
        <f>OBRA!V251</f>
        <v>ING. J. GUADALUPE IBARRA RAMIREZ</v>
      </c>
      <c r="V252" s="1281"/>
      <c r="W252" s="35" t="str">
        <f>OBRA!L251</f>
        <v>GMJ 026C OP/2017</v>
      </c>
      <c r="X252" s="13"/>
      <c r="Y252" s="13"/>
      <c r="Z252" s="448" t="str">
        <f>OBRA!K251</f>
        <v>RAMO 33</v>
      </c>
      <c r="AA252" s="13"/>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428">
        <f>OBRA!S251</f>
        <v>43008</v>
      </c>
      <c r="AH252" s="54"/>
      <c r="AI252" s="231"/>
      <c r="AJ252" s="267"/>
      <c r="AK252" s="267"/>
      <c r="AL252" s="432"/>
      <c r="AM252" s="573" t="str">
        <f>GRAL!B253</f>
        <v>2015-2018</v>
      </c>
      <c r="AN252" s="574"/>
      <c r="AO252" s="13"/>
    </row>
    <row r="253" spans="1:41" ht="30" hidden="1" customHeight="1">
      <c r="A253" s="166">
        <f>OBRA!I252</f>
        <v>2017</v>
      </c>
      <c r="B253" s="2036"/>
      <c r="C253" s="433"/>
      <c r="D253" s="154"/>
      <c r="E253" s="156"/>
      <c r="F253" s="156"/>
      <c r="G253" s="436"/>
      <c r="H253" s="442" t="str">
        <f>OBRA!AD252</f>
        <v>-</v>
      </c>
      <c r="I253" s="438"/>
      <c r="J253" s="444" t="str">
        <f>OBRA!AE252</f>
        <v>-</v>
      </c>
      <c r="K253" s="439"/>
      <c r="L253" s="442" t="str">
        <f>OBRA!AF252</f>
        <v>-</v>
      </c>
      <c r="M253" s="440"/>
      <c r="N253" s="442" t="str">
        <f>OBRA!AG252</f>
        <v>-</v>
      </c>
      <c r="O253" s="152"/>
      <c r="P253" s="152"/>
      <c r="Q253" s="441"/>
      <c r="R253" s="445" t="str">
        <f>OBRA!AH252</f>
        <v>-</v>
      </c>
      <c r="S253" s="349"/>
      <c r="T253" s="446" t="str">
        <f>OBRA!U252</f>
        <v>SERVICIOS ARQUITECTÓNICOS MOAPAL S.A. DE C.V.</v>
      </c>
      <c r="U253" s="447" t="str">
        <f>OBRA!V252</f>
        <v>ING. J. GUADALUPE IBARRA RAMIREZ</v>
      </c>
      <c r="V253" s="1281"/>
      <c r="W253" s="35" t="str">
        <f>OBRA!L252</f>
        <v>GMJ 027C OP/2017</v>
      </c>
      <c r="X253" s="13"/>
      <c r="Y253" s="13"/>
      <c r="Z253" s="448" t="str">
        <f>OBRA!K252</f>
        <v>Fondo de proyectos para el Desarrollo Regional</v>
      </c>
      <c r="AA253" s="13"/>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428">
        <f>OBRA!S252</f>
        <v>42922</v>
      </c>
      <c r="AH253" s="54"/>
      <c r="AI253" s="231"/>
      <c r="AJ253" s="267"/>
      <c r="AK253" s="267"/>
      <c r="AL253" s="432"/>
      <c r="AM253" s="573" t="str">
        <f>GRAL!B254</f>
        <v>2015-2018</v>
      </c>
      <c r="AN253" s="574"/>
      <c r="AO253" s="13"/>
    </row>
    <row r="254" spans="1:41" ht="30" hidden="1" customHeight="1">
      <c r="A254" s="166">
        <f>OBRA!I253</f>
        <v>2017</v>
      </c>
      <c r="B254" s="2036"/>
      <c r="C254" s="433"/>
      <c r="D254" s="154"/>
      <c r="E254" s="156"/>
      <c r="F254" s="156"/>
      <c r="G254" s="436"/>
      <c r="H254" s="442" t="str">
        <f>OBRA!AD253</f>
        <v>-</v>
      </c>
      <c r="I254" s="438"/>
      <c r="J254" s="444" t="str">
        <f>OBRA!AE253</f>
        <v>-</v>
      </c>
      <c r="K254" s="439"/>
      <c r="L254" s="442" t="str">
        <f>OBRA!AF253</f>
        <v>-</v>
      </c>
      <c r="M254" s="440"/>
      <c r="N254" s="442" t="str">
        <f>OBRA!AG253</f>
        <v>-</v>
      </c>
      <c r="O254" s="152"/>
      <c r="P254" s="152"/>
      <c r="Q254" s="441"/>
      <c r="R254" s="445" t="str">
        <f>OBRA!AH253</f>
        <v>-</v>
      </c>
      <c r="S254" s="349"/>
      <c r="T254" s="446" t="str">
        <f>OBRA!U253</f>
        <v>ING. SERGIO CABRERA</v>
      </c>
      <c r="U254" s="447" t="str">
        <f>OBRA!V253</f>
        <v>ING. J. GUADALUPE IBARRA RAMIREZ</v>
      </c>
      <c r="V254" s="1281"/>
      <c r="W254" s="35" t="str">
        <f>OBRA!L253</f>
        <v>GMJ 028C OP/2017</v>
      </c>
      <c r="X254" s="13"/>
      <c r="Y254" s="13"/>
      <c r="Z254" s="448" t="str">
        <f>OBRA!K253</f>
        <v>Fondo de proyectos para el Desarrollo Regional</v>
      </c>
      <c r="AA254" s="13"/>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428">
        <f>OBRA!S253</f>
        <v>42986</v>
      </c>
      <c r="AH254" s="54"/>
      <c r="AI254" s="231"/>
      <c r="AJ254" s="267"/>
      <c r="AK254" s="267"/>
      <c r="AL254" s="432"/>
      <c r="AM254" s="573" t="str">
        <f>GRAL!B255</f>
        <v>2015-2018</v>
      </c>
      <c r="AN254" s="574"/>
      <c r="AO254" s="13"/>
    </row>
    <row r="255" spans="1:41" ht="30" hidden="1" customHeight="1">
      <c r="A255" s="166">
        <f>OBRA!I254</f>
        <v>2017</v>
      </c>
      <c r="B255" s="2036"/>
      <c r="C255" s="433"/>
      <c r="D255" s="154"/>
      <c r="E255" s="156"/>
      <c r="F255" s="156"/>
      <c r="G255" s="436"/>
      <c r="H255" s="442" t="str">
        <f>OBRA!AD254</f>
        <v>-</v>
      </c>
      <c r="I255" s="438"/>
      <c r="J255" s="444" t="str">
        <f>OBRA!AE254</f>
        <v>-</v>
      </c>
      <c r="K255" s="439"/>
      <c r="L255" s="442" t="str">
        <f>OBRA!AF254</f>
        <v>-</v>
      </c>
      <c r="M255" s="440"/>
      <c r="N255" s="442" t="str">
        <f>OBRA!AG254</f>
        <v>-</v>
      </c>
      <c r="O255" s="152"/>
      <c r="P255" s="152"/>
      <c r="Q255" s="441"/>
      <c r="R255" s="445" t="str">
        <f>OBRA!AH254</f>
        <v>-</v>
      </c>
      <c r="S255" s="349"/>
      <c r="T255" s="446" t="str">
        <f>OBRA!U254</f>
        <v>GILCO INGENIERIA S.A. DE C.V.</v>
      </c>
      <c r="U255" s="447" t="str">
        <f>OBRA!V254</f>
        <v>ING. J. GUADALUPE IBARRA RAMIREZ</v>
      </c>
      <c r="V255" s="1281"/>
      <c r="W255" s="35" t="str">
        <f>OBRA!L254</f>
        <v>GMJ 029C OP/2017</v>
      </c>
      <c r="X255" s="13"/>
      <c r="Y255" s="13"/>
      <c r="Z255" s="448" t="str">
        <f>OBRA!K254</f>
        <v>Fondo de proyectos para el Desarrollo Regional</v>
      </c>
      <c r="AA255" s="13"/>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428">
        <f>OBRA!S254</f>
        <v>43100</v>
      </c>
      <c r="AH255" s="54"/>
      <c r="AI255" s="231"/>
      <c r="AJ255" s="267"/>
      <c r="AK255" s="267"/>
      <c r="AL255" s="432"/>
      <c r="AM255" s="573" t="str">
        <f>GRAL!B256</f>
        <v>2015-2018</v>
      </c>
      <c r="AN255" s="574"/>
      <c r="AO255" s="13"/>
    </row>
    <row r="256" spans="1:41" ht="30" hidden="1" customHeight="1">
      <c r="A256" s="166">
        <f>OBRA!I255</f>
        <v>2017</v>
      </c>
      <c r="B256" s="2036"/>
      <c r="C256" s="433"/>
      <c r="D256" s="154"/>
      <c r="E256" s="156"/>
      <c r="F256" s="156"/>
      <c r="G256" s="436"/>
      <c r="H256" s="442" t="str">
        <f>OBRA!AD255</f>
        <v>-</v>
      </c>
      <c r="I256" s="438"/>
      <c r="J256" s="444" t="str">
        <f>OBRA!AE255</f>
        <v>-</v>
      </c>
      <c r="K256" s="439"/>
      <c r="L256" s="442" t="str">
        <f>OBRA!AF255</f>
        <v>-</v>
      </c>
      <c r="M256" s="440"/>
      <c r="N256" s="442" t="str">
        <f>OBRA!AG255</f>
        <v>-</v>
      </c>
      <c r="O256" s="152"/>
      <c r="P256" s="152"/>
      <c r="Q256" s="441"/>
      <c r="R256" s="445" t="str">
        <f>OBRA!AH255</f>
        <v>-</v>
      </c>
      <c r="S256" s="349"/>
      <c r="T256" s="446" t="str">
        <f>OBRA!U255</f>
        <v>A&amp;G URBANIZADORA S.A. DE C.V.</v>
      </c>
      <c r="U256" s="447" t="str">
        <f>OBRA!V255</f>
        <v>ING. J. GUADALUPE IBARRA RAMIREZ</v>
      </c>
      <c r="V256" s="1281"/>
      <c r="W256" s="35" t="str">
        <f>OBRA!L255</f>
        <v>GMJ 030C OP/2017</v>
      </c>
      <c r="X256" s="13"/>
      <c r="Y256" s="13"/>
      <c r="Z256" s="448" t="str">
        <f>OBRA!K255</f>
        <v>Fondo de proyectos para el Desarrollo Regional</v>
      </c>
      <c r="AA256" s="13"/>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428">
        <f>OBRA!S255</f>
        <v>43100</v>
      </c>
      <c r="AH256" s="54"/>
      <c r="AI256" s="231"/>
      <c r="AJ256" s="267"/>
      <c r="AK256" s="267"/>
      <c r="AL256" s="432"/>
      <c r="AM256" s="573" t="str">
        <f>GRAL!B257</f>
        <v>2015-2018</v>
      </c>
      <c r="AN256" s="574"/>
      <c r="AO256" s="13"/>
    </row>
    <row r="257" spans="1:41" ht="30" hidden="1" customHeight="1">
      <c r="A257" s="166">
        <f>OBRA!I256</f>
        <v>2017</v>
      </c>
      <c r="B257" s="2036"/>
      <c r="C257" s="433"/>
      <c r="D257" s="154"/>
      <c r="E257" s="156"/>
      <c r="F257" s="156"/>
      <c r="G257" s="436"/>
      <c r="H257" s="442" t="str">
        <f>OBRA!AD256</f>
        <v>-</v>
      </c>
      <c r="I257" s="438"/>
      <c r="J257" s="444" t="str">
        <f>OBRA!AE256</f>
        <v>-</v>
      </c>
      <c r="K257" s="439"/>
      <c r="L257" s="442" t="str">
        <f>OBRA!AF256</f>
        <v>-</v>
      </c>
      <c r="M257" s="440"/>
      <c r="N257" s="442" t="str">
        <f>OBRA!AG256</f>
        <v>-</v>
      </c>
      <c r="O257" s="152"/>
      <c r="P257" s="152"/>
      <c r="Q257" s="441"/>
      <c r="R257" s="445" t="str">
        <f>OBRA!AH256</f>
        <v>-</v>
      </c>
      <c r="S257" s="349"/>
      <c r="T257" s="446" t="str">
        <f>OBRA!U256</f>
        <v>CONSTRUCCIONES VIKBRAK, S.A. DE C.V.</v>
      </c>
      <c r="U257" s="447" t="str">
        <f>OBRA!V256</f>
        <v>ING. J. GUADALUPE IBARRA RAMIREZ</v>
      </c>
      <c r="V257" s="1281"/>
      <c r="W257" s="35" t="str">
        <f>OBRA!L256</f>
        <v>GMJ 031C OP/2017</v>
      </c>
      <c r="X257" s="13"/>
      <c r="Y257" s="13"/>
      <c r="Z257" s="448" t="str">
        <f>OBRA!K256</f>
        <v>Fondo de proyectos para el Desarrollo Regional</v>
      </c>
      <c r="AA257" s="13"/>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428">
        <f>OBRA!S256</f>
        <v>43035</v>
      </c>
      <c r="AH257" s="54"/>
      <c r="AI257" s="231"/>
      <c r="AJ257" s="267"/>
      <c r="AK257" s="267"/>
      <c r="AL257" s="432"/>
      <c r="AM257" s="573" t="str">
        <f>GRAL!B258</f>
        <v>2015-2018</v>
      </c>
      <c r="AN257" s="574"/>
      <c r="AO257" s="13"/>
    </row>
    <row r="258" spans="1:41" ht="30" hidden="1" customHeight="1">
      <c r="A258" s="166">
        <f>OBRA!I257</f>
        <v>2017</v>
      </c>
      <c r="B258" s="2036"/>
      <c r="C258" s="433"/>
      <c r="D258" s="154"/>
      <c r="E258" s="156"/>
      <c r="F258" s="156"/>
      <c r="G258" s="436"/>
      <c r="H258" s="442" t="str">
        <f>OBRA!AD257</f>
        <v>-</v>
      </c>
      <c r="I258" s="438"/>
      <c r="J258" s="444" t="str">
        <f>OBRA!AE257</f>
        <v>-</v>
      </c>
      <c r="K258" s="439"/>
      <c r="L258" s="442" t="str">
        <f>OBRA!AF257</f>
        <v>-</v>
      </c>
      <c r="M258" s="440"/>
      <c r="N258" s="442" t="str">
        <f>OBRA!AG257</f>
        <v>-</v>
      </c>
      <c r="O258" s="152"/>
      <c r="P258" s="152"/>
      <c r="Q258" s="441"/>
      <c r="R258" s="445" t="str">
        <f>OBRA!AH257</f>
        <v>-</v>
      </c>
      <c r="S258" s="349"/>
      <c r="T258" s="446" t="str">
        <f>OBRA!U257</f>
        <v>COLYEST S.A. DE C.V.</v>
      </c>
      <c r="U258" s="447" t="str">
        <f>OBRA!V257</f>
        <v>ING. J. GUADALUPE IBARRA RAMIREZ</v>
      </c>
      <c r="V258" s="1281"/>
      <c r="W258" s="35" t="str">
        <f>OBRA!L257</f>
        <v>GMJ 032C OP/2017</v>
      </c>
      <c r="X258" s="13"/>
      <c r="Y258" s="13"/>
      <c r="Z258" s="448" t="str">
        <f>OBRA!K257</f>
        <v>Fondo de proyectos para el Desarrollo Regional</v>
      </c>
      <c r="AA258" s="13"/>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428">
        <f>OBRA!S257</f>
        <v>43035</v>
      </c>
      <c r="AH258" s="54"/>
      <c r="AI258" s="231"/>
      <c r="AJ258" s="267"/>
      <c r="AK258" s="267"/>
      <c r="AL258" s="432"/>
      <c r="AM258" s="573" t="str">
        <f>GRAL!B259</f>
        <v>2015-2018</v>
      </c>
      <c r="AN258" s="574"/>
      <c r="AO258" s="13"/>
    </row>
    <row r="259" spans="1:41" ht="30" hidden="1" customHeight="1">
      <c r="A259" s="166">
        <f>OBRA!I258</f>
        <v>2017</v>
      </c>
      <c r="B259" s="2036"/>
      <c r="C259" s="433"/>
      <c r="D259" s="154"/>
      <c r="E259" s="156"/>
      <c r="F259" s="156"/>
      <c r="G259" s="436"/>
      <c r="H259" s="442" t="str">
        <f>OBRA!AD258</f>
        <v>-</v>
      </c>
      <c r="I259" s="438"/>
      <c r="J259" s="444" t="str">
        <f>OBRA!AE258</f>
        <v>-</v>
      </c>
      <c r="K259" s="439"/>
      <c r="L259" s="442" t="str">
        <f>OBRA!AF258</f>
        <v>-</v>
      </c>
      <c r="M259" s="440"/>
      <c r="N259" s="442" t="str">
        <f>OBRA!AG258</f>
        <v>-</v>
      </c>
      <c r="O259" s="152"/>
      <c r="P259" s="152"/>
      <c r="Q259" s="441"/>
      <c r="R259" s="445" t="str">
        <f>OBRA!AH258</f>
        <v>-</v>
      </c>
      <c r="S259" s="349"/>
      <c r="T259" s="446" t="str">
        <f>OBRA!U258</f>
        <v>ING. SERGIO CABRERA</v>
      </c>
      <c r="U259" s="447" t="str">
        <f>OBRA!V258</f>
        <v>ING. J. GUADALUPE IBARRA RAMIREZ</v>
      </c>
      <c r="V259" s="1281"/>
      <c r="W259" s="35" t="str">
        <f>OBRA!L258</f>
        <v>GMJ 033C OP/2017</v>
      </c>
      <c r="X259" s="13"/>
      <c r="Y259" s="13"/>
      <c r="Z259" s="448" t="str">
        <f>OBRA!K258</f>
        <v>RAMO 33</v>
      </c>
      <c r="AA259" s="13"/>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428">
        <f>OBRA!S258</f>
        <v>43039</v>
      </c>
      <c r="AH259" s="54"/>
      <c r="AI259" s="231"/>
      <c r="AJ259" s="267"/>
      <c r="AK259" s="267"/>
      <c r="AL259" s="432"/>
      <c r="AM259" s="573" t="str">
        <f>GRAL!B260</f>
        <v>2015-2018</v>
      </c>
      <c r="AN259" s="574"/>
      <c r="AO259" s="13"/>
    </row>
    <row r="260" spans="1:41" ht="30" hidden="1" customHeight="1">
      <c r="A260" s="166">
        <f>OBRA!I259</f>
        <v>2017</v>
      </c>
      <c r="B260" s="2036"/>
      <c r="C260" s="433"/>
      <c r="D260" s="154"/>
      <c r="E260" s="156"/>
      <c r="F260" s="156"/>
      <c r="G260" s="436"/>
      <c r="H260" s="442" t="str">
        <f>OBRA!AD259</f>
        <v>-</v>
      </c>
      <c r="I260" s="438"/>
      <c r="J260" s="444" t="str">
        <f>OBRA!AE259</f>
        <v>-</v>
      </c>
      <c r="K260" s="439"/>
      <c r="L260" s="442" t="str">
        <f>OBRA!AF259</f>
        <v>-</v>
      </c>
      <c r="M260" s="440"/>
      <c r="N260" s="442" t="str">
        <f>OBRA!AG259</f>
        <v>-</v>
      </c>
      <c r="O260" s="152"/>
      <c r="P260" s="152"/>
      <c r="Q260" s="441"/>
      <c r="R260" s="445" t="str">
        <f>OBRA!AH259</f>
        <v>-</v>
      </c>
      <c r="S260" s="349"/>
      <c r="T260" s="446" t="str">
        <f>OBRA!U259</f>
        <v>ING. SERGIO CABRERA</v>
      </c>
      <c r="U260" s="447" t="str">
        <f>OBRA!V259</f>
        <v>ING. J. GUADALUPE IBARRA RAMIREZ</v>
      </c>
      <c r="V260" s="1281"/>
      <c r="W260" s="35" t="str">
        <f>OBRA!L259</f>
        <v>GMJ 034C OP/2017</v>
      </c>
      <c r="X260" s="13"/>
      <c r="Y260" s="13"/>
      <c r="Z260" s="448" t="str">
        <f>OBRA!K259</f>
        <v>RAMO 33</v>
      </c>
      <c r="AA260" s="13"/>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428">
        <f>OBRA!S259</f>
        <v>43041</v>
      </c>
      <c r="AH260" s="54"/>
      <c r="AI260" s="231"/>
      <c r="AJ260" s="267"/>
      <c r="AK260" s="267"/>
      <c r="AL260" s="432"/>
      <c r="AM260" s="573" t="str">
        <f>GRAL!B261</f>
        <v>2015-2018</v>
      </c>
      <c r="AN260" s="574"/>
      <c r="AO260" s="13"/>
    </row>
    <row r="261" spans="1:41" ht="30" hidden="1" customHeight="1">
      <c r="A261" s="166">
        <f>OBRA!I260</f>
        <v>2017</v>
      </c>
      <c r="B261" s="2036"/>
      <c r="C261" s="433"/>
      <c r="D261" s="154"/>
      <c r="E261" s="156"/>
      <c r="F261" s="156"/>
      <c r="G261" s="436"/>
      <c r="H261" s="442" t="str">
        <f>OBRA!AD260</f>
        <v>-</v>
      </c>
      <c r="I261" s="438"/>
      <c r="J261" s="444" t="str">
        <f>OBRA!AE260</f>
        <v>-</v>
      </c>
      <c r="K261" s="439"/>
      <c r="L261" s="442" t="str">
        <f>OBRA!AF260</f>
        <v>-</v>
      </c>
      <c r="M261" s="440"/>
      <c r="N261" s="442" t="str">
        <f>OBRA!AG260</f>
        <v>-</v>
      </c>
      <c r="O261" s="152"/>
      <c r="P261" s="152"/>
      <c r="Q261" s="441"/>
      <c r="R261" s="445" t="str">
        <f>OBRA!AH260</f>
        <v>-</v>
      </c>
      <c r="S261" s="349"/>
      <c r="T261" s="446" t="str">
        <f>OBRA!U260</f>
        <v>ING. SERGIO CABRERA</v>
      </c>
      <c r="U261" s="447" t="str">
        <f>OBRA!V260</f>
        <v>ING. ANGEL ALBERTO HERNANDEZ MORA</v>
      </c>
      <c r="V261" s="1281"/>
      <c r="W261" s="35" t="str">
        <f>OBRA!L260</f>
        <v>GMJ 035C OP/2017</v>
      </c>
      <c r="X261" s="13"/>
      <c r="Y261" s="13"/>
      <c r="Z261" s="448" t="str">
        <f>OBRA!K260</f>
        <v>RAMO 33</v>
      </c>
      <c r="AA261" s="13"/>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428">
        <f>OBRA!S260</f>
        <v>42970</v>
      </c>
      <c r="AH261" s="54"/>
      <c r="AI261" s="231"/>
      <c r="AJ261" s="267"/>
      <c r="AK261" s="267"/>
      <c r="AL261" s="432"/>
      <c r="AM261" s="573" t="str">
        <f>GRAL!B262</f>
        <v>2015-2018</v>
      </c>
      <c r="AN261" s="574"/>
      <c r="AO261" s="13"/>
    </row>
    <row r="262" spans="1:41" ht="30" hidden="1" customHeight="1">
      <c r="A262" s="166">
        <f>OBRA!I261</f>
        <v>2017</v>
      </c>
      <c r="B262" s="2036"/>
      <c r="C262" s="433"/>
      <c r="D262" s="154"/>
      <c r="E262" s="156"/>
      <c r="F262" s="156"/>
      <c r="G262" s="436"/>
      <c r="H262" s="442" t="str">
        <f>OBRA!AD261</f>
        <v>-</v>
      </c>
      <c r="I262" s="438"/>
      <c r="J262" s="444" t="str">
        <f>OBRA!AE261</f>
        <v>-</v>
      </c>
      <c r="K262" s="439"/>
      <c r="L262" s="442" t="str">
        <f>OBRA!AF261</f>
        <v>-</v>
      </c>
      <c r="M262" s="440"/>
      <c r="N262" s="442" t="str">
        <f>OBRA!AG261</f>
        <v>-</v>
      </c>
      <c r="O262" s="152"/>
      <c r="P262" s="152"/>
      <c r="Q262" s="441"/>
      <c r="R262" s="445" t="str">
        <f>OBRA!AH261</f>
        <v>-</v>
      </c>
      <c r="S262" s="349"/>
      <c r="T262" s="446" t="str">
        <f>OBRA!U261</f>
        <v>ING. SERGIO CABRERA</v>
      </c>
      <c r="U262" s="447" t="str">
        <f>OBRA!V261</f>
        <v>ING. ANGEL ALBERTO HERNANDEZ MORA</v>
      </c>
      <c r="V262" s="1281"/>
      <c r="W262" s="35" t="str">
        <f>OBRA!L261</f>
        <v>GMJ 036C OP/2017</v>
      </c>
      <c r="X262" s="13"/>
      <c r="Y262" s="13"/>
      <c r="Z262" s="448" t="str">
        <f>OBRA!K261</f>
        <v>RAMO 33</v>
      </c>
      <c r="AA262" s="13"/>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428">
        <f>OBRA!S261</f>
        <v>42985</v>
      </c>
      <c r="AH262" s="54"/>
      <c r="AI262" s="231"/>
      <c r="AJ262" s="267"/>
      <c r="AK262" s="267"/>
      <c r="AL262" s="432"/>
      <c r="AM262" s="573" t="str">
        <f>GRAL!B263</f>
        <v>2015-2018</v>
      </c>
      <c r="AN262" s="574"/>
      <c r="AO262" s="13"/>
    </row>
    <row r="263" spans="1:41" ht="30" hidden="1" customHeight="1">
      <c r="A263" s="166">
        <f>OBRA!I262</f>
        <v>2017</v>
      </c>
      <c r="B263" s="2036"/>
      <c r="C263" s="433"/>
      <c r="D263" s="154"/>
      <c r="E263" s="156"/>
      <c r="F263" s="156"/>
      <c r="G263" s="436"/>
      <c r="H263" s="442" t="str">
        <f>OBRA!AD262</f>
        <v>-</v>
      </c>
      <c r="I263" s="438"/>
      <c r="J263" s="444" t="str">
        <f>OBRA!AE262</f>
        <v>-</v>
      </c>
      <c r="K263" s="439"/>
      <c r="L263" s="442" t="str">
        <f>OBRA!AF262</f>
        <v>-</v>
      </c>
      <c r="M263" s="440"/>
      <c r="N263" s="442" t="str">
        <f>OBRA!AG262</f>
        <v>-</v>
      </c>
      <c r="O263" s="152"/>
      <c r="P263" s="152"/>
      <c r="Q263" s="441"/>
      <c r="R263" s="445" t="str">
        <f>OBRA!AH262</f>
        <v>-</v>
      </c>
      <c r="S263" s="349"/>
      <c r="T263" s="446" t="str">
        <f>OBRA!U262</f>
        <v>ING. SERGIO CABRERA</v>
      </c>
      <c r="U263" s="447" t="str">
        <f>OBRA!V262</f>
        <v>ING. ANGEL ALBERTO HERNANDEZ MORA</v>
      </c>
      <c r="V263" s="1281"/>
      <c r="W263" s="35" t="str">
        <f>OBRA!L262</f>
        <v>GMJ 037C OP/2017</v>
      </c>
      <c r="X263" s="13"/>
      <c r="Y263" s="13"/>
      <c r="Z263" s="448" t="str">
        <f>OBRA!K262</f>
        <v>RAMO 33</v>
      </c>
      <c r="AA263" s="13"/>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428">
        <f>OBRA!S262</f>
        <v>42957</v>
      </c>
      <c r="AH263" s="54"/>
      <c r="AI263" s="231"/>
      <c r="AJ263" s="267"/>
      <c r="AK263" s="267"/>
      <c r="AL263" s="432"/>
      <c r="AM263" s="573" t="str">
        <f>GRAL!B264</f>
        <v>2015-2018</v>
      </c>
      <c r="AN263" s="574"/>
      <c r="AO263" s="13"/>
    </row>
    <row r="264" spans="1:41" ht="30" hidden="1" customHeight="1">
      <c r="A264" s="166">
        <f>OBRA!I263</f>
        <v>2017</v>
      </c>
      <c r="B264" s="2036"/>
      <c r="C264" s="433"/>
      <c r="D264" s="154"/>
      <c r="E264" s="156"/>
      <c r="F264" s="156"/>
      <c r="G264" s="436"/>
      <c r="H264" s="442" t="str">
        <f>OBRA!AD263</f>
        <v>-</v>
      </c>
      <c r="I264" s="438"/>
      <c r="J264" s="444" t="str">
        <f>OBRA!AE263</f>
        <v>-</v>
      </c>
      <c r="K264" s="439"/>
      <c r="L264" s="442" t="str">
        <f>OBRA!AF263</f>
        <v>-</v>
      </c>
      <c r="M264" s="440"/>
      <c r="N264" s="442" t="str">
        <f>OBRA!AG263</f>
        <v>-</v>
      </c>
      <c r="O264" s="152"/>
      <c r="P264" s="152"/>
      <c r="Q264" s="441"/>
      <c r="R264" s="445" t="str">
        <f>OBRA!AH263</f>
        <v>-</v>
      </c>
      <c r="S264" s="349"/>
      <c r="T264" s="446" t="str">
        <f>OBRA!U263</f>
        <v>ING. SERGIO CABRERA</v>
      </c>
      <c r="U264" s="447" t="str">
        <f>OBRA!V263</f>
        <v>ING. ANGEL ALBERTO HERNANDEZ MORA</v>
      </c>
      <c r="V264" s="1281"/>
      <c r="W264" s="35" t="str">
        <f>OBRA!L263</f>
        <v>GMJ 038C OP/2017</v>
      </c>
      <c r="X264" s="13"/>
      <c r="Y264" s="13"/>
      <c r="Z264" s="448" t="str">
        <f>OBRA!K263</f>
        <v>RAMO 33</v>
      </c>
      <c r="AA264" s="13"/>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428">
        <f>OBRA!S263</f>
        <v>42995</v>
      </c>
      <c r="AH264" s="54"/>
      <c r="AI264" s="231"/>
      <c r="AJ264" s="267"/>
      <c r="AK264" s="267"/>
      <c r="AL264" s="432"/>
      <c r="AM264" s="573" t="str">
        <f>GRAL!B265</f>
        <v>2015-2018</v>
      </c>
      <c r="AN264" s="574"/>
      <c r="AO264" s="13"/>
    </row>
    <row r="265" spans="1:41" s="110" customFormat="1" ht="30" hidden="1" customHeight="1">
      <c r="A265" s="956">
        <f>OBRA!I264</f>
        <v>2017</v>
      </c>
      <c r="B265" s="2037"/>
      <c r="C265" s="957"/>
      <c r="D265" s="155"/>
      <c r="E265" s="157"/>
      <c r="F265" s="157"/>
      <c r="G265" s="958"/>
      <c r="H265" s="158">
        <f>OBRA!AD264</f>
        <v>0</v>
      </c>
      <c r="I265" s="456"/>
      <c r="J265" s="117">
        <f>OBRA!AE264</f>
        <v>0</v>
      </c>
      <c r="K265" s="960"/>
      <c r="L265" s="158">
        <f>OBRA!AF264</f>
        <v>0</v>
      </c>
      <c r="M265" s="959"/>
      <c r="N265" s="158">
        <f>OBRA!AG264</f>
        <v>0</v>
      </c>
      <c r="O265" s="158"/>
      <c r="P265" s="158"/>
      <c r="Q265" s="960"/>
      <c r="R265" s="459">
        <f>OBRA!AH264</f>
        <v>0</v>
      </c>
      <c r="S265" s="967"/>
      <c r="T265" s="460">
        <f>OBRA!U264</f>
        <v>0</v>
      </c>
      <c r="U265" s="461">
        <f>OBRA!V264</f>
        <v>0</v>
      </c>
      <c r="V265" s="935"/>
      <c r="W265" s="35" t="str">
        <f>OBRA!L264</f>
        <v>GMJ 039C OP/2017</v>
      </c>
      <c r="X265" s="109"/>
      <c r="Y265" s="109"/>
      <c r="Z265" s="109">
        <f>OBRA!K264</f>
        <v>0</v>
      </c>
      <c r="AA265" s="109"/>
      <c r="AB265" s="203" t="str">
        <f>OBRA!M264</f>
        <v>CANCELADA</v>
      </c>
      <c r="AC265" s="112" t="str">
        <f>OBRA!N264</f>
        <v>CANCELADO</v>
      </c>
      <c r="AD265" s="92">
        <f>OBRA!P264</f>
        <v>0</v>
      </c>
      <c r="AE265" s="93">
        <f>OBRA!Q264</f>
        <v>0</v>
      </c>
      <c r="AF265" s="94">
        <f>OBRA!R264</f>
        <v>0</v>
      </c>
      <c r="AG265" s="429">
        <f>OBRA!S264</f>
        <v>0</v>
      </c>
      <c r="AH265" s="107"/>
      <c r="AI265" s="90"/>
      <c r="AJ265" s="102"/>
      <c r="AK265" s="102"/>
      <c r="AL265" s="103"/>
      <c r="AM265" s="392" t="str">
        <f>GRAL!B266</f>
        <v>2012-2015</v>
      </c>
      <c r="AN265" s="961"/>
      <c r="AO265" s="109"/>
    </row>
    <row r="266" spans="1:41" ht="30" hidden="1" customHeight="1">
      <c r="A266" s="166">
        <f>OBRA!I265</f>
        <v>2017</v>
      </c>
      <c r="B266" s="2036"/>
      <c r="C266" s="433"/>
      <c r="D266" s="154"/>
      <c r="E266" s="156"/>
      <c r="F266" s="156"/>
      <c r="G266" s="436"/>
      <c r="H266" s="442" t="str">
        <f>OBRA!AD265</f>
        <v>-</v>
      </c>
      <c r="I266" s="438"/>
      <c r="J266" s="444" t="str">
        <f>OBRA!AE265</f>
        <v>-</v>
      </c>
      <c r="K266" s="439"/>
      <c r="L266" s="442" t="str">
        <f>OBRA!AF265</f>
        <v>-</v>
      </c>
      <c r="M266" s="440"/>
      <c r="N266" s="442" t="str">
        <f>OBRA!AG265</f>
        <v>-</v>
      </c>
      <c r="O266" s="152"/>
      <c r="P266" s="152"/>
      <c r="Q266" s="441"/>
      <c r="R266" s="445" t="str">
        <f>OBRA!AH265</f>
        <v>-</v>
      </c>
      <c r="S266" s="349"/>
      <c r="T266" s="446" t="str">
        <f>OBRA!U265</f>
        <v>SERVICIOS ARQUITECTÓNICOS MOAPAL S.A. DE C.V.</v>
      </c>
      <c r="U266" s="447" t="str">
        <f>OBRA!V265</f>
        <v>ING. ANGEL ALBERTO HERNANDEZ MORA</v>
      </c>
      <c r="V266" s="1281"/>
      <c r="W266" s="35" t="str">
        <f>OBRA!L265</f>
        <v>GMJ 040C OP/2017</v>
      </c>
      <c r="X266" s="13"/>
      <c r="Y266" s="13"/>
      <c r="Z266" s="448" t="str">
        <f>OBRA!K265</f>
        <v>RAMO 33</v>
      </c>
      <c r="AA266" s="13"/>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428">
        <f>OBRA!S265</f>
        <v>43000</v>
      </c>
      <c r="AH266" s="54"/>
      <c r="AI266" s="231"/>
      <c r="AJ266" s="267"/>
      <c r="AK266" s="267"/>
      <c r="AL266" s="432"/>
      <c r="AM266" s="573" t="str">
        <f>GRAL!B267</f>
        <v>2015-2018</v>
      </c>
      <c r="AN266" s="574"/>
      <c r="AO266" s="13"/>
    </row>
    <row r="267" spans="1:41" ht="30" hidden="1" customHeight="1">
      <c r="A267" s="166">
        <f>OBRA!I266</f>
        <v>2017</v>
      </c>
      <c r="B267" s="2036"/>
      <c r="C267" s="433"/>
      <c r="D267" s="154"/>
      <c r="E267" s="156"/>
      <c r="F267" s="156"/>
      <c r="G267" s="436"/>
      <c r="H267" s="442" t="str">
        <f>OBRA!AD266</f>
        <v>-</v>
      </c>
      <c r="I267" s="438"/>
      <c r="J267" s="444" t="str">
        <f>OBRA!AE266</f>
        <v>-</v>
      </c>
      <c r="K267" s="439"/>
      <c r="L267" s="442" t="str">
        <f>OBRA!AF266</f>
        <v>-</v>
      </c>
      <c r="M267" s="440"/>
      <c r="N267" s="442" t="str">
        <f>OBRA!AG266</f>
        <v>-</v>
      </c>
      <c r="O267" s="152"/>
      <c r="P267" s="152"/>
      <c r="Q267" s="441"/>
      <c r="R267" s="445" t="str">
        <f>OBRA!AH266</f>
        <v>-</v>
      </c>
      <c r="S267" s="349"/>
      <c r="T267" s="446" t="str">
        <f>OBRA!U266</f>
        <v xml:space="preserve">GRUPO DESARROLLADOR INMOBILIARIO CEMERAMA S.A. DE C.V. </v>
      </c>
      <c r="U267" s="447" t="str">
        <f>OBRA!V266</f>
        <v>LIC. SALVADOR CONTRERAS OLGUÍN</v>
      </c>
      <c r="V267" s="1281"/>
      <c r="W267" s="35" t="str">
        <f>OBRA!L266</f>
        <v>GMJ 041C OP/2017</v>
      </c>
      <c r="X267" s="13"/>
      <c r="Y267" s="13"/>
      <c r="Z267" s="448" t="str">
        <f>OBRA!K266</f>
        <v>RAMO 33</v>
      </c>
      <c r="AA267" s="13"/>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428">
        <f>OBRA!S266</f>
        <v>42978</v>
      </c>
      <c r="AH267" s="54"/>
      <c r="AI267" s="231"/>
      <c r="AJ267" s="267"/>
      <c r="AK267" s="267"/>
      <c r="AL267" s="432"/>
      <c r="AM267" s="573" t="str">
        <f>GRAL!B268</f>
        <v>2015-2018</v>
      </c>
      <c r="AN267" s="574"/>
      <c r="AO267" s="13"/>
    </row>
    <row r="268" spans="1:41" ht="75.75" hidden="1" thickTop="1">
      <c r="A268" s="166">
        <f>OBRA!I267</f>
        <v>-2016</v>
      </c>
      <c r="B268" s="2036"/>
      <c r="C268" s="433"/>
      <c r="D268" s="154"/>
      <c r="E268" s="156"/>
      <c r="F268" s="156"/>
      <c r="G268" s="436"/>
      <c r="H268" s="442" t="str">
        <f>OBRA!AD267</f>
        <v>-</v>
      </c>
      <c r="I268" s="438"/>
      <c r="J268" s="444" t="str">
        <f>OBRA!AE267</f>
        <v>-</v>
      </c>
      <c r="K268" s="439"/>
      <c r="L268" s="442" t="str">
        <f>OBRA!AF267</f>
        <v>-</v>
      </c>
      <c r="M268" s="440"/>
      <c r="N268" s="442" t="str">
        <f>OBRA!AG267</f>
        <v>-</v>
      </c>
      <c r="O268" s="152"/>
      <c r="P268" s="152"/>
      <c r="Q268" s="441"/>
      <c r="R268" s="445" t="str">
        <f>OBRA!AH267</f>
        <v>-</v>
      </c>
      <c r="S268" s="349"/>
      <c r="T268" s="446" t="str">
        <f>OBRA!U267</f>
        <v>ENERGIAS RENOVABLES DE LA RIVERA S.A. DE C.V</v>
      </c>
      <c r="U268" s="447" t="str">
        <f>OBRA!V267</f>
        <v>ING. RIGOBERTO OLMEDO RAMOS</v>
      </c>
      <c r="V268" s="1281"/>
      <c r="W268" s="35" t="str">
        <f>OBRA!L267</f>
        <v>GMJ 042C OP/2017</v>
      </c>
      <c r="X268" s="13"/>
      <c r="Y268" s="13"/>
      <c r="Z268" s="448" t="str">
        <f>OBRA!K267</f>
        <v>RAMO 33</v>
      </c>
      <c r="AA268" s="13"/>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428">
        <f>OBRA!S267</f>
        <v>42973</v>
      </c>
      <c r="AH268" s="54"/>
      <c r="AI268" s="231"/>
      <c r="AJ268" s="267"/>
      <c r="AK268" s="267"/>
      <c r="AL268" s="432"/>
      <c r="AM268" s="573" t="str">
        <f>GRAL!B269</f>
        <v>2015-2018</v>
      </c>
      <c r="AN268" s="574"/>
      <c r="AO268" s="13"/>
    </row>
    <row r="269" spans="1:41" ht="30" hidden="1" customHeight="1">
      <c r="A269" s="166">
        <f>OBRA!I268</f>
        <v>2017</v>
      </c>
      <c r="B269" s="2036"/>
      <c r="C269" s="433"/>
      <c r="D269" s="154"/>
      <c r="E269" s="156"/>
      <c r="F269" s="156"/>
      <c r="G269" s="436"/>
      <c r="H269" s="442" t="str">
        <f>OBRA!AD268</f>
        <v>-</v>
      </c>
      <c r="I269" s="438"/>
      <c r="J269" s="444" t="str">
        <f>OBRA!AE268</f>
        <v>-</v>
      </c>
      <c r="K269" s="439"/>
      <c r="L269" s="442" t="str">
        <f>OBRA!AF268</f>
        <v>-</v>
      </c>
      <c r="M269" s="440"/>
      <c r="N269" s="442" t="str">
        <f>OBRA!AG268</f>
        <v>-</v>
      </c>
      <c r="O269" s="152"/>
      <c r="P269" s="152"/>
      <c r="Q269" s="441"/>
      <c r="R269" s="445" t="str">
        <f>OBRA!AH268</f>
        <v>-</v>
      </c>
      <c r="S269" s="349"/>
      <c r="T269" s="446" t="str">
        <f>OBRA!U268</f>
        <v>ELECTRIFICACIONES MUGA, S.A. DE C.V.</v>
      </c>
      <c r="U269" s="447" t="str">
        <f>OBRA!V268</f>
        <v>C. DANIEL RODRIGUEZ VALENZUELA</v>
      </c>
      <c r="V269" s="1281"/>
      <c r="W269" s="35" t="str">
        <f>OBRA!L268</f>
        <v>GMJ 043C OP/2017</v>
      </c>
      <c r="X269" s="13"/>
      <c r="Y269" s="13"/>
      <c r="Z269" s="448" t="str">
        <f>OBRA!K268</f>
        <v>CUENTA CORRIENTE</v>
      </c>
      <c r="AA269" s="13"/>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428">
        <f>OBRA!S268</f>
        <v>43158</v>
      </c>
      <c r="AH269" s="54"/>
      <c r="AI269" s="231"/>
      <c r="AJ269" s="267"/>
      <c r="AK269" s="267"/>
      <c r="AL269" s="432"/>
      <c r="AM269" s="573" t="str">
        <f>GRAL!B270</f>
        <v>2015-2018</v>
      </c>
      <c r="AN269" s="574"/>
      <c r="AO269" s="13"/>
    </row>
    <row r="270" spans="1:41" s="110" customFormat="1" ht="30" hidden="1" customHeight="1">
      <c r="A270" s="956">
        <f>OBRA!I269</f>
        <v>2017</v>
      </c>
      <c r="B270" s="2037"/>
      <c r="C270" s="957"/>
      <c r="D270" s="155"/>
      <c r="E270" s="157"/>
      <c r="F270" s="157"/>
      <c r="G270" s="958"/>
      <c r="H270" s="158">
        <f>OBRA!AD269</f>
        <v>0</v>
      </c>
      <c r="I270" s="456"/>
      <c r="J270" s="117">
        <f>OBRA!AE269</f>
        <v>0</v>
      </c>
      <c r="K270" s="960"/>
      <c r="L270" s="158">
        <f>OBRA!AF269</f>
        <v>0</v>
      </c>
      <c r="M270" s="959"/>
      <c r="N270" s="158">
        <f>OBRA!AG269</f>
        <v>0</v>
      </c>
      <c r="O270" s="158"/>
      <c r="P270" s="158"/>
      <c r="Q270" s="960"/>
      <c r="R270" s="459">
        <f>OBRA!AH269</f>
        <v>0</v>
      </c>
      <c r="S270" s="967"/>
      <c r="T270" s="460" t="str">
        <f>OBRA!U269</f>
        <v>-</v>
      </c>
      <c r="U270" s="461" t="str">
        <f>OBRA!V269</f>
        <v>-</v>
      </c>
      <c r="V270" s="935"/>
      <c r="W270" s="35" t="str">
        <f>OBRA!L269</f>
        <v>GMJ 044C OP/2017</v>
      </c>
      <c r="X270" s="109"/>
      <c r="Y270" s="109"/>
      <c r="Z270" s="109">
        <f>OBRA!K269</f>
        <v>0</v>
      </c>
      <c r="AA270" s="109"/>
      <c r="AB270" s="203" t="str">
        <f>OBRA!M269</f>
        <v>CANCELADA</v>
      </c>
      <c r="AC270" s="112">
        <f>OBRA!N269</f>
        <v>0</v>
      </c>
      <c r="AD270" s="92">
        <f>OBRA!P269</f>
        <v>0</v>
      </c>
      <c r="AE270" s="93">
        <f>OBRA!Q269</f>
        <v>0</v>
      </c>
      <c r="AF270" s="94">
        <f>OBRA!R269</f>
        <v>0</v>
      </c>
      <c r="AG270" s="429">
        <f>OBRA!S269</f>
        <v>0</v>
      </c>
      <c r="AH270" s="107"/>
      <c r="AI270" s="90"/>
      <c r="AJ270" s="102"/>
      <c r="AK270" s="102"/>
      <c r="AL270" s="103"/>
      <c r="AM270" s="392" t="str">
        <f>GRAL!B271</f>
        <v>2012-2015</v>
      </c>
      <c r="AN270" s="961"/>
      <c r="AO270" s="109"/>
    </row>
    <row r="271" spans="1:41" ht="178.5" hidden="1" customHeight="1">
      <c r="A271" s="166">
        <f>OBRA!I270</f>
        <v>2017</v>
      </c>
      <c r="B271" s="2036"/>
      <c r="C271" s="450"/>
      <c r="D271" s="179" t="s">
        <v>2455</v>
      </c>
      <c r="E271" s="178" t="s">
        <v>2456</v>
      </c>
      <c r="F271" s="178" t="s">
        <v>2421</v>
      </c>
      <c r="G271" s="452"/>
      <c r="H271" s="643">
        <f>OBRA!AD270</f>
        <v>42970</v>
      </c>
      <c r="I271" s="452"/>
      <c r="J271" s="644">
        <f>OBRA!AE270</f>
        <v>42971</v>
      </c>
      <c r="K271" s="452"/>
      <c r="L271" s="643">
        <f>OBRA!AF270</f>
        <v>42972</v>
      </c>
      <c r="M271" s="1006"/>
      <c r="N271" s="643">
        <f>OBRA!AG270</f>
        <v>42975</v>
      </c>
      <c r="O271" s="176" t="s">
        <v>2384</v>
      </c>
      <c r="P271" s="648">
        <v>0.3888888888888889</v>
      </c>
      <c r="Q271" s="452"/>
      <c r="R271" s="642">
        <f>OBRA!AH270</f>
        <v>42976</v>
      </c>
      <c r="S271" s="587" t="s">
        <v>2416</v>
      </c>
      <c r="T271" s="446" t="str">
        <f>OBRA!U270</f>
        <v xml:space="preserve">GRUPO DESARROLLADOR INMOBILIARIO CEMERAMA S.A. DE C.V. </v>
      </c>
      <c r="U271" s="447" t="str">
        <f>OBRA!V270</f>
        <v xml:space="preserve">LIC. SALVADOR CONTRERAS </v>
      </c>
      <c r="V271" s="1281"/>
      <c r="W271" s="35" t="str">
        <f>OBRA!L270</f>
        <v>GMJ 045C OP/2017</v>
      </c>
      <c r="X271" s="453"/>
      <c r="Y271" s="672" t="s">
        <v>2457</v>
      </c>
      <c r="Z271" s="448" t="str">
        <f>OBRA!K270</f>
        <v>FONDEREG</v>
      </c>
      <c r="AA271" s="451"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428">
        <f>OBRA!S270</f>
        <v>43054</v>
      </c>
      <c r="AH271" s="54"/>
      <c r="AI271" s="266" t="s">
        <v>2344</v>
      </c>
      <c r="AJ271" s="1012"/>
      <c r="AK271" s="1012"/>
      <c r="AL271" s="1011"/>
      <c r="AM271" s="573" t="str">
        <f>GRAL!B272</f>
        <v>2015-2018</v>
      </c>
      <c r="AN271" s="1001" t="s">
        <v>551</v>
      </c>
      <c r="AO271" s="13"/>
    </row>
    <row r="272" spans="1:41" ht="179.25" hidden="1" customHeight="1">
      <c r="A272" s="166">
        <f>OBRA!I271</f>
        <v>2017</v>
      </c>
      <c r="B272" s="2036"/>
      <c r="C272" s="670"/>
      <c r="D272" s="179" t="s">
        <v>2455</v>
      </c>
      <c r="E272" s="178" t="s">
        <v>2456</v>
      </c>
      <c r="F272" s="178" t="s">
        <v>2421</v>
      </c>
      <c r="G272" s="452"/>
      <c r="H272" s="643">
        <f>OBRA!AD271</f>
        <v>42936</v>
      </c>
      <c r="I272" s="553"/>
      <c r="J272" s="644">
        <f>OBRA!AE271</f>
        <v>42961</v>
      </c>
      <c r="K272" s="553"/>
      <c r="L272" s="643">
        <f>OBRA!AF271</f>
        <v>42963</v>
      </c>
      <c r="M272" s="553"/>
      <c r="N272" s="643">
        <f>OBRA!AG271</f>
        <v>42970</v>
      </c>
      <c r="O272" s="176" t="s">
        <v>2384</v>
      </c>
      <c r="P272" s="648">
        <v>0.3888888888888889</v>
      </c>
      <c r="Q272" s="452"/>
      <c r="R272" s="642">
        <f>OBRA!AH271</f>
        <v>42975</v>
      </c>
      <c r="S272" s="587" t="s">
        <v>2459</v>
      </c>
      <c r="T272" s="446" t="str">
        <f>OBRA!U271</f>
        <v>PROYECCION INTEGRAL ZURE S.A. DE C.V.</v>
      </c>
      <c r="U272" s="447" t="str">
        <f>OBRA!V271</f>
        <v xml:space="preserve">LIC. SALVADOR CONTRERAS </v>
      </c>
      <c r="V272" s="1281"/>
      <c r="W272" s="35" t="str">
        <f>OBRA!L271</f>
        <v>GMJ 046C OP/2017</v>
      </c>
      <c r="X272" s="453"/>
      <c r="Y272" s="672" t="s">
        <v>2460</v>
      </c>
      <c r="Z272" s="448" t="str">
        <f>OBRA!K271</f>
        <v>FOCOCI</v>
      </c>
      <c r="AA272" s="329"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428">
        <f>OBRA!S271</f>
        <v>43049</v>
      </c>
      <c r="AH272" s="54"/>
      <c r="AI272" s="266" t="s">
        <v>2344</v>
      </c>
      <c r="AJ272" s="1012"/>
      <c r="AK272" s="1012"/>
      <c r="AL272" s="1011"/>
      <c r="AM272" s="573" t="str">
        <f>GRAL!B273</f>
        <v>2015-2018</v>
      </c>
      <c r="AN272" s="1001" t="s">
        <v>551</v>
      </c>
      <c r="AO272" s="13"/>
    </row>
    <row r="273" spans="1:41" ht="120" hidden="1" customHeight="1">
      <c r="A273" s="166">
        <f>OBRA!I272</f>
        <v>-2016</v>
      </c>
      <c r="B273" s="2036"/>
      <c r="C273" s="433"/>
      <c r="D273" s="154"/>
      <c r="E273" s="156"/>
      <c r="F273" s="156"/>
      <c r="G273" s="436"/>
      <c r="H273" s="442" t="str">
        <f>OBRA!AD272</f>
        <v>-</v>
      </c>
      <c r="I273" s="438"/>
      <c r="J273" s="444" t="str">
        <f>OBRA!AE272</f>
        <v>-</v>
      </c>
      <c r="K273" s="439"/>
      <c r="L273" s="442" t="str">
        <f>OBRA!AF272</f>
        <v>-</v>
      </c>
      <c r="M273" s="440"/>
      <c r="N273" s="442" t="str">
        <f>OBRA!AG272</f>
        <v>-</v>
      </c>
      <c r="O273" s="152"/>
      <c r="P273" s="152"/>
      <c r="Q273" s="441"/>
      <c r="R273" s="445" t="str">
        <f>OBRA!AH272</f>
        <v>-</v>
      </c>
      <c r="S273" s="349"/>
      <c r="T273" s="446" t="str">
        <f>OBRA!U272</f>
        <v>CONSTRUCTORA DALMA S.A. DE C.V.</v>
      </c>
      <c r="U273" s="447" t="str">
        <f>OBRA!V272</f>
        <v>ARQ. FRANCISCO SALAZAR</v>
      </c>
      <c r="V273" s="1281"/>
      <c r="W273" s="20" t="str">
        <f>OBRA!L272</f>
        <v>GMJ 047C OP/2017</v>
      </c>
      <c r="X273" s="13"/>
      <c r="Y273" s="13" t="s">
        <v>2462</v>
      </c>
      <c r="Z273" s="448" t="str">
        <f>OBRA!K272</f>
        <v>FOREMODA</v>
      </c>
      <c r="AA273" s="13"/>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428">
        <f>OBRA!S272</f>
        <v>43087</v>
      </c>
      <c r="AH273" s="54"/>
      <c r="AI273" s="231"/>
      <c r="AJ273" s="267"/>
      <c r="AK273" s="267"/>
      <c r="AL273" s="432"/>
      <c r="AM273" s="573" t="str">
        <f>GRAL!B274</f>
        <v>2015-2018</v>
      </c>
      <c r="AN273" s="574"/>
      <c r="AO273" s="13"/>
    </row>
    <row r="274" spans="1:41" ht="30" hidden="1" customHeight="1">
      <c r="A274" s="166">
        <f>OBRA!I273</f>
        <v>2017</v>
      </c>
      <c r="B274" s="2036"/>
      <c r="C274" s="433"/>
      <c r="D274" s="154"/>
      <c r="E274" s="156"/>
      <c r="F274" s="156"/>
      <c r="G274" s="436"/>
      <c r="H274" s="442" t="str">
        <f>OBRA!AD273</f>
        <v>-</v>
      </c>
      <c r="I274" s="438"/>
      <c r="J274" s="444" t="str">
        <f>OBRA!AE273</f>
        <v>-</v>
      </c>
      <c r="K274" s="439"/>
      <c r="L274" s="442" t="str">
        <f>OBRA!AF273</f>
        <v>-</v>
      </c>
      <c r="M274" s="440"/>
      <c r="N274" s="442" t="str">
        <f>OBRA!AG273</f>
        <v>-</v>
      </c>
      <c r="O274" s="152"/>
      <c r="P274" s="152"/>
      <c r="Q274" s="441"/>
      <c r="R274" s="445" t="str">
        <f>OBRA!AH273</f>
        <v>-</v>
      </c>
      <c r="S274" s="349"/>
      <c r="T274" s="446" t="str">
        <f>OBRA!U273</f>
        <v>ASFALTOS GUADALAJARA, S.A.P.I. DE C.V.</v>
      </c>
      <c r="U274" s="447" t="str">
        <f>OBRA!V273</f>
        <v>ING. ANGEL ALBERTO HERNANDEZ MORA</v>
      </c>
      <c r="V274" s="1281"/>
      <c r="W274" s="20" t="str">
        <f>OBRA!L273</f>
        <v>GMJ 048C OP/2017</v>
      </c>
      <c r="X274" s="13"/>
      <c r="Y274" s="13" t="s">
        <v>2463</v>
      </c>
      <c r="Z274" s="448" t="str">
        <f>OBRA!K273</f>
        <v>CUENTA CORRIENTE</v>
      </c>
      <c r="AA274" s="13"/>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428">
        <f>OBRA!S273</f>
        <v>43008</v>
      </c>
      <c r="AH274" s="54"/>
      <c r="AI274" s="231"/>
      <c r="AJ274" s="267"/>
      <c r="AK274" s="267"/>
      <c r="AL274" s="432"/>
      <c r="AM274" s="573" t="str">
        <f>GRAL!B275</f>
        <v>2015-2018</v>
      </c>
      <c r="AN274" s="574"/>
      <c r="AO274" s="13"/>
    </row>
    <row r="275" spans="1:41" ht="30" hidden="1" customHeight="1">
      <c r="A275" s="166">
        <f>OBRA!I274</f>
        <v>2017</v>
      </c>
      <c r="B275" s="2036"/>
      <c r="C275" s="433"/>
      <c r="D275" s="154"/>
      <c r="E275" s="156"/>
      <c r="F275" s="156"/>
      <c r="G275" s="436"/>
      <c r="H275" s="442" t="str">
        <f>OBRA!AD274</f>
        <v>-</v>
      </c>
      <c r="I275" s="438"/>
      <c r="J275" s="444" t="str">
        <f>OBRA!AE274</f>
        <v>-</v>
      </c>
      <c r="K275" s="439"/>
      <c r="L275" s="442" t="str">
        <f>OBRA!AF274</f>
        <v>-</v>
      </c>
      <c r="M275" s="440"/>
      <c r="N275" s="442" t="str">
        <f>OBRA!AG274</f>
        <v>-</v>
      </c>
      <c r="O275" s="152"/>
      <c r="P275" s="152"/>
      <c r="Q275" s="441"/>
      <c r="R275" s="445" t="str">
        <f>OBRA!AH274</f>
        <v>-</v>
      </c>
      <c r="S275" s="349"/>
      <c r="T275" s="446" t="str">
        <f>OBRA!U274</f>
        <v>ASFALTOS GUADALAJARA, S.A.P.I. DE C.V.</v>
      </c>
      <c r="U275" s="447" t="str">
        <f>OBRA!V274</f>
        <v>ING. ANGEL ALBERTO HERNANDEZ MORA</v>
      </c>
      <c r="V275" s="1281"/>
      <c r="W275" s="20" t="str">
        <f>OBRA!L274</f>
        <v>GMJ 049C OP/2017</v>
      </c>
      <c r="X275" s="13"/>
      <c r="Y275" s="13"/>
      <c r="Z275" s="448" t="str">
        <f>OBRA!K274</f>
        <v>CUENTA CORRIENTE</v>
      </c>
      <c r="AA275" s="13"/>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428">
        <f>OBRA!S274</f>
        <v>43053</v>
      </c>
      <c r="AH275" s="54"/>
      <c r="AI275" s="231"/>
      <c r="AJ275" s="267"/>
      <c r="AK275" s="267"/>
      <c r="AL275" s="432"/>
      <c r="AM275" s="573" t="str">
        <f>GRAL!B276</f>
        <v>2015-2018</v>
      </c>
      <c r="AN275" s="574"/>
      <c r="AO275" s="13"/>
    </row>
    <row r="276" spans="1:41" ht="30" hidden="1" customHeight="1">
      <c r="A276" s="166">
        <f>OBRA!I275</f>
        <v>2017</v>
      </c>
      <c r="B276" s="2036"/>
      <c r="C276" s="433"/>
      <c r="D276" s="154"/>
      <c r="E276" s="156"/>
      <c r="F276" s="156"/>
      <c r="G276" s="436"/>
      <c r="H276" s="442" t="str">
        <f>OBRA!AD275</f>
        <v>-</v>
      </c>
      <c r="I276" s="438"/>
      <c r="J276" s="444" t="str">
        <f>OBRA!AE275</f>
        <v>-</v>
      </c>
      <c r="K276" s="439"/>
      <c r="L276" s="442" t="str">
        <f>OBRA!AF275</f>
        <v>-</v>
      </c>
      <c r="M276" s="440"/>
      <c r="N276" s="442" t="str">
        <f>OBRA!AG275</f>
        <v>-</v>
      </c>
      <c r="O276" s="152"/>
      <c r="P276" s="152"/>
      <c r="Q276" s="441"/>
      <c r="R276" s="445" t="str">
        <f>OBRA!AH275</f>
        <v>-</v>
      </c>
      <c r="S276" s="349"/>
      <c r="T276" s="446" t="str">
        <f>OBRA!U275</f>
        <v>ASFALTOS GUADALAJARA, S.A.P.I. DE C.V.</v>
      </c>
      <c r="U276" s="447" t="str">
        <f>OBRA!V275</f>
        <v>ING. ANGEL ALBERTO HERNANDEZ MORA</v>
      </c>
      <c r="V276" s="1281"/>
      <c r="W276" s="20" t="str">
        <f>OBRA!L275</f>
        <v>GMJ 050C OP/2017</v>
      </c>
      <c r="X276" s="13"/>
      <c r="Y276" s="13"/>
      <c r="Z276" s="448" t="str">
        <f>OBRA!K275</f>
        <v>CUENTA CORRIENTE</v>
      </c>
      <c r="AA276" s="13"/>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428">
        <f>OBRA!S275</f>
        <v>43017</v>
      </c>
      <c r="AH276" s="54"/>
      <c r="AI276" s="231"/>
      <c r="AJ276" s="267"/>
      <c r="AK276" s="267"/>
      <c r="AL276" s="432"/>
      <c r="AM276" s="573" t="str">
        <f>GRAL!B277</f>
        <v>2015-2018</v>
      </c>
      <c r="AN276" s="574"/>
      <c r="AO276" s="13"/>
    </row>
    <row r="277" spans="1:41" ht="30" hidden="1" customHeight="1">
      <c r="A277" s="166">
        <f>OBRA!I276</f>
        <v>2017</v>
      </c>
      <c r="B277" s="2036"/>
      <c r="C277" s="433"/>
      <c r="D277" s="154"/>
      <c r="E277" s="156"/>
      <c r="F277" s="156"/>
      <c r="G277" s="436"/>
      <c r="H277" s="442" t="str">
        <f>OBRA!AD276</f>
        <v>-</v>
      </c>
      <c r="I277" s="438"/>
      <c r="J277" s="444" t="str">
        <f>OBRA!AE276</f>
        <v>-</v>
      </c>
      <c r="K277" s="439"/>
      <c r="L277" s="442" t="str">
        <f>OBRA!AF276</f>
        <v>-</v>
      </c>
      <c r="M277" s="440"/>
      <c r="N277" s="442" t="str">
        <f>OBRA!AG276</f>
        <v>-</v>
      </c>
      <c r="O277" s="152"/>
      <c r="P277" s="152"/>
      <c r="Q277" s="441"/>
      <c r="R277" s="445" t="str">
        <f>OBRA!AH276</f>
        <v>-</v>
      </c>
      <c r="S277" s="349"/>
      <c r="T277" s="446" t="str">
        <f>OBRA!U276</f>
        <v>ING. SERGIO CABRERA</v>
      </c>
      <c r="U277" s="447" t="str">
        <f>OBRA!V276</f>
        <v>ING. J. GUADALUPE IBARRA RAMIREZ</v>
      </c>
      <c r="V277" s="1281"/>
      <c r="W277" s="20" t="str">
        <f>OBRA!L276</f>
        <v>GMJ 051C OP/2017</v>
      </c>
      <c r="X277" s="13"/>
      <c r="Y277" s="13"/>
      <c r="Z277" s="448" t="str">
        <f>OBRA!K276</f>
        <v>Fondo de proyectos para el Desarrollo Regional</v>
      </c>
      <c r="AA277" s="13"/>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428">
        <f>OBRA!S276</f>
        <v>43084</v>
      </c>
      <c r="AH277" s="54"/>
      <c r="AI277" s="231"/>
      <c r="AJ277" s="267"/>
      <c r="AK277" s="267"/>
      <c r="AL277" s="432"/>
      <c r="AM277" s="573" t="str">
        <f>GRAL!B278</f>
        <v>2015-2018</v>
      </c>
      <c r="AN277" s="574"/>
      <c r="AO277" s="13"/>
    </row>
    <row r="278" spans="1:41" s="110" customFormat="1" ht="30" hidden="1" customHeight="1">
      <c r="A278" s="956">
        <f>OBRA!I277</f>
        <v>2017</v>
      </c>
      <c r="B278" s="2037"/>
      <c r="C278" s="957"/>
      <c r="D278" s="155"/>
      <c r="E278" s="157"/>
      <c r="F278" s="157"/>
      <c r="G278" s="958"/>
      <c r="H278" s="158">
        <f>OBRA!AD277</f>
        <v>0</v>
      </c>
      <c r="I278" s="456"/>
      <c r="J278" s="117">
        <f>OBRA!AE277</f>
        <v>0</v>
      </c>
      <c r="K278" s="960"/>
      <c r="L278" s="158">
        <f>OBRA!AF277</f>
        <v>0</v>
      </c>
      <c r="M278" s="959"/>
      <c r="N278" s="158">
        <f>OBRA!AG277</f>
        <v>0</v>
      </c>
      <c r="O278" s="158"/>
      <c r="P278" s="158"/>
      <c r="Q278" s="960"/>
      <c r="R278" s="459">
        <f>OBRA!AH277</f>
        <v>0</v>
      </c>
      <c r="S278" s="967"/>
      <c r="T278" s="460">
        <f>OBRA!U277</f>
        <v>0</v>
      </c>
      <c r="U278" s="461">
        <f>OBRA!V277</f>
        <v>0</v>
      </c>
      <c r="V278" s="935"/>
      <c r="W278" s="955" t="str">
        <f>OBRA!L277</f>
        <v>GMJ 052C OP/2017</v>
      </c>
      <c r="X278" s="109"/>
      <c r="Y278" s="109"/>
      <c r="Z278" s="109">
        <f>OBRA!K277</f>
        <v>0</v>
      </c>
      <c r="AA278" s="109"/>
      <c r="AB278" s="203" t="str">
        <f>OBRA!M277</f>
        <v>CANCELADA</v>
      </c>
      <c r="AC278" s="112" t="str">
        <f>OBRA!N277</f>
        <v>CANCELADO</v>
      </c>
      <c r="AD278" s="92">
        <f>OBRA!P277</f>
        <v>0</v>
      </c>
      <c r="AE278" s="93">
        <f>OBRA!Q277</f>
        <v>0</v>
      </c>
      <c r="AF278" s="94">
        <f>OBRA!R277</f>
        <v>0</v>
      </c>
      <c r="AG278" s="429">
        <f>OBRA!S277</f>
        <v>0</v>
      </c>
      <c r="AH278" s="107"/>
      <c r="AI278" s="90"/>
      <c r="AJ278" s="102"/>
      <c r="AK278" s="102"/>
      <c r="AL278" s="103"/>
      <c r="AM278" s="392" t="str">
        <f>GRAL!B279</f>
        <v>2012-2015</v>
      </c>
      <c r="AN278" s="961"/>
      <c r="AO278" s="109"/>
    </row>
    <row r="279" spans="1:41" ht="60.75" hidden="1" thickTop="1">
      <c r="A279" s="166">
        <f>OBRA!I278</f>
        <v>-2016</v>
      </c>
      <c r="B279" s="2036"/>
      <c r="C279" s="433"/>
      <c r="D279" s="154"/>
      <c r="E279" s="156"/>
      <c r="F279" s="156"/>
      <c r="G279" s="436"/>
      <c r="H279" s="442" t="str">
        <f>OBRA!AD278</f>
        <v>-</v>
      </c>
      <c r="I279" s="438"/>
      <c r="J279" s="444" t="str">
        <f>OBRA!AE278</f>
        <v>-</v>
      </c>
      <c r="K279" s="439"/>
      <c r="L279" s="442" t="str">
        <f>OBRA!AF278</f>
        <v>-</v>
      </c>
      <c r="M279" s="440"/>
      <c r="N279" s="442" t="str">
        <f>OBRA!AG278</f>
        <v>-</v>
      </c>
      <c r="O279" s="152"/>
      <c r="P279" s="152"/>
      <c r="Q279" s="441"/>
      <c r="R279" s="445" t="str">
        <f>OBRA!AH278</f>
        <v>-</v>
      </c>
      <c r="S279" s="349"/>
      <c r="T279" s="446" t="str">
        <f>OBRA!U278</f>
        <v>C. JESSICA MONSERRAT RIVERA TORRES</v>
      </c>
      <c r="U279" s="447" t="str">
        <f>OBRA!V278</f>
        <v>ING. RIGOBERTO OLMEDO RAMOS</v>
      </c>
      <c r="V279" s="1281"/>
      <c r="W279" s="20" t="str">
        <f>OBRA!L278</f>
        <v>GMJ 053C OP/2017</v>
      </c>
      <c r="X279" s="13"/>
      <c r="Y279" s="13"/>
      <c r="Z279" s="448" t="str">
        <f>OBRA!K278</f>
        <v>RAMO 33</v>
      </c>
      <c r="AA279" s="13"/>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428">
        <f>OBRA!S278</f>
        <v>43023</v>
      </c>
      <c r="AH279" s="54"/>
      <c r="AI279" s="231"/>
      <c r="AJ279" s="267"/>
      <c r="AK279" s="267"/>
      <c r="AL279" s="432"/>
      <c r="AM279" s="573" t="str">
        <f>GRAL!B280</f>
        <v>2015-2018</v>
      </c>
      <c r="AN279" s="574"/>
      <c r="AO279" s="13"/>
    </row>
    <row r="280" spans="1:41" ht="30" hidden="1" customHeight="1">
      <c r="A280" s="166">
        <f>OBRA!I279</f>
        <v>2017</v>
      </c>
      <c r="B280" s="2036"/>
      <c r="C280" s="433"/>
      <c r="D280" s="154"/>
      <c r="E280" s="156"/>
      <c r="F280" s="156"/>
      <c r="G280" s="436"/>
      <c r="H280" s="442" t="str">
        <f>OBRA!AD279</f>
        <v>-</v>
      </c>
      <c r="I280" s="438"/>
      <c r="J280" s="444" t="str">
        <f>OBRA!AE279</f>
        <v>-</v>
      </c>
      <c r="K280" s="439"/>
      <c r="L280" s="442" t="str">
        <f>OBRA!AF279</f>
        <v>-</v>
      </c>
      <c r="M280" s="440"/>
      <c r="N280" s="442" t="str">
        <f>OBRA!AG279</f>
        <v>-</v>
      </c>
      <c r="O280" s="152"/>
      <c r="P280" s="152"/>
      <c r="Q280" s="441"/>
      <c r="R280" s="445" t="str">
        <f>OBRA!AH279</f>
        <v>-</v>
      </c>
      <c r="S280" s="349"/>
      <c r="T280" s="446" t="str">
        <f>OBRA!U279</f>
        <v>ING. MANUEL PALOS VACA</v>
      </c>
      <c r="U280" s="447" t="str">
        <f>OBRA!V279</f>
        <v>ING. ANGEL ALBERTO HERNANDEZ MORA</v>
      </c>
      <c r="V280" s="1281"/>
      <c r="W280" s="20" t="str">
        <f>OBRA!L279</f>
        <v>GMJ 054C OP/2017</v>
      </c>
      <c r="X280" s="13"/>
      <c r="Y280" s="13"/>
      <c r="Z280" s="448" t="str">
        <f>OBRA!K279</f>
        <v>CUENTA CORRIENTE</v>
      </c>
      <c r="AA280" s="13"/>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428">
        <f>OBRA!S279</f>
        <v>43007</v>
      </c>
      <c r="AH280" s="54"/>
      <c r="AI280" s="231"/>
      <c r="AJ280" s="267"/>
      <c r="AK280" s="267"/>
      <c r="AL280" s="432"/>
      <c r="AM280" s="573" t="str">
        <f>GRAL!B281</f>
        <v>2015-2018</v>
      </c>
      <c r="AN280" s="574"/>
      <c r="AO280" s="13"/>
    </row>
    <row r="281" spans="1:41" ht="30" hidden="1" customHeight="1">
      <c r="A281" s="166">
        <f>OBRA!I280</f>
        <v>2017</v>
      </c>
      <c r="B281" s="2036"/>
      <c r="C281" s="433"/>
      <c r="D281" s="154"/>
      <c r="E281" s="156"/>
      <c r="F281" s="156"/>
      <c r="G281" s="436"/>
      <c r="H281" s="442" t="str">
        <f>OBRA!AD280</f>
        <v>-</v>
      </c>
      <c r="I281" s="438"/>
      <c r="J281" s="444" t="str">
        <f>OBRA!AE280</f>
        <v>-</v>
      </c>
      <c r="K281" s="439"/>
      <c r="L281" s="442" t="str">
        <f>OBRA!AF280</f>
        <v>-</v>
      </c>
      <c r="M281" s="440"/>
      <c r="N281" s="442" t="str">
        <f>OBRA!AG280</f>
        <v>-</v>
      </c>
      <c r="O281" s="152"/>
      <c r="P281" s="152"/>
      <c r="Q281" s="441"/>
      <c r="R281" s="445" t="str">
        <f>OBRA!AH280</f>
        <v>-</v>
      </c>
      <c r="S281" s="349"/>
      <c r="T281" s="446" t="str">
        <f>OBRA!U280</f>
        <v>AGUA Y SANEAMIENTO AMBIENTAL S.A. DE C.V.</v>
      </c>
      <c r="U281" s="447" t="str">
        <f>OBRA!V280</f>
        <v>ING. JUAN MANUEL GARCIA ESCOTO</v>
      </c>
      <c r="V281" s="1281"/>
      <c r="W281" s="20" t="str">
        <f>OBRA!L280</f>
        <v>GMJ 055C OP/2017</v>
      </c>
      <c r="X281" s="13"/>
      <c r="Y281" s="13"/>
      <c r="Z281" s="448" t="str">
        <f>OBRA!K280</f>
        <v>CUENTA CORRIENTE</v>
      </c>
      <c r="AA281" s="13"/>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428">
        <f>OBRA!S280</f>
        <v>43084</v>
      </c>
      <c r="AH281" s="54"/>
      <c r="AI281" s="231"/>
      <c r="AJ281" s="267"/>
      <c r="AK281" s="267"/>
      <c r="AL281" s="432"/>
      <c r="AM281" s="573" t="str">
        <f>GRAL!B282</f>
        <v>2015-2018</v>
      </c>
      <c r="AN281" s="574"/>
      <c r="AO281" s="13"/>
    </row>
    <row r="282" spans="1:41" ht="30" hidden="1" customHeight="1">
      <c r="A282" s="166">
        <f>OBRA!I281</f>
        <v>2017</v>
      </c>
      <c r="B282" s="2036"/>
      <c r="C282" s="433"/>
      <c r="D282" s="154"/>
      <c r="E282" s="156"/>
      <c r="F282" s="156"/>
      <c r="G282" s="436"/>
      <c r="H282" s="442" t="str">
        <f>OBRA!AD281</f>
        <v>-</v>
      </c>
      <c r="I282" s="438"/>
      <c r="J282" s="444" t="str">
        <f>OBRA!AE281</f>
        <v>-</v>
      </c>
      <c r="K282" s="439"/>
      <c r="L282" s="442" t="str">
        <f>OBRA!AF281</f>
        <v>-</v>
      </c>
      <c r="M282" s="440"/>
      <c r="N282" s="442" t="str">
        <f>OBRA!AG281</f>
        <v>-</v>
      </c>
      <c r="O282" s="152"/>
      <c r="P282" s="152"/>
      <c r="Q282" s="441"/>
      <c r="R282" s="445" t="str">
        <f>OBRA!AH281</f>
        <v>-</v>
      </c>
      <c r="S282" s="349"/>
      <c r="T282" s="446" t="str">
        <f>OBRA!U281</f>
        <v>C. JOSÉ MIGUEL GARCIA VALLE</v>
      </c>
      <c r="U282" s="447" t="str">
        <f>OBRA!V281</f>
        <v>ARQ. JAIME CONDE GOMEZ</v>
      </c>
      <c r="V282" s="1281"/>
      <c r="W282" s="20" t="str">
        <f>OBRA!L281</f>
        <v>GMJ 056C OP/2017</v>
      </c>
      <c r="X282" s="13"/>
      <c r="Y282" s="13"/>
      <c r="Z282" s="448" t="str">
        <f>OBRA!K281</f>
        <v>RAMO 33</v>
      </c>
      <c r="AA282" s="13"/>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428">
        <f>OBRA!S281</f>
        <v>43086</v>
      </c>
      <c r="AH282" s="54"/>
      <c r="AI282" s="231"/>
      <c r="AJ282" s="267"/>
      <c r="AK282" s="267"/>
      <c r="AL282" s="432"/>
      <c r="AM282" s="573" t="str">
        <f>GRAL!B283</f>
        <v>2015-2018</v>
      </c>
      <c r="AN282" s="574"/>
      <c r="AO282" s="13"/>
    </row>
    <row r="283" spans="1:41" ht="30" hidden="1" customHeight="1">
      <c r="A283" s="166">
        <f>OBRA!I282</f>
        <v>2017</v>
      </c>
      <c r="B283" s="2036"/>
      <c r="C283" s="433"/>
      <c r="D283" s="154"/>
      <c r="E283" s="156"/>
      <c r="F283" s="156"/>
      <c r="G283" s="436"/>
      <c r="H283" s="442" t="str">
        <f>OBRA!AD282</f>
        <v>-</v>
      </c>
      <c r="I283" s="438"/>
      <c r="J283" s="444" t="str">
        <f>OBRA!AE282</f>
        <v>-</v>
      </c>
      <c r="K283" s="439"/>
      <c r="L283" s="442" t="str">
        <f>OBRA!AF282</f>
        <v>-</v>
      </c>
      <c r="M283" s="440"/>
      <c r="N283" s="442" t="str">
        <f>OBRA!AG282</f>
        <v>-</v>
      </c>
      <c r="O283" s="152"/>
      <c r="P283" s="152"/>
      <c r="Q283" s="441"/>
      <c r="R283" s="445" t="str">
        <f>OBRA!AH282</f>
        <v>-</v>
      </c>
      <c r="S283" s="349"/>
      <c r="T283" s="446" t="str">
        <f>OBRA!U282</f>
        <v>C. JOSÉ MIGUEL GARCIA VALLE</v>
      </c>
      <c r="U283" s="447" t="str">
        <f>OBRA!V282</f>
        <v>ARQ. JAIME CONDE GOMEZ</v>
      </c>
      <c r="V283" s="1281"/>
      <c r="W283" s="20" t="str">
        <f>OBRA!L282</f>
        <v>GMJ 057C OP/2017</v>
      </c>
      <c r="X283" s="13"/>
      <c r="Y283" s="13"/>
      <c r="Z283" s="448" t="str">
        <f>OBRA!K282</f>
        <v>RAMO 33</v>
      </c>
      <c r="AA283" s="13"/>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428">
        <f>OBRA!S282</f>
        <v>43081</v>
      </c>
      <c r="AH283" s="54"/>
      <c r="AI283" s="231"/>
      <c r="AJ283" s="267"/>
      <c r="AK283" s="267"/>
      <c r="AL283" s="432"/>
      <c r="AM283" s="573" t="str">
        <f>GRAL!B284</f>
        <v>2015-2018</v>
      </c>
      <c r="AN283" s="574"/>
      <c r="AO283" s="13"/>
    </row>
    <row r="284" spans="1:41" ht="30" hidden="1" customHeight="1">
      <c r="A284" s="166">
        <f>OBRA!I283</f>
        <v>2017</v>
      </c>
      <c r="B284" s="2036"/>
      <c r="C284" s="433"/>
      <c r="D284" s="154"/>
      <c r="E284" s="156"/>
      <c r="F284" s="156"/>
      <c r="G284" s="436"/>
      <c r="H284" s="442" t="str">
        <f>OBRA!AD283</f>
        <v>-</v>
      </c>
      <c r="I284" s="438"/>
      <c r="J284" s="444" t="str">
        <f>OBRA!AE283</f>
        <v>-</v>
      </c>
      <c r="K284" s="439"/>
      <c r="L284" s="442" t="str">
        <f>OBRA!AF283</f>
        <v>-</v>
      </c>
      <c r="M284" s="440"/>
      <c r="N284" s="442" t="str">
        <f>OBRA!AG283</f>
        <v>-</v>
      </c>
      <c r="O284" s="152"/>
      <c r="P284" s="152"/>
      <c r="Q284" s="441"/>
      <c r="R284" s="445" t="str">
        <f>OBRA!AH283</f>
        <v>-</v>
      </c>
      <c r="S284" s="349"/>
      <c r="T284" s="446" t="str">
        <f>OBRA!U283</f>
        <v>ING. PEDRO TOPETE LOPEZ</v>
      </c>
      <c r="U284" s="447" t="str">
        <f>OBRA!V283</f>
        <v>ING. ANGEL ALBERTO HERNANDEZ MORA</v>
      </c>
      <c r="V284" s="1281"/>
      <c r="W284" s="20" t="str">
        <f>OBRA!L283</f>
        <v>GMJ 058C OP/2017</v>
      </c>
      <c r="X284" s="13"/>
      <c r="Y284" s="13"/>
      <c r="Z284" s="448" t="str">
        <f>OBRA!K283</f>
        <v>RAMO 33</v>
      </c>
      <c r="AA284" s="13"/>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428">
        <f>OBRA!S283</f>
        <v>43078</v>
      </c>
      <c r="AH284" s="54"/>
      <c r="AI284" s="231"/>
      <c r="AJ284" s="267"/>
      <c r="AK284" s="267"/>
      <c r="AL284" s="432"/>
      <c r="AM284" s="573" t="str">
        <f>GRAL!B285</f>
        <v>2015-2018</v>
      </c>
      <c r="AN284" s="574"/>
      <c r="AO284" s="13"/>
    </row>
    <row r="285" spans="1:41" ht="30" hidden="1" customHeight="1">
      <c r="A285" s="166">
        <f>OBRA!I284</f>
        <v>2017</v>
      </c>
      <c r="B285" s="2036"/>
      <c r="C285" s="433"/>
      <c r="D285" s="154"/>
      <c r="E285" s="156"/>
      <c r="F285" s="156"/>
      <c r="G285" s="436"/>
      <c r="H285" s="442" t="str">
        <f>OBRA!AD284</f>
        <v>-</v>
      </c>
      <c r="I285" s="438"/>
      <c r="J285" s="444" t="str">
        <f>OBRA!AE284</f>
        <v>-</v>
      </c>
      <c r="K285" s="439"/>
      <c r="L285" s="442" t="str">
        <f>OBRA!AF284</f>
        <v>-</v>
      </c>
      <c r="M285" s="440"/>
      <c r="N285" s="442" t="str">
        <f>OBRA!AG284</f>
        <v>-</v>
      </c>
      <c r="O285" s="152"/>
      <c r="P285" s="152"/>
      <c r="Q285" s="441"/>
      <c r="R285" s="445" t="str">
        <f>OBRA!AH284</f>
        <v>-</v>
      </c>
      <c r="S285" s="349"/>
      <c r="T285" s="446" t="str">
        <f>OBRA!U284</f>
        <v>ING. SERGIO CABRERA</v>
      </c>
      <c r="U285" s="447" t="str">
        <f>OBRA!V284</f>
        <v>ING. J. GUADALUPE IBARRA RAMIREZ</v>
      </c>
      <c r="V285" s="1281"/>
      <c r="W285" s="20" t="str">
        <f>OBRA!L284</f>
        <v>GMJ 059C OP/2017</v>
      </c>
      <c r="X285" s="13"/>
      <c r="Y285" s="13"/>
      <c r="Z285" s="448" t="str">
        <f>OBRA!K284</f>
        <v>Fondo de proyectos para el Desarrollo Regional</v>
      </c>
      <c r="AA285" s="13"/>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428">
        <f>OBRA!S284</f>
        <v>43084</v>
      </c>
      <c r="AH285" s="54"/>
      <c r="AI285" s="231"/>
      <c r="AJ285" s="267"/>
      <c r="AK285" s="267"/>
      <c r="AL285" s="432"/>
      <c r="AM285" s="573" t="str">
        <f>GRAL!B286</f>
        <v>2015-2018</v>
      </c>
      <c r="AN285" s="574"/>
      <c r="AO285" s="13"/>
    </row>
    <row r="286" spans="1:41" ht="30" hidden="1" customHeight="1">
      <c r="A286" s="166">
        <f>OBRA!I285</f>
        <v>2017</v>
      </c>
      <c r="B286" s="2036"/>
      <c r="C286" s="433"/>
      <c r="D286" s="154"/>
      <c r="E286" s="156"/>
      <c r="F286" s="156"/>
      <c r="G286" s="436"/>
      <c r="H286" s="442" t="str">
        <f>OBRA!AD285</f>
        <v>-</v>
      </c>
      <c r="I286" s="438"/>
      <c r="J286" s="444" t="str">
        <f>OBRA!AE285</f>
        <v>-</v>
      </c>
      <c r="K286" s="439"/>
      <c r="L286" s="442" t="str">
        <f>OBRA!AF285</f>
        <v>-</v>
      </c>
      <c r="M286" s="440"/>
      <c r="N286" s="442" t="str">
        <f>OBRA!AG285</f>
        <v>-</v>
      </c>
      <c r="O286" s="152"/>
      <c r="P286" s="152"/>
      <c r="Q286" s="441"/>
      <c r="R286" s="445" t="str">
        <f>OBRA!AH285</f>
        <v>-</v>
      </c>
      <c r="S286" s="349"/>
      <c r="T286" s="446" t="str">
        <f>OBRA!U285</f>
        <v>ASFALTOS GUADALAJARA, S.A.P.I. DE C.V.</v>
      </c>
      <c r="U286" s="447" t="str">
        <f>OBRA!V285</f>
        <v>ING. ANGEL ALBERTO HERNANDEZ MORA</v>
      </c>
      <c r="V286" s="1281"/>
      <c r="W286" s="20" t="str">
        <f>OBRA!L285</f>
        <v>GMJ 060C OP/2017</v>
      </c>
      <c r="X286" s="13"/>
      <c r="Y286" s="13"/>
      <c r="Z286" s="448" t="str">
        <f>OBRA!K285</f>
        <v>CUENTA CORRIENTE</v>
      </c>
      <c r="AA286" s="13"/>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428">
        <f>OBRA!S285</f>
        <v>43075</v>
      </c>
      <c r="AH286" s="54"/>
      <c r="AI286" s="231"/>
      <c r="AJ286" s="267"/>
      <c r="AK286" s="267"/>
      <c r="AL286" s="432"/>
      <c r="AM286" s="573" t="str">
        <f>GRAL!B287</f>
        <v>2015-2018</v>
      </c>
      <c r="AN286" s="574"/>
      <c r="AO286" s="13"/>
    </row>
    <row r="287" spans="1:41" ht="30" hidden="1" customHeight="1">
      <c r="A287" s="166">
        <f>OBRA!I286</f>
        <v>2017</v>
      </c>
      <c r="B287" s="2036"/>
      <c r="C287" s="433"/>
      <c r="D287" s="154"/>
      <c r="E287" s="156"/>
      <c r="F287" s="156"/>
      <c r="G287" s="436"/>
      <c r="H287" s="442" t="str">
        <f>OBRA!AD286</f>
        <v>-</v>
      </c>
      <c r="I287" s="438"/>
      <c r="J287" s="444" t="str">
        <f>OBRA!AE286</f>
        <v>-</v>
      </c>
      <c r="K287" s="439"/>
      <c r="L287" s="442" t="str">
        <f>OBRA!AF286</f>
        <v>-</v>
      </c>
      <c r="M287" s="440"/>
      <c r="N287" s="442" t="str">
        <f>OBRA!AG286</f>
        <v>-</v>
      </c>
      <c r="O287" s="152"/>
      <c r="P287" s="152"/>
      <c r="Q287" s="441"/>
      <c r="R287" s="445" t="str">
        <f>OBRA!AH286</f>
        <v>-</v>
      </c>
      <c r="S287" s="349"/>
      <c r="T287" s="446" t="str">
        <f>OBRA!U286</f>
        <v>C. NORMA GORETY DOMINGUEZ CALVARIO</v>
      </c>
      <c r="U287" s="447" t="str">
        <f>OBRA!V286</f>
        <v>ING. JUAN MANUEL GARCIA ESCOTO</v>
      </c>
      <c r="V287" s="1281"/>
      <c r="W287" s="20" t="str">
        <f>OBRA!L286</f>
        <v>GMJ 061C OP/2017</v>
      </c>
      <c r="X287" s="13"/>
      <c r="Y287" s="13"/>
      <c r="Z287" s="448" t="str">
        <f>OBRA!K286</f>
        <v>RAMO 33</v>
      </c>
      <c r="AA287" s="13"/>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428">
        <f>OBRA!S286</f>
        <v>43099</v>
      </c>
      <c r="AH287" s="54"/>
      <c r="AI287" s="231"/>
      <c r="AJ287" s="267"/>
      <c r="AK287" s="267"/>
      <c r="AL287" s="432"/>
      <c r="AM287" s="573" t="str">
        <f>GRAL!B288</f>
        <v>2015-2018</v>
      </c>
      <c r="AN287" s="574"/>
      <c r="AO287" s="13"/>
    </row>
    <row r="288" spans="1:41" ht="30" hidden="1" customHeight="1">
      <c r="A288" s="166">
        <f>OBRA!I287</f>
        <v>2017</v>
      </c>
      <c r="B288" s="2036"/>
      <c r="C288" s="433"/>
      <c r="D288" s="154"/>
      <c r="E288" s="156"/>
      <c r="F288" s="156"/>
      <c r="G288" s="436"/>
      <c r="H288" s="442" t="str">
        <f>OBRA!AD287</f>
        <v>-</v>
      </c>
      <c r="I288" s="438"/>
      <c r="J288" s="444" t="str">
        <f>OBRA!AE287</f>
        <v>-</v>
      </c>
      <c r="K288" s="439"/>
      <c r="L288" s="442" t="str">
        <f>OBRA!AF287</f>
        <v>-</v>
      </c>
      <c r="M288" s="440"/>
      <c r="N288" s="442" t="str">
        <f>OBRA!AG287</f>
        <v>-</v>
      </c>
      <c r="O288" s="152"/>
      <c r="P288" s="152"/>
      <c r="Q288" s="441"/>
      <c r="R288" s="445" t="str">
        <f>OBRA!AH287</f>
        <v>-</v>
      </c>
      <c r="S288" s="349"/>
      <c r="T288" s="446" t="str">
        <f>OBRA!U287</f>
        <v>C. NORMA GORETY DOMINGUEZ CALVARIO</v>
      </c>
      <c r="U288" s="447" t="str">
        <f>OBRA!V287</f>
        <v>ING. JUAN MANUEL GARCIA ESCOTO</v>
      </c>
      <c r="V288" s="1281"/>
      <c r="W288" s="20" t="str">
        <f>OBRA!L287</f>
        <v>GMJ 062C OP/2017</v>
      </c>
      <c r="X288" s="13"/>
      <c r="Y288" s="13"/>
      <c r="Z288" s="448" t="str">
        <f>OBRA!K287</f>
        <v>RAMO 33</v>
      </c>
      <c r="AA288" s="13"/>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428">
        <f>OBRA!S287</f>
        <v>43099</v>
      </c>
      <c r="AH288" s="54"/>
      <c r="AI288" s="231"/>
      <c r="AJ288" s="267"/>
      <c r="AK288" s="267"/>
      <c r="AL288" s="432"/>
      <c r="AM288" s="573" t="str">
        <f>GRAL!B289</f>
        <v>2015-2018</v>
      </c>
      <c r="AN288" s="574"/>
      <c r="AO288" s="13"/>
    </row>
    <row r="289" spans="1:41" ht="30" hidden="1" customHeight="1">
      <c r="A289" s="166">
        <f>OBRA!I288</f>
        <v>2017</v>
      </c>
      <c r="B289" s="2036"/>
      <c r="C289" s="433"/>
      <c r="D289" s="154"/>
      <c r="E289" s="156"/>
      <c r="F289" s="156"/>
      <c r="G289" s="436"/>
      <c r="H289" s="442" t="str">
        <f>OBRA!AD288</f>
        <v>-</v>
      </c>
      <c r="I289" s="438"/>
      <c r="J289" s="444" t="str">
        <f>OBRA!AE288</f>
        <v>-</v>
      </c>
      <c r="K289" s="439"/>
      <c r="L289" s="442" t="str">
        <f>OBRA!AF288</f>
        <v>-</v>
      </c>
      <c r="M289" s="440"/>
      <c r="N289" s="442" t="str">
        <f>OBRA!AG288</f>
        <v>-</v>
      </c>
      <c r="O289" s="152"/>
      <c r="P289" s="152"/>
      <c r="Q289" s="441"/>
      <c r="R289" s="445" t="str">
        <f>OBRA!AH288</f>
        <v>-</v>
      </c>
      <c r="S289" s="349"/>
      <c r="T289" s="446" t="str">
        <f>OBRA!U288</f>
        <v>ING. PEDRO TOPETE LOPEZ</v>
      </c>
      <c r="U289" s="447" t="str">
        <f>OBRA!V288</f>
        <v>ING. ANGEL ALBERTO HERNANDEZ MORA</v>
      </c>
      <c r="V289" s="1281"/>
      <c r="W289" s="20" t="str">
        <f>OBRA!L288</f>
        <v>GMJ 063C OP/2017</v>
      </c>
      <c r="X289" s="13"/>
      <c r="Y289" s="13"/>
      <c r="Z289" s="448" t="str">
        <f>OBRA!K288</f>
        <v>RAMO 33</v>
      </c>
      <c r="AA289" s="13"/>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428">
        <f>OBRA!S288</f>
        <v>43099</v>
      </c>
      <c r="AH289" s="54"/>
      <c r="AI289" s="231"/>
      <c r="AJ289" s="267"/>
      <c r="AK289" s="267"/>
      <c r="AL289" s="432"/>
      <c r="AM289" s="573" t="str">
        <f>GRAL!B290</f>
        <v>2015-2018</v>
      </c>
      <c r="AN289" s="574"/>
      <c r="AO289" s="13"/>
    </row>
    <row r="290" spans="1:41" ht="30" hidden="1" customHeight="1">
      <c r="A290" s="166">
        <f>OBRA!I289</f>
        <v>2017</v>
      </c>
      <c r="B290" s="2036"/>
      <c r="C290" s="433"/>
      <c r="D290" s="154"/>
      <c r="E290" s="156"/>
      <c r="F290" s="156"/>
      <c r="G290" s="436"/>
      <c r="H290" s="442" t="str">
        <f>OBRA!AD289</f>
        <v>-</v>
      </c>
      <c r="I290" s="438"/>
      <c r="J290" s="444" t="str">
        <f>OBRA!AE289</f>
        <v>-</v>
      </c>
      <c r="K290" s="439"/>
      <c r="L290" s="442" t="str">
        <f>OBRA!AF289</f>
        <v>-</v>
      </c>
      <c r="M290" s="440"/>
      <c r="N290" s="442" t="str">
        <f>OBRA!AG289</f>
        <v>-</v>
      </c>
      <c r="O290" s="152"/>
      <c r="P290" s="152"/>
      <c r="Q290" s="441"/>
      <c r="R290" s="445" t="str">
        <f>OBRA!AH289</f>
        <v>-</v>
      </c>
      <c r="S290" s="349"/>
      <c r="T290" s="446" t="str">
        <f>OBRA!U289</f>
        <v>C. JOSÉ MIGUEL GARCIA VALLE</v>
      </c>
      <c r="U290" s="447" t="str">
        <f>OBRA!V289</f>
        <v>LIC. SALVADOR CONTRERAS OLGUÍN</v>
      </c>
      <c r="V290" s="1281"/>
      <c r="W290" s="20" t="str">
        <f>OBRA!L289</f>
        <v>GMJ 064C OP/2017</v>
      </c>
      <c r="X290" s="13"/>
      <c r="Y290" s="13"/>
      <c r="Z290" s="448" t="str">
        <f>OBRA!K289</f>
        <v>RAMO 33</v>
      </c>
      <c r="AA290" s="13"/>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428">
        <f>OBRA!S289</f>
        <v>43099</v>
      </c>
      <c r="AH290" s="54"/>
      <c r="AI290" s="231"/>
      <c r="AJ290" s="267"/>
      <c r="AK290" s="267"/>
      <c r="AL290" s="432"/>
      <c r="AM290" s="573" t="str">
        <f>GRAL!B291</f>
        <v>2015-2018</v>
      </c>
      <c r="AN290" s="574"/>
      <c r="AO290" s="13"/>
    </row>
    <row r="291" spans="1:41" ht="30" hidden="1" customHeight="1">
      <c r="A291" s="166">
        <f>OBRA!I290</f>
        <v>2017</v>
      </c>
      <c r="B291" s="2036"/>
      <c r="C291" s="433"/>
      <c r="D291" s="154"/>
      <c r="E291" s="156"/>
      <c r="F291" s="156"/>
      <c r="G291" s="436"/>
      <c r="H291" s="442" t="str">
        <f>OBRA!AD290</f>
        <v>-</v>
      </c>
      <c r="I291" s="438"/>
      <c r="J291" s="444" t="str">
        <f>OBRA!AE290</f>
        <v>-</v>
      </c>
      <c r="K291" s="439"/>
      <c r="L291" s="442" t="str">
        <f>OBRA!AF290</f>
        <v>-</v>
      </c>
      <c r="M291" s="440"/>
      <c r="N291" s="442" t="str">
        <f>OBRA!AG290</f>
        <v>-</v>
      </c>
      <c r="O291" s="152"/>
      <c r="P291" s="152"/>
      <c r="Q291" s="441"/>
      <c r="R291" s="445" t="str">
        <f>OBRA!AH290</f>
        <v>-</v>
      </c>
      <c r="S291" s="349"/>
      <c r="T291" s="446" t="str">
        <f>OBRA!U290</f>
        <v>C. JOSÉ MIGUEL GARCIA VALLE</v>
      </c>
      <c r="U291" s="447" t="str">
        <f>OBRA!V290</f>
        <v>LIC. SALVADOR CONTRERAS OLGUÍN</v>
      </c>
      <c r="V291" s="1281"/>
      <c r="W291" s="20" t="str">
        <f>OBRA!L290</f>
        <v>GMJ 065C OP/2017</v>
      </c>
      <c r="X291" s="13"/>
      <c r="Y291" s="13"/>
      <c r="Z291" s="448" t="str">
        <f>OBRA!K290</f>
        <v>RAMO 33</v>
      </c>
      <c r="AA291" s="13"/>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428">
        <f>OBRA!S290</f>
        <v>43099</v>
      </c>
      <c r="AH291" s="54"/>
      <c r="AI291" s="231"/>
      <c r="AJ291" s="267"/>
      <c r="AK291" s="267"/>
      <c r="AL291" s="432"/>
      <c r="AM291" s="573" t="str">
        <f>GRAL!B292</f>
        <v>2015-2018</v>
      </c>
      <c r="AN291" s="574"/>
      <c r="AO291" s="13"/>
    </row>
    <row r="292" spans="1:41" ht="30" hidden="1" customHeight="1">
      <c r="A292" s="166">
        <f>OBRA!I291</f>
        <v>2018</v>
      </c>
      <c r="B292" s="2036"/>
      <c r="C292" s="433"/>
      <c r="D292" s="154"/>
      <c r="E292" s="156"/>
      <c r="F292" s="156"/>
      <c r="G292" s="436"/>
      <c r="H292" s="442" t="str">
        <f>OBRA!AD291</f>
        <v>-</v>
      </c>
      <c r="I292" s="438"/>
      <c r="J292" s="444" t="str">
        <f>OBRA!AE291</f>
        <v>-</v>
      </c>
      <c r="K292" s="439"/>
      <c r="L292" s="442" t="str">
        <f>OBRA!AF291</f>
        <v>-</v>
      </c>
      <c r="M292" s="440"/>
      <c r="N292" s="442" t="str">
        <f>OBRA!AG291</f>
        <v>-</v>
      </c>
      <c r="O292" s="152"/>
      <c r="P292" s="152"/>
      <c r="Q292" s="441"/>
      <c r="R292" s="445" t="str">
        <f>OBRA!AH291</f>
        <v>-</v>
      </c>
      <c r="S292" s="349"/>
      <c r="T292" s="446" t="str">
        <f>OBRA!U291</f>
        <v>N/A</v>
      </c>
      <c r="U292" s="447" t="str">
        <f>OBRA!V291</f>
        <v>-</v>
      </c>
      <c r="V292" s="1281"/>
      <c r="W292" s="20" t="str">
        <f>OBRA!L291</f>
        <v>FONDEREG 2018/05 SURESTE/054</v>
      </c>
      <c r="X292" s="13"/>
      <c r="Y292" s="13"/>
      <c r="Z292" s="448" t="str">
        <f>OBRA!K291</f>
        <v>FONDEREG</v>
      </c>
      <c r="AA292" s="13"/>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428" t="str">
        <f>OBRA!S291</f>
        <v>-</v>
      </c>
      <c r="AH292" s="54"/>
      <c r="AI292" s="231"/>
      <c r="AJ292" s="267"/>
      <c r="AK292" s="267"/>
      <c r="AL292" s="432"/>
      <c r="AM292" s="573" t="str">
        <f>GRAL!B293</f>
        <v>2015-2018</v>
      </c>
      <c r="AN292" s="574"/>
      <c r="AO292" s="13"/>
    </row>
    <row r="293" spans="1:41" ht="30" hidden="1" customHeight="1">
      <c r="A293" s="166">
        <f>OBRA!I292</f>
        <v>2018</v>
      </c>
      <c r="B293" s="2036"/>
      <c r="C293" s="433"/>
      <c r="D293" s="154"/>
      <c r="E293" s="156"/>
      <c r="F293" s="156"/>
      <c r="G293" s="436"/>
      <c r="H293" s="442" t="str">
        <f>OBRA!AD292</f>
        <v>-</v>
      </c>
      <c r="I293" s="438"/>
      <c r="J293" s="444" t="str">
        <f>OBRA!AE292</f>
        <v>-</v>
      </c>
      <c r="K293" s="439"/>
      <c r="L293" s="442" t="str">
        <f>OBRA!AF292</f>
        <v>-</v>
      </c>
      <c r="M293" s="440"/>
      <c r="N293" s="442" t="str">
        <f>OBRA!AG292</f>
        <v>-</v>
      </c>
      <c r="O293" s="152"/>
      <c r="P293" s="152"/>
      <c r="Q293" s="441"/>
      <c r="R293" s="445" t="str">
        <f>OBRA!AH292</f>
        <v>-</v>
      </c>
      <c r="S293" s="349"/>
      <c r="T293" s="446" t="str">
        <f>OBRA!U292</f>
        <v>N/A</v>
      </c>
      <c r="U293" s="447" t="str">
        <f>OBRA!V292</f>
        <v>-</v>
      </c>
      <c r="V293" s="1281"/>
      <c r="W293" s="20" t="str">
        <f>OBRA!L292</f>
        <v>FONDEREG 2018/05 SURESTE/055</v>
      </c>
      <c r="X293" s="13"/>
      <c r="Y293" s="13"/>
      <c r="Z293" s="448" t="str">
        <f>OBRA!K292</f>
        <v>FONDEREG</v>
      </c>
      <c r="AA293" s="13"/>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428" t="str">
        <f>OBRA!S292</f>
        <v>-</v>
      </c>
      <c r="AH293" s="54"/>
      <c r="AI293" s="231"/>
      <c r="AJ293" s="267"/>
      <c r="AK293" s="267"/>
      <c r="AL293" s="432"/>
      <c r="AM293" s="573" t="str">
        <f>GRAL!B294</f>
        <v>2015-2018</v>
      </c>
      <c r="AN293" s="574"/>
      <c r="AO293" s="13"/>
    </row>
    <row r="294" spans="1:41" ht="30" hidden="1" customHeight="1">
      <c r="A294" s="166">
        <f>OBRA!I293</f>
        <v>2018</v>
      </c>
      <c r="B294" s="2036"/>
      <c r="C294" s="433"/>
      <c r="D294" s="154"/>
      <c r="E294" s="156"/>
      <c r="F294" s="156"/>
      <c r="G294" s="436"/>
      <c r="H294" s="442" t="str">
        <f>OBRA!AD293</f>
        <v>-</v>
      </c>
      <c r="I294" s="438"/>
      <c r="J294" s="444" t="str">
        <f>OBRA!AE293</f>
        <v>-</v>
      </c>
      <c r="K294" s="439"/>
      <c r="L294" s="442" t="str">
        <f>OBRA!AF293</f>
        <v>-</v>
      </c>
      <c r="M294" s="440"/>
      <c r="N294" s="442" t="str">
        <f>OBRA!AG293</f>
        <v>-</v>
      </c>
      <c r="O294" s="152"/>
      <c r="P294" s="152"/>
      <c r="Q294" s="441"/>
      <c r="R294" s="445" t="str">
        <f>OBRA!AH293</f>
        <v>-</v>
      </c>
      <c r="S294" s="349"/>
      <c r="T294" s="446" t="str">
        <f>OBRA!U293</f>
        <v>N/A</v>
      </c>
      <c r="U294" s="447" t="str">
        <f>OBRA!V293</f>
        <v>-</v>
      </c>
      <c r="V294" s="1281"/>
      <c r="W294" s="20" t="str">
        <f>OBRA!L293</f>
        <v>-</v>
      </c>
      <c r="X294" s="13"/>
      <c r="Y294" s="13"/>
      <c r="Z294" s="448" t="str">
        <f>OBRA!K293</f>
        <v xml:space="preserve">PROYECTOS DESARROLLO REGIONAL </v>
      </c>
      <c r="AA294" s="13"/>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428" t="str">
        <f>OBRA!S293</f>
        <v>-</v>
      </c>
      <c r="AH294" s="54"/>
      <c r="AI294" s="231"/>
      <c r="AJ294" s="267"/>
      <c r="AK294" s="267"/>
      <c r="AL294" s="432"/>
      <c r="AM294" s="573" t="str">
        <f>GRAL!B295</f>
        <v>2015-2018</v>
      </c>
      <c r="AN294" s="574"/>
      <c r="AO294" s="13"/>
    </row>
    <row r="295" spans="1:41" ht="30" hidden="1" customHeight="1">
      <c r="A295" s="166">
        <f>OBRA!I294</f>
        <v>2018</v>
      </c>
      <c r="B295" s="2036"/>
      <c r="C295" s="433"/>
      <c r="D295" s="154"/>
      <c r="E295" s="156"/>
      <c r="F295" s="156"/>
      <c r="G295" s="436"/>
      <c r="H295" s="442" t="str">
        <f>OBRA!AD294</f>
        <v>-</v>
      </c>
      <c r="I295" s="438"/>
      <c r="J295" s="444" t="str">
        <f>OBRA!AE294</f>
        <v>-</v>
      </c>
      <c r="K295" s="439"/>
      <c r="L295" s="442" t="str">
        <f>OBRA!AF294</f>
        <v>-</v>
      </c>
      <c r="M295" s="440"/>
      <c r="N295" s="442" t="str">
        <f>OBRA!AG294</f>
        <v>-</v>
      </c>
      <c r="O295" s="152"/>
      <c r="P295" s="152"/>
      <c r="Q295" s="441"/>
      <c r="R295" s="445" t="str">
        <f>OBRA!AH294</f>
        <v>-</v>
      </c>
      <c r="S295" s="349"/>
      <c r="T295" s="446" t="str">
        <f>OBRA!U294</f>
        <v>N/A</v>
      </c>
      <c r="U295" s="447" t="str">
        <f>OBRA!V294</f>
        <v>ING. JUAN MANUEL GARCIA ESCOTO</v>
      </c>
      <c r="V295" s="1281"/>
      <c r="W295" s="20" t="str">
        <f>OBRA!L294</f>
        <v>DOP/AD/001/2018</v>
      </c>
      <c r="X295" s="13"/>
      <c r="Y295" s="13"/>
      <c r="Z295" s="448" t="str">
        <f>OBRA!K294</f>
        <v>CUENTA CORRIENTE</v>
      </c>
      <c r="AA295" s="13"/>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428">
        <f>OBRA!S294</f>
        <v>43210</v>
      </c>
      <c r="AH295" s="54"/>
      <c r="AI295" s="231"/>
      <c r="AJ295" s="267"/>
      <c r="AK295" s="267"/>
      <c r="AL295" s="432"/>
      <c r="AM295" s="573" t="str">
        <f>GRAL!B293</f>
        <v>2015-2018</v>
      </c>
      <c r="AN295" s="574"/>
      <c r="AO295" s="13"/>
    </row>
    <row r="296" spans="1:41" ht="30" hidden="1" customHeight="1">
      <c r="A296" s="166">
        <f>OBRA!I295</f>
        <v>2018</v>
      </c>
      <c r="B296" s="2036"/>
      <c r="C296" s="433"/>
      <c r="D296" s="154"/>
      <c r="E296" s="156"/>
      <c r="F296" s="156"/>
      <c r="G296" s="436"/>
      <c r="H296" s="442" t="str">
        <f>OBRA!AD295</f>
        <v>-</v>
      </c>
      <c r="I296" s="438"/>
      <c r="J296" s="444" t="str">
        <f>OBRA!AE295</f>
        <v>-</v>
      </c>
      <c r="K296" s="439"/>
      <c r="L296" s="442" t="str">
        <f>OBRA!AF295</f>
        <v>-</v>
      </c>
      <c r="M296" s="440"/>
      <c r="N296" s="442" t="str">
        <f>OBRA!AG295</f>
        <v>-</v>
      </c>
      <c r="O296" s="152"/>
      <c r="P296" s="152"/>
      <c r="Q296" s="441"/>
      <c r="R296" s="445" t="str">
        <f>OBRA!AH295</f>
        <v>-</v>
      </c>
      <c r="S296" s="349"/>
      <c r="T296" s="446" t="str">
        <f>OBRA!U295</f>
        <v>N/A</v>
      </c>
      <c r="U296" s="447" t="str">
        <f>OBRA!V295</f>
        <v>ING. JUAN MANUEL GARCIA ESCOTO</v>
      </c>
      <c r="V296" s="1281"/>
      <c r="W296" s="20" t="str">
        <f>OBRA!L295</f>
        <v>DOP/AD/002/2018</v>
      </c>
      <c r="X296" s="13"/>
      <c r="Y296" s="13"/>
      <c r="Z296" s="448" t="str">
        <f>OBRA!K295</f>
        <v>CUENTA CORRIENTE</v>
      </c>
      <c r="AA296" s="13"/>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428">
        <f>OBRA!S295</f>
        <v>43210</v>
      </c>
      <c r="AH296" s="54"/>
      <c r="AI296" s="231"/>
      <c r="AJ296" s="267"/>
      <c r="AK296" s="267"/>
      <c r="AL296" s="432"/>
      <c r="AM296" s="573" t="str">
        <f>GRAL!B297</f>
        <v>2015-2018</v>
      </c>
      <c r="AN296" s="574"/>
      <c r="AO296" s="13"/>
    </row>
    <row r="297" spans="1:41" ht="30" hidden="1" customHeight="1">
      <c r="A297" s="166">
        <f>OBRA!I296</f>
        <v>2018</v>
      </c>
      <c r="B297" s="2036"/>
      <c r="C297" s="433"/>
      <c r="D297" s="154"/>
      <c r="E297" s="156"/>
      <c r="F297" s="156"/>
      <c r="G297" s="436"/>
      <c r="H297" s="442" t="str">
        <f>OBRA!AD296</f>
        <v>-</v>
      </c>
      <c r="I297" s="438"/>
      <c r="J297" s="444" t="str">
        <f>OBRA!AE296</f>
        <v>-</v>
      </c>
      <c r="K297" s="439"/>
      <c r="L297" s="442" t="str">
        <f>OBRA!AF296</f>
        <v>-</v>
      </c>
      <c r="M297" s="440"/>
      <c r="N297" s="442" t="str">
        <f>OBRA!AG296</f>
        <v>-</v>
      </c>
      <c r="O297" s="152"/>
      <c r="P297" s="152"/>
      <c r="Q297" s="441"/>
      <c r="R297" s="445" t="str">
        <f>OBRA!AH296</f>
        <v>-</v>
      </c>
      <c r="S297" s="349"/>
      <c r="T297" s="446" t="str">
        <f>OBRA!U296</f>
        <v>N/A</v>
      </c>
      <c r="U297" s="447" t="str">
        <f>OBRA!V296</f>
        <v>ING. JUAN MANUEL GARCIA ESCOTO</v>
      </c>
      <c r="V297" s="1281"/>
      <c r="W297" s="20" t="str">
        <f>OBRA!L296</f>
        <v>DOP/AD/003/2018</v>
      </c>
      <c r="X297" s="13"/>
      <c r="Y297" s="13"/>
      <c r="Z297" s="448" t="str">
        <f>OBRA!K296</f>
        <v>CUENTA CORRIENTE</v>
      </c>
      <c r="AA297" s="13"/>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428">
        <f>OBRA!S296</f>
        <v>43159</v>
      </c>
      <c r="AH297" s="54"/>
      <c r="AI297" s="231"/>
      <c r="AJ297" s="267"/>
      <c r="AK297" s="267"/>
      <c r="AL297" s="432"/>
      <c r="AM297" s="573" t="str">
        <f>GRAL!B298</f>
        <v>2015-2018</v>
      </c>
      <c r="AN297" s="574"/>
      <c r="AO297" s="13"/>
    </row>
    <row r="298" spans="1:41" ht="30" hidden="1" customHeight="1">
      <c r="A298" s="166">
        <f>OBRA!I297</f>
        <v>2018</v>
      </c>
      <c r="B298" s="2036"/>
      <c r="C298" s="433"/>
      <c r="D298" s="154"/>
      <c r="E298" s="156"/>
      <c r="F298" s="156"/>
      <c r="G298" s="436"/>
      <c r="H298" s="442" t="str">
        <f>OBRA!AD297</f>
        <v>-</v>
      </c>
      <c r="I298" s="438"/>
      <c r="J298" s="444" t="str">
        <f>OBRA!AE297</f>
        <v>-</v>
      </c>
      <c r="K298" s="439"/>
      <c r="L298" s="442" t="str">
        <f>OBRA!AF297</f>
        <v>-</v>
      </c>
      <c r="M298" s="440"/>
      <c r="N298" s="442" t="str">
        <f>OBRA!AG297</f>
        <v>-</v>
      </c>
      <c r="O298" s="152"/>
      <c r="P298" s="152"/>
      <c r="Q298" s="441"/>
      <c r="R298" s="445" t="str">
        <f>OBRA!AH297</f>
        <v>-</v>
      </c>
      <c r="S298" s="349"/>
      <c r="T298" s="446" t="str">
        <f>OBRA!U297</f>
        <v>N/A</v>
      </c>
      <c r="U298" s="447" t="str">
        <f>OBRA!V297</f>
        <v>ARQ. JAIME CONDE GOMEZ</v>
      </c>
      <c r="V298" s="1281"/>
      <c r="W298" s="20" t="str">
        <f>OBRA!L297</f>
        <v>DOP/AD/004/2018</v>
      </c>
      <c r="X298" s="13"/>
      <c r="Y298" s="13"/>
      <c r="Z298" s="448" t="str">
        <f>OBRA!K297</f>
        <v>CUENTA CORRIENTE</v>
      </c>
      <c r="AA298" s="13"/>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428">
        <f>OBRA!S297</f>
        <v>43245</v>
      </c>
      <c r="AH298" s="54"/>
      <c r="AI298" s="231"/>
      <c r="AJ298" s="267"/>
      <c r="AK298" s="267"/>
      <c r="AL298" s="432"/>
      <c r="AM298" s="573" t="str">
        <f>GRAL!B299</f>
        <v>2015-2018</v>
      </c>
      <c r="AN298" s="574"/>
      <c r="AO298" s="13"/>
    </row>
    <row r="299" spans="1:41" s="110" customFormat="1" ht="30" hidden="1" customHeight="1">
      <c r="A299" s="956">
        <f>OBRA!I298</f>
        <v>2018</v>
      </c>
      <c r="B299" s="2037"/>
      <c r="C299" s="957"/>
      <c r="D299" s="155"/>
      <c r="E299" s="157"/>
      <c r="F299" s="157"/>
      <c r="G299" s="958"/>
      <c r="H299" s="158" t="str">
        <f>OBRA!AD298</f>
        <v>-</v>
      </c>
      <c r="I299" s="456"/>
      <c r="J299" s="117" t="str">
        <f>OBRA!AE298</f>
        <v>-</v>
      </c>
      <c r="K299" s="960"/>
      <c r="L299" s="158" t="str">
        <f>OBRA!AF298</f>
        <v>-</v>
      </c>
      <c r="M299" s="959"/>
      <c r="N299" s="158" t="str">
        <f>OBRA!AG298</f>
        <v>-</v>
      </c>
      <c r="O299" s="158"/>
      <c r="P299" s="158"/>
      <c r="Q299" s="960"/>
      <c r="R299" s="459" t="str">
        <f>OBRA!AH298</f>
        <v>-</v>
      </c>
      <c r="S299" s="967"/>
      <c r="T299" s="460" t="str">
        <f>OBRA!U298</f>
        <v>-</v>
      </c>
      <c r="U299" s="461">
        <f>OBRA!V298</f>
        <v>0</v>
      </c>
      <c r="V299" s="935"/>
      <c r="W299" s="955" t="str">
        <f>OBRA!L298</f>
        <v>DOP/AD/005/2018</v>
      </c>
      <c r="X299" s="109"/>
      <c r="Y299" s="109"/>
      <c r="Z299" s="109">
        <f>OBRA!K298</f>
        <v>0</v>
      </c>
      <c r="AA299" s="109"/>
      <c r="AB299" s="203" t="str">
        <f>OBRA!M298</f>
        <v>CANCELADA</v>
      </c>
      <c r="AC299" s="112">
        <f>OBRA!N298</f>
        <v>0</v>
      </c>
      <c r="AD299" s="92">
        <f>OBRA!P298</f>
        <v>0</v>
      </c>
      <c r="AE299" s="93">
        <f>OBRA!Q298</f>
        <v>0</v>
      </c>
      <c r="AF299" s="94">
        <f>OBRA!R298</f>
        <v>0</v>
      </c>
      <c r="AG299" s="429">
        <f>OBRA!S298</f>
        <v>0</v>
      </c>
      <c r="AH299" s="107"/>
      <c r="AI299" s="90"/>
      <c r="AJ299" s="102"/>
      <c r="AK299" s="102"/>
      <c r="AL299" s="103"/>
      <c r="AM299" s="392" t="str">
        <f>GRAL!B300</f>
        <v>2015-2018</v>
      </c>
      <c r="AN299" s="961"/>
      <c r="AO299" s="109"/>
    </row>
    <row r="300" spans="1:41" ht="30" hidden="1" customHeight="1">
      <c r="A300" s="166">
        <f>OBRA!I299</f>
        <v>2018</v>
      </c>
      <c r="B300" s="2036"/>
      <c r="C300" s="433"/>
      <c r="D300" s="154"/>
      <c r="E300" s="156"/>
      <c r="F300" s="156"/>
      <c r="G300" s="436"/>
      <c r="H300" s="442" t="str">
        <f>OBRA!AD299</f>
        <v>-</v>
      </c>
      <c r="I300" s="438"/>
      <c r="J300" s="444" t="str">
        <f>OBRA!AE299</f>
        <v>-</v>
      </c>
      <c r="K300" s="439"/>
      <c r="L300" s="442" t="str">
        <f>OBRA!AF299</f>
        <v>-</v>
      </c>
      <c r="M300" s="440"/>
      <c r="N300" s="442" t="str">
        <f>OBRA!AG299</f>
        <v>-</v>
      </c>
      <c r="O300" s="152"/>
      <c r="P300" s="152"/>
      <c r="Q300" s="441"/>
      <c r="R300" s="445" t="str">
        <f>OBRA!AH299</f>
        <v>-</v>
      </c>
      <c r="S300" s="349"/>
      <c r="T300" s="446" t="str">
        <f>OBRA!U299</f>
        <v>N/A</v>
      </c>
      <c r="U300" s="447" t="str">
        <f>OBRA!V299</f>
        <v>-</v>
      </c>
      <c r="V300" s="1281"/>
      <c r="W300" s="20" t="str">
        <f>OBRA!L299</f>
        <v>DOP/AD/006/2018</v>
      </c>
      <c r="X300" s="13"/>
      <c r="Y300" s="13"/>
      <c r="Z300" s="448" t="str">
        <f>OBRA!K299</f>
        <v>CUENTA CORRIENTE</v>
      </c>
      <c r="AA300" s="13"/>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428" t="str">
        <f>OBRA!S299</f>
        <v>-</v>
      </c>
      <c r="AH300" s="54"/>
      <c r="AI300" s="231"/>
      <c r="AJ300" s="267"/>
      <c r="AK300" s="267"/>
      <c r="AL300" s="432"/>
      <c r="AM300" s="573" t="str">
        <f>GRAL!B301</f>
        <v>2015-2018</v>
      </c>
      <c r="AN300" s="574"/>
      <c r="AO300" s="13"/>
    </row>
    <row r="301" spans="1:41" s="110" customFormat="1" ht="30" hidden="1" customHeight="1">
      <c r="A301" s="956">
        <f>OBRA!I300</f>
        <v>2018</v>
      </c>
      <c r="B301" s="2037"/>
      <c r="C301" s="957"/>
      <c r="D301" s="155"/>
      <c r="E301" s="157"/>
      <c r="F301" s="157"/>
      <c r="G301" s="958"/>
      <c r="H301" s="158">
        <f>OBRA!AD300</f>
        <v>0</v>
      </c>
      <c r="I301" s="456"/>
      <c r="J301" s="117">
        <f>OBRA!AE300</f>
        <v>0</v>
      </c>
      <c r="K301" s="960"/>
      <c r="L301" s="158">
        <f>OBRA!AF300</f>
        <v>0</v>
      </c>
      <c r="M301" s="959"/>
      <c r="N301" s="158">
        <f>OBRA!AG300</f>
        <v>0</v>
      </c>
      <c r="O301" s="158"/>
      <c r="P301" s="158"/>
      <c r="Q301" s="960"/>
      <c r="R301" s="459">
        <f>OBRA!AH300</f>
        <v>0</v>
      </c>
      <c r="S301" s="967"/>
      <c r="T301" s="460" t="str">
        <f>OBRA!U300</f>
        <v>-</v>
      </c>
      <c r="U301" s="461" t="str">
        <f>OBRA!V300</f>
        <v>ING. J. GUADALUPE IBARRA RAMIREZ</v>
      </c>
      <c r="V301" s="935"/>
      <c r="W301" s="955" t="str">
        <f>OBRA!L300</f>
        <v>DOP/AD/007/2018</v>
      </c>
      <c r="X301" s="109"/>
      <c r="Y301" s="109"/>
      <c r="Z301" s="109" t="str">
        <f>OBRA!K300</f>
        <v>RAMO 33</v>
      </c>
      <c r="AA301" s="109"/>
      <c r="AB301" s="203" t="str">
        <f>OBRA!M300</f>
        <v>CANCELADA</v>
      </c>
      <c r="AC301" s="112" t="str">
        <f>OBRA!N300</f>
        <v>PUENTE PEATONAL, C. LIBERTAD, ZDH</v>
      </c>
      <c r="AD301" s="92">
        <f>OBRA!P300</f>
        <v>0</v>
      </c>
      <c r="AE301" s="93">
        <f>OBRA!Q300</f>
        <v>0</v>
      </c>
      <c r="AF301" s="94">
        <f>OBRA!R300</f>
        <v>0</v>
      </c>
      <c r="AG301" s="429">
        <f>OBRA!S300</f>
        <v>0</v>
      </c>
      <c r="AH301" s="107"/>
      <c r="AI301" s="90"/>
      <c r="AJ301" s="102"/>
      <c r="AK301" s="102"/>
      <c r="AL301" s="103"/>
      <c r="AM301" s="392" t="str">
        <f>GRAL!B302</f>
        <v>2015-2018</v>
      </c>
      <c r="AN301" s="961"/>
      <c r="AO301" s="109"/>
    </row>
    <row r="302" spans="1:41" s="110" customFormat="1" ht="30" hidden="1" customHeight="1">
      <c r="A302" s="956">
        <f>OBRA!I301</f>
        <v>2018</v>
      </c>
      <c r="B302" s="2037"/>
      <c r="C302" s="957"/>
      <c r="D302" s="155"/>
      <c r="E302" s="157"/>
      <c r="F302" s="157"/>
      <c r="G302" s="958"/>
      <c r="H302" s="158" t="str">
        <f>OBRA!AD301</f>
        <v>-</v>
      </c>
      <c r="I302" s="456"/>
      <c r="J302" s="117" t="str">
        <f>OBRA!AE301</f>
        <v>-</v>
      </c>
      <c r="K302" s="960"/>
      <c r="L302" s="158" t="str">
        <f>OBRA!AF301</f>
        <v>-</v>
      </c>
      <c r="M302" s="959"/>
      <c r="N302" s="158" t="str">
        <f>OBRA!AG301</f>
        <v>-</v>
      </c>
      <c r="O302" s="158"/>
      <c r="P302" s="158"/>
      <c r="Q302" s="960"/>
      <c r="R302" s="459" t="str">
        <f>OBRA!AH301</f>
        <v>-</v>
      </c>
      <c r="S302" s="967"/>
      <c r="T302" s="460" t="str">
        <f>OBRA!U301</f>
        <v>-</v>
      </c>
      <c r="U302" s="461">
        <f>OBRA!V301</f>
        <v>0</v>
      </c>
      <c r="V302" s="935"/>
      <c r="W302" s="955" t="str">
        <f>OBRA!L301</f>
        <v>DOP/AD/008/2018</v>
      </c>
      <c r="X302" s="109"/>
      <c r="Y302" s="109"/>
      <c r="Z302" s="109">
        <f>OBRA!K301</f>
        <v>0</v>
      </c>
      <c r="AA302" s="109"/>
      <c r="AB302" s="203" t="str">
        <f>OBRA!M301</f>
        <v>CANCELADA</v>
      </c>
      <c r="AC302" s="112">
        <f>OBRA!N301</f>
        <v>0</v>
      </c>
      <c r="AD302" s="92">
        <f>OBRA!P301</f>
        <v>0</v>
      </c>
      <c r="AE302" s="93">
        <f>OBRA!Q301</f>
        <v>0</v>
      </c>
      <c r="AF302" s="94">
        <f>OBRA!R301</f>
        <v>0</v>
      </c>
      <c r="AG302" s="429">
        <f>OBRA!S301</f>
        <v>0</v>
      </c>
      <c r="AH302" s="107"/>
      <c r="AI302" s="90"/>
      <c r="AJ302" s="102"/>
      <c r="AK302" s="102"/>
      <c r="AL302" s="103"/>
      <c r="AM302" s="392" t="str">
        <f>GRAL!B303</f>
        <v>2015-2018</v>
      </c>
      <c r="AN302" s="961"/>
      <c r="AO302" s="109"/>
    </row>
    <row r="303" spans="1:41" s="110" customFormat="1" ht="30" hidden="1" customHeight="1">
      <c r="A303" s="956">
        <f>OBRA!I302</f>
        <v>2018</v>
      </c>
      <c r="B303" s="2037"/>
      <c r="C303" s="957"/>
      <c r="D303" s="155"/>
      <c r="E303" s="157"/>
      <c r="F303" s="157"/>
      <c r="G303" s="958"/>
      <c r="H303" s="158" t="str">
        <f>OBRA!AD302</f>
        <v>-</v>
      </c>
      <c r="I303" s="456"/>
      <c r="J303" s="117" t="str">
        <f>OBRA!AE302</f>
        <v>-</v>
      </c>
      <c r="K303" s="960"/>
      <c r="L303" s="158" t="str">
        <f>OBRA!AF302</f>
        <v>-</v>
      </c>
      <c r="M303" s="959"/>
      <c r="N303" s="158" t="str">
        <f>OBRA!AG302</f>
        <v>-</v>
      </c>
      <c r="O303" s="158"/>
      <c r="P303" s="158"/>
      <c r="Q303" s="960"/>
      <c r="R303" s="459" t="str">
        <f>OBRA!AH302</f>
        <v>-</v>
      </c>
      <c r="S303" s="967"/>
      <c r="T303" s="460" t="str">
        <f>OBRA!U302</f>
        <v>-</v>
      </c>
      <c r="U303" s="461">
        <f>OBRA!V302</f>
        <v>0</v>
      </c>
      <c r="V303" s="935"/>
      <c r="W303" s="955" t="str">
        <f>OBRA!L302</f>
        <v>DOP/AD/009/2018</v>
      </c>
      <c r="X303" s="109"/>
      <c r="Y303" s="109"/>
      <c r="Z303" s="109">
        <f>OBRA!K302</f>
        <v>0</v>
      </c>
      <c r="AA303" s="109"/>
      <c r="AB303" s="203" t="str">
        <f>OBRA!M302</f>
        <v>CANCELADA</v>
      </c>
      <c r="AC303" s="112">
        <f>OBRA!N302</f>
        <v>0</v>
      </c>
      <c r="AD303" s="92">
        <f>OBRA!P302</f>
        <v>0</v>
      </c>
      <c r="AE303" s="93">
        <f>OBRA!Q302</f>
        <v>0</v>
      </c>
      <c r="AF303" s="94">
        <f>OBRA!R302</f>
        <v>0</v>
      </c>
      <c r="AG303" s="429">
        <f>OBRA!S302</f>
        <v>0</v>
      </c>
      <c r="AH303" s="107"/>
      <c r="AI303" s="90"/>
      <c r="AJ303" s="102"/>
      <c r="AK303" s="102"/>
      <c r="AL303" s="103"/>
      <c r="AM303" s="392" t="str">
        <f>GRAL!B304</f>
        <v>2015-2018</v>
      </c>
      <c r="AN303" s="961"/>
      <c r="AO303" s="109"/>
    </row>
    <row r="304" spans="1:41" ht="30" hidden="1" customHeight="1">
      <c r="A304" s="166">
        <f>OBRA!I303</f>
        <v>2018</v>
      </c>
      <c r="B304" s="2036"/>
      <c r="C304" s="433"/>
      <c r="D304" s="154"/>
      <c r="E304" s="156"/>
      <c r="F304" s="156"/>
      <c r="G304" s="436"/>
      <c r="H304" s="442" t="str">
        <f>OBRA!AD303</f>
        <v>-</v>
      </c>
      <c r="I304" s="438"/>
      <c r="J304" s="444" t="str">
        <f>OBRA!AE303</f>
        <v>-</v>
      </c>
      <c r="K304" s="439"/>
      <c r="L304" s="442" t="str">
        <f>OBRA!AF303</f>
        <v>-</v>
      </c>
      <c r="M304" s="440"/>
      <c r="N304" s="442" t="str">
        <f>OBRA!AG303</f>
        <v>-</v>
      </c>
      <c r="O304" s="152"/>
      <c r="P304" s="152"/>
      <c r="Q304" s="441"/>
      <c r="R304" s="445" t="str">
        <f>OBRA!AH303</f>
        <v>-</v>
      </c>
      <c r="S304" s="349"/>
      <c r="T304" s="446" t="str">
        <f>OBRA!U303</f>
        <v>N/A</v>
      </c>
      <c r="U304" s="447" t="str">
        <f>OBRA!V303</f>
        <v>ING. J. GUADALUPE IBARRA RAMIREZ</v>
      </c>
      <c r="V304" s="1281"/>
      <c r="W304" s="20" t="str">
        <f>OBRA!L303</f>
        <v>DOP/AD/010/2018</v>
      </c>
      <c r="X304" s="13"/>
      <c r="Y304" s="13"/>
      <c r="Z304" s="448" t="str">
        <f>OBRA!K303</f>
        <v>RAMO 33</v>
      </c>
      <c r="AA304" s="13"/>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428">
        <f>OBRA!S303</f>
        <v>43262</v>
      </c>
      <c r="AH304" s="54"/>
      <c r="AI304" s="231"/>
      <c r="AJ304" s="267"/>
      <c r="AK304" s="267"/>
      <c r="AL304" s="432"/>
      <c r="AM304" s="573" t="str">
        <f>GRAL!B305</f>
        <v>2015-2018</v>
      </c>
      <c r="AN304" s="574"/>
      <c r="AO304" s="13"/>
    </row>
    <row r="305" spans="1:41" ht="30" hidden="1" customHeight="1">
      <c r="A305" s="166">
        <f>OBRA!I304</f>
        <v>2018</v>
      </c>
      <c r="B305" s="2036"/>
      <c r="C305" s="433"/>
      <c r="D305" s="154"/>
      <c r="E305" s="156"/>
      <c r="F305" s="156"/>
      <c r="G305" s="436"/>
      <c r="H305" s="442" t="str">
        <f>OBRA!AD304</f>
        <v>-</v>
      </c>
      <c r="I305" s="438"/>
      <c r="J305" s="444" t="str">
        <f>OBRA!AE304</f>
        <v>-</v>
      </c>
      <c r="K305" s="439"/>
      <c r="L305" s="442" t="str">
        <f>OBRA!AF304</f>
        <v>-</v>
      </c>
      <c r="M305" s="440"/>
      <c r="N305" s="442" t="str">
        <f>OBRA!AG304</f>
        <v>-</v>
      </c>
      <c r="O305" s="152"/>
      <c r="P305" s="152"/>
      <c r="Q305" s="441"/>
      <c r="R305" s="445" t="str">
        <f>OBRA!AH304</f>
        <v>-</v>
      </c>
      <c r="S305" s="349"/>
      <c r="T305" s="446" t="str">
        <f>OBRA!U304</f>
        <v>N/A</v>
      </c>
      <c r="U305" s="447" t="str">
        <f>OBRA!V304</f>
        <v>ING. J. GUADALUPE IBARRA RAMIREZ</v>
      </c>
      <c r="V305" s="1281"/>
      <c r="W305" s="20" t="str">
        <f>OBRA!L304</f>
        <v>DOP/AD/011/2018</v>
      </c>
      <c r="X305" s="13"/>
      <c r="Y305" s="13"/>
      <c r="Z305" s="448" t="str">
        <f>OBRA!K304</f>
        <v>Fondo de proyectos para el Desarrollo Regional</v>
      </c>
      <c r="AA305" s="13"/>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428">
        <f>OBRA!S304</f>
        <v>43322</v>
      </c>
      <c r="AH305" s="54"/>
      <c r="AI305" s="231"/>
      <c r="AJ305" s="267"/>
      <c r="AK305" s="267"/>
      <c r="AL305" s="432"/>
      <c r="AM305" s="573" t="str">
        <f>GRAL!B306</f>
        <v>2015-2018</v>
      </c>
      <c r="AN305" s="574"/>
      <c r="AO305" s="13"/>
    </row>
    <row r="306" spans="1:41" ht="30" hidden="1" customHeight="1">
      <c r="A306" s="166">
        <f>OBRA!I305</f>
        <v>2018</v>
      </c>
      <c r="B306" s="2036"/>
      <c r="C306" s="433"/>
      <c r="D306" s="154"/>
      <c r="E306" s="156"/>
      <c r="F306" s="156"/>
      <c r="G306" s="436"/>
      <c r="H306" s="442" t="str">
        <f>OBRA!AD305</f>
        <v>-</v>
      </c>
      <c r="I306" s="438"/>
      <c r="J306" s="444" t="str">
        <f>OBRA!AE305</f>
        <v>-</v>
      </c>
      <c r="K306" s="439"/>
      <c r="L306" s="442" t="str">
        <f>OBRA!AF305</f>
        <v>-</v>
      </c>
      <c r="M306" s="440"/>
      <c r="N306" s="442" t="str">
        <f>OBRA!AG305</f>
        <v>-</v>
      </c>
      <c r="O306" s="152"/>
      <c r="P306" s="152"/>
      <c r="Q306" s="441"/>
      <c r="R306" s="445" t="str">
        <f>OBRA!AH305</f>
        <v>-</v>
      </c>
      <c r="S306" s="349"/>
      <c r="T306" s="446" t="str">
        <f>OBRA!U305</f>
        <v>N/A</v>
      </c>
      <c r="U306" s="447" t="str">
        <f>OBRA!V305</f>
        <v>ING. J. GUADALUPE IBARRA RAMIREZ</v>
      </c>
      <c r="V306" s="1281"/>
      <c r="W306" s="20" t="str">
        <f>OBRA!L305</f>
        <v>DOP/AD/012/2018</v>
      </c>
      <c r="X306" s="13"/>
      <c r="Y306" s="13"/>
      <c r="Z306" s="448" t="str">
        <f>OBRA!K305</f>
        <v>CUENTA CORRIENTE</v>
      </c>
      <c r="AA306" s="13"/>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428">
        <f>OBRA!S305</f>
        <v>43318</v>
      </c>
      <c r="AH306" s="54"/>
      <c r="AI306" s="231"/>
      <c r="AJ306" s="267"/>
      <c r="AK306" s="267"/>
      <c r="AL306" s="432"/>
      <c r="AM306" s="573" t="str">
        <f>GRAL!B307</f>
        <v>2015-2018</v>
      </c>
      <c r="AN306" s="574"/>
      <c r="AO306" s="13"/>
    </row>
    <row r="307" spans="1:41" ht="30" hidden="1" customHeight="1">
      <c r="A307" s="166">
        <f>OBRA!I306</f>
        <v>2018</v>
      </c>
      <c r="B307" s="2036"/>
      <c r="C307" s="433"/>
      <c r="D307" s="154"/>
      <c r="E307" s="156"/>
      <c r="F307" s="156"/>
      <c r="G307" s="436"/>
      <c r="H307" s="442" t="str">
        <f>OBRA!AD306</f>
        <v>-</v>
      </c>
      <c r="I307" s="438"/>
      <c r="J307" s="444" t="str">
        <f>OBRA!AE306</f>
        <v>-</v>
      </c>
      <c r="K307" s="439"/>
      <c r="L307" s="442" t="str">
        <f>OBRA!AF306</f>
        <v>-</v>
      </c>
      <c r="M307" s="440"/>
      <c r="N307" s="442" t="str">
        <f>OBRA!AG306</f>
        <v>-</v>
      </c>
      <c r="O307" s="152"/>
      <c r="P307" s="152"/>
      <c r="Q307" s="441"/>
      <c r="R307" s="445" t="str">
        <f>OBRA!AH306</f>
        <v>-</v>
      </c>
      <c r="S307" s="349"/>
      <c r="T307" s="446" t="str">
        <f>OBRA!U306</f>
        <v>N/A</v>
      </c>
      <c r="U307" s="447" t="str">
        <f>OBRA!V306</f>
        <v>ING. J. GUADALUPE IBARRA RAMIREZ</v>
      </c>
      <c r="V307" s="1281"/>
      <c r="W307" s="20" t="str">
        <f>OBRA!L306</f>
        <v>DOP/AD/013/2018</v>
      </c>
      <c r="X307" s="13"/>
      <c r="Y307" s="13"/>
      <c r="Z307" s="448" t="str">
        <f>OBRA!K306</f>
        <v>CUENTA CORRIENTE</v>
      </c>
      <c r="AA307" s="13"/>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428">
        <f>OBRA!S306</f>
        <v>43318</v>
      </c>
      <c r="AH307" s="54"/>
      <c r="AI307" s="231"/>
      <c r="AJ307" s="267"/>
      <c r="AK307" s="267"/>
      <c r="AL307" s="432"/>
      <c r="AM307" s="573" t="str">
        <f>GRAL!B308</f>
        <v>2015-2018</v>
      </c>
      <c r="AN307" s="574"/>
      <c r="AO307" s="13"/>
    </row>
    <row r="308" spans="1:41" ht="30" hidden="1" customHeight="1">
      <c r="A308" s="166">
        <f>OBRA!I307</f>
        <v>2018</v>
      </c>
      <c r="B308" s="2036"/>
      <c r="C308" s="433"/>
      <c r="D308" s="154"/>
      <c r="E308" s="156"/>
      <c r="F308" s="156"/>
      <c r="G308" s="436"/>
      <c r="H308" s="442" t="str">
        <f>OBRA!AD307</f>
        <v>-</v>
      </c>
      <c r="I308" s="438"/>
      <c r="J308" s="444" t="str">
        <f>OBRA!AE307</f>
        <v>-</v>
      </c>
      <c r="K308" s="439"/>
      <c r="L308" s="442" t="str">
        <f>OBRA!AF307</f>
        <v>-</v>
      </c>
      <c r="M308" s="440"/>
      <c r="N308" s="442" t="str">
        <f>OBRA!AG307</f>
        <v>-</v>
      </c>
      <c r="O308" s="152"/>
      <c r="P308" s="152"/>
      <c r="Q308" s="441"/>
      <c r="R308" s="445" t="str">
        <f>OBRA!AH307</f>
        <v>-</v>
      </c>
      <c r="S308" s="349"/>
      <c r="T308" s="446" t="str">
        <f>OBRA!U307</f>
        <v>N/A</v>
      </c>
      <c r="U308" s="447" t="str">
        <f>OBRA!V307</f>
        <v>ARQ. CESAR ANTONIO ALONSO JIMENEZ</v>
      </c>
      <c r="V308" s="1281"/>
      <c r="W308" s="20" t="str">
        <f>OBRA!L307</f>
        <v>DOP/AD/014/2018</v>
      </c>
      <c r="X308" s="13"/>
      <c r="Y308" s="13"/>
      <c r="Z308" s="448" t="str">
        <f>OBRA!K307</f>
        <v>RAMO 33</v>
      </c>
      <c r="AA308" s="13"/>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428">
        <f>OBRA!S307</f>
        <v>43294</v>
      </c>
      <c r="AH308" s="54"/>
      <c r="AI308" s="231"/>
      <c r="AJ308" s="267"/>
      <c r="AK308" s="267"/>
      <c r="AL308" s="432"/>
      <c r="AM308" s="573" t="str">
        <f>GRAL!B309</f>
        <v>2015-2018</v>
      </c>
      <c r="AN308" s="574"/>
      <c r="AO308" s="13"/>
    </row>
    <row r="309" spans="1:41" s="110" customFormat="1" ht="30" hidden="1" customHeight="1">
      <c r="A309" s="956">
        <f>OBRA!I308</f>
        <v>2018</v>
      </c>
      <c r="B309" s="2037"/>
      <c r="C309" s="957"/>
      <c r="D309" s="155"/>
      <c r="E309" s="157"/>
      <c r="F309" s="157"/>
      <c r="G309" s="958"/>
      <c r="H309" s="158" t="str">
        <f>OBRA!AD308</f>
        <v>-</v>
      </c>
      <c r="I309" s="456"/>
      <c r="J309" s="117" t="str">
        <f>OBRA!AE308</f>
        <v>-</v>
      </c>
      <c r="K309" s="960"/>
      <c r="L309" s="158" t="str">
        <f>OBRA!AF308</f>
        <v>-</v>
      </c>
      <c r="M309" s="959"/>
      <c r="N309" s="158" t="str">
        <f>OBRA!AG308</f>
        <v>-</v>
      </c>
      <c r="O309" s="158"/>
      <c r="P309" s="158"/>
      <c r="Q309" s="960"/>
      <c r="R309" s="459" t="str">
        <f>OBRA!AH308</f>
        <v>-</v>
      </c>
      <c r="S309" s="967"/>
      <c r="T309" s="460" t="str">
        <f>OBRA!U308</f>
        <v>-</v>
      </c>
      <c r="U309" s="461" t="str">
        <f>OBRA!V308</f>
        <v>-</v>
      </c>
      <c r="V309" s="935"/>
      <c r="W309" s="955" t="str">
        <f>OBRA!L308</f>
        <v>DOP/AD/015/2018</v>
      </c>
      <c r="X309" s="109"/>
      <c r="Y309" s="109"/>
      <c r="Z309" s="109" t="str">
        <f>OBRA!K308</f>
        <v>RAMO 33</v>
      </c>
      <c r="AA309" s="109"/>
      <c r="AB309" s="203" t="str">
        <f>OBRA!M308</f>
        <v>CANCELADA</v>
      </c>
      <c r="AC309" s="112" t="str">
        <f>OBRA!N308</f>
        <v>FABRICACION DE BANQUETAS EN CALLE "EL HUASOYO" EN LA LOCALIDAD DE CHANTEPEC, DEL MUNICIPIO DE JOCOTEPEC, JALISCO</v>
      </c>
      <c r="AD309" s="92">
        <f>OBRA!P308</f>
        <v>88593.05</v>
      </c>
      <c r="AE309" s="93">
        <f>OBRA!Q308</f>
        <v>43276</v>
      </c>
      <c r="AF309" s="94">
        <f>OBRA!R308</f>
        <v>43276</v>
      </c>
      <c r="AG309" s="429">
        <f>OBRA!S308</f>
        <v>43288</v>
      </c>
      <c r="AH309" s="107"/>
      <c r="AI309" s="90"/>
      <c r="AJ309" s="102"/>
      <c r="AK309" s="102"/>
      <c r="AL309" s="103"/>
      <c r="AM309" s="392" t="str">
        <f>GRAL!B310</f>
        <v>2015-2018</v>
      </c>
      <c r="AN309" s="961"/>
      <c r="AO309" s="109"/>
    </row>
    <row r="310" spans="1:41" ht="30" hidden="1" customHeight="1">
      <c r="A310" s="166">
        <f>OBRA!I309</f>
        <v>2018</v>
      </c>
      <c r="B310" s="2036"/>
      <c r="C310" s="433"/>
      <c r="D310" s="154"/>
      <c r="E310" s="156"/>
      <c r="F310" s="156"/>
      <c r="G310" s="436"/>
      <c r="H310" s="442" t="str">
        <f>OBRA!AD309</f>
        <v>-</v>
      </c>
      <c r="I310" s="438"/>
      <c r="J310" s="444" t="str">
        <f>OBRA!AE309</f>
        <v>-</v>
      </c>
      <c r="K310" s="439"/>
      <c r="L310" s="442" t="str">
        <f>OBRA!AF309</f>
        <v>-</v>
      </c>
      <c r="M310" s="440"/>
      <c r="N310" s="442" t="str">
        <f>OBRA!AG309</f>
        <v>-</v>
      </c>
      <c r="O310" s="152"/>
      <c r="P310" s="152"/>
      <c r="Q310" s="441"/>
      <c r="R310" s="445" t="str">
        <f>OBRA!AH309</f>
        <v>-</v>
      </c>
      <c r="S310" s="349"/>
      <c r="T310" s="446" t="str">
        <f>OBRA!U309</f>
        <v>N/A</v>
      </c>
      <c r="U310" s="447" t="str">
        <f>OBRA!V309</f>
        <v>ING. J. GUADALUPE IBARRA RAMIREZ</v>
      </c>
      <c r="V310" s="1281"/>
      <c r="W310" s="20" t="str">
        <f>OBRA!L309</f>
        <v>DOP/AD/016/2018</v>
      </c>
      <c r="X310" s="13"/>
      <c r="Y310" s="13"/>
      <c r="Z310" s="448" t="str">
        <f>OBRA!K309</f>
        <v>Fondo de proyectos para el Desarrollo Regional</v>
      </c>
      <c r="AA310" s="13"/>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428">
        <f>OBRA!S309</f>
        <v>43311</v>
      </c>
      <c r="AH310" s="54"/>
      <c r="AI310" s="231"/>
      <c r="AJ310" s="267"/>
      <c r="AK310" s="267"/>
      <c r="AL310" s="432"/>
      <c r="AM310" s="573" t="str">
        <f>GRAL!B311</f>
        <v>2015-2018</v>
      </c>
      <c r="AN310" s="574"/>
      <c r="AO310" s="13"/>
    </row>
    <row r="311" spans="1:41" ht="30" hidden="1" customHeight="1">
      <c r="A311" s="166">
        <f>OBRA!I310</f>
        <v>2018</v>
      </c>
      <c r="B311" s="2036"/>
      <c r="C311" s="433"/>
      <c r="D311" s="154"/>
      <c r="E311" s="156"/>
      <c r="F311" s="156"/>
      <c r="G311" s="436"/>
      <c r="H311" s="442" t="str">
        <f>OBRA!AD310</f>
        <v>-</v>
      </c>
      <c r="I311" s="438"/>
      <c r="J311" s="444" t="str">
        <f>OBRA!AE310</f>
        <v>-</v>
      </c>
      <c r="K311" s="439"/>
      <c r="L311" s="442" t="str">
        <f>OBRA!AF310</f>
        <v>-</v>
      </c>
      <c r="M311" s="440"/>
      <c r="N311" s="442" t="str">
        <f>OBRA!AG310</f>
        <v>-</v>
      </c>
      <c r="O311" s="152"/>
      <c r="P311" s="152"/>
      <c r="Q311" s="441"/>
      <c r="R311" s="445" t="str">
        <f>OBRA!AH310</f>
        <v>-</v>
      </c>
      <c r="S311" s="349"/>
      <c r="T311" s="446" t="str">
        <f>OBRA!U310</f>
        <v>N/A</v>
      </c>
      <c r="U311" s="447" t="str">
        <f>OBRA!V310</f>
        <v>ING. JUAN MANUEL GARCIA ESCOTO</v>
      </c>
      <c r="V311" s="1281"/>
      <c r="W311" s="20" t="str">
        <f>OBRA!L310</f>
        <v>DOP/AD/017/2018</v>
      </c>
      <c r="X311" s="13"/>
      <c r="Y311" s="13"/>
      <c r="Z311" s="448" t="str">
        <f>OBRA!K310</f>
        <v>Fondo de proyectos para el Desarrollo Regional</v>
      </c>
      <c r="AA311" s="13"/>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428">
        <f>OBRA!S310</f>
        <v>43329</v>
      </c>
      <c r="AH311" s="54"/>
      <c r="AI311" s="231"/>
      <c r="AJ311" s="267"/>
      <c r="AK311" s="267"/>
      <c r="AL311" s="432"/>
      <c r="AM311" s="573" t="str">
        <f>GRAL!B312</f>
        <v>2015-2018</v>
      </c>
      <c r="AN311" s="574"/>
      <c r="AO311" s="13"/>
    </row>
    <row r="312" spans="1:41" ht="30" hidden="1" customHeight="1">
      <c r="A312" s="166">
        <f>OBRA!I311</f>
        <v>2018</v>
      </c>
      <c r="B312" s="2036"/>
      <c r="C312" s="433"/>
      <c r="D312" s="154"/>
      <c r="E312" s="156"/>
      <c r="F312" s="156"/>
      <c r="G312" s="436"/>
      <c r="H312" s="442" t="str">
        <f>OBRA!AD311</f>
        <v>-</v>
      </c>
      <c r="I312" s="438"/>
      <c r="J312" s="444" t="str">
        <f>OBRA!AE311</f>
        <v>-</v>
      </c>
      <c r="K312" s="439"/>
      <c r="L312" s="442" t="str">
        <f>OBRA!AF311</f>
        <v>-</v>
      </c>
      <c r="M312" s="440"/>
      <c r="N312" s="442" t="str">
        <f>OBRA!AG311</f>
        <v>-</v>
      </c>
      <c r="O312" s="152"/>
      <c r="P312" s="152"/>
      <c r="Q312" s="441"/>
      <c r="R312" s="445" t="str">
        <f>OBRA!AH311</f>
        <v>-</v>
      </c>
      <c r="S312" s="349"/>
      <c r="T312" s="446" t="str">
        <f>OBRA!U311</f>
        <v>N/A</v>
      </c>
      <c r="U312" s="447" t="str">
        <f>OBRA!V311</f>
        <v>-</v>
      </c>
      <c r="V312" s="1281"/>
      <c r="W312" s="20" t="str">
        <f>OBRA!L311</f>
        <v>DOP/AD/018/2018</v>
      </c>
      <c r="X312" s="13"/>
      <c r="Y312" s="13"/>
      <c r="Z312" s="448" t="str">
        <f>OBRA!K311</f>
        <v>RAMO 33</v>
      </c>
      <c r="AA312" s="13"/>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428">
        <f>OBRA!S311</f>
        <v>43357</v>
      </c>
      <c r="AH312" s="54"/>
      <c r="AI312" s="231"/>
      <c r="AJ312" s="267"/>
      <c r="AK312" s="267"/>
      <c r="AL312" s="432"/>
      <c r="AM312" s="573" t="str">
        <f>GRAL!B313</f>
        <v>2015-2018</v>
      </c>
      <c r="AN312" s="574"/>
      <c r="AO312" s="13"/>
    </row>
    <row r="313" spans="1:41" s="110" customFormat="1" ht="30" hidden="1" customHeight="1">
      <c r="A313" s="956">
        <f>OBRA!I312</f>
        <v>2018</v>
      </c>
      <c r="B313" s="2037"/>
      <c r="C313" s="957"/>
      <c r="D313" s="155"/>
      <c r="E313" s="157"/>
      <c r="F313" s="157"/>
      <c r="G313" s="958"/>
      <c r="H313" s="158" t="str">
        <f>OBRA!AD312</f>
        <v>-</v>
      </c>
      <c r="I313" s="456"/>
      <c r="J313" s="117" t="str">
        <f>OBRA!AE312</f>
        <v>-</v>
      </c>
      <c r="K313" s="960"/>
      <c r="L313" s="158" t="str">
        <f>OBRA!AF312</f>
        <v>-</v>
      </c>
      <c r="M313" s="959"/>
      <c r="N313" s="158" t="str">
        <f>OBRA!AG312</f>
        <v>-</v>
      </c>
      <c r="O313" s="158"/>
      <c r="P313" s="158"/>
      <c r="Q313" s="960"/>
      <c r="R313" s="459" t="str">
        <f>OBRA!AH312</f>
        <v>-</v>
      </c>
      <c r="S313" s="967"/>
      <c r="T313" s="460" t="str">
        <f>OBRA!U312</f>
        <v>N/A</v>
      </c>
      <c r="U313" s="461" t="str">
        <f>OBRA!V312</f>
        <v>-</v>
      </c>
      <c r="V313" s="935"/>
      <c r="W313" s="955" t="str">
        <f>OBRA!L312</f>
        <v>DOP/AD/019/2018</v>
      </c>
      <c r="X313" s="109"/>
      <c r="Y313" s="109"/>
      <c r="Z313" s="109">
        <f>OBRA!K312</f>
        <v>0</v>
      </c>
      <c r="AA313" s="109"/>
      <c r="AB313" s="203" t="str">
        <f>OBRA!M312</f>
        <v>CANCELADA</v>
      </c>
      <c r="AC313" s="112">
        <f>OBRA!N312</f>
        <v>0</v>
      </c>
      <c r="AD313" s="92">
        <f>OBRA!P312</f>
        <v>0</v>
      </c>
      <c r="AE313" s="93">
        <f>OBRA!Q312</f>
        <v>0</v>
      </c>
      <c r="AF313" s="94">
        <f>OBRA!R312</f>
        <v>0</v>
      </c>
      <c r="AG313" s="429">
        <f>OBRA!S312</f>
        <v>0</v>
      </c>
      <c r="AH313" s="107"/>
      <c r="AI313" s="90"/>
      <c r="AJ313" s="102"/>
      <c r="AK313" s="102"/>
      <c r="AL313" s="103"/>
      <c r="AM313" s="392" t="str">
        <f>GRAL!B314</f>
        <v>2015-2018</v>
      </c>
      <c r="AN313" s="961"/>
      <c r="AO313" s="109"/>
    </row>
    <row r="314" spans="1:41" ht="30" hidden="1" customHeight="1">
      <c r="A314" s="166">
        <f>OBRA!I313</f>
        <v>2018</v>
      </c>
      <c r="B314" s="2036"/>
      <c r="C314" s="433"/>
      <c r="D314" s="154"/>
      <c r="E314" s="156"/>
      <c r="F314" s="156"/>
      <c r="G314" s="436"/>
      <c r="H314" s="442" t="str">
        <f>OBRA!AD313</f>
        <v>-</v>
      </c>
      <c r="I314" s="438"/>
      <c r="J314" s="444" t="str">
        <f>OBRA!AE313</f>
        <v>-</v>
      </c>
      <c r="K314" s="439"/>
      <c r="L314" s="442" t="str">
        <f>OBRA!AF313</f>
        <v>-</v>
      </c>
      <c r="M314" s="440"/>
      <c r="N314" s="442" t="str">
        <f>OBRA!AG313</f>
        <v>-</v>
      </c>
      <c r="O314" s="152"/>
      <c r="P314" s="152"/>
      <c r="Q314" s="441"/>
      <c r="R314" s="445" t="str">
        <f>OBRA!AH313</f>
        <v>-</v>
      </c>
      <c r="S314" s="349"/>
      <c r="T314" s="446" t="str">
        <f>OBRA!U313</f>
        <v>N/A</v>
      </c>
      <c r="U314" s="447" t="str">
        <f>OBRA!V313</f>
        <v>-</v>
      </c>
      <c r="V314" s="1281"/>
      <c r="W314" s="20" t="str">
        <f>OBRA!L313</f>
        <v>DOP/AD/020/2018</v>
      </c>
      <c r="X314" s="13"/>
      <c r="Y314" s="13"/>
      <c r="Z314" s="448" t="str">
        <f>OBRA!K313</f>
        <v>CUENTA CORRIENTE</v>
      </c>
      <c r="AA314" s="13"/>
      <c r="AB314" s="2" t="str">
        <f>OBRA!M313</f>
        <v>ADMINISTRACIÓN DIRECTA</v>
      </c>
      <c r="AC314" s="3" t="str">
        <f>OBRA!N313</f>
        <v>TRABAJOS DE DESASOLVE EN LOS ARROYOS DEL MUNICIPIO DE JOCOTEPEC, JALISCO</v>
      </c>
      <c r="AD314" s="4">
        <f>OBRA!P313</f>
        <v>33408</v>
      </c>
      <c r="AE314" s="6">
        <f>OBRA!Q313</f>
        <v>43349</v>
      </c>
      <c r="AF314" s="5">
        <f>OBRA!R313</f>
        <v>43350</v>
      </c>
      <c r="AG314" s="428">
        <f>OBRA!S313</f>
        <v>43365</v>
      </c>
      <c r="AH314" s="54"/>
      <c r="AI314" s="231"/>
      <c r="AJ314" s="267"/>
      <c r="AK314" s="267"/>
      <c r="AL314" s="432"/>
      <c r="AM314" s="573" t="str">
        <f>GRAL!B315</f>
        <v>2015-2018</v>
      </c>
      <c r="AN314" s="574"/>
      <c r="AO314" s="13"/>
    </row>
    <row r="315" spans="1:41" ht="30" hidden="1" customHeight="1">
      <c r="A315" s="166">
        <f>OBRA!I314</f>
        <v>2018</v>
      </c>
      <c r="B315" s="2036"/>
      <c r="C315" s="433"/>
      <c r="D315" s="154"/>
      <c r="E315" s="156"/>
      <c r="F315" s="156"/>
      <c r="G315" s="436"/>
      <c r="H315" s="442" t="str">
        <f>OBRA!AD314</f>
        <v>-</v>
      </c>
      <c r="I315" s="438"/>
      <c r="J315" s="444" t="str">
        <f>OBRA!AE314</f>
        <v>-</v>
      </c>
      <c r="K315" s="439"/>
      <c r="L315" s="442" t="str">
        <f>OBRA!AF314</f>
        <v>-</v>
      </c>
      <c r="M315" s="440"/>
      <c r="N315" s="442" t="str">
        <f>OBRA!AG314</f>
        <v>-</v>
      </c>
      <c r="O315" s="152"/>
      <c r="P315" s="152"/>
      <c r="Q315" s="441"/>
      <c r="R315" s="445" t="str">
        <f>OBRA!AH314</f>
        <v>-</v>
      </c>
      <c r="S315" s="349"/>
      <c r="T315" s="446" t="str">
        <f>OBRA!U314</f>
        <v>C. NORMA GORETY DOMINGUEZ CALVARIO</v>
      </c>
      <c r="U315" s="447" t="str">
        <f>OBRA!V314</f>
        <v>ING. JUAN MANUEL GARCIA ESCOTO</v>
      </c>
      <c r="V315" s="1281"/>
      <c r="W315" s="20" t="str">
        <f>OBRA!L314</f>
        <v>GMJ 001C OP/2018</v>
      </c>
      <c r="X315" s="13"/>
      <c r="Y315" s="13"/>
      <c r="Z315" s="448" t="str">
        <f>OBRA!K314</f>
        <v>RAMO 33</v>
      </c>
      <c r="AA315" s="13"/>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428">
        <f>OBRA!S314</f>
        <v>43168</v>
      </c>
      <c r="AH315" s="54"/>
      <c r="AI315" s="231"/>
      <c r="AJ315" s="267"/>
      <c r="AK315" s="267"/>
      <c r="AL315" s="432"/>
      <c r="AM315" s="573" t="str">
        <f>GRAL!B316</f>
        <v>2015-2018</v>
      </c>
      <c r="AN315" s="574"/>
      <c r="AO315" s="13"/>
    </row>
    <row r="316" spans="1:41" ht="213.75" hidden="1" customHeight="1">
      <c r="A316" s="166">
        <f>OBRA!I315</f>
        <v>2018</v>
      </c>
      <c r="B316" s="2036"/>
      <c r="C316" s="670" t="s">
        <v>3732</v>
      </c>
      <c r="D316" s="179" t="s">
        <v>2464</v>
      </c>
      <c r="E316" s="178" t="s">
        <v>2465</v>
      </c>
      <c r="F316" s="178" t="s">
        <v>2466</v>
      </c>
      <c r="G316" s="603" t="s">
        <v>3732</v>
      </c>
      <c r="H316" s="643">
        <f>OBRA!AD315</f>
        <v>43192</v>
      </c>
      <c r="I316" s="603" t="s">
        <v>3732</v>
      </c>
      <c r="J316" s="644">
        <f>OBRA!AE315</f>
        <v>43200</v>
      </c>
      <c r="K316" s="603" t="s">
        <v>3732</v>
      </c>
      <c r="L316" s="643">
        <f>OBRA!AF315</f>
        <v>43200</v>
      </c>
      <c r="M316" s="603" t="s">
        <v>3732</v>
      </c>
      <c r="N316" s="643">
        <f>OBRA!AG315</f>
        <v>43207</v>
      </c>
      <c r="O316" s="176" t="s">
        <v>3856</v>
      </c>
      <c r="P316" s="648">
        <v>0.41666666666666669</v>
      </c>
      <c r="Q316" s="603" t="s">
        <v>3732</v>
      </c>
      <c r="R316" s="642">
        <f>OBRA!AH315</f>
        <v>43207</v>
      </c>
      <c r="S316" s="1005" t="s">
        <v>2467</v>
      </c>
      <c r="T316" s="652" t="str">
        <f>OBRA!U315</f>
        <v xml:space="preserve">DRABSA CONSTRUCTORA S.A. DE C.V. </v>
      </c>
      <c r="U316" s="718" t="str">
        <f>OBRA!V315</f>
        <v>ING. JUAN MANUEL GARCIA ESCOTO</v>
      </c>
      <c r="V316" s="1729"/>
      <c r="W316" s="35" t="str">
        <f>OBRA!L315</f>
        <v>GMJ 002C OP/2018</v>
      </c>
      <c r="X316" s="508" t="s">
        <v>3529</v>
      </c>
      <c r="Y316" s="449" t="s">
        <v>2468</v>
      </c>
      <c r="Z316" s="448" t="str">
        <f>OBRA!K315</f>
        <v>RAMO 33</v>
      </c>
      <c r="AA316" s="448"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600">
        <f>OBRA!S315</f>
        <v>43239</v>
      </c>
      <c r="AH316" s="1602" t="s">
        <v>3860</v>
      </c>
      <c r="AI316" s="231" t="s">
        <v>2344</v>
      </c>
      <c r="AJ316" s="267" t="s">
        <v>1431</v>
      </c>
      <c r="AK316" s="510" t="s">
        <v>3732</v>
      </c>
      <c r="AL316" s="801" t="s">
        <v>3732</v>
      </c>
      <c r="AM316" s="991" t="str">
        <f>GRAL!B317</f>
        <v>2015-2018</v>
      </c>
      <c r="AN316" s="448" t="s">
        <v>551</v>
      </c>
      <c r="AO316" s="13"/>
    </row>
    <row r="317" spans="1:41" ht="205.5" hidden="1" customHeight="1">
      <c r="A317" s="166">
        <f>OBRA!I316</f>
        <v>2018</v>
      </c>
      <c r="B317" s="2036"/>
      <c r="C317" s="670" t="s">
        <v>3733</v>
      </c>
      <c r="D317" s="179" t="s">
        <v>2464</v>
      </c>
      <c r="E317" s="178" t="s">
        <v>2465</v>
      </c>
      <c r="F317" s="178" t="s">
        <v>2466</v>
      </c>
      <c r="G317" s="603" t="s">
        <v>3733</v>
      </c>
      <c r="H317" s="643">
        <f>OBRA!AD316</f>
        <v>43192</v>
      </c>
      <c r="I317" s="603" t="s">
        <v>3733</v>
      </c>
      <c r="J317" s="644">
        <f>OBRA!AE316</f>
        <v>43200</v>
      </c>
      <c r="K317" s="603" t="s">
        <v>3733</v>
      </c>
      <c r="L317" s="643">
        <f>OBRA!AF316</f>
        <v>43200</v>
      </c>
      <c r="M317" s="603" t="s">
        <v>3733</v>
      </c>
      <c r="N317" s="643">
        <f>OBRA!AG316</f>
        <v>43207</v>
      </c>
      <c r="O317" s="176" t="s">
        <v>3856</v>
      </c>
      <c r="P317" s="648">
        <v>0.41666666666666669</v>
      </c>
      <c r="Q317" s="603" t="s">
        <v>3733</v>
      </c>
      <c r="R317" s="642">
        <f>OBRA!AH316</f>
        <v>43207</v>
      </c>
      <c r="S317" s="1005" t="s">
        <v>2467</v>
      </c>
      <c r="T317" s="652" t="str">
        <f>OBRA!U316</f>
        <v xml:space="preserve">DRABSA CONSTRUCTORA S.A. DE C.V. </v>
      </c>
      <c r="U317" s="718" t="str">
        <f>OBRA!V316</f>
        <v>ING. JUAN MANUEL GARCIA ESCOTO</v>
      </c>
      <c r="V317" s="1729"/>
      <c r="W317" s="35" t="str">
        <f>OBRA!L316</f>
        <v>GMJ 003C OP/2018</v>
      </c>
      <c r="X317" s="508" t="s">
        <v>3529</v>
      </c>
      <c r="Y317" s="449" t="s">
        <v>2469</v>
      </c>
      <c r="Z317" s="448" t="str">
        <f>OBRA!K316</f>
        <v>RAMO 33</v>
      </c>
      <c r="AA317" s="448"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600">
        <f>OBRA!S316</f>
        <v>43239</v>
      </c>
      <c r="AH317" s="1602" t="s">
        <v>3860</v>
      </c>
      <c r="AI317" s="231" t="s">
        <v>2344</v>
      </c>
      <c r="AJ317" s="267" t="s">
        <v>1431</v>
      </c>
      <c r="AK317" s="510" t="s">
        <v>3733</v>
      </c>
      <c r="AL317" s="603" t="s">
        <v>3733</v>
      </c>
      <c r="AM317" s="992" t="str">
        <f>GRAL!B318</f>
        <v>2015-2018</v>
      </c>
      <c r="AN317" s="448" t="s">
        <v>551</v>
      </c>
      <c r="AO317" s="13"/>
    </row>
    <row r="318" spans="1:41" ht="30" hidden="1" customHeight="1">
      <c r="A318" s="166">
        <f>OBRA!I317</f>
        <v>2018</v>
      </c>
      <c r="B318" s="2036"/>
      <c r="C318" s="433"/>
      <c r="D318" s="154"/>
      <c r="E318" s="156"/>
      <c r="F318" s="156"/>
      <c r="G318" s="436"/>
      <c r="H318" s="442" t="str">
        <f>OBRA!AD317</f>
        <v>-</v>
      </c>
      <c r="I318" s="438"/>
      <c r="J318" s="444" t="str">
        <f>OBRA!AE317</f>
        <v>-</v>
      </c>
      <c r="K318" s="439"/>
      <c r="L318" s="442" t="str">
        <f>OBRA!AF317</f>
        <v>-</v>
      </c>
      <c r="M318" s="440"/>
      <c r="N318" s="442" t="str">
        <f>OBRA!AG317</f>
        <v>-</v>
      </c>
      <c r="O318" s="152"/>
      <c r="P318" s="152"/>
      <c r="Q318" s="441"/>
      <c r="R318" s="445" t="str">
        <f>OBRA!AH317</f>
        <v>-</v>
      </c>
      <c r="S318" s="349"/>
      <c r="T318" s="446" t="str">
        <f>OBRA!U317</f>
        <v>JOSE LUIS RANGEL GALVEZ</v>
      </c>
      <c r="U318" s="447" t="str">
        <f>OBRA!V317</f>
        <v>ARQ. CESAR ANTONIO ALONSO JIMENEZ</v>
      </c>
      <c r="V318" s="1281"/>
      <c r="W318" s="35" t="str">
        <f>OBRA!L317</f>
        <v>GMJ 004C OP/2018</v>
      </c>
      <c r="X318" s="508"/>
      <c r="Y318" s="13"/>
      <c r="Z318" s="448" t="str">
        <f>OBRA!K317</f>
        <v>CUENTA CORRIENTE</v>
      </c>
      <c r="AA318" s="13"/>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428">
        <f>OBRA!S317</f>
        <v>43321</v>
      </c>
      <c r="AH318" s="54"/>
      <c r="AI318" s="231"/>
      <c r="AJ318" s="267"/>
      <c r="AK318" s="267"/>
      <c r="AL318" s="432"/>
      <c r="AM318" s="573" t="str">
        <f>GRAL!B319</f>
        <v>2015-2018</v>
      </c>
      <c r="AN318" s="574"/>
      <c r="AO318" s="13"/>
    </row>
    <row r="319" spans="1:41" ht="30" hidden="1" customHeight="1">
      <c r="A319" s="166">
        <f>OBRA!I318</f>
        <v>2018</v>
      </c>
      <c r="B319" s="2036"/>
      <c r="C319" s="433"/>
      <c r="D319" s="154"/>
      <c r="E319" s="156"/>
      <c r="F319" s="156"/>
      <c r="G319" s="436"/>
      <c r="H319" s="442" t="str">
        <f>OBRA!AD318</f>
        <v>-</v>
      </c>
      <c r="I319" s="438"/>
      <c r="J319" s="444" t="str">
        <f>OBRA!AE318</f>
        <v>-</v>
      </c>
      <c r="K319" s="439"/>
      <c r="L319" s="442" t="str">
        <f>OBRA!AF318</f>
        <v>-</v>
      </c>
      <c r="M319" s="440"/>
      <c r="N319" s="442" t="str">
        <f>OBRA!AG318</f>
        <v>-</v>
      </c>
      <c r="O319" s="152"/>
      <c r="P319" s="152"/>
      <c r="Q319" s="441"/>
      <c r="R319" s="445" t="str">
        <f>OBRA!AH318</f>
        <v>-</v>
      </c>
      <c r="S319" s="349"/>
      <c r="T319" s="446" t="str">
        <f>OBRA!U318</f>
        <v xml:space="preserve">GRUPO DESARROLLADOR INMOBILIARIO CEMERAMA S.A. DE C.V. </v>
      </c>
      <c r="U319" s="447" t="str">
        <f>OBRA!V318</f>
        <v>LIC. SALVADOR CONTRERAS OLGUÍN</v>
      </c>
      <c r="V319" s="1281"/>
      <c r="W319" s="35" t="str">
        <f>OBRA!L318</f>
        <v>GMJ 005C OP/2018</v>
      </c>
      <c r="X319" s="508"/>
      <c r="Y319" s="13"/>
      <c r="Z319" s="448" t="str">
        <f>OBRA!K318</f>
        <v>RAMO 33</v>
      </c>
      <c r="AA319" s="13"/>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428">
        <f>OBRA!S318</f>
        <v>43285</v>
      </c>
      <c r="AH319" s="54"/>
      <c r="AI319" s="231"/>
      <c r="AJ319" s="267"/>
      <c r="AK319" s="267"/>
      <c r="AL319" s="432"/>
      <c r="AM319" s="573" t="str">
        <f>GRAL!B320</f>
        <v>2015-2018</v>
      </c>
      <c r="AN319" s="574"/>
      <c r="AO319" s="13"/>
    </row>
    <row r="320" spans="1:41" ht="30" hidden="1" customHeight="1">
      <c r="A320" s="166">
        <f>OBRA!I319</f>
        <v>2018</v>
      </c>
      <c r="B320" s="2036"/>
      <c r="C320" s="433"/>
      <c r="D320" s="154"/>
      <c r="E320" s="156"/>
      <c r="F320" s="156"/>
      <c r="G320" s="436"/>
      <c r="H320" s="442" t="str">
        <f>OBRA!AD319</f>
        <v>-</v>
      </c>
      <c r="I320" s="438"/>
      <c r="J320" s="444" t="str">
        <f>OBRA!AE319</f>
        <v>-</v>
      </c>
      <c r="K320" s="439"/>
      <c r="L320" s="442" t="str">
        <f>OBRA!AF319</f>
        <v>-</v>
      </c>
      <c r="M320" s="440"/>
      <c r="N320" s="442" t="str">
        <f>OBRA!AG319</f>
        <v>-</v>
      </c>
      <c r="O320" s="152"/>
      <c r="P320" s="152"/>
      <c r="Q320" s="441"/>
      <c r="R320" s="445" t="str">
        <f>OBRA!AH319</f>
        <v>-</v>
      </c>
      <c r="S320" s="349"/>
      <c r="T320" s="446" t="str">
        <f>OBRA!U319</f>
        <v>ING. MACIEL MOZQUEDA GONZALEZ</v>
      </c>
      <c r="U320" s="447" t="str">
        <f>OBRA!V319</f>
        <v>ARQ. CESAR ANTONIO ALONSO JIMENEZ</v>
      </c>
      <c r="V320" s="1281"/>
      <c r="W320" s="35" t="str">
        <f>OBRA!L319</f>
        <v>GMJ 006C OP/2018</v>
      </c>
      <c r="X320" s="508"/>
      <c r="Y320" s="13"/>
      <c r="Z320" s="448" t="str">
        <f>OBRA!K319</f>
        <v>RAMO 33</v>
      </c>
      <c r="AA320" s="13"/>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428">
        <f>OBRA!S319</f>
        <v>43322</v>
      </c>
      <c r="AH320" s="54"/>
      <c r="AI320" s="231"/>
      <c r="AJ320" s="267"/>
      <c r="AK320" s="267"/>
      <c r="AL320" s="432"/>
      <c r="AM320" s="573" t="str">
        <f>GRAL!B321</f>
        <v>2015-2018</v>
      </c>
      <c r="AN320" s="574"/>
      <c r="AO320" s="13"/>
    </row>
    <row r="321" spans="1:41" s="110" customFormat="1" ht="30" hidden="1" customHeight="1">
      <c r="A321" s="956">
        <f>OBRA!I320</f>
        <v>2018</v>
      </c>
      <c r="B321" s="2037"/>
      <c r="C321" s="159"/>
      <c r="D321" s="155"/>
      <c r="E321" s="157"/>
      <c r="F321" s="157"/>
      <c r="G321" s="958"/>
      <c r="H321" s="158">
        <f>OBRA!AD320</f>
        <v>0</v>
      </c>
      <c r="I321" s="456"/>
      <c r="J321" s="117">
        <f>OBRA!AE320</f>
        <v>0</v>
      </c>
      <c r="K321" s="960"/>
      <c r="L321" s="158">
        <f>OBRA!AF320</f>
        <v>0</v>
      </c>
      <c r="M321" s="959"/>
      <c r="N321" s="158">
        <f>OBRA!AG320</f>
        <v>0</v>
      </c>
      <c r="O321" s="158"/>
      <c r="P321" s="158"/>
      <c r="Q321" s="960"/>
      <c r="R321" s="459">
        <f>OBRA!AH320</f>
        <v>0</v>
      </c>
      <c r="S321" s="967"/>
      <c r="T321" s="460" t="str">
        <f>OBRA!U320</f>
        <v>-</v>
      </c>
      <c r="U321" s="461" t="str">
        <f>OBRA!V320</f>
        <v>-</v>
      </c>
      <c r="V321" s="935"/>
      <c r="W321" s="340" t="str">
        <f>OBRA!L320</f>
        <v>GMJ 007C OP/2018</v>
      </c>
      <c r="X321" s="937"/>
      <c r="Y321" s="109"/>
      <c r="Z321" s="109">
        <f>OBRA!K320</f>
        <v>0</v>
      </c>
      <c r="AA321" s="109"/>
      <c r="AB321" s="203" t="str">
        <f>OBRA!M320</f>
        <v>CANCELADA</v>
      </c>
      <c r="AC321" s="112">
        <f>OBRA!N320</f>
        <v>0</v>
      </c>
      <c r="AD321" s="92">
        <f>OBRA!P320</f>
        <v>0</v>
      </c>
      <c r="AE321" s="93">
        <f>OBRA!Q320</f>
        <v>0</v>
      </c>
      <c r="AF321" s="94">
        <f>OBRA!R320</f>
        <v>0</v>
      </c>
      <c r="AG321" s="429">
        <f>OBRA!S320</f>
        <v>0</v>
      </c>
      <c r="AH321" s="107"/>
      <c r="AI321" s="90"/>
      <c r="AJ321" s="102"/>
      <c r="AK321" s="102"/>
      <c r="AL321" s="103"/>
      <c r="AM321" s="392" t="str">
        <f>GRAL!B322</f>
        <v>2015-2018</v>
      </c>
      <c r="AN321" s="961"/>
      <c r="AO321" s="109"/>
    </row>
    <row r="322" spans="1:41" ht="30" hidden="1" customHeight="1">
      <c r="A322" s="166">
        <f>OBRA!I321</f>
        <v>2018</v>
      </c>
      <c r="B322" s="2036"/>
      <c r="C322" s="433"/>
      <c r="D322" s="154"/>
      <c r="E322" s="156"/>
      <c r="F322" s="156"/>
      <c r="G322" s="436"/>
      <c r="H322" s="442" t="str">
        <f>OBRA!AD321</f>
        <v>-</v>
      </c>
      <c r="I322" s="438"/>
      <c r="J322" s="444" t="str">
        <f>OBRA!AE321</f>
        <v>-</v>
      </c>
      <c r="K322" s="439"/>
      <c r="L322" s="442" t="str">
        <f>OBRA!AF321</f>
        <v>-</v>
      </c>
      <c r="M322" s="440"/>
      <c r="N322" s="442" t="str">
        <f>OBRA!AG321</f>
        <v>-</v>
      </c>
      <c r="O322" s="152"/>
      <c r="P322" s="152"/>
      <c r="Q322" s="441"/>
      <c r="R322" s="445" t="str">
        <f>OBRA!AH321</f>
        <v>-</v>
      </c>
      <c r="S322" s="349"/>
      <c r="T322" s="446" t="str">
        <f>OBRA!U321</f>
        <v xml:space="preserve">GRUPO DESARROLLADOR INMOBILIARIO CEMERAMA S.A. DE C.V. </v>
      </c>
      <c r="U322" s="447" t="str">
        <f>OBRA!V321</f>
        <v>LIC. SALVADOR CONTRERAS OLGUÍN</v>
      </c>
      <c r="V322" s="1281"/>
      <c r="W322" s="35" t="str">
        <f>OBRA!L321</f>
        <v>GMJ 008C OP/2018</v>
      </c>
      <c r="X322" s="508"/>
      <c r="Y322" s="13"/>
      <c r="Z322" s="448" t="str">
        <f>OBRA!K321</f>
        <v>RAMO 33</v>
      </c>
      <c r="AA322" s="13"/>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428">
        <f>OBRA!S321</f>
        <v>43255</v>
      </c>
      <c r="AH322" s="54"/>
      <c r="AI322" s="231"/>
      <c r="AJ322" s="267"/>
      <c r="AK322" s="267"/>
      <c r="AL322" s="432"/>
      <c r="AM322" s="573" t="str">
        <f>GRAL!B323</f>
        <v>2015-2018</v>
      </c>
      <c r="AN322" s="574"/>
      <c r="AO322" s="13"/>
    </row>
    <row r="323" spans="1:41" ht="30" hidden="1" customHeight="1">
      <c r="A323" s="166">
        <f>OBRA!I322</f>
        <v>2018</v>
      </c>
      <c r="B323" s="2036"/>
      <c r="C323" s="433"/>
      <c r="D323" s="154"/>
      <c r="E323" s="156"/>
      <c r="F323" s="156"/>
      <c r="G323" s="436"/>
      <c r="H323" s="442" t="str">
        <f>OBRA!AD322</f>
        <v>-</v>
      </c>
      <c r="I323" s="438"/>
      <c r="J323" s="444" t="str">
        <f>OBRA!AE322</f>
        <v>-</v>
      </c>
      <c r="K323" s="439"/>
      <c r="L323" s="442" t="str">
        <f>OBRA!AF322</f>
        <v>-</v>
      </c>
      <c r="M323" s="440"/>
      <c r="N323" s="442" t="str">
        <f>OBRA!AG322</f>
        <v>-</v>
      </c>
      <c r="O323" s="152"/>
      <c r="P323" s="152"/>
      <c r="Q323" s="441"/>
      <c r="R323" s="445" t="str">
        <f>OBRA!AH322</f>
        <v>-</v>
      </c>
      <c r="S323" s="349"/>
      <c r="T323" s="446" t="str">
        <f>OBRA!U322</f>
        <v>ING. JOSE VALENTIN ZARATE RIVERA</v>
      </c>
      <c r="U323" s="447" t="str">
        <f>OBRA!V322</f>
        <v>ING. JUAN MANUEL GARCIA ESCOTO</v>
      </c>
      <c r="V323" s="1281"/>
      <c r="W323" s="35" t="str">
        <f>OBRA!L322</f>
        <v>GMJ 009C OP/2018</v>
      </c>
      <c r="X323" s="508"/>
      <c r="Y323" s="13"/>
      <c r="Z323" s="448" t="str">
        <f>OBRA!K322</f>
        <v>FONDEREG</v>
      </c>
      <c r="AA323" s="13"/>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428">
        <f>OBRA!S322</f>
        <v>43322</v>
      </c>
      <c r="AH323" s="54"/>
      <c r="AI323" s="231"/>
      <c r="AJ323" s="267"/>
      <c r="AK323" s="267"/>
      <c r="AL323" s="432"/>
      <c r="AM323" s="573" t="str">
        <f>GRAL!B324</f>
        <v>2015-2018</v>
      </c>
      <c r="AN323" s="574"/>
      <c r="AO323" s="13"/>
    </row>
    <row r="324" spans="1:41" ht="30" hidden="1" customHeight="1">
      <c r="A324" s="166">
        <f>OBRA!I323</f>
        <v>2018</v>
      </c>
      <c r="B324" s="2036"/>
      <c r="C324" s="433"/>
      <c r="D324" s="154"/>
      <c r="E324" s="156"/>
      <c r="F324" s="156"/>
      <c r="G324" s="436"/>
      <c r="H324" s="442" t="str">
        <f>OBRA!AD323</f>
        <v>-</v>
      </c>
      <c r="I324" s="438"/>
      <c r="J324" s="444" t="str">
        <f>OBRA!AE323</f>
        <v>-</v>
      </c>
      <c r="K324" s="439"/>
      <c r="L324" s="442" t="str">
        <f>OBRA!AF323</f>
        <v>-</v>
      </c>
      <c r="M324" s="440"/>
      <c r="N324" s="442" t="str">
        <f>OBRA!AG323</f>
        <v>-</v>
      </c>
      <c r="O324" s="152"/>
      <c r="P324" s="152"/>
      <c r="Q324" s="441"/>
      <c r="R324" s="445" t="str">
        <f>OBRA!AH323</f>
        <v>-</v>
      </c>
      <c r="S324" s="349"/>
      <c r="T324" s="446" t="str">
        <f>OBRA!U323</f>
        <v>LIC. CARLOS MANUEL PELAYO CERVERA</v>
      </c>
      <c r="U324" s="447" t="str">
        <f>OBRA!V323</f>
        <v>ARQ. CESAR ANTONIO ALONSO JIMENEZ</v>
      </c>
      <c r="V324" s="1281"/>
      <c r="W324" s="35" t="str">
        <f>OBRA!L323</f>
        <v>GMJ 010C OP/2018</v>
      </c>
      <c r="X324" s="508"/>
      <c r="Y324" s="13"/>
      <c r="Z324" s="448" t="str">
        <f>OBRA!K323</f>
        <v>RAMO 33</v>
      </c>
      <c r="AA324" s="13"/>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428">
        <f>OBRA!S323</f>
        <v>43283</v>
      </c>
      <c r="AH324" s="54"/>
      <c r="AI324" s="231"/>
      <c r="AJ324" s="267"/>
      <c r="AK324" s="267"/>
      <c r="AL324" s="432"/>
      <c r="AM324" s="573" t="str">
        <f>GRAL!B325</f>
        <v>2015-2018</v>
      </c>
      <c r="AN324" s="574"/>
      <c r="AO324" s="13"/>
    </row>
    <row r="325" spans="1:41" ht="30" hidden="1" customHeight="1">
      <c r="A325" s="166">
        <f>OBRA!I324</f>
        <v>2018</v>
      </c>
      <c r="B325" s="2036"/>
      <c r="C325" s="433"/>
      <c r="D325" s="154"/>
      <c r="E325" s="156"/>
      <c r="F325" s="156"/>
      <c r="G325" s="436"/>
      <c r="H325" s="442" t="str">
        <f>OBRA!AD324</f>
        <v>-</v>
      </c>
      <c r="I325" s="438"/>
      <c r="J325" s="444" t="str">
        <f>OBRA!AE324</f>
        <v>-</v>
      </c>
      <c r="K325" s="439"/>
      <c r="L325" s="442" t="str">
        <f>OBRA!AF324</f>
        <v>-</v>
      </c>
      <c r="M325" s="440"/>
      <c r="N325" s="442" t="str">
        <f>OBRA!AG324</f>
        <v>-</v>
      </c>
      <c r="O325" s="152"/>
      <c r="P325" s="152"/>
      <c r="Q325" s="441"/>
      <c r="R325" s="445" t="str">
        <f>OBRA!AH324</f>
        <v>-</v>
      </c>
      <c r="S325" s="349"/>
      <c r="T325" s="446" t="str">
        <f>OBRA!U324</f>
        <v>LIC. CARLOS MANUEL PELAYO CERVERA</v>
      </c>
      <c r="U325" s="447" t="str">
        <f>OBRA!V324</f>
        <v>ARQ. CESAR ANTONIO ALONSO JIMENEZ</v>
      </c>
      <c r="V325" s="1281"/>
      <c r="W325" s="35" t="str">
        <f>OBRA!L324</f>
        <v>GMJ 011C OP/2018</v>
      </c>
      <c r="X325" s="508"/>
      <c r="Y325" s="13"/>
      <c r="Z325" s="448" t="str">
        <f>OBRA!K324</f>
        <v>RAMO 33</v>
      </c>
      <c r="AA325" s="13"/>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428">
        <f>OBRA!S324</f>
        <v>43283</v>
      </c>
      <c r="AH325" s="54"/>
      <c r="AI325" s="231"/>
      <c r="AJ325" s="267"/>
      <c r="AK325" s="267"/>
      <c r="AL325" s="432"/>
      <c r="AM325" s="573" t="str">
        <f>GRAL!B326</f>
        <v>2015-2018</v>
      </c>
      <c r="AN325" s="574"/>
      <c r="AO325" s="13"/>
    </row>
    <row r="326" spans="1:41" ht="30" hidden="1" customHeight="1">
      <c r="A326" s="166">
        <f>OBRA!I325</f>
        <v>2018</v>
      </c>
      <c r="B326" s="2036"/>
      <c r="C326" s="753"/>
      <c r="D326" s="154"/>
      <c r="E326" s="156"/>
      <c r="F326" s="156"/>
      <c r="G326" s="436"/>
      <c r="H326" s="442" t="str">
        <f>OBRA!AD325</f>
        <v>-</v>
      </c>
      <c r="I326" s="438"/>
      <c r="J326" s="444" t="str">
        <f>OBRA!AE325</f>
        <v>-</v>
      </c>
      <c r="K326" s="439"/>
      <c r="L326" s="442" t="str">
        <f>OBRA!AF325</f>
        <v>-</v>
      </c>
      <c r="M326" s="440"/>
      <c r="N326" s="442" t="str">
        <f>OBRA!AG325</f>
        <v>-</v>
      </c>
      <c r="O326" s="152"/>
      <c r="P326" s="152"/>
      <c r="Q326" s="441"/>
      <c r="R326" s="445" t="str">
        <f>OBRA!AH325</f>
        <v>-</v>
      </c>
      <c r="S326" s="349"/>
      <c r="T326" s="446" t="str">
        <f>OBRA!U325</f>
        <v>BIRMEK CONSTRUCCIONES S.A. DE C.V.</v>
      </c>
      <c r="U326" s="447" t="str">
        <f>OBRA!V325</f>
        <v>ING. RIGOBERTO OLMEDO RAMOS</v>
      </c>
      <c r="V326" s="1281"/>
      <c r="W326" s="35" t="str">
        <f>OBRA!L325</f>
        <v>GMJ 012C OP/2018</v>
      </c>
      <c r="X326" s="508"/>
      <c r="Y326" s="13"/>
      <c r="Z326" s="448" t="str">
        <f>OBRA!K325</f>
        <v>FONDEREG</v>
      </c>
      <c r="AA326" s="13"/>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428">
        <f>OBRA!S325</f>
        <v>43342</v>
      </c>
      <c r="AH326" s="54"/>
      <c r="AI326" s="231"/>
      <c r="AJ326" s="267"/>
      <c r="AK326" s="267"/>
      <c r="AL326" s="432"/>
      <c r="AM326" s="573" t="str">
        <f>GRAL!B327</f>
        <v>2015-2018</v>
      </c>
      <c r="AN326" s="574"/>
      <c r="AO326" s="13"/>
    </row>
    <row r="327" spans="1:41" ht="187.5" hidden="1" customHeight="1">
      <c r="A327" s="166">
        <f>OBRA!I326</f>
        <v>2018</v>
      </c>
      <c r="B327" s="2036"/>
      <c r="C327" s="670" t="s">
        <v>3734</v>
      </c>
      <c r="D327" s="179" t="s">
        <v>2464</v>
      </c>
      <c r="E327" s="178" t="s">
        <v>2465</v>
      </c>
      <c r="F327" s="178" t="s">
        <v>2466</v>
      </c>
      <c r="G327" s="603" t="s">
        <v>3734</v>
      </c>
      <c r="H327" s="643">
        <f>OBRA!AD326</f>
        <v>43192</v>
      </c>
      <c r="I327" s="603" t="s">
        <v>3734</v>
      </c>
      <c r="J327" s="644">
        <f>OBRA!AE326</f>
        <v>43200</v>
      </c>
      <c r="K327" s="603" t="s">
        <v>3734</v>
      </c>
      <c r="L327" s="643">
        <f>OBRA!AF326</f>
        <v>43200</v>
      </c>
      <c r="M327" s="603" t="s">
        <v>3734</v>
      </c>
      <c r="N327" s="643">
        <f>OBRA!AG326</f>
        <v>43203</v>
      </c>
      <c r="O327" s="176" t="s">
        <v>3856</v>
      </c>
      <c r="P327" s="648" t="s">
        <v>2470</v>
      </c>
      <c r="Q327" s="603" t="s">
        <v>3734</v>
      </c>
      <c r="R327" s="642">
        <f>OBRA!AH326</f>
        <v>43207</v>
      </c>
      <c r="S327" s="1005" t="s">
        <v>2471</v>
      </c>
      <c r="T327" s="652" t="str">
        <f>OBRA!U326</f>
        <v>ING. SERGIO CABRERA</v>
      </c>
      <c r="U327" s="718" t="str">
        <f>OBRA!V326</f>
        <v>ING. JUAN MANUEL GARCIA ESCOTO</v>
      </c>
      <c r="V327" s="1729"/>
      <c r="W327" s="35" t="str">
        <f>OBRA!L326</f>
        <v>GMJ 013C OP/2018</v>
      </c>
      <c r="X327" s="508" t="s">
        <v>3530</v>
      </c>
      <c r="Y327" s="449" t="s">
        <v>2472</v>
      </c>
      <c r="Z327" s="448" t="str">
        <f>OBRA!K326</f>
        <v>FONDEREG</v>
      </c>
      <c r="AA327" s="448"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600">
        <f>OBRA!S326</f>
        <v>43288</v>
      </c>
      <c r="AH327" s="1602" t="s">
        <v>3860</v>
      </c>
      <c r="AI327" s="231" t="s">
        <v>2344</v>
      </c>
      <c r="AJ327" s="510" t="s">
        <v>3734</v>
      </c>
      <c r="AK327" s="510" t="s">
        <v>3734</v>
      </c>
      <c r="AL327" s="510" t="s">
        <v>3734</v>
      </c>
      <c r="AM327" s="991" t="str">
        <f>GRAL!B328</f>
        <v>2015-2018</v>
      </c>
      <c r="AN327" s="448" t="s">
        <v>551</v>
      </c>
      <c r="AO327" s="13"/>
    </row>
    <row r="328" spans="1:41" s="110" customFormat="1" ht="30" hidden="1" customHeight="1">
      <c r="A328" s="956">
        <f>OBRA!I327</f>
        <v>2018</v>
      </c>
      <c r="B328" s="2037"/>
      <c r="C328" s="159"/>
      <c r="D328" s="155"/>
      <c r="E328" s="157"/>
      <c r="F328" s="157"/>
      <c r="G328" s="958"/>
      <c r="H328" s="158" t="str">
        <f>OBRA!AD327</f>
        <v>FALTA</v>
      </c>
      <c r="I328" s="456"/>
      <c r="J328" s="117">
        <f>OBRA!AE327</f>
        <v>0</v>
      </c>
      <c r="K328" s="960"/>
      <c r="L328" s="158">
        <f>OBRA!AF327</f>
        <v>0</v>
      </c>
      <c r="M328" s="959"/>
      <c r="N328" s="158">
        <f>OBRA!AG327</f>
        <v>0</v>
      </c>
      <c r="O328" s="158"/>
      <c r="P328" s="158"/>
      <c r="Q328" s="960"/>
      <c r="R328" s="459">
        <f>OBRA!AH327</f>
        <v>0</v>
      </c>
      <c r="S328" s="967"/>
      <c r="T328" s="460" t="str">
        <f>OBRA!U327</f>
        <v>ING. SERGIO CABRERA</v>
      </c>
      <c r="U328" s="461" t="str">
        <f>OBRA!V327</f>
        <v>ING. J. GUADALUPE IBARRA RAMIREZ</v>
      </c>
      <c r="V328" s="935"/>
      <c r="W328" s="340" t="str">
        <f>OBRA!L327</f>
        <v>GMJ 014C OP/2018</v>
      </c>
      <c r="X328" s="109"/>
      <c r="Y328" s="109"/>
      <c r="Z328" s="462" t="str">
        <f>OBRA!K327</f>
        <v>Fondo de proyectos para el Desarrollo Regional</v>
      </c>
      <c r="AA328" s="109"/>
      <c r="AB328" s="203" t="str">
        <f>OBRA!M327</f>
        <v>CANCELADA</v>
      </c>
      <c r="AC328" s="112" t="str">
        <f>OBRA!N327</f>
        <v>CONSTRUCCION DE EMPEDRADO AHOGADO EN CEMENTO, CONSTRUCCION DE HUELLAS DE CONCRETO Y CONSTRUCCION DE GUARNICIÓN DE LA CALLE CUAUHTEMOC, EN LA LOCALIDAD DE POTRERILLOS DEL MUNICIPIO DE JOCOTEPEC, JALISCO.</v>
      </c>
      <c r="AD328" s="92">
        <f>OBRA!P327</f>
        <v>989000</v>
      </c>
      <c r="AE328" s="93">
        <f>OBRA!Q327</f>
        <v>43251</v>
      </c>
      <c r="AF328" s="94">
        <f>OBRA!R327</f>
        <v>43252</v>
      </c>
      <c r="AG328" s="429">
        <f>OBRA!S327</f>
        <v>43301</v>
      </c>
      <c r="AH328" s="107"/>
      <c r="AI328" s="90"/>
      <c r="AJ328" s="102" t="s">
        <v>1431</v>
      </c>
      <c r="AK328" s="102"/>
      <c r="AL328" s="103"/>
      <c r="AM328" s="392" t="str">
        <f>GRAL!B329</f>
        <v>2015-2018</v>
      </c>
      <c r="AN328" s="961"/>
      <c r="AO328" s="109"/>
    </row>
    <row r="329" spans="1:41" ht="30" hidden="1" customHeight="1">
      <c r="A329" s="166">
        <f>OBRA!I328</f>
        <v>2018</v>
      </c>
      <c r="B329" s="2036"/>
      <c r="C329" s="433"/>
      <c r="D329" s="154"/>
      <c r="E329" s="156"/>
      <c r="F329" s="156"/>
      <c r="G329" s="436"/>
      <c r="H329" s="442" t="str">
        <f>OBRA!AD328</f>
        <v>-</v>
      </c>
      <c r="I329" s="438"/>
      <c r="J329" s="444" t="str">
        <f>OBRA!AE328</f>
        <v>-</v>
      </c>
      <c r="K329" s="439"/>
      <c r="L329" s="442" t="str">
        <f>OBRA!AF328</f>
        <v>-</v>
      </c>
      <c r="M329" s="440"/>
      <c r="N329" s="442" t="str">
        <f>OBRA!AG328</f>
        <v>-</v>
      </c>
      <c r="O329" s="152"/>
      <c r="P329" s="152"/>
      <c r="Q329" s="441"/>
      <c r="R329" s="445" t="str">
        <f>OBRA!AH328</f>
        <v>-</v>
      </c>
      <c r="S329" s="349"/>
      <c r="T329" s="446" t="str">
        <f>OBRA!U328</f>
        <v>ING. MACIEL MOZQUEDA GONZALEZ</v>
      </c>
      <c r="U329" s="447" t="str">
        <f>OBRA!V328</f>
        <v>ARQ. CESAR ANTONIO ALONSO JIMENEZ</v>
      </c>
      <c r="V329" s="1281"/>
      <c r="W329" s="35" t="str">
        <f>OBRA!L328</f>
        <v>GMJ 015C OP/2018</v>
      </c>
      <c r="X329" s="13"/>
      <c r="Y329" s="13"/>
      <c r="Z329" s="448" t="str">
        <f>OBRA!K328</f>
        <v>RAMO 33</v>
      </c>
      <c r="AA329" s="13"/>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428">
        <f>OBRA!S328</f>
        <v>43322</v>
      </c>
      <c r="AH329" s="54"/>
      <c r="AI329" s="231"/>
      <c r="AJ329" s="267"/>
      <c r="AK329" s="267"/>
      <c r="AL329" s="432"/>
      <c r="AM329" s="573" t="str">
        <f>GRAL!B330</f>
        <v>2015-2018</v>
      </c>
      <c r="AN329" s="574"/>
      <c r="AO329" s="13"/>
    </row>
    <row r="330" spans="1:41" ht="30" hidden="1" customHeight="1">
      <c r="A330" s="166">
        <f>OBRA!I329</f>
        <v>2018</v>
      </c>
      <c r="B330" s="2036"/>
      <c r="C330" s="433"/>
      <c r="D330" s="154"/>
      <c r="E330" s="156"/>
      <c r="F330" s="156"/>
      <c r="G330" s="436"/>
      <c r="H330" s="442" t="str">
        <f>OBRA!AD329</f>
        <v>-</v>
      </c>
      <c r="I330" s="438"/>
      <c r="J330" s="444" t="str">
        <f>OBRA!AE329</f>
        <v>-</v>
      </c>
      <c r="K330" s="439"/>
      <c r="L330" s="442" t="str">
        <f>OBRA!AF329</f>
        <v>-</v>
      </c>
      <c r="M330" s="440"/>
      <c r="N330" s="442" t="str">
        <f>OBRA!AG329</f>
        <v>-</v>
      </c>
      <c r="O330" s="152"/>
      <c r="P330" s="152"/>
      <c r="Q330" s="441"/>
      <c r="R330" s="445" t="str">
        <f>OBRA!AH329</f>
        <v>-</v>
      </c>
      <c r="S330" s="349"/>
      <c r="T330" s="446" t="str">
        <f>OBRA!U329</f>
        <v>C. NORMA GORETY DOMINGUEZ CALVARIO</v>
      </c>
      <c r="U330" s="447" t="str">
        <f>OBRA!V329</f>
        <v>ING. JUAN MANUEL GARCIA ESCOTO</v>
      </c>
      <c r="V330" s="1281"/>
      <c r="W330" s="35" t="str">
        <f>OBRA!L329</f>
        <v>GMJ 016C OP/2018</v>
      </c>
      <c r="X330" s="13"/>
      <c r="Y330" s="13"/>
      <c r="Z330" s="448" t="str">
        <f>OBRA!K329</f>
        <v>CUENTA CORRIENTE</v>
      </c>
      <c r="AA330" s="13"/>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428">
        <f>OBRA!S329</f>
        <v>43120</v>
      </c>
      <c r="AH330" s="54"/>
      <c r="AI330" s="231"/>
      <c r="AJ330" s="267"/>
      <c r="AK330" s="267"/>
      <c r="AL330" s="432"/>
      <c r="AM330" s="573" t="str">
        <f>GRAL!B331</f>
        <v>2015-2018</v>
      </c>
      <c r="AN330" s="574"/>
      <c r="AO330" s="13"/>
    </row>
    <row r="331" spans="1:41" ht="30" hidden="1" customHeight="1">
      <c r="A331" s="166">
        <f>OBRA!I330</f>
        <v>2018</v>
      </c>
      <c r="B331" s="2036"/>
      <c r="C331" s="433"/>
      <c r="D331" s="154"/>
      <c r="E331" s="156"/>
      <c r="F331" s="156"/>
      <c r="G331" s="436"/>
      <c r="H331" s="442" t="str">
        <f>OBRA!AD330</f>
        <v>-</v>
      </c>
      <c r="I331" s="438"/>
      <c r="J331" s="444" t="str">
        <f>OBRA!AE330</f>
        <v>-</v>
      </c>
      <c r="K331" s="439"/>
      <c r="L331" s="442" t="str">
        <f>OBRA!AF330</f>
        <v>-</v>
      </c>
      <c r="M331" s="440"/>
      <c r="N331" s="442" t="str">
        <f>OBRA!AG330</f>
        <v>-</v>
      </c>
      <c r="O331" s="152"/>
      <c r="P331" s="152"/>
      <c r="Q331" s="441"/>
      <c r="R331" s="445" t="str">
        <f>OBRA!AH330</f>
        <v>-</v>
      </c>
      <c r="S331" s="349"/>
      <c r="T331" s="446" t="str">
        <f>OBRA!U330</f>
        <v>C. JOSÉ MIGUEL GARCIA VALLE</v>
      </c>
      <c r="U331" s="447" t="str">
        <f>OBRA!V330</f>
        <v>ING. JUAN MANUEL GARCIA ESCOTO</v>
      </c>
      <c r="V331" s="1281"/>
      <c r="W331" s="35" t="str">
        <f>OBRA!L330</f>
        <v>GMJ 017C OP/2018</v>
      </c>
      <c r="X331" s="13"/>
      <c r="Y331" s="13"/>
      <c r="Z331" s="448" t="str">
        <f>OBRA!K330</f>
        <v>CUENTA CORRIENTE</v>
      </c>
      <c r="AA331" s="13"/>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428">
        <f>OBRA!S330</f>
        <v>43155</v>
      </c>
      <c r="AH331" s="54"/>
      <c r="AI331" s="231"/>
      <c r="AJ331" s="267"/>
      <c r="AK331" s="267"/>
      <c r="AL331" s="432"/>
      <c r="AM331" s="573" t="str">
        <f>GRAL!B332</f>
        <v>2015-2018</v>
      </c>
      <c r="AN331" s="574"/>
      <c r="AO331" s="13"/>
    </row>
    <row r="332" spans="1:41" ht="30" hidden="1" customHeight="1">
      <c r="A332" s="166">
        <f>OBRA!I331</f>
        <v>2018</v>
      </c>
      <c r="B332" s="2036"/>
      <c r="C332" s="433"/>
      <c r="D332" s="154"/>
      <c r="E332" s="156"/>
      <c r="F332" s="156"/>
      <c r="G332" s="436"/>
      <c r="H332" s="442" t="str">
        <f>OBRA!AD331</f>
        <v>-</v>
      </c>
      <c r="I332" s="438"/>
      <c r="J332" s="444" t="str">
        <f>OBRA!AE331</f>
        <v>-</v>
      </c>
      <c r="K332" s="439"/>
      <c r="L332" s="442" t="str">
        <f>OBRA!AF331</f>
        <v>-</v>
      </c>
      <c r="M332" s="440"/>
      <c r="N332" s="442" t="str">
        <f>OBRA!AG331</f>
        <v>-</v>
      </c>
      <c r="O332" s="152"/>
      <c r="P332" s="152"/>
      <c r="Q332" s="441"/>
      <c r="R332" s="445" t="str">
        <f>OBRA!AH331</f>
        <v>-</v>
      </c>
      <c r="S332" s="349"/>
      <c r="T332" s="446" t="str">
        <f>OBRA!U331</f>
        <v>C. NORMA GORETY DOMINGUEZ CALVARIO</v>
      </c>
      <c r="U332" s="447" t="str">
        <f>OBRA!V331</f>
        <v>ING. JUAN MANUEL GARCIA ESCOTO</v>
      </c>
      <c r="V332" s="1281"/>
      <c r="W332" s="35" t="str">
        <f>OBRA!L331</f>
        <v>GMJ 018C OP/2018</v>
      </c>
      <c r="X332" s="13"/>
      <c r="Y332" s="13"/>
      <c r="Z332" s="448" t="str">
        <f>OBRA!K331</f>
        <v>CUENTA CORRIENTE</v>
      </c>
      <c r="AA332" s="13"/>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428">
        <f>OBRA!S331</f>
        <v>43169</v>
      </c>
      <c r="AH332" s="54"/>
      <c r="AI332" s="231"/>
      <c r="AJ332" s="267"/>
      <c r="AK332" s="267"/>
      <c r="AL332" s="432"/>
      <c r="AM332" s="573" t="str">
        <f>GRAL!B333</f>
        <v>2015-2018</v>
      </c>
      <c r="AN332" s="574"/>
      <c r="AO332" s="13"/>
    </row>
    <row r="333" spans="1:41" ht="30" hidden="1" customHeight="1">
      <c r="A333" s="166">
        <f>OBRA!I332</f>
        <v>2018</v>
      </c>
      <c r="B333" s="2036"/>
      <c r="C333" s="433"/>
      <c r="D333" s="154"/>
      <c r="E333" s="156"/>
      <c r="F333" s="156"/>
      <c r="G333" s="436"/>
      <c r="H333" s="442" t="str">
        <f>OBRA!AD332</f>
        <v>-</v>
      </c>
      <c r="I333" s="438"/>
      <c r="J333" s="444" t="str">
        <f>OBRA!AE332</f>
        <v>-</v>
      </c>
      <c r="K333" s="439"/>
      <c r="L333" s="442" t="str">
        <f>OBRA!AF332</f>
        <v>-</v>
      </c>
      <c r="M333" s="440"/>
      <c r="N333" s="442" t="str">
        <f>OBRA!AG332</f>
        <v>-</v>
      </c>
      <c r="O333" s="152"/>
      <c r="P333" s="152"/>
      <c r="Q333" s="441"/>
      <c r="R333" s="445" t="str">
        <f>OBRA!AH332</f>
        <v>-</v>
      </c>
      <c r="S333" s="349"/>
      <c r="T333" s="446" t="str">
        <f>OBRA!U332</f>
        <v>C. NORMA GORETY DOMINGUEZ CALVARIO</v>
      </c>
      <c r="U333" s="447" t="str">
        <f>OBRA!V332</f>
        <v>ING. JUAN MANUEL GARCIA ESCOTO</v>
      </c>
      <c r="V333" s="1281"/>
      <c r="W333" s="35" t="str">
        <f>OBRA!L332</f>
        <v>GMJ 019C OP/2018</v>
      </c>
      <c r="X333" s="13"/>
      <c r="Y333" s="13"/>
      <c r="Z333" s="448" t="str">
        <f>OBRA!K332</f>
        <v>RAMO 33</v>
      </c>
      <c r="AA333" s="13"/>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428">
        <f>OBRA!S332</f>
        <v>43120</v>
      </c>
      <c r="AH333" s="54"/>
      <c r="AI333" s="231"/>
      <c r="AJ333" s="267"/>
      <c r="AK333" s="267"/>
      <c r="AL333" s="432"/>
      <c r="AM333" s="573" t="str">
        <f>GRAL!B334</f>
        <v>2015-2018</v>
      </c>
      <c r="AN333" s="574"/>
      <c r="AO333" s="13"/>
    </row>
    <row r="334" spans="1:41" ht="30" hidden="1" customHeight="1">
      <c r="A334" s="166">
        <f>OBRA!I333</f>
        <v>2018</v>
      </c>
      <c r="B334" s="2036"/>
      <c r="C334" s="433"/>
      <c r="D334" s="154"/>
      <c r="E334" s="156"/>
      <c r="F334" s="156"/>
      <c r="G334" s="436"/>
      <c r="H334" s="442" t="str">
        <f>OBRA!AD333</f>
        <v>-</v>
      </c>
      <c r="I334" s="438"/>
      <c r="J334" s="444" t="str">
        <f>OBRA!AE333</f>
        <v>-</v>
      </c>
      <c r="K334" s="439"/>
      <c r="L334" s="442" t="str">
        <f>OBRA!AF333</f>
        <v>-</v>
      </c>
      <c r="M334" s="440"/>
      <c r="N334" s="442" t="str">
        <f>OBRA!AG333</f>
        <v>-</v>
      </c>
      <c r="O334" s="152"/>
      <c r="P334" s="152"/>
      <c r="Q334" s="441"/>
      <c r="R334" s="445" t="str">
        <f>OBRA!AH333</f>
        <v>-</v>
      </c>
      <c r="S334" s="349"/>
      <c r="T334" s="446" t="str">
        <f>OBRA!U333</f>
        <v>C. JOSÉ MIGUEL GARCIA VALLE</v>
      </c>
      <c r="U334" s="447" t="str">
        <f>OBRA!V333</f>
        <v>ARQ. JAIME CONDE GOMEZ</v>
      </c>
      <c r="V334" s="1281"/>
      <c r="W334" s="35" t="str">
        <f>OBRA!L333</f>
        <v>GMJ 020C OP/2018</v>
      </c>
      <c r="X334" s="13"/>
      <c r="Y334" s="13"/>
      <c r="Z334" s="448" t="str">
        <f>OBRA!K333</f>
        <v>RAMO 33</v>
      </c>
      <c r="AA334" s="13"/>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428">
        <f>OBRA!S333</f>
        <v>43287</v>
      </c>
      <c r="AH334" s="54"/>
      <c r="AI334" s="231"/>
      <c r="AJ334" s="267"/>
      <c r="AK334" s="267"/>
      <c r="AL334" s="432"/>
      <c r="AM334" s="573" t="str">
        <f>GRAL!B335</f>
        <v>2015-2018</v>
      </c>
      <c r="AN334" s="574"/>
      <c r="AO334" s="13"/>
    </row>
    <row r="335" spans="1:41" ht="30" hidden="1" customHeight="1">
      <c r="A335" s="166">
        <f>OBRA!I334</f>
        <v>2018</v>
      </c>
      <c r="B335" s="2036"/>
      <c r="C335" s="753"/>
      <c r="D335" s="154"/>
      <c r="E335" s="156"/>
      <c r="F335" s="156"/>
      <c r="G335" s="436"/>
      <c r="H335" s="442" t="str">
        <f>OBRA!AD334</f>
        <v>-</v>
      </c>
      <c r="I335" s="438"/>
      <c r="J335" s="444" t="str">
        <f>OBRA!AE334</f>
        <v>-</v>
      </c>
      <c r="K335" s="439"/>
      <c r="L335" s="442" t="str">
        <f>OBRA!AF334</f>
        <v>-</v>
      </c>
      <c r="M335" s="440"/>
      <c r="N335" s="442" t="str">
        <f>OBRA!AG334</f>
        <v>-</v>
      </c>
      <c r="O335" s="152"/>
      <c r="P335" s="152"/>
      <c r="Q335" s="441"/>
      <c r="R335" s="445" t="str">
        <f>OBRA!AH334</f>
        <v>-</v>
      </c>
      <c r="S335" s="349"/>
      <c r="T335" s="446" t="str">
        <f>OBRA!U334</f>
        <v>C. JOSÉ MIGUEL GARCIA VALLE</v>
      </c>
      <c r="U335" s="447" t="str">
        <f>OBRA!V334</f>
        <v>LIC. SALVADOR CONTRERAS OLGUÍN</v>
      </c>
      <c r="V335" s="1281"/>
      <c r="W335" s="35" t="str">
        <f>OBRA!L334</f>
        <v>GMJ 021C OP/2018</v>
      </c>
      <c r="X335" s="13"/>
      <c r="Y335" s="13"/>
      <c r="Z335" s="448" t="str">
        <f>OBRA!K334</f>
        <v>RAMO 33</v>
      </c>
      <c r="AA335" s="13"/>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428">
        <f>OBRA!S334</f>
        <v>43267</v>
      </c>
      <c r="AH335" s="54"/>
      <c r="AI335" s="231"/>
      <c r="AJ335" s="267"/>
      <c r="AK335" s="267"/>
      <c r="AL335" s="432"/>
      <c r="AM335" s="573" t="str">
        <f>GRAL!B336</f>
        <v>2015-2018</v>
      </c>
      <c r="AN335" s="574"/>
      <c r="AO335" s="13"/>
    </row>
    <row r="336" spans="1:41" ht="30" hidden="1" customHeight="1">
      <c r="A336" s="166">
        <f>OBRA!I335</f>
        <v>2018</v>
      </c>
      <c r="B336" s="2036"/>
      <c r="C336" s="753"/>
      <c r="D336" s="154"/>
      <c r="E336" s="156"/>
      <c r="F336" s="156"/>
      <c r="G336" s="436"/>
      <c r="H336" s="442" t="str">
        <f>OBRA!AD335</f>
        <v>-</v>
      </c>
      <c r="I336" s="438"/>
      <c r="J336" s="444" t="str">
        <f>OBRA!AE335</f>
        <v>-</v>
      </c>
      <c r="K336" s="439"/>
      <c r="L336" s="442" t="str">
        <f>OBRA!AF335</f>
        <v>-</v>
      </c>
      <c r="M336" s="440"/>
      <c r="N336" s="442" t="str">
        <f>OBRA!AG335</f>
        <v>-</v>
      </c>
      <c r="O336" s="152"/>
      <c r="P336" s="152"/>
      <c r="Q336" s="441"/>
      <c r="R336" s="445" t="str">
        <f>OBRA!AH335</f>
        <v>-</v>
      </c>
      <c r="S336" s="349"/>
      <c r="T336" s="446" t="str">
        <f>OBRA!U335</f>
        <v xml:space="preserve">GRUPO DESARROLLADOR INMOBILIARIO CEMERAMA S.A. DE C.V. </v>
      </c>
      <c r="U336" s="447" t="str">
        <f>OBRA!V335</f>
        <v>ING. JUAN MANUEL GARCIA ESCOTO</v>
      </c>
      <c r="V336" s="1281"/>
      <c r="W336" s="35" t="str">
        <f>OBRA!L335</f>
        <v>GMJ 022C OP/2018</v>
      </c>
      <c r="X336" s="13"/>
      <c r="Y336" s="13"/>
      <c r="Z336" s="448" t="str">
        <f>OBRA!K335</f>
        <v>CUENTA CORRIENTE</v>
      </c>
      <c r="AA336" s="13"/>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428">
        <f>OBRA!S335</f>
        <v>43304</v>
      </c>
      <c r="AH336" s="54"/>
      <c r="AI336" s="231"/>
      <c r="AJ336" s="267"/>
      <c r="AK336" s="267"/>
      <c r="AL336" s="432"/>
      <c r="AM336" s="573" t="str">
        <f>GRAL!B337</f>
        <v>2015-2018</v>
      </c>
      <c r="AN336" s="574"/>
      <c r="AO336" s="13"/>
    </row>
    <row r="337" spans="1:41" ht="30" hidden="1" customHeight="1">
      <c r="A337" s="166">
        <f>OBRA!I336</f>
        <v>2018</v>
      </c>
      <c r="B337" s="2036"/>
      <c r="C337" s="433"/>
      <c r="D337" s="154"/>
      <c r="E337" s="156"/>
      <c r="F337" s="156"/>
      <c r="G337" s="436"/>
      <c r="H337" s="442" t="str">
        <f>OBRA!AD336</f>
        <v>-</v>
      </c>
      <c r="I337" s="438"/>
      <c r="J337" s="444" t="str">
        <f>OBRA!AE336</f>
        <v>-</v>
      </c>
      <c r="K337" s="439"/>
      <c r="L337" s="442" t="str">
        <f>OBRA!AF336</f>
        <v>-</v>
      </c>
      <c r="M337" s="440"/>
      <c r="N337" s="442" t="str">
        <f>OBRA!AG336</f>
        <v>-</v>
      </c>
      <c r="O337" s="152"/>
      <c r="P337" s="152"/>
      <c r="Q337" s="441"/>
      <c r="R337" s="445" t="str">
        <f>OBRA!AH336</f>
        <v>-</v>
      </c>
      <c r="S337" s="349"/>
      <c r="T337" s="446" t="str">
        <f>OBRA!U336</f>
        <v xml:space="preserve">DRABSA CONSTRUCTORA S.A. DE C.V. </v>
      </c>
      <c r="U337" s="447" t="str">
        <f>OBRA!V336</f>
        <v>ING. JUAN MANUEL GARCIA ESCOTO</v>
      </c>
      <c r="V337" s="1281"/>
      <c r="W337" s="35" t="str">
        <f>OBRA!L336</f>
        <v>GMJ 023C OP/2018</v>
      </c>
      <c r="X337" s="13"/>
      <c r="Y337" s="13"/>
      <c r="Z337" s="448" t="str">
        <f>OBRA!K336</f>
        <v>CUENTA CORRIENTE</v>
      </c>
      <c r="AA337" s="13"/>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428">
        <f>OBRA!S336</f>
        <v>43364</v>
      </c>
      <c r="AH337" s="54"/>
      <c r="AI337" s="231"/>
      <c r="AJ337" s="267"/>
      <c r="AK337" s="267"/>
      <c r="AL337" s="432"/>
      <c r="AM337" s="573" t="str">
        <f>GRAL!B338</f>
        <v>2015-2018</v>
      </c>
      <c r="AN337" s="574"/>
      <c r="AO337" s="13"/>
    </row>
    <row r="338" spans="1:41" ht="190.5" hidden="1" customHeight="1">
      <c r="A338" s="166">
        <f>OBRA!I337</f>
        <v>2018</v>
      </c>
      <c r="B338" s="2036"/>
      <c r="C338" s="670" t="s">
        <v>3735</v>
      </c>
      <c r="D338" s="179" t="s">
        <v>2464</v>
      </c>
      <c r="E338" s="178" t="s">
        <v>2465</v>
      </c>
      <c r="F338" s="178" t="s">
        <v>2466</v>
      </c>
      <c r="G338" s="580" t="s">
        <v>3735</v>
      </c>
      <c r="H338" s="647">
        <f>OBRA!AD337</f>
        <v>43291</v>
      </c>
      <c r="I338" s="580" t="s">
        <v>3735</v>
      </c>
      <c r="J338" s="647">
        <f>OBRA!AE337</f>
        <v>43293</v>
      </c>
      <c r="K338" s="580" t="s">
        <v>3735</v>
      </c>
      <c r="L338" s="647">
        <f>OBRA!AF337</f>
        <v>43293</v>
      </c>
      <c r="M338" s="580" t="s">
        <v>3735</v>
      </c>
      <c r="N338" s="647">
        <f>OBRA!AG337</f>
        <v>43298</v>
      </c>
      <c r="O338" s="176" t="s">
        <v>3856</v>
      </c>
      <c r="P338" s="648">
        <v>0.41666666666666669</v>
      </c>
      <c r="Q338" s="580" t="s">
        <v>3735</v>
      </c>
      <c r="R338" s="642">
        <f>OBRA!AH337</f>
        <v>43299</v>
      </c>
      <c r="S338" s="1005" t="s">
        <v>2474</v>
      </c>
      <c r="T338" s="446" t="str">
        <f>OBRA!U337</f>
        <v>DRABSA CONSTRUCTORA S.A. DE C.V.</v>
      </c>
      <c r="U338" s="447" t="str">
        <f>OBRA!V337</f>
        <v>ING. RIGOBERTO OLMEDO RAMOS</v>
      </c>
      <c r="V338" s="1730"/>
      <c r="W338" s="35" t="str">
        <f>OBRA!L337</f>
        <v>GMJ 024C OP/2018</v>
      </c>
      <c r="X338" s="508" t="s">
        <v>3531</v>
      </c>
      <c r="Y338" s="449" t="s">
        <v>2475</v>
      </c>
      <c r="Z338" s="448" t="str">
        <f>OBRA!K337</f>
        <v>FOCOCI</v>
      </c>
      <c r="AA338" s="448"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600">
        <f>OBRA!S337</f>
        <v>43373</v>
      </c>
      <c r="AH338" s="1602" t="s">
        <v>3860</v>
      </c>
      <c r="AI338" s="174" t="s">
        <v>2344</v>
      </c>
      <c r="AJ338" s="580" t="s">
        <v>3735</v>
      </c>
      <c r="AK338" s="580" t="s">
        <v>3735</v>
      </c>
      <c r="AL338" s="552" t="s">
        <v>3735</v>
      </c>
      <c r="AM338" s="991" t="str">
        <f>GRAL!B339</f>
        <v>2015-2018</v>
      </c>
      <c r="AN338" s="448" t="s">
        <v>551</v>
      </c>
      <c r="AO338" s="1"/>
    </row>
    <row r="339" spans="1:41" ht="30" hidden="1" customHeight="1">
      <c r="A339" s="166">
        <f>OBRA!I338</f>
        <v>2018</v>
      </c>
      <c r="B339" s="2036"/>
      <c r="C339" s="433"/>
      <c r="D339" s="154"/>
      <c r="E339" s="156"/>
      <c r="F339" s="156"/>
      <c r="G339" s="436"/>
      <c r="H339" s="442" t="str">
        <f>OBRA!AD338</f>
        <v>-</v>
      </c>
      <c r="I339" s="438"/>
      <c r="J339" s="444" t="str">
        <f>OBRA!AE338</f>
        <v>-</v>
      </c>
      <c r="K339" s="439"/>
      <c r="L339" s="442" t="str">
        <f>OBRA!AF338</f>
        <v>-</v>
      </c>
      <c r="M339" s="440"/>
      <c r="N339" s="442" t="str">
        <f>OBRA!AG338</f>
        <v>-</v>
      </c>
      <c r="O339" s="152"/>
      <c r="P339" s="152"/>
      <c r="Q339" s="441"/>
      <c r="R339" s="445" t="str">
        <f>OBRA!AH338</f>
        <v>-</v>
      </c>
      <c r="S339" s="349"/>
      <c r="T339" s="446" t="str">
        <f>OBRA!U338</f>
        <v>BIRMEK CONSTRUCCIONES S.A. DE C.V.</v>
      </c>
      <c r="U339" s="447" t="str">
        <f>OBRA!V338</f>
        <v>ING. LUIS RIGOBERTO OLMEDO NAVARRO</v>
      </c>
      <c r="V339" s="1281"/>
      <c r="W339" s="20" t="str">
        <f>OBRA!L338</f>
        <v>GMJ 025C OP/2018</v>
      </c>
      <c r="X339" s="13"/>
      <c r="Y339" s="13"/>
      <c r="Z339" s="448" t="str">
        <f>OBRA!K338</f>
        <v>RAMO 33</v>
      </c>
      <c r="AA339" s="13"/>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428">
        <f>OBRA!S338</f>
        <v>43357</v>
      </c>
      <c r="AH339" s="54"/>
      <c r="AI339" s="231"/>
      <c r="AJ339" s="267"/>
      <c r="AK339" s="267"/>
      <c r="AL339" s="432"/>
      <c r="AM339" s="573" t="str">
        <f>GRAL!B340</f>
        <v>2015-2018</v>
      </c>
      <c r="AN339" s="574"/>
      <c r="AO339" s="13"/>
    </row>
    <row r="340" spans="1:41" ht="30" hidden="1" customHeight="1">
      <c r="A340" s="166">
        <f>OBRA!I339</f>
        <v>2018</v>
      </c>
      <c r="B340" s="2036"/>
      <c r="C340" s="433"/>
      <c r="D340" s="154"/>
      <c r="E340" s="156"/>
      <c r="F340" s="156"/>
      <c r="G340" s="436"/>
      <c r="H340" s="442" t="str">
        <f>OBRA!AD339</f>
        <v>-</v>
      </c>
      <c r="I340" s="438"/>
      <c r="J340" s="444" t="str">
        <f>OBRA!AE339</f>
        <v>-</v>
      </c>
      <c r="K340" s="439"/>
      <c r="L340" s="442" t="str">
        <f>OBRA!AF339</f>
        <v>-</v>
      </c>
      <c r="M340" s="440"/>
      <c r="N340" s="442" t="str">
        <f>OBRA!AG339</f>
        <v>-</v>
      </c>
      <c r="O340" s="152"/>
      <c r="P340" s="152"/>
      <c r="Q340" s="441"/>
      <c r="R340" s="445" t="str">
        <f>OBRA!AH339</f>
        <v>-</v>
      </c>
      <c r="S340" s="349"/>
      <c r="T340" s="446" t="str">
        <f>OBRA!U339</f>
        <v xml:space="preserve">OBRAS Y EQUIPAMIENTOS HIDRAULICOS S.A. DE C.V. </v>
      </c>
      <c r="U340" s="447" t="str">
        <f>OBRA!V339</f>
        <v>ING. LUIS RIGOBERTO OLMEDO NAVARRO</v>
      </c>
      <c r="V340" s="1281"/>
      <c r="W340" s="20" t="str">
        <f>OBRA!L339</f>
        <v>GMJ 026C OP/2018</v>
      </c>
      <c r="X340" s="13"/>
      <c r="Y340" s="13"/>
      <c r="Z340" s="448" t="str">
        <f>OBRA!K339</f>
        <v>RAMO 33</v>
      </c>
      <c r="AA340" s="13"/>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428">
        <f>OBRA!S339</f>
        <v>43357</v>
      </c>
      <c r="AH340" s="54"/>
      <c r="AI340" s="231"/>
      <c r="AJ340" s="267"/>
      <c r="AK340" s="267"/>
      <c r="AL340" s="432"/>
      <c r="AM340" s="573" t="str">
        <f>GRAL!B341</f>
        <v>2015-2018</v>
      </c>
      <c r="AN340" s="574"/>
      <c r="AO340" s="13"/>
    </row>
    <row r="341" spans="1:41" ht="30" hidden="1" customHeight="1">
      <c r="A341" s="166">
        <f>OBRA!I340</f>
        <v>2018</v>
      </c>
      <c r="B341" s="2036"/>
      <c r="C341" s="433"/>
      <c r="D341" s="154"/>
      <c r="E341" s="156"/>
      <c r="F341" s="156"/>
      <c r="G341" s="436"/>
      <c r="H341" s="442" t="str">
        <f>OBRA!AD340</f>
        <v>-</v>
      </c>
      <c r="I341" s="438"/>
      <c r="J341" s="444" t="str">
        <f>OBRA!AE340</f>
        <v>-</v>
      </c>
      <c r="K341" s="439"/>
      <c r="L341" s="442" t="str">
        <f>OBRA!AF340</f>
        <v>-</v>
      </c>
      <c r="M341" s="440"/>
      <c r="N341" s="442" t="str">
        <f>OBRA!AG340</f>
        <v>-</v>
      </c>
      <c r="O341" s="152"/>
      <c r="P341" s="152"/>
      <c r="Q341" s="441"/>
      <c r="R341" s="445" t="str">
        <f>OBRA!AH340</f>
        <v>-</v>
      </c>
      <c r="S341" s="349"/>
      <c r="T341" s="446" t="str">
        <f>OBRA!U340</f>
        <v>BRAILOGA CONSTRUCTORES S.A. DE C.V.</v>
      </c>
      <c r="U341" s="447" t="str">
        <f>OBRA!V340</f>
        <v>ARQ. CESAR ANTONIO ALONSO JIMENEZ</v>
      </c>
      <c r="V341" s="1281"/>
      <c r="W341" s="20" t="str">
        <f>OBRA!L340</f>
        <v>GMJ 027C OP/2018</v>
      </c>
      <c r="X341" s="13"/>
      <c r="Y341" s="13"/>
      <c r="Z341" s="448" t="str">
        <f>OBRA!K340</f>
        <v>RAMO 33</v>
      </c>
      <c r="AA341" s="13"/>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428">
        <f>OBRA!S340</f>
        <v>43348</v>
      </c>
      <c r="AH341" s="54"/>
      <c r="AI341" s="231"/>
      <c r="AJ341" s="267"/>
      <c r="AK341" s="267"/>
      <c r="AL341" s="432"/>
      <c r="AM341" s="573" t="str">
        <f>GRAL!B342</f>
        <v>2015-2018</v>
      </c>
      <c r="AN341" s="574"/>
      <c r="AO341" s="13"/>
    </row>
    <row r="342" spans="1:41" ht="30" hidden="1" customHeight="1">
      <c r="A342" s="166">
        <f>OBRA!I341</f>
        <v>2018</v>
      </c>
      <c r="B342" s="2036"/>
      <c r="C342" s="433"/>
      <c r="D342" s="154"/>
      <c r="E342" s="156"/>
      <c r="F342" s="156"/>
      <c r="G342" s="436"/>
      <c r="H342" s="442" t="str">
        <f>OBRA!AD341</f>
        <v>-</v>
      </c>
      <c r="I342" s="438"/>
      <c r="J342" s="444" t="str">
        <f>OBRA!AE341</f>
        <v>-</v>
      </c>
      <c r="K342" s="439"/>
      <c r="L342" s="442" t="str">
        <f>OBRA!AF341</f>
        <v>-</v>
      </c>
      <c r="M342" s="440"/>
      <c r="N342" s="442" t="str">
        <f>OBRA!AG341</f>
        <v>-</v>
      </c>
      <c r="O342" s="152"/>
      <c r="P342" s="152"/>
      <c r="Q342" s="441"/>
      <c r="R342" s="445" t="str">
        <f>OBRA!AH341</f>
        <v>-</v>
      </c>
      <c r="S342" s="349"/>
      <c r="T342" s="446" t="str">
        <f>OBRA!U341</f>
        <v xml:space="preserve">GRUPO DESARROLLADOR INMOBILIARIO CEMERAMA S.A. DE C.V. </v>
      </c>
      <c r="U342" s="447" t="str">
        <f>OBRA!V341</f>
        <v>LIC. SALVADOR CONTRERAS OLGUÍN</v>
      </c>
      <c r="V342" s="1281"/>
      <c r="W342" s="20" t="str">
        <f>OBRA!L341</f>
        <v>GMJ 028C OP/2018</v>
      </c>
      <c r="X342" s="13"/>
      <c r="Y342" s="13"/>
      <c r="Z342" s="448" t="str">
        <f>OBRA!K341</f>
        <v>RAMO 33</v>
      </c>
      <c r="AA342" s="13"/>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428">
        <f>OBRA!S341</f>
        <v>43358</v>
      </c>
      <c r="AH342" s="54"/>
      <c r="AI342" s="231"/>
      <c r="AJ342" s="267"/>
      <c r="AK342" s="267"/>
      <c r="AL342" s="432"/>
      <c r="AM342" s="573" t="str">
        <f>GRAL!B343</f>
        <v>2015-2018</v>
      </c>
      <c r="AN342" s="574"/>
      <c r="AO342" s="13"/>
    </row>
    <row r="343" spans="1:41" ht="30" hidden="1" customHeight="1">
      <c r="A343" s="166">
        <f>OBRA!I342</f>
        <v>2018</v>
      </c>
      <c r="B343" s="2036"/>
      <c r="C343" s="433"/>
      <c r="D343" s="154"/>
      <c r="E343" s="156"/>
      <c r="F343" s="156"/>
      <c r="G343" s="436"/>
      <c r="H343" s="442" t="str">
        <f>OBRA!AD342</f>
        <v>-</v>
      </c>
      <c r="I343" s="438"/>
      <c r="J343" s="444" t="str">
        <f>OBRA!AE342</f>
        <v>-</v>
      </c>
      <c r="K343" s="439"/>
      <c r="L343" s="442" t="str">
        <f>OBRA!AF342</f>
        <v>-</v>
      </c>
      <c r="M343" s="440"/>
      <c r="N343" s="442" t="str">
        <f>OBRA!AG342</f>
        <v>-</v>
      </c>
      <c r="O343" s="152"/>
      <c r="P343" s="152"/>
      <c r="Q343" s="441"/>
      <c r="R343" s="445" t="str">
        <f>OBRA!AH342</f>
        <v>-</v>
      </c>
      <c r="S343" s="349"/>
      <c r="T343" s="446" t="str">
        <f>OBRA!U342</f>
        <v>BRAILOGA CONSTRUCTORES S.A. DE C.V.</v>
      </c>
      <c r="U343" s="447" t="str">
        <f>OBRA!V342</f>
        <v>ARQ. CESAR ANTONIO ALONSO JIMENEZ</v>
      </c>
      <c r="V343" s="1281"/>
      <c r="W343" s="20" t="str">
        <f>OBRA!L342</f>
        <v>GMJ 029C OP/2018</v>
      </c>
      <c r="X343" s="13"/>
      <c r="Y343" s="13"/>
      <c r="Z343" s="448" t="str">
        <f>OBRA!K342</f>
        <v>RAMO 33</v>
      </c>
      <c r="AA343" s="13"/>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428">
        <f>OBRA!S342</f>
        <v>43367</v>
      </c>
      <c r="AH343" s="54"/>
      <c r="AI343" s="231"/>
      <c r="AJ343" s="267"/>
      <c r="AK343" s="267"/>
      <c r="AL343" s="432"/>
      <c r="AM343" s="573" t="str">
        <f>GRAL!B344</f>
        <v>2015-2018</v>
      </c>
      <c r="AN343" s="574"/>
      <c r="AO343" s="13"/>
    </row>
    <row r="344" spans="1:41" ht="30" hidden="1" customHeight="1">
      <c r="A344" s="166">
        <f>OBRA!I343</f>
        <v>2018</v>
      </c>
      <c r="B344" s="2036"/>
      <c r="C344" s="433"/>
      <c r="D344" s="154"/>
      <c r="E344" s="156"/>
      <c r="F344" s="156"/>
      <c r="G344" s="436"/>
      <c r="H344" s="442" t="str">
        <f>OBRA!AD343</f>
        <v>-</v>
      </c>
      <c r="I344" s="438"/>
      <c r="J344" s="444" t="str">
        <f>OBRA!AE343</f>
        <v>-</v>
      </c>
      <c r="K344" s="439"/>
      <c r="L344" s="442" t="str">
        <f>OBRA!AF343</f>
        <v>-</v>
      </c>
      <c r="M344" s="440"/>
      <c r="N344" s="442" t="str">
        <f>OBRA!AG343</f>
        <v>-</v>
      </c>
      <c r="O344" s="152"/>
      <c r="P344" s="152"/>
      <c r="Q344" s="441"/>
      <c r="R344" s="445" t="str">
        <f>OBRA!AH343</f>
        <v>-</v>
      </c>
      <c r="S344" s="349"/>
      <c r="T344" s="446" t="str">
        <f>OBRA!U343</f>
        <v>C. JOSÉ MIGUEL GARCIA VALLE</v>
      </c>
      <c r="U344" s="447" t="str">
        <f>OBRA!V343</f>
        <v>ARQ. CESAR ANTONIO ALONSO JIMENEZ</v>
      </c>
      <c r="V344" s="1281"/>
      <c r="W344" s="20" t="str">
        <f>OBRA!L343</f>
        <v>GMJ 030C OP/2018</v>
      </c>
      <c r="X344" s="13"/>
      <c r="Y344" s="13"/>
      <c r="Z344" s="448" t="str">
        <f>OBRA!K343</f>
        <v>RAMO 33</v>
      </c>
      <c r="AA344" s="13"/>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428">
        <f>OBRA!S343</f>
        <v>43348</v>
      </c>
      <c r="AH344" s="54"/>
      <c r="AI344" s="231"/>
      <c r="AJ344" s="267"/>
      <c r="AK344" s="267"/>
      <c r="AL344" s="432"/>
      <c r="AM344" s="573" t="str">
        <f>GRAL!B345</f>
        <v>2015-2018</v>
      </c>
      <c r="AN344" s="574"/>
      <c r="AO344" s="13"/>
    </row>
    <row r="345" spans="1:41" ht="30" hidden="1" customHeight="1">
      <c r="A345" s="166">
        <f>OBRA!I344</f>
        <v>2018</v>
      </c>
      <c r="B345" s="2036"/>
      <c r="C345" s="433"/>
      <c r="D345" s="154"/>
      <c r="E345" s="156"/>
      <c r="F345" s="156"/>
      <c r="G345" s="436"/>
      <c r="H345" s="442" t="str">
        <f>OBRA!AD344</f>
        <v>-</v>
      </c>
      <c r="I345" s="438"/>
      <c r="J345" s="444" t="str">
        <f>OBRA!AE344</f>
        <v>-</v>
      </c>
      <c r="K345" s="439"/>
      <c r="L345" s="442" t="str">
        <f>OBRA!AF344</f>
        <v>-</v>
      </c>
      <c r="M345" s="440"/>
      <c r="N345" s="442" t="str">
        <f>OBRA!AG344</f>
        <v>-</v>
      </c>
      <c r="O345" s="152"/>
      <c r="P345" s="152"/>
      <c r="Q345" s="441"/>
      <c r="R345" s="445" t="str">
        <f>OBRA!AH344</f>
        <v>-</v>
      </c>
      <c r="S345" s="349"/>
      <c r="T345" s="446" t="str">
        <f>OBRA!U344</f>
        <v>C. NORMA GORETY DOMINGUEZ CALVARIO</v>
      </c>
      <c r="U345" s="447" t="str">
        <f>OBRA!V344</f>
        <v>ING. JUAN MANUEL GARCIA ESCOTO</v>
      </c>
      <c r="V345" s="1281"/>
      <c r="W345" s="20" t="str">
        <f>OBRA!L344</f>
        <v>GMJ 031C OP/2018</v>
      </c>
      <c r="X345" s="13"/>
      <c r="Y345" s="13"/>
      <c r="Z345" s="448" t="str">
        <f>OBRA!K344</f>
        <v>RAMO 33</v>
      </c>
      <c r="AA345" s="13"/>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428">
        <f>OBRA!S344</f>
        <v>43341</v>
      </c>
      <c r="AH345" s="54"/>
      <c r="AI345" s="231"/>
      <c r="AJ345" s="267"/>
      <c r="AK345" s="267"/>
      <c r="AL345" s="432"/>
      <c r="AM345" s="573" t="str">
        <f>GRAL!B346</f>
        <v>2015-2018</v>
      </c>
      <c r="AN345" s="574"/>
      <c r="AO345" s="13"/>
    </row>
    <row r="346" spans="1:41" ht="30" hidden="1" customHeight="1">
      <c r="A346" s="166">
        <f>OBRA!I345</f>
        <v>2018</v>
      </c>
      <c r="B346" s="2036"/>
      <c r="C346" s="433"/>
      <c r="D346" s="154"/>
      <c r="E346" s="156"/>
      <c r="F346" s="156"/>
      <c r="G346" s="436"/>
      <c r="H346" s="442" t="str">
        <f>OBRA!AD345</f>
        <v>-</v>
      </c>
      <c r="I346" s="438"/>
      <c r="J346" s="444" t="str">
        <f>OBRA!AE345</f>
        <v>-</v>
      </c>
      <c r="K346" s="439"/>
      <c r="L346" s="442" t="str">
        <f>OBRA!AF345</f>
        <v>-</v>
      </c>
      <c r="M346" s="440"/>
      <c r="N346" s="442" t="str">
        <f>OBRA!AG345</f>
        <v>-</v>
      </c>
      <c r="O346" s="152"/>
      <c r="P346" s="152"/>
      <c r="Q346" s="441"/>
      <c r="R346" s="445" t="str">
        <f>OBRA!AH345</f>
        <v>-</v>
      </c>
      <c r="S346" s="349"/>
      <c r="T346" s="446" t="str">
        <f>OBRA!U345</f>
        <v>ING. SERGIO CABRERA</v>
      </c>
      <c r="U346" s="447" t="str">
        <f>OBRA!V345</f>
        <v>ING. JUAN MANUEL GARCIA ESCOTO</v>
      </c>
      <c r="V346" s="1281"/>
      <c r="W346" s="20" t="str">
        <f>OBRA!L345</f>
        <v>GMJ 032C OP/2018</v>
      </c>
      <c r="X346" s="13"/>
      <c r="Y346" s="13"/>
      <c r="Z346" s="448" t="str">
        <f>OBRA!K345</f>
        <v>RAMO 33</v>
      </c>
      <c r="AA346" s="13"/>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428">
        <f>OBRA!S345</f>
        <v>43353</v>
      </c>
      <c r="AH346" s="54"/>
      <c r="AI346" s="231"/>
      <c r="AJ346" s="267"/>
      <c r="AK346" s="267"/>
      <c r="AL346" s="432"/>
      <c r="AM346" s="573" t="str">
        <f>GRAL!B347</f>
        <v>2015-2018</v>
      </c>
      <c r="AN346" s="574"/>
      <c r="AO346" s="13"/>
    </row>
    <row r="347" spans="1:41" ht="21.95" hidden="1" customHeight="1">
      <c r="A347" s="166">
        <f>OBRA!I346</f>
        <v>2018</v>
      </c>
      <c r="B347" s="2036"/>
      <c r="C347" s="433"/>
      <c r="D347" s="154"/>
      <c r="E347" s="156"/>
      <c r="F347" s="156"/>
      <c r="G347" s="436"/>
      <c r="H347" s="442" t="str">
        <f>OBRA!AD346</f>
        <v>-</v>
      </c>
      <c r="I347" s="438"/>
      <c r="J347" s="444" t="str">
        <f>OBRA!AE346</f>
        <v>-</v>
      </c>
      <c r="K347" s="439"/>
      <c r="L347" s="442" t="str">
        <f>OBRA!AF346</f>
        <v>-</v>
      </c>
      <c r="M347" s="440"/>
      <c r="N347" s="442" t="str">
        <f>OBRA!AG346</f>
        <v>-</v>
      </c>
      <c r="O347" s="152"/>
      <c r="P347" s="152"/>
      <c r="Q347" s="441"/>
      <c r="R347" s="445" t="str">
        <f>OBRA!AH346</f>
        <v>-</v>
      </c>
      <c r="S347" s="349"/>
      <c r="T347" s="446" t="str">
        <f>OBRA!U346</f>
        <v>N/A</v>
      </c>
      <c r="U347" s="447" t="str">
        <f>OBRA!V346</f>
        <v>ARQ. JAIME CONDE GOMEZ</v>
      </c>
      <c r="V347" s="1281"/>
      <c r="W347" s="20" t="str">
        <f>OBRA!L346</f>
        <v>DOP/AD/001/2018</v>
      </c>
      <c r="X347" s="13"/>
      <c r="Y347" s="13"/>
      <c r="Z347" s="448" t="str">
        <f>OBRA!K346</f>
        <v>RAMO 33</v>
      </c>
      <c r="AA347" s="13"/>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428">
        <f>OBRA!S346</f>
        <v>43456</v>
      </c>
      <c r="AH347" s="54"/>
      <c r="AI347" s="231"/>
      <c r="AJ347" s="267"/>
      <c r="AK347" s="267"/>
      <c r="AL347" s="432"/>
      <c r="AM347" s="573" t="str">
        <f>GRAL!B348</f>
        <v>2018-2021</v>
      </c>
      <c r="AN347" s="448"/>
      <c r="AO347" s="13"/>
    </row>
    <row r="348" spans="1:41" ht="21.95" hidden="1" customHeight="1">
      <c r="A348" s="166">
        <f>OBRA!I347</f>
        <v>2018</v>
      </c>
      <c r="B348" s="2036"/>
      <c r="C348" s="433"/>
      <c r="D348" s="154"/>
      <c r="E348" s="156"/>
      <c r="F348" s="156"/>
      <c r="G348" s="436"/>
      <c r="H348" s="442" t="str">
        <f>OBRA!AD347</f>
        <v>-</v>
      </c>
      <c r="I348" s="438"/>
      <c r="J348" s="444" t="str">
        <f>OBRA!AE347</f>
        <v>-</v>
      </c>
      <c r="K348" s="439"/>
      <c r="L348" s="442" t="str">
        <f>OBRA!AF347</f>
        <v>-</v>
      </c>
      <c r="M348" s="440"/>
      <c r="N348" s="442" t="str">
        <f>OBRA!AG347</f>
        <v>-</v>
      </c>
      <c r="O348" s="152"/>
      <c r="P348" s="152"/>
      <c r="Q348" s="441"/>
      <c r="R348" s="445" t="str">
        <f>OBRA!AH347</f>
        <v>-</v>
      </c>
      <c r="S348" s="349"/>
      <c r="T348" s="446" t="str">
        <f>OBRA!U347</f>
        <v>N/A</v>
      </c>
      <c r="U348" s="447" t="str">
        <f>OBRA!V347</f>
        <v>ARQ. JAIME CONDE GOMEZ</v>
      </c>
      <c r="V348" s="1281"/>
      <c r="W348" s="20" t="str">
        <f>OBRA!L347</f>
        <v>DOP/AD/002/2018</v>
      </c>
      <c r="X348" s="13"/>
      <c r="Y348" s="13"/>
      <c r="Z348" s="448" t="str">
        <f>OBRA!K347</f>
        <v>RAMO 33</v>
      </c>
      <c r="AA348" s="13"/>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428">
        <f>OBRA!S347</f>
        <v>43456</v>
      </c>
      <c r="AH348" s="54"/>
      <c r="AI348" s="231"/>
      <c r="AJ348" s="267"/>
      <c r="AK348" s="267"/>
      <c r="AL348" s="432"/>
      <c r="AM348" s="573" t="str">
        <f>GRAL!B349</f>
        <v>2018-2021</v>
      </c>
      <c r="AN348" s="448"/>
      <c r="AO348" s="13"/>
    </row>
    <row r="349" spans="1:41" ht="21.95" hidden="1" customHeight="1">
      <c r="A349" s="166">
        <f>OBRA!I348</f>
        <v>2018</v>
      </c>
      <c r="B349" s="2036"/>
      <c r="C349" s="433"/>
      <c r="D349" s="154"/>
      <c r="E349" s="156"/>
      <c r="F349" s="156"/>
      <c r="G349" s="436"/>
      <c r="H349" s="442" t="str">
        <f>OBRA!AD348</f>
        <v>-</v>
      </c>
      <c r="I349" s="438"/>
      <c r="J349" s="444" t="str">
        <f>OBRA!AE348</f>
        <v>-</v>
      </c>
      <c r="K349" s="439"/>
      <c r="L349" s="442" t="str">
        <f>OBRA!AF348</f>
        <v>-</v>
      </c>
      <c r="M349" s="440"/>
      <c r="N349" s="442" t="str">
        <f>OBRA!AG348</f>
        <v>-</v>
      </c>
      <c r="O349" s="152"/>
      <c r="P349" s="152"/>
      <c r="Q349" s="441"/>
      <c r="R349" s="445" t="str">
        <f>OBRA!AH348</f>
        <v>-</v>
      </c>
      <c r="S349" s="349"/>
      <c r="T349" s="446" t="str">
        <f>OBRA!U348</f>
        <v>N/A</v>
      </c>
      <c r="U349" s="447" t="str">
        <f>OBRA!V348</f>
        <v>ARQ. JAIME CONDE GOMEZ</v>
      </c>
      <c r="V349" s="1281"/>
      <c r="W349" s="20" t="str">
        <f>OBRA!L348</f>
        <v>DOP/AD/003/2018</v>
      </c>
      <c r="X349" s="13"/>
      <c r="Y349" s="13"/>
      <c r="Z349" s="448" t="str">
        <f>OBRA!K348</f>
        <v>RAMO 33</v>
      </c>
      <c r="AA349" s="13"/>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428">
        <f>OBRA!S348</f>
        <v>43465</v>
      </c>
      <c r="AH349" s="54"/>
      <c r="AI349" s="231"/>
      <c r="AJ349" s="267"/>
      <c r="AK349" s="267"/>
      <c r="AL349" s="432"/>
      <c r="AM349" s="573" t="str">
        <f>GRAL!B350</f>
        <v>2018-2021</v>
      </c>
      <c r="AN349" s="448"/>
      <c r="AO349" s="13"/>
    </row>
    <row r="350" spans="1:41" ht="21.95" hidden="1" customHeight="1">
      <c r="A350" s="166">
        <f>OBRA!I349</f>
        <v>2018</v>
      </c>
      <c r="B350" s="2036"/>
      <c r="C350" s="433"/>
      <c r="D350" s="154"/>
      <c r="E350" s="156"/>
      <c r="F350" s="156"/>
      <c r="G350" s="436"/>
      <c r="H350" s="442" t="str">
        <f>OBRA!AD349</f>
        <v>-</v>
      </c>
      <c r="I350" s="438"/>
      <c r="J350" s="444" t="str">
        <f>OBRA!AE349</f>
        <v>-</v>
      </c>
      <c r="K350" s="439"/>
      <c r="L350" s="442" t="str">
        <f>OBRA!AF349</f>
        <v>-</v>
      </c>
      <c r="M350" s="440"/>
      <c r="N350" s="442" t="str">
        <f>OBRA!AG349</f>
        <v>-</v>
      </c>
      <c r="O350" s="152"/>
      <c r="P350" s="152"/>
      <c r="Q350" s="441"/>
      <c r="R350" s="445" t="str">
        <f>OBRA!AH349</f>
        <v>-</v>
      </c>
      <c r="S350" s="349"/>
      <c r="T350" s="446" t="str">
        <f>OBRA!U349</f>
        <v>N/A</v>
      </c>
      <c r="U350" s="447" t="str">
        <f>OBRA!V349</f>
        <v>ARQ. JAIME CONDE GOMEZ</v>
      </c>
      <c r="V350" s="1281"/>
      <c r="W350" s="20" t="str">
        <f>OBRA!L349</f>
        <v>DOP/AD/004/2018</v>
      </c>
      <c r="X350" s="13"/>
      <c r="Y350" s="13"/>
      <c r="Z350" s="448" t="str">
        <f>OBRA!K349</f>
        <v>RAMO 33</v>
      </c>
      <c r="AA350" s="13"/>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428">
        <f>OBRA!S349</f>
        <v>43465</v>
      </c>
      <c r="AH350" s="54"/>
      <c r="AI350" s="231"/>
      <c r="AJ350" s="267"/>
      <c r="AK350" s="267"/>
      <c r="AL350" s="432"/>
      <c r="AM350" s="573" t="str">
        <f>GRAL!B351</f>
        <v>2018-2021</v>
      </c>
      <c r="AN350" s="448"/>
      <c r="AO350" s="13"/>
    </row>
    <row r="351" spans="1:41" ht="21.95" hidden="1" customHeight="1">
      <c r="A351" s="166">
        <f>OBRA!I350</f>
        <v>2019</v>
      </c>
      <c r="B351" s="2036"/>
      <c r="C351" s="433"/>
      <c r="D351" s="154"/>
      <c r="E351" s="156"/>
      <c r="F351" s="156"/>
      <c r="G351" s="436"/>
      <c r="H351" s="442" t="str">
        <f>OBRA!AD350</f>
        <v>-</v>
      </c>
      <c r="I351" s="438"/>
      <c r="J351" s="444" t="str">
        <f>OBRA!AE350</f>
        <v>-</v>
      </c>
      <c r="K351" s="439"/>
      <c r="L351" s="442" t="str">
        <f>OBRA!AF350</f>
        <v>-</v>
      </c>
      <c r="M351" s="440"/>
      <c r="N351" s="442" t="str">
        <f>OBRA!AG350</f>
        <v>-</v>
      </c>
      <c r="O351" s="152"/>
      <c r="P351" s="152"/>
      <c r="Q351" s="441"/>
      <c r="R351" s="445" t="str">
        <f>OBRA!AH350</f>
        <v>-</v>
      </c>
      <c r="S351" s="349"/>
      <c r="T351" s="446" t="str">
        <f>OBRA!U350</f>
        <v>N/A</v>
      </c>
      <c r="U351" s="447" t="str">
        <f>OBRA!V350</f>
        <v>ING. JUAN MANUEL GARCIA ESCOTO</v>
      </c>
      <c r="V351" s="1281"/>
      <c r="W351" s="20" t="str">
        <f>OBRA!L350</f>
        <v>CEA-PERF-003/2019</v>
      </c>
      <c r="X351" s="13"/>
      <c r="Y351" s="13"/>
      <c r="Z351" s="448" t="str">
        <f>OBRA!K350</f>
        <v>C.E.A.</v>
      </c>
      <c r="AA351" s="13"/>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428">
        <f>OBRA!S350</f>
        <v>43812</v>
      </c>
      <c r="AH351" s="54"/>
      <c r="AI351" s="231"/>
      <c r="AJ351" s="267"/>
      <c r="AK351" s="267"/>
      <c r="AL351" s="432"/>
      <c r="AM351" s="573" t="str">
        <f>GRAL!B352</f>
        <v>2018-2021</v>
      </c>
      <c r="AN351" s="448"/>
      <c r="AO351" s="13"/>
    </row>
    <row r="352" spans="1:41" ht="21.95" hidden="1" customHeight="1">
      <c r="A352" s="166">
        <f>OBRA!I351</f>
        <v>2019</v>
      </c>
      <c r="B352" s="2036"/>
      <c r="C352" s="433"/>
      <c r="D352" s="154"/>
      <c r="E352" s="156"/>
      <c r="F352" s="156"/>
      <c r="G352" s="436"/>
      <c r="H352" s="442" t="str">
        <f>OBRA!AD351</f>
        <v>-</v>
      </c>
      <c r="I352" s="438"/>
      <c r="J352" s="444" t="str">
        <f>OBRA!AE351</f>
        <v>-</v>
      </c>
      <c r="K352" s="439"/>
      <c r="L352" s="442" t="str">
        <f>OBRA!AF351</f>
        <v>-</v>
      </c>
      <c r="M352" s="440"/>
      <c r="N352" s="442" t="str">
        <f>OBRA!AG351</f>
        <v>-</v>
      </c>
      <c r="O352" s="152"/>
      <c r="P352" s="152"/>
      <c r="Q352" s="441"/>
      <c r="R352" s="445" t="str">
        <f>OBRA!AH351</f>
        <v>-</v>
      </c>
      <c r="S352" s="349"/>
      <c r="T352" s="446" t="str">
        <f>OBRA!U351</f>
        <v>N/A</v>
      </c>
      <c r="U352" s="447" t="str">
        <f>OBRA!V351</f>
        <v>-</v>
      </c>
      <c r="V352" s="1281"/>
      <c r="W352" s="20" t="str">
        <f>OBRA!L351</f>
        <v>CONVENIO JOCOTEPEC PID 2019</v>
      </c>
      <c r="X352" s="13"/>
      <c r="Y352" s="13"/>
      <c r="Z352" s="448" t="str">
        <f>OBRA!K351</f>
        <v>P.I.D.</v>
      </c>
      <c r="AA352" s="13"/>
      <c r="AB352" s="2" t="str">
        <f>OBRA!M351</f>
        <v>CONVENIO</v>
      </c>
      <c r="AC352" s="3" t="str">
        <f>OBRA!N351</f>
        <v>ESTABLECIMIENTO DE DOS PUNTOS INOCUOS DE DESEMBARQUE (PID)"</v>
      </c>
      <c r="AD352" s="4">
        <f>OBRA!P351</f>
        <v>2551506.64</v>
      </c>
      <c r="AE352" s="6">
        <f>OBRA!Q351</f>
        <v>43677</v>
      </c>
      <c r="AF352" s="5">
        <f>OBRA!R351</f>
        <v>43677</v>
      </c>
      <c r="AG352" s="428">
        <f>OBRA!S351</f>
        <v>43830</v>
      </c>
      <c r="AH352" s="54"/>
      <c r="AI352" s="231"/>
      <c r="AJ352" s="267"/>
      <c r="AK352" s="267"/>
      <c r="AL352" s="432"/>
      <c r="AM352" s="573" t="str">
        <f>GRAL!B353</f>
        <v>2018-2021</v>
      </c>
      <c r="AN352" s="448"/>
      <c r="AO352" s="13"/>
    </row>
    <row r="353" spans="1:41" ht="21.95" hidden="1" customHeight="1">
      <c r="A353" s="166">
        <f>OBRA!I352</f>
        <v>2019</v>
      </c>
      <c r="B353" s="2036"/>
      <c r="C353" s="433"/>
      <c r="D353" s="154"/>
      <c r="E353" s="156"/>
      <c r="F353" s="156"/>
      <c r="G353" s="436"/>
      <c r="H353" s="442" t="str">
        <f>OBRA!AD352</f>
        <v>-</v>
      </c>
      <c r="I353" s="438"/>
      <c r="J353" s="444" t="str">
        <f>OBRA!AE352</f>
        <v>-</v>
      </c>
      <c r="K353" s="439"/>
      <c r="L353" s="442" t="str">
        <f>OBRA!AF352</f>
        <v>-</v>
      </c>
      <c r="M353" s="440"/>
      <c r="N353" s="442" t="str">
        <f>OBRA!AG352</f>
        <v>-</v>
      </c>
      <c r="O353" s="152"/>
      <c r="P353" s="152"/>
      <c r="Q353" s="441"/>
      <c r="R353" s="445" t="str">
        <f>OBRA!AH352</f>
        <v>-</v>
      </c>
      <c r="S353" s="349"/>
      <c r="T353" s="446" t="str">
        <f>OBRA!U352</f>
        <v>N/A</v>
      </c>
      <c r="U353" s="447" t="str">
        <f>OBRA!V352</f>
        <v>ARQ. JAIME CONDE GOMEZ</v>
      </c>
      <c r="V353" s="1281"/>
      <c r="W353" s="20" t="str">
        <f>OBRA!L352</f>
        <v>CONVENIO RASTRO DIGNO 2019</v>
      </c>
      <c r="X353" s="13"/>
      <c r="Y353" s="13"/>
      <c r="Z353" s="448" t="str">
        <f>OBRA!K352</f>
        <v>RASTRO DIGNO / CTA-CTE</v>
      </c>
      <c r="AA353" s="13"/>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428">
        <f>OBRA!S352</f>
        <v>43830</v>
      </c>
      <c r="AH353" s="54"/>
      <c r="AI353" s="231"/>
      <c r="AJ353" s="267"/>
      <c r="AK353" s="267"/>
      <c r="AL353" s="432"/>
      <c r="AM353" s="573" t="str">
        <f>GRAL!B354</f>
        <v>2018-2021</v>
      </c>
      <c r="AN353" s="448"/>
      <c r="AO353" s="13"/>
    </row>
    <row r="354" spans="1:41" ht="21.95" hidden="1" customHeight="1">
      <c r="A354" s="166">
        <f>OBRA!I353</f>
        <v>2019</v>
      </c>
      <c r="B354" s="2036"/>
      <c r="C354" s="433"/>
      <c r="D354" s="154"/>
      <c r="E354" s="156"/>
      <c r="F354" s="156"/>
      <c r="G354" s="436"/>
      <c r="H354" s="442" t="str">
        <f>OBRA!AD353</f>
        <v>-</v>
      </c>
      <c r="I354" s="438"/>
      <c r="J354" s="444" t="str">
        <f>OBRA!AE353</f>
        <v>-</v>
      </c>
      <c r="K354" s="439"/>
      <c r="L354" s="442" t="str">
        <f>OBRA!AF353</f>
        <v>-</v>
      </c>
      <c r="M354" s="440"/>
      <c r="N354" s="442" t="str">
        <f>OBRA!AG353</f>
        <v>-</v>
      </c>
      <c r="O354" s="152"/>
      <c r="P354" s="152"/>
      <c r="Q354" s="441"/>
      <c r="R354" s="445" t="str">
        <f>OBRA!AH353</f>
        <v>-</v>
      </c>
      <c r="S354" s="349"/>
      <c r="T354" s="446" t="str">
        <f>OBRA!U353</f>
        <v>N/A</v>
      </c>
      <c r="U354" s="447" t="str">
        <f>OBRA!V353</f>
        <v>ING. RIGOBERTO OLMEDO RAMOS</v>
      </c>
      <c r="V354" s="1281"/>
      <c r="W354" s="20" t="str">
        <f>OBRA!L353</f>
        <v>DOP/AD/001/2019</v>
      </c>
      <c r="X354" s="13"/>
      <c r="Y354" s="13"/>
      <c r="Z354" s="448" t="str">
        <f>OBRA!K353</f>
        <v>CUENTA CORRIENTE</v>
      </c>
      <c r="AA354" s="13"/>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428">
        <f>OBRA!S353</f>
        <v>43555</v>
      </c>
      <c r="AH354" s="54"/>
      <c r="AI354" s="231"/>
      <c r="AJ354" s="267"/>
      <c r="AK354" s="267"/>
      <c r="AL354" s="432"/>
      <c r="AM354" s="573" t="str">
        <f>GRAL!B355</f>
        <v>2018-2021</v>
      </c>
      <c r="AN354" s="448"/>
      <c r="AO354" s="13"/>
    </row>
    <row r="355" spans="1:41" ht="21.95" hidden="1" customHeight="1">
      <c r="A355" s="166">
        <f>OBRA!I354</f>
        <v>2019</v>
      </c>
      <c r="B355" s="2036"/>
      <c r="C355" s="433"/>
      <c r="D355" s="154"/>
      <c r="E355" s="156"/>
      <c r="F355" s="156"/>
      <c r="G355" s="436"/>
      <c r="H355" s="442" t="str">
        <f>OBRA!AD354</f>
        <v>-</v>
      </c>
      <c r="I355" s="438"/>
      <c r="J355" s="444" t="str">
        <f>OBRA!AE354</f>
        <v>-</v>
      </c>
      <c r="K355" s="439"/>
      <c r="L355" s="442" t="str">
        <f>OBRA!AF354</f>
        <v>-</v>
      </c>
      <c r="M355" s="440"/>
      <c r="N355" s="442" t="str">
        <f>OBRA!AG354</f>
        <v>-</v>
      </c>
      <c r="O355" s="152"/>
      <c r="P355" s="152"/>
      <c r="Q355" s="441"/>
      <c r="R355" s="445" t="str">
        <f>OBRA!AH354</f>
        <v>-</v>
      </c>
      <c r="S355" s="349"/>
      <c r="T355" s="446" t="str">
        <f>OBRA!U354</f>
        <v>-</v>
      </c>
      <c r="U355" s="447" t="str">
        <f>OBRA!V354</f>
        <v>LIC. SALVADOR CONTRERAS OLGUÍN</v>
      </c>
      <c r="V355" s="1281"/>
      <c r="W355" s="20" t="str">
        <f>OBRA!L354</f>
        <v>DOP/AD/002/2019</v>
      </c>
      <c r="X355" s="13"/>
      <c r="Y355" s="13"/>
      <c r="Z355" s="448" t="str">
        <f>OBRA!K354</f>
        <v>CUENTA CORRIENTE</v>
      </c>
      <c r="AA355" s="13"/>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428" t="str">
        <f>OBRA!S354</f>
        <v>-</v>
      </c>
      <c r="AH355" s="54"/>
      <c r="AI355" s="231"/>
      <c r="AJ355" s="267"/>
      <c r="AK355" s="267"/>
      <c r="AL355" s="432"/>
      <c r="AM355" s="573" t="str">
        <f>GRAL!B356</f>
        <v>2018-2021</v>
      </c>
      <c r="AN355" s="448"/>
      <c r="AO355" s="13"/>
    </row>
    <row r="356" spans="1:41" ht="21.95" hidden="1" customHeight="1">
      <c r="A356" s="166">
        <f>OBRA!I355</f>
        <v>2019</v>
      </c>
      <c r="B356" s="2036"/>
      <c r="C356" s="433"/>
      <c r="D356" s="154"/>
      <c r="E356" s="156"/>
      <c r="F356" s="156"/>
      <c r="G356" s="436"/>
      <c r="H356" s="442" t="str">
        <f>OBRA!AD355</f>
        <v>-</v>
      </c>
      <c r="I356" s="438"/>
      <c r="J356" s="444" t="str">
        <f>OBRA!AE355</f>
        <v>-</v>
      </c>
      <c r="K356" s="439"/>
      <c r="L356" s="442" t="str">
        <f>OBRA!AF355</f>
        <v>-</v>
      </c>
      <c r="M356" s="440"/>
      <c r="N356" s="442" t="str">
        <f>OBRA!AG355</f>
        <v>-</v>
      </c>
      <c r="O356" s="152"/>
      <c r="P356" s="152"/>
      <c r="Q356" s="441"/>
      <c r="R356" s="445" t="str">
        <f>OBRA!AH355</f>
        <v>-</v>
      </c>
      <c r="S356" s="349"/>
      <c r="T356" s="446" t="str">
        <f>OBRA!U355</f>
        <v>-</v>
      </c>
      <c r="U356" s="447" t="str">
        <f>OBRA!V355</f>
        <v>LIC. SALVADOR CONTRERAS OLGUÍN</v>
      </c>
      <c r="V356" s="1281"/>
      <c r="W356" s="20" t="str">
        <f>OBRA!L355</f>
        <v>DOP/AD/003/2019</v>
      </c>
      <c r="X356" s="13"/>
      <c r="Y356" s="13"/>
      <c r="Z356" s="448" t="str">
        <f>OBRA!K355</f>
        <v>CUENTA CORRIENTE</v>
      </c>
      <c r="AA356" s="13"/>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428" t="str">
        <f>OBRA!S355</f>
        <v>-</v>
      </c>
      <c r="AH356" s="54"/>
      <c r="AI356" s="231"/>
      <c r="AJ356" s="267"/>
      <c r="AK356" s="267"/>
      <c r="AL356" s="432"/>
      <c r="AM356" s="573" t="str">
        <f>GRAL!B357</f>
        <v>2018-2021</v>
      </c>
      <c r="AN356" s="448"/>
      <c r="AO356" s="13"/>
    </row>
    <row r="357" spans="1:41" ht="21.95" hidden="1" customHeight="1">
      <c r="A357" s="166">
        <f>OBRA!I356</f>
        <v>2019</v>
      </c>
      <c r="B357" s="2036"/>
      <c r="C357" s="433"/>
      <c r="D357" s="154"/>
      <c r="E357" s="156"/>
      <c r="F357" s="156"/>
      <c r="G357" s="436"/>
      <c r="H357" s="442" t="str">
        <f>OBRA!AD356</f>
        <v>-</v>
      </c>
      <c r="I357" s="438"/>
      <c r="J357" s="444" t="str">
        <f>OBRA!AE356</f>
        <v>-</v>
      </c>
      <c r="K357" s="439"/>
      <c r="L357" s="442" t="str">
        <f>OBRA!AF356</f>
        <v>-</v>
      </c>
      <c r="M357" s="440"/>
      <c r="N357" s="442" t="str">
        <f>OBRA!AG356</f>
        <v>-</v>
      </c>
      <c r="O357" s="152"/>
      <c r="P357" s="152"/>
      <c r="Q357" s="441"/>
      <c r="R357" s="445" t="str">
        <f>OBRA!AH356</f>
        <v>-</v>
      </c>
      <c r="S357" s="349"/>
      <c r="T357" s="446" t="str">
        <f>OBRA!U356</f>
        <v>N/A</v>
      </c>
      <c r="U357" s="447" t="str">
        <f>OBRA!V356</f>
        <v>LIC. SALVADOR CONTRERAS OLGUÍN</v>
      </c>
      <c r="V357" s="1281"/>
      <c r="W357" s="20" t="str">
        <f>OBRA!L356</f>
        <v>DOP/AD/004/2019</v>
      </c>
      <c r="X357" s="13"/>
      <c r="Y357" s="13"/>
      <c r="Z357" s="448" t="str">
        <f>OBRA!K356</f>
        <v>CUENTA CORRIENTE</v>
      </c>
      <c r="AA357" s="13"/>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428">
        <f>OBRA!S356</f>
        <v>43623</v>
      </c>
      <c r="AH357" s="54"/>
      <c r="AI357" s="231"/>
      <c r="AJ357" s="267"/>
      <c r="AK357" s="267"/>
      <c r="AL357" s="432"/>
      <c r="AM357" s="573" t="str">
        <f>GRAL!B358</f>
        <v>2018-2021</v>
      </c>
      <c r="AN357" s="448"/>
      <c r="AO357" s="13"/>
    </row>
    <row r="358" spans="1:41" ht="21.95" hidden="1" customHeight="1">
      <c r="A358" s="166">
        <f>OBRA!I357</f>
        <v>2019</v>
      </c>
      <c r="B358" s="2036"/>
      <c r="C358" s="433"/>
      <c r="D358" s="154"/>
      <c r="E358" s="156"/>
      <c r="F358" s="156"/>
      <c r="G358" s="436"/>
      <c r="H358" s="442" t="str">
        <f>OBRA!AD357</f>
        <v>-</v>
      </c>
      <c r="I358" s="438"/>
      <c r="J358" s="444" t="str">
        <f>OBRA!AE357</f>
        <v>-</v>
      </c>
      <c r="K358" s="439"/>
      <c r="L358" s="442" t="str">
        <f>OBRA!AF357</f>
        <v>-</v>
      </c>
      <c r="M358" s="440"/>
      <c r="N358" s="442" t="str">
        <f>OBRA!AG357</f>
        <v>-</v>
      </c>
      <c r="O358" s="152"/>
      <c r="P358" s="152"/>
      <c r="Q358" s="441"/>
      <c r="R358" s="445" t="str">
        <f>OBRA!AH357</f>
        <v>-</v>
      </c>
      <c r="S358" s="349"/>
      <c r="T358" s="446" t="str">
        <f>OBRA!U357</f>
        <v>N/A</v>
      </c>
      <c r="U358" s="447" t="str">
        <f>OBRA!V357</f>
        <v>LIC. SALVADOR CONTRERAS OLGUÍN</v>
      </c>
      <c r="V358" s="1281"/>
      <c r="W358" s="20" t="str">
        <f>OBRA!L357</f>
        <v>DOP/AD/005/2019</v>
      </c>
      <c r="X358" s="13"/>
      <c r="Y358" s="13"/>
      <c r="Z358" s="448" t="str">
        <f>OBRA!K357</f>
        <v>CUENTA CORRIENTE</v>
      </c>
      <c r="AA358" s="13"/>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428">
        <f>OBRA!S357</f>
        <v>43623</v>
      </c>
      <c r="AH358" s="54"/>
      <c r="AI358" s="231"/>
      <c r="AJ358" s="267"/>
      <c r="AK358" s="267"/>
      <c r="AL358" s="432"/>
      <c r="AM358" s="573" t="str">
        <f>GRAL!B359</f>
        <v>2018-2021</v>
      </c>
      <c r="AN358" s="448"/>
      <c r="AO358" s="13"/>
    </row>
    <row r="359" spans="1:41" ht="21.95" hidden="1" customHeight="1">
      <c r="A359" s="166">
        <f>OBRA!I358</f>
        <v>2019</v>
      </c>
      <c r="B359" s="2036"/>
      <c r="C359" s="433"/>
      <c r="D359" s="154"/>
      <c r="E359" s="156"/>
      <c r="F359" s="156"/>
      <c r="G359" s="436"/>
      <c r="H359" s="442" t="str">
        <f>OBRA!AD358</f>
        <v>-</v>
      </c>
      <c r="I359" s="438"/>
      <c r="J359" s="444" t="str">
        <f>OBRA!AE358</f>
        <v>-</v>
      </c>
      <c r="K359" s="439"/>
      <c r="L359" s="442" t="str">
        <f>OBRA!AF358</f>
        <v>-</v>
      </c>
      <c r="M359" s="440"/>
      <c r="N359" s="442" t="str">
        <f>OBRA!AG358</f>
        <v>-</v>
      </c>
      <c r="O359" s="152"/>
      <c r="P359" s="152"/>
      <c r="Q359" s="441"/>
      <c r="R359" s="445" t="str">
        <f>OBRA!AH358</f>
        <v>-</v>
      </c>
      <c r="S359" s="349"/>
      <c r="T359" s="446" t="str">
        <f>OBRA!U358</f>
        <v>N/A</v>
      </c>
      <c r="U359" s="447" t="str">
        <f>OBRA!V358</f>
        <v>LIC. SALVADOR CONTRERAS OLGUÍN</v>
      </c>
      <c r="V359" s="1281"/>
      <c r="W359" s="20" t="str">
        <f>OBRA!L358</f>
        <v>DOP/AD/006/2019</v>
      </c>
      <c r="X359" s="13"/>
      <c r="Y359" s="13"/>
      <c r="Z359" s="448" t="str">
        <f>OBRA!K358</f>
        <v>CUENTA CORRIENTE</v>
      </c>
      <c r="AA359" s="13"/>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428">
        <f>OBRA!S358</f>
        <v>43623</v>
      </c>
      <c r="AH359" s="54"/>
      <c r="AI359" s="231"/>
      <c r="AJ359" s="267"/>
      <c r="AK359" s="267"/>
      <c r="AL359" s="432"/>
      <c r="AM359" s="573" t="str">
        <f>GRAL!B360</f>
        <v>2018-2021</v>
      </c>
      <c r="AN359" s="448"/>
      <c r="AO359" s="13"/>
    </row>
    <row r="360" spans="1:41" ht="21.95" hidden="1" customHeight="1">
      <c r="A360" s="166">
        <f>OBRA!I359</f>
        <v>2019</v>
      </c>
      <c r="B360" s="2036"/>
      <c r="C360" s="433"/>
      <c r="D360" s="154"/>
      <c r="E360" s="156"/>
      <c r="F360" s="156"/>
      <c r="G360" s="436"/>
      <c r="H360" s="442" t="str">
        <f>OBRA!AD359</f>
        <v>-</v>
      </c>
      <c r="I360" s="438"/>
      <c r="J360" s="444" t="str">
        <f>OBRA!AE359</f>
        <v>-</v>
      </c>
      <c r="K360" s="439"/>
      <c r="L360" s="442" t="str">
        <f>OBRA!AF359</f>
        <v>-</v>
      </c>
      <c r="M360" s="440"/>
      <c r="N360" s="442" t="str">
        <f>OBRA!AG359</f>
        <v>-</v>
      </c>
      <c r="O360" s="152"/>
      <c r="P360" s="152"/>
      <c r="Q360" s="441"/>
      <c r="R360" s="445" t="str">
        <f>OBRA!AH359</f>
        <v>-</v>
      </c>
      <c r="S360" s="349"/>
      <c r="T360" s="446" t="str">
        <f>OBRA!U359</f>
        <v>N/A</v>
      </c>
      <c r="U360" s="447" t="str">
        <f>OBRA!V359</f>
        <v>ING. LUIS RIGOBERTO OLMEDO NAVARRO</v>
      </c>
      <c r="V360" s="1281"/>
      <c r="W360" s="20" t="str">
        <f>OBRA!L359</f>
        <v>DOP/AD/007/2019</v>
      </c>
      <c r="X360" s="13"/>
      <c r="Y360" s="13"/>
      <c r="Z360" s="448" t="str">
        <f>OBRA!K359</f>
        <v>CUENTA CORRIENTE</v>
      </c>
      <c r="AA360" s="13"/>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428">
        <f>OBRA!S359</f>
        <v>43830</v>
      </c>
      <c r="AH360" s="54"/>
      <c r="AI360" s="231"/>
      <c r="AJ360" s="267"/>
      <c r="AK360" s="267"/>
      <c r="AL360" s="432"/>
      <c r="AM360" s="573" t="str">
        <f>GRAL!B361</f>
        <v>2018-2021</v>
      </c>
      <c r="AN360" s="448"/>
      <c r="AO360" s="13"/>
    </row>
    <row r="361" spans="1:41" ht="21.95" hidden="1" customHeight="1">
      <c r="A361" s="166">
        <f>OBRA!I360</f>
        <v>2019</v>
      </c>
      <c r="B361" s="2036"/>
      <c r="C361" s="433"/>
      <c r="D361" s="154"/>
      <c r="E361" s="156"/>
      <c r="F361" s="156"/>
      <c r="G361" s="436"/>
      <c r="H361" s="442" t="str">
        <f>OBRA!AD360</f>
        <v>-</v>
      </c>
      <c r="I361" s="438"/>
      <c r="J361" s="444" t="str">
        <f>OBRA!AE360</f>
        <v>-</v>
      </c>
      <c r="K361" s="439"/>
      <c r="L361" s="442" t="str">
        <f>OBRA!AF360</f>
        <v>-</v>
      </c>
      <c r="M361" s="440"/>
      <c r="N361" s="442" t="str">
        <f>OBRA!AG360</f>
        <v>-</v>
      </c>
      <c r="O361" s="152"/>
      <c r="P361" s="152"/>
      <c r="Q361" s="441"/>
      <c r="R361" s="445" t="str">
        <f>OBRA!AH360</f>
        <v>-</v>
      </c>
      <c r="S361" s="349"/>
      <c r="T361" s="446" t="str">
        <f>OBRA!U360</f>
        <v>N/A</v>
      </c>
      <c r="U361" s="447" t="str">
        <f>OBRA!V360</f>
        <v>ING. JUAN MANUEL GARCIA ESCOTO</v>
      </c>
      <c r="V361" s="1281"/>
      <c r="W361" s="20" t="str">
        <f>OBRA!L360</f>
        <v>DOP/AD/008/2019</v>
      </c>
      <c r="X361" s="13"/>
      <c r="Y361" s="13"/>
      <c r="Z361" s="448" t="str">
        <f>OBRA!K360</f>
        <v>CEA / CUENTA CORRIENTE</v>
      </c>
      <c r="AA361" s="13"/>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428">
        <f>OBRA!S360</f>
        <v>43830</v>
      </c>
      <c r="AH361" s="54"/>
      <c r="AI361" s="231"/>
      <c r="AJ361" s="267"/>
      <c r="AK361" s="267"/>
      <c r="AL361" s="432"/>
      <c r="AM361" s="573" t="str">
        <f>GRAL!B362</f>
        <v>2018-2021</v>
      </c>
      <c r="AN361" s="448"/>
      <c r="AO361" s="13"/>
    </row>
    <row r="362" spans="1:41" ht="21.95" hidden="1" customHeight="1">
      <c r="A362" s="166">
        <f>OBRA!I361</f>
        <v>2019</v>
      </c>
      <c r="B362" s="2036"/>
      <c r="C362" s="433"/>
      <c r="D362" s="154"/>
      <c r="E362" s="156"/>
      <c r="F362" s="156"/>
      <c r="G362" s="436"/>
      <c r="H362" s="442" t="str">
        <f>OBRA!AD361</f>
        <v>-</v>
      </c>
      <c r="I362" s="438"/>
      <c r="J362" s="444" t="str">
        <f>OBRA!AE361</f>
        <v>-</v>
      </c>
      <c r="K362" s="439"/>
      <c r="L362" s="442" t="str">
        <f>OBRA!AF361</f>
        <v>-</v>
      </c>
      <c r="M362" s="440"/>
      <c r="N362" s="442" t="str">
        <f>OBRA!AG361</f>
        <v>-</v>
      </c>
      <c r="O362" s="152"/>
      <c r="P362" s="152"/>
      <c r="Q362" s="441"/>
      <c r="R362" s="445" t="str">
        <f>OBRA!AH361</f>
        <v>-</v>
      </c>
      <c r="S362" s="349"/>
      <c r="T362" s="446" t="str">
        <f>OBRA!U361</f>
        <v>N/A</v>
      </c>
      <c r="U362" s="447" t="str">
        <f>OBRA!V361</f>
        <v>ING. JUAN MANUEL GARCIA ESCOTO</v>
      </c>
      <c r="V362" s="1281"/>
      <c r="W362" s="20" t="str">
        <f>OBRA!L361</f>
        <v>DOP/AD/009/2019</v>
      </c>
      <c r="X362" s="13"/>
      <c r="Y362" s="13"/>
      <c r="Z362" s="448" t="str">
        <f>OBRA!K361</f>
        <v>CUENTA CORRIENTE</v>
      </c>
      <c r="AA362" s="13"/>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428">
        <f>OBRA!S361</f>
        <v>43830</v>
      </c>
      <c r="AH362" s="54"/>
      <c r="AI362" s="231"/>
      <c r="AJ362" s="267"/>
      <c r="AK362" s="267"/>
      <c r="AL362" s="432"/>
      <c r="AM362" s="573" t="str">
        <f>GRAL!B363</f>
        <v>2018-2021</v>
      </c>
      <c r="AN362" s="448"/>
      <c r="AO362" s="13"/>
    </row>
    <row r="363" spans="1:41" ht="21.95" hidden="1" customHeight="1">
      <c r="A363" s="166">
        <f>OBRA!I362</f>
        <v>2019</v>
      </c>
      <c r="B363" s="2036"/>
      <c r="C363" s="433"/>
      <c r="D363" s="154"/>
      <c r="E363" s="156"/>
      <c r="F363" s="156"/>
      <c r="G363" s="436"/>
      <c r="H363" s="442" t="str">
        <f>OBRA!AD362</f>
        <v>-</v>
      </c>
      <c r="I363" s="438"/>
      <c r="J363" s="444" t="str">
        <f>OBRA!AE362</f>
        <v>-</v>
      </c>
      <c r="K363" s="439"/>
      <c r="L363" s="442" t="str">
        <f>OBRA!AF362</f>
        <v>-</v>
      </c>
      <c r="M363" s="440"/>
      <c r="N363" s="442" t="str">
        <f>OBRA!AG362</f>
        <v>-</v>
      </c>
      <c r="O363" s="152"/>
      <c r="P363" s="152"/>
      <c r="Q363" s="441"/>
      <c r="R363" s="445" t="str">
        <f>OBRA!AH362</f>
        <v>-</v>
      </c>
      <c r="S363" s="349"/>
      <c r="T363" s="446" t="str">
        <f>OBRA!U362</f>
        <v>N/A</v>
      </c>
      <c r="U363" s="447" t="str">
        <f>OBRA!V362</f>
        <v>ING. J. GUADALUPE IBARRA RAMIREZ</v>
      </c>
      <c r="V363" s="1281"/>
      <c r="W363" s="20" t="str">
        <f>OBRA!L362</f>
        <v>DOP/AD/010/2019</v>
      </c>
      <c r="X363" s="13"/>
      <c r="Y363" s="13"/>
      <c r="Z363" s="448" t="str">
        <f>OBRA!K362</f>
        <v>CUENTA CORRIENTE</v>
      </c>
      <c r="AA363" s="13"/>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428">
        <f>OBRA!S362</f>
        <v>43798</v>
      </c>
      <c r="AH363" s="54"/>
      <c r="AI363" s="231"/>
      <c r="AJ363" s="267"/>
      <c r="AK363" s="267"/>
      <c r="AL363" s="432"/>
      <c r="AM363" s="573" t="str">
        <f>GRAL!B364</f>
        <v>2018-2021</v>
      </c>
      <c r="AN363" s="448"/>
      <c r="AO363" s="13"/>
    </row>
    <row r="364" spans="1:41" ht="21.95" hidden="1" customHeight="1">
      <c r="A364" s="166">
        <f>OBRA!I363</f>
        <v>2019</v>
      </c>
      <c r="B364" s="2036"/>
      <c r="C364" s="433"/>
      <c r="D364" s="154"/>
      <c r="E364" s="156"/>
      <c r="F364" s="156"/>
      <c r="G364" s="436"/>
      <c r="H364" s="442" t="str">
        <f>OBRA!AD363</f>
        <v>-</v>
      </c>
      <c r="I364" s="438"/>
      <c r="J364" s="444" t="str">
        <f>OBRA!AE363</f>
        <v>-</v>
      </c>
      <c r="K364" s="439"/>
      <c r="L364" s="442" t="str">
        <f>OBRA!AF363</f>
        <v>-</v>
      </c>
      <c r="M364" s="440"/>
      <c r="N364" s="442" t="str">
        <f>OBRA!AG363</f>
        <v>-</v>
      </c>
      <c r="O364" s="152"/>
      <c r="P364" s="152"/>
      <c r="Q364" s="441"/>
      <c r="R364" s="445" t="str">
        <f>OBRA!AH363</f>
        <v>-</v>
      </c>
      <c r="S364" s="349"/>
      <c r="T364" s="446" t="str">
        <f>OBRA!U363</f>
        <v>N/A</v>
      </c>
      <c r="U364" s="447" t="str">
        <f>OBRA!V363</f>
        <v>ING. J. GUADALUPE IBARRA RAMIREZ</v>
      </c>
      <c r="V364" s="1281"/>
      <c r="W364" s="20" t="str">
        <f>OBRA!L363</f>
        <v>DOP/AD/011/2019</v>
      </c>
      <c r="X364" s="13"/>
      <c r="Y364" s="13"/>
      <c r="Z364" s="448" t="str">
        <f>OBRA!K363</f>
        <v>RAMO 33</v>
      </c>
      <c r="AA364" s="13"/>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428">
        <f>OBRA!S363</f>
        <v>43814</v>
      </c>
      <c r="AH364" s="54"/>
      <c r="AI364" s="231"/>
      <c r="AJ364" s="267"/>
      <c r="AK364" s="267"/>
      <c r="AL364" s="432"/>
      <c r="AM364" s="573" t="str">
        <f>GRAL!B365</f>
        <v>2018-2021</v>
      </c>
      <c r="AN364" s="448"/>
      <c r="AO364" s="13"/>
    </row>
    <row r="365" spans="1:41" ht="21.95" hidden="1" customHeight="1">
      <c r="A365" s="166">
        <f>OBRA!I364</f>
        <v>2019</v>
      </c>
      <c r="B365" s="2036"/>
      <c r="C365" s="433"/>
      <c r="D365" s="154"/>
      <c r="E365" s="156"/>
      <c r="F365" s="156"/>
      <c r="G365" s="436"/>
      <c r="H365" s="442" t="str">
        <f>OBRA!AD364</f>
        <v>-</v>
      </c>
      <c r="I365" s="438"/>
      <c r="J365" s="444" t="str">
        <f>OBRA!AE364</f>
        <v>-</v>
      </c>
      <c r="K365" s="439"/>
      <c r="L365" s="442" t="str">
        <f>OBRA!AF364</f>
        <v>-</v>
      </c>
      <c r="M365" s="440"/>
      <c r="N365" s="442" t="str">
        <f>OBRA!AG364</f>
        <v>-</v>
      </c>
      <c r="O365" s="152"/>
      <c r="P365" s="152"/>
      <c r="Q365" s="441"/>
      <c r="R365" s="445" t="str">
        <f>OBRA!AH364</f>
        <v>-</v>
      </c>
      <c r="S365" s="349"/>
      <c r="T365" s="446" t="str">
        <f>OBRA!U364</f>
        <v>N/A</v>
      </c>
      <c r="U365" s="447" t="str">
        <f>OBRA!V364</f>
        <v>ING. J. GUADALUPE IBARRA RAMIREZ</v>
      </c>
      <c r="V365" s="1281"/>
      <c r="W365" s="20" t="str">
        <f>OBRA!L364</f>
        <v>DOP/AD/012/2019</v>
      </c>
      <c r="X365" s="13"/>
      <c r="Y365" s="13"/>
      <c r="Z365" s="448" t="str">
        <f>OBRA!K364</f>
        <v>RAMO 33</v>
      </c>
      <c r="AA365" s="13"/>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428">
        <f>OBRA!S364</f>
        <v>43814</v>
      </c>
      <c r="AH365" s="54"/>
      <c r="AI365" s="231"/>
      <c r="AJ365" s="267"/>
      <c r="AK365" s="267"/>
      <c r="AL365" s="432"/>
      <c r="AM365" s="573" t="str">
        <f>GRAL!B366</f>
        <v>2018-2021</v>
      </c>
      <c r="AN365" s="448"/>
      <c r="AO365" s="13"/>
    </row>
    <row r="366" spans="1:41" ht="21.95" hidden="1" customHeight="1">
      <c r="A366" s="166">
        <f>OBRA!I365</f>
        <v>2019</v>
      </c>
      <c r="B366" s="2036"/>
      <c r="C366" s="433"/>
      <c r="D366" s="154"/>
      <c r="E366" s="156"/>
      <c r="F366" s="156"/>
      <c r="G366" s="436"/>
      <c r="H366" s="442" t="str">
        <f>OBRA!AD365</f>
        <v>-</v>
      </c>
      <c r="I366" s="438"/>
      <c r="J366" s="444" t="str">
        <f>OBRA!AE365</f>
        <v>-</v>
      </c>
      <c r="K366" s="439"/>
      <c r="L366" s="442" t="str">
        <f>OBRA!AF365</f>
        <v>-</v>
      </c>
      <c r="M366" s="440"/>
      <c r="N366" s="442" t="str">
        <f>OBRA!AG365</f>
        <v>-</v>
      </c>
      <c r="O366" s="152"/>
      <c r="P366" s="152"/>
      <c r="Q366" s="441"/>
      <c r="R366" s="445" t="str">
        <f>OBRA!AH365</f>
        <v>-</v>
      </c>
      <c r="S366" s="349"/>
      <c r="T366" s="446" t="str">
        <f>OBRA!U365</f>
        <v>N/A</v>
      </c>
      <c r="U366" s="447" t="str">
        <f>OBRA!V365</f>
        <v>ING. J. GUADALUPE IBARRA RAMIREZ</v>
      </c>
      <c r="V366" s="1281"/>
      <c r="W366" s="20" t="str">
        <f>OBRA!L365</f>
        <v>DOP/AD/013/2019</v>
      </c>
      <c r="X366" s="13"/>
      <c r="Y366" s="13"/>
      <c r="Z366" s="448" t="str">
        <f>OBRA!K365</f>
        <v>RAMO 33</v>
      </c>
      <c r="AA366" s="13"/>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428">
        <f>OBRA!S365</f>
        <v>43798</v>
      </c>
      <c r="AH366" s="54"/>
      <c r="AI366" s="231"/>
      <c r="AJ366" s="267"/>
      <c r="AK366" s="267"/>
      <c r="AL366" s="432"/>
      <c r="AM366" s="573" t="str">
        <f>GRAL!B367</f>
        <v>2018-2021</v>
      </c>
      <c r="AN366" s="448"/>
      <c r="AO366" s="13"/>
    </row>
    <row r="367" spans="1:41" ht="21.95" hidden="1" customHeight="1">
      <c r="A367" s="166">
        <f>OBRA!I366</f>
        <v>2019</v>
      </c>
      <c r="B367" s="2036"/>
      <c r="C367" s="433"/>
      <c r="D367" s="154"/>
      <c r="E367" s="156"/>
      <c r="F367" s="156"/>
      <c r="G367" s="436"/>
      <c r="H367" s="442" t="str">
        <f>OBRA!AD366</f>
        <v>-</v>
      </c>
      <c r="I367" s="438"/>
      <c r="J367" s="444" t="str">
        <f>OBRA!AE366</f>
        <v>-</v>
      </c>
      <c r="K367" s="439"/>
      <c r="L367" s="442" t="str">
        <f>OBRA!AF366</f>
        <v>-</v>
      </c>
      <c r="M367" s="440"/>
      <c r="N367" s="442" t="str">
        <f>OBRA!AG366</f>
        <v>-</v>
      </c>
      <c r="O367" s="152"/>
      <c r="P367" s="152"/>
      <c r="Q367" s="441"/>
      <c r="R367" s="445" t="str">
        <f>OBRA!AH366</f>
        <v>-</v>
      </c>
      <c r="S367" s="349"/>
      <c r="T367" s="446" t="str">
        <f>OBRA!U366</f>
        <v>N/A</v>
      </c>
      <c r="U367" s="447" t="str">
        <f>OBRA!V366</f>
        <v>ING. J. GUADALUPE IBARRA RAMIREZ</v>
      </c>
      <c r="V367" s="1281"/>
      <c r="W367" s="20" t="str">
        <f>OBRA!L366</f>
        <v>DOP/AD/014/2019</v>
      </c>
      <c r="X367" s="13"/>
      <c r="Y367" s="13"/>
      <c r="Z367" s="448" t="str">
        <f>OBRA!K366</f>
        <v>RAMO 33</v>
      </c>
      <c r="AA367" s="13"/>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428">
        <f>OBRA!S366</f>
        <v>43798</v>
      </c>
      <c r="AH367" s="54"/>
      <c r="AI367" s="231"/>
      <c r="AJ367" s="267"/>
      <c r="AK367" s="267"/>
      <c r="AL367" s="432"/>
      <c r="AM367" s="573" t="str">
        <f>GRAL!B368</f>
        <v>2018-2021</v>
      </c>
      <c r="AN367" s="448"/>
      <c r="AO367" s="13"/>
    </row>
    <row r="368" spans="1:41" ht="21.95" hidden="1" customHeight="1">
      <c r="A368" s="166">
        <f>OBRA!I367</f>
        <v>2019</v>
      </c>
      <c r="B368" s="2036"/>
      <c r="C368" s="433"/>
      <c r="D368" s="154"/>
      <c r="E368" s="156"/>
      <c r="F368" s="156"/>
      <c r="G368" s="436"/>
      <c r="H368" s="442" t="str">
        <f>OBRA!AD367</f>
        <v>-</v>
      </c>
      <c r="I368" s="438"/>
      <c r="J368" s="444" t="str">
        <f>OBRA!AE367</f>
        <v>-</v>
      </c>
      <c r="K368" s="439"/>
      <c r="L368" s="442" t="str">
        <f>OBRA!AF367</f>
        <v>-</v>
      </c>
      <c r="M368" s="440"/>
      <c r="N368" s="442" t="str">
        <f>OBRA!AG367</f>
        <v>-</v>
      </c>
      <c r="O368" s="152"/>
      <c r="P368" s="152"/>
      <c r="Q368" s="441"/>
      <c r="R368" s="445" t="str">
        <f>OBRA!AH367</f>
        <v>-</v>
      </c>
      <c r="S368" s="349"/>
      <c r="T368" s="446" t="str">
        <f>OBRA!U367</f>
        <v>N/A</v>
      </c>
      <c r="U368" s="447" t="str">
        <f>OBRA!V367</f>
        <v>ING. J. GUADALUPE IBARRA RAMIREZ</v>
      </c>
      <c r="V368" s="1281"/>
      <c r="W368" s="20" t="str">
        <f>OBRA!L367</f>
        <v>DOP/AD/015/2019</v>
      </c>
      <c r="X368" s="13"/>
      <c r="Y368" s="13"/>
      <c r="Z368" s="448" t="str">
        <f>OBRA!K367</f>
        <v>RAMO 33</v>
      </c>
      <c r="AA368" s="13"/>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428">
        <f>OBRA!S367</f>
        <v>43798</v>
      </c>
      <c r="AH368" s="54"/>
      <c r="AI368" s="231"/>
      <c r="AJ368" s="267"/>
      <c r="AK368" s="267"/>
      <c r="AL368" s="432"/>
      <c r="AM368" s="573" t="str">
        <f>GRAL!B369</f>
        <v>2018-2021</v>
      </c>
      <c r="AN368" s="448"/>
      <c r="AO368" s="13"/>
    </row>
    <row r="369" spans="1:41" ht="21.95" hidden="1" customHeight="1">
      <c r="A369" s="166">
        <f>OBRA!I368</f>
        <v>2019</v>
      </c>
      <c r="B369" s="2036"/>
      <c r="C369" s="433"/>
      <c r="D369" s="154"/>
      <c r="E369" s="156"/>
      <c r="F369" s="156"/>
      <c r="G369" s="436"/>
      <c r="H369" s="442" t="str">
        <f>OBRA!AD368</f>
        <v>-</v>
      </c>
      <c r="I369" s="438"/>
      <c r="J369" s="444" t="str">
        <f>OBRA!AE368</f>
        <v>-</v>
      </c>
      <c r="K369" s="439"/>
      <c r="L369" s="442" t="str">
        <f>OBRA!AF368</f>
        <v>-</v>
      </c>
      <c r="M369" s="440"/>
      <c r="N369" s="442" t="str">
        <f>OBRA!AG368</f>
        <v>-</v>
      </c>
      <c r="O369" s="152"/>
      <c r="P369" s="152"/>
      <c r="Q369" s="441"/>
      <c r="R369" s="445" t="str">
        <f>OBRA!AH368</f>
        <v>-</v>
      </c>
      <c r="S369" s="349"/>
      <c r="T369" s="446" t="str">
        <f>OBRA!U368</f>
        <v>-</v>
      </c>
      <c r="U369" s="447">
        <f>OBRA!V368</f>
        <v>0</v>
      </c>
      <c r="V369" s="1281"/>
      <c r="W369" s="20" t="str">
        <f>OBRA!L368</f>
        <v>DOP/AD/016/2019</v>
      </c>
      <c r="X369" s="13"/>
      <c r="Y369" s="13"/>
      <c r="Z369" s="448">
        <f>OBRA!K368</f>
        <v>0</v>
      </c>
      <c r="AA369" s="13"/>
      <c r="AB369" s="2" t="str">
        <f>OBRA!M368</f>
        <v>CANCELADA</v>
      </c>
      <c r="AC369" s="3">
        <f>OBRA!N368</f>
        <v>0</v>
      </c>
      <c r="AD369" s="4">
        <f>OBRA!P368</f>
        <v>0</v>
      </c>
      <c r="AE369" s="6">
        <f>OBRA!Q368</f>
        <v>0</v>
      </c>
      <c r="AF369" s="5">
        <f>OBRA!R368</f>
        <v>0</v>
      </c>
      <c r="AG369" s="428">
        <f>OBRA!S368</f>
        <v>0</v>
      </c>
      <c r="AH369" s="54"/>
      <c r="AI369" s="231"/>
      <c r="AJ369" s="267"/>
      <c r="AK369" s="267"/>
      <c r="AL369" s="432"/>
      <c r="AM369" s="573" t="str">
        <f>GRAL!B370</f>
        <v>2018-2021</v>
      </c>
      <c r="AN369" s="448"/>
      <c r="AO369" s="13"/>
    </row>
    <row r="370" spans="1:41" ht="21.95" hidden="1" customHeight="1">
      <c r="A370" s="166">
        <f>OBRA!I369</f>
        <v>2019</v>
      </c>
      <c r="B370" s="2036"/>
      <c r="C370" s="433"/>
      <c r="D370" s="154"/>
      <c r="E370" s="156"/>
      <c r="F370" s="156"/>
      <c r="G370" s="436"/>
      <c r="H370" s="442" t="str">
        <f>OBRA!AD369</f>
        <v>-</v>
      </c>
      <c r="I370" s="438"/>
      <c r="J370" s="444" t="str">
        <f>OBRA!AE369</f>
        <v>-</v>
      </c>
      <c r="K370" s="439"/>
      <c r="L370" s="442" t="str">
        <f>OBRA!AF369</f>
        <v>-</v>
      </c>
      <c r="M370" s="440"/>
      <c r="N370" s="442" t="str">
        <f>OBRA!AG369</f>
        <v>-</v>
      </c>
      <c r="O370" s="152"/>
      <c r="P370" s="152"/>
      <c r="Q370" s="441"/>
      <c r="R370" s="445" t="str">
        <f>OBRA!AH369</f>
        <v>-</v>
      </c>
      <c r="S370" s="349"/>
      <c r="T370" s="446" t="str">
        <f>OBRA!U369</f>
        <v>N/A</v>
      </c>
      <c r="U370" s="447" t="str">
        <f>OBRA!V369</f>
        <v>ARQ. CESAR ANTONIO ALONSO JIMENEZ</v>
      </c>
      <c r="V370" s="1281"/>
      <c r="W370" s="20" t="str">
        <f>OBRA!L369</f>
        <v>DOP/AD/017/2019</v>
      </c>
      <c r="X370" s="13"/>
      <c r="Y370" s="13"/>
      <c r="Z370" s="448" t="str">
        <f>OBRA!K369</f>
        <v>P.I.D.</v>
      </c>
      <c r="AA370" s="13"/>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428">
        <f>OBRA!S369</f>
        <v>43814</v>
      </c>
      <c r="AH370" s="54"/>
      <c r="AI370" s="231"/>
      <c r="AJ370" s="267"/>
      <c r="AK370" s="267"/>
      <c r="AL370" s="432"/>
      <c r="AM370" s="573" t="str">
        <f>GRAL!B371</f>
        <v>2018-2021</v>
      </c>
      <c r="AN370" s="448"/>
      <c r="AO370" s="13"/>
    </row>
    <row r="371" spans="1:41" ht="21.95" hidden="1" customHeight="1">
      <c r="A371" s="166">
        <f>OBRA!I370</f>
        <v>2019</v>
      </c>
      <c r="B371" s="2036"/>
      <c r="C371" s="433"/>
      <c r="D371" s="154"/>
      <c r="E371" s="156"/>
      <c r="F371" s="156"/>
      <c r="G371" s="436"/>
      <c r="H371" s="442" t="str">
        <f>OBRA!AD370</f>
        <v>-</v>
      </c>
      <c r="I371" s="438"/>
      <c r="J371" s="444" t="str">
        <f>OBRA!AE370</f>
        <v>-</v>
      </c>
      <c r="K371" s="439"/>
      <c r="L371" s="442" t="str">
        <f>OBRA!AF370</f>
        <v>-</v>
      </c>
      <c r="M371" s="440"/>
      <c r="N371" s="442" t="str">
        <f>OBRA!AG370</f>
        <v>-</v>
      </c>
      <c r="O371" s="152"/>
      <c r="P371" s="152"/>
      <c r="Q371" s="441"/>
      <c r="R371" s="445" t="str">
        <f>OBRA!AH370</f>
        <v>-</v>
      </c>
      <c r="S371" s="349"/>
      <c r="T371" s="446" t="str">
        <f>OBRA!U370</f>
        <v>N/A</v>
      </c>
      <c r="U371" s="447" t="str">
        <f>OBRA!V370</f>
        <v>ING. J. GUADALUPE IBARRA RAMIREZ</v>
      </c>
      <c r="V371" s="1281"/>
      <c r="W371" s="20" t="str">
        <f>OBRA!L370</f>
        <v>DOP/AD/018/2019</v>
      </c>
      <c r="X371" s="13"/>
      <c r="Y371" s="13"/>
      <c r="Z371" s="448" t="str">
        <f>OBRA!K370</f>
        <v>RAMO 33</v>
      </c>
      <c r="AA371" s="13"/>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428">
        <f>OBRA!S370</f>
        <v>43814</v>
      </c>
      <c r="AH371" s="54"/>
      <c r="AI371" s="231"/>
      <c r="AJ371" s="267"/>
      <c r="AK371" s="267"/>
      <c r="AL371" s="432"/>
      <c r="AM371" s="573" t="str">
        <f>GRAL!B372</f>
        <v>2018-2021</v>
      </c>
      <c r="AN371" s="448"/>
      <c r="AO371" s="13"/>
    </row>
    <row r="372" spans="1:41" ht="21.95" hidden="1" customHeight="1">
      <c r="A372" s="166">
        <f>OBRA!I371</f>
        <v>2019</v>
      </c>
      <c r="B372" s="2036"/>
      <c r="C372" s="433"/>
      <c r="D372" s="154"/>
      <c r="E372" s="156"/>
      <c r="F372" s="156"/>
      <c r="G372" s="436"/>
      <c r="H372" s="442" t="str">
        <f>OBRA!AD371</f>
        <v>-</v>
      </c>
      <c r="I372" s="438"/>
      <c r="J372" s="444" t="str">
        <f>OBRA!AE371</f>
        <v>-</v>
      </c>
      <c r="K372" s="439"/>
      <c r="L372" s="442" t="str">
        <f>OBRA!AF371</f>
        <v>-</v>
      </c>
      <c r="M372" s="440"/>
      <c r="N372" s="442" t="str">
        <f>OBRA!AG371</f>
        <v>-</v>
      </c>
      <c r="O372" s="152"/>
      <c r="P372" s="152"/>
      <c r="Q372" s="441"/>
      <c r="R372" s="445" t="str">
        <f>OBRA!AH371</f>
        <v>-</v>
      </c>
      <c r="S372" s="349"/>
      <c r="T372" s="446" t="str">
        <f>OBRA!U371</f>
        <v>-</v>
      </c>
      <c r="U372" s="447">
        <f>OBRA!V371</f>
        <v>0</v>
      </c>
      <c r="V372" s="1281"/>
      <c r="W372" s="20" t="str">
        <f>OBRA!L371</f>
        <v>DOP/AD/019/2019</v>
      </c>
      <c r="X372" s="13"/>
      <c r="Y372" s="13"/>
      <c r="Z372" s="448">
        <f>OBRA!K371</f>
        <v>0</v>
      </c>
      <c r="AA372" s="13"/>
      <c r="AB372" s="2" t="str">
        <f>OBRA!M371</f>
        <v>CANCELADA</v>
      </c>
      <c r="AC372" s="3">
        <f>OBRA!N371</f>
        <v>0</v>
      </c>
      <c r="AD372" s="4">
        <f>OBRA!P371</f>
        <v>0</v>
      </c>
      <c r="AE372" s="6">
        <f>OBRA!Q371</f>
        <v>0</v>
      </c>
      <c r="AF372" s="5">
        <f>OBRA!R371</f>
        <v>0</v>
      </c>
      <c r="AG372" s="428">
        <f>OBRA!S371</f>
        <v>0</v>
      </c>
      <c r="AH372" s="54"/>
      <c r="AI372" s="231"/>
      <c r="AJ372" s="267"/>
      <c r="AK372" s="267"/>
      <c r="AL372" s="432"/>
      <c r="AM372" s="573" t="str">
        <f>GRAL!B373</f>
        <v>2018-2021</v>
      </c>
      <c r="AN372" s="448"/>
      <c r="AO372" s="13"/>
    </row>
    <row r="373" spans="1:41" ht="21.95" hidden="1" customHeight="1">
      <c r="A373" s="166">
        <f>OBRA!I372</f>
        <v>2019</v>
      </c>
      <c r="B373" s="2036"/>
      <c r="C373" s="433"/>
      <c r="D373" s="154"/>
      <c r="E373" s="156"/>
      <c r="F373" s="156"/>
      <c r="G373" s="436"/>
      <c r="H373" s="442" t="str">
        <f>OBRA!AD372</f>
        <v>-</v>
      </c>
      <c r="I373" s="438"/>
      <c r="J373" s="444" t="str">
        <f>OBRA!AE372</f>
        <v>-</v>
      </c>
      <c r="K373" s="439"/>
      <c r="L373" s="442" t="str">
        <f>OBRA!AF372</f>
        <v>-</v>
      </c>
      <c r="M373" s="440"/>
      <c r="N373" s="442" t="str">
        <f>OBRA!AG372</f>
        <v>-</v>
      </c>
      <c r="O373" s="152"/>
      <c r="P373" s="152"/>
      <c r="Q373" s="441"/>
      <c r="R373" s="445" t="str">
        <f>OBRA!AH372</f>
        <v>-</v>
      </c>
      <c r="S373" s="349"/>
      <c r="T373" s="446" t="str">
        <f>OBRA!U372</f>
        <v>N/A</v>
      </c>
      <c r="U373" s="447" t="str">
        <f>OBRA!V372</f>
        <v>ING. JUAN MANUEL GARCIA ESCOTO</v>
      </c>
      <c r="V373" s="1281"/>
      <c r="W373" s="20" t="str">
        <f>OBRA!L372</f>
        <v>DOP/AD/020/2019</v>
      </c>
      <c r="X373" s="13"/>
      <c r="Y373" s="13"/>
      <c r="Z373" s="448" t="str">
        <f>OBRA!K372</f>
        <v>RAMO 33</v>
      </c>
      <c r="AA373" s="13"/>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428">
        <f>OBRA!S372</f>
        <v>43814</v>
      </c>
      <c r="AH373" s="54"/>
      <c r="AI373" s="231"/>
      <c r="AJ373" s="267"/>
      <c r="AK373" s="267"/>
      <c r="AL373" s="432"/>
      <c r="AM373" s="573" t="str">
        <f>GRAL!B374</f>
        <v>2018-2021</v>
      </c>
      <c r="AN373" s="448"/>
      <c r="AO373" s="13"/>
    </row>
    <row r="374" spans="1:41" ht="21.95" hidden="1" customHeight="1">
      <c r="A374" s="166">
        <f>OBRA!I373</f>
        <v>2019</v>
      </c>
      <c r="B374" s="2036"/>
      <c r="C374" s="433"/>
      <c r="D374" s="154"/>
      <c r="E374" s="156"/>
      <c r="F374" s="156"/>
      <c r="G374" s="436"/>
      <c r="H374" s="442" t="str">
        <f>OBRA!AD373</f>
        <v>-</v>
      </c>
      <c r="I374" s="438"/>
      <c r="J374" s="444" t="str">
        <f>OBRA!AE373</f>
        <v>-</v>
      </c>
      <c r="K374" s="439"/>
      <c r="L374" s="442" t="str">
        <f>OBRA!AF373</f>
        <v>-</v>
      </c>
      <c r="M374" s="440"/>
      <c r="N374" s="442" t="str">
        <f>OBRA!AG373</f>
        <v>-</v>
      </c>
      <c r="O374" s="152"/>
      <c r="P374" s="152"/>
      <c r="Q374" s="441"/>
      <c r="R374" s="445" t="str">
        <f>OBRA!AH373</f>
        <v>-</v>
      </c>
      <c r="S374" s="349"/>
      <c r="T374" s="446" t="str">
        <f>OBRA!U373</f>
        <v>N/A</v>
      </c>
      <c r="U374" s="447">
        <f>OBRA!V373</f>
        <v>0</v>
      </c>
      <c r="V374" s="1281"/>
      <c r="W374" s="20" t="str">
        <f>OBRA!L373</f>
        <v>DOP/AD/021/2019</v>
      </c>
      <c r="X374" s="13"/>
      <c r="Y374" s="13"/>
      <c r="Z374" s="448" t="str">
        <f>OBRA!K373</f>
        <v>P.I.D.</v>
      </c>
      <c r="AA374" s="13"/>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428">
        <f>OBRA!S373</f>
        <v>0</v>
      </c>
      <c r="AH374" s="54"/>
      <c r="AI374" s="231"/>
      <c r="AJ374" s="267"/>
      <c r="AK374" s="267"/>
      <c r="AL374" s="432"/>
      <c r="AM374" s="573" t="str">
        <f>GRAL!B375</f>
        <v>2018-2021</v>
      </c>
      <c r="AN374" s="448"/>
      <c r="AO374" s="13"/>
    </row>
    <row r="375" spans="1:41" ht="21.95" hidden="1" customHeight="1">
      <c r="A375" s="166">
        <f>OBRA!I374</f>
        <v>2019</v>
      </c>
      <c r="B375" s="2036"/>
      <c r="C375" s="433"/>
      <c r="D375" s="154"/>
      <c r="E375" s="156"/>
      <c r="F375" s="156"/>
      <c r="G375" s="436"/>
      <c r="H375" s="442" t="str">
        <f>OBRA!AD374</f>
        <v>-</v>
      </c>
      <c r="I375" s="438"/>
      <c r="J375" s="444" t="str">
        <f>OBRA!AE374</f>
        <v>-</v>
      </c>
      <c r="K375" s="439"/>
      <c r="L375" s="442" t="str">
        <f>OBRA!AF374</f>
        <v>-</v>
      </c>
      <c r="M375" s="440"/>
      <c r="N375" s="442" t="str">
        <f>OBRA!AG374</f>
        <v>-</v>
      </c>
      <c r="O375" s="152"/>
      <c r="P375" s="152"/>
      <c r="Q375" s="441"/>
      <c r="R375" s="445" t="str">
        <f>OBRA!AH374</f>
        <v>-</v>
      </c>
      <c r="S375" s="349"/>
      <c r="T375" s="446" t="str">
        <f>OBRA!U374</f>
        <v>N/A</v>
      </c>
      <c r="U375" s="447" t="str">
        <f>OBRA!V374</f>
        <v>ING. J. GUADALUPE IBARRA RAMIREZ</v>
      </c>
      <c r="V375" s="1281"/>
      <c r="W375" s="20" t="str">
        <f>OBRA!L374</f>
        <v>DOP/AD/022/2019</v>
      </c>
      <c r="X375" s="13"/>
      <c r="Y375" s="13"/>
      <c r="Z375" s="448" t="str">
        <f>OBRA!K374</f>
        <v>RAMO 33</v>
      </c>
      <c r="AA375" s="13"/>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428">
        <f>OBRA!S374</f>
        <v>43830</v>
      </c>
      <c r="AH375" s="54"/>
      <c r="AI375" s="231"/>
      <c r="AJ375" s="267"/>
      <c r="AK375" s="267"/>
      <c r="AL375" s="432"/>
      <c r="AM375" s="573" t="str">
        <f>GRAL!B376</f>
        <v>2018-2021</v>
      </c>
      <c r="AN375" s="448"/>
      <c r="AO375" s="13"/>
    </row>
    <row r="376" spans="1:41" ht="21.95" hidden="1" customHeight="1">
      <c r="A376" s="166">
        <f>OBRA!I375</f>
        <v>2019</v>
      </c>
      <c r="B376" s="2036"/>
      <c r="C376" s="433"/>
      <c r="D376" s="154"/>
      <c r="E376" s="156"/>
      <c r="F376" s="156"/>
      <c r="G376" s="436"/>
      <c r="H376" s="442" t="str">
        <f>OBRA!AD375</f>
        <v>-</v>
      </c>
      <c r="I376" s="438"/>
      <c r="J376" s="444" t="str">
        <f>OBRA!AE375</f>
        <v>-</v>
      </c>
      <c r="K376" s="439"/>
      <c r="L376" s="442" t="str">
        <f>OBRA!AF375</f>
        <v>-</v>
      </c>
      <c r="M376" s="440"/>
      <c r="N376" s="442" t="str">
        <f>OBRA!AG375</f>
        <v>-</v>
      </c>
      <c r="O376" s="152"/>
      <c r="P376" s="152"/>
      <c r="Q376" s="441"/>
      <c r="R376" s="445" t="str">
        <f>OBRA!AH375</f>
        <v>-</v>
      </c>
      <c r="S376" s="349"/>
      <c r="T376" s="446" t="str">
        <f>OBRA!U375</f>
        <v>N/A</v>
      </c>
      <c r="U376" s="447">
        <f>OBRA!V375</f>
        <v>0</v>
      </c>
      <c r="V376" s="1281"/>
      <c r="W376" s="20" t="str">
        <f>OBRA!L375</f>
        <v>DOP/AD/023/2019</v>
      </c>
      <c r="X376" s="13"/>
      <c r="Y376" s="13"/>
      <c r="Z376" s="448">
        <f>OBRA!K375</f>
        <v>0</v>
      </c>
      <c r="AA376" s="13"/>
      <c r="AB376" s="2" t="str">
        <f>OBRA!M375</f>
        <v>CANCELADA</v>
      </c>
      <c r="AC376" s="3">
        <f>OBRA!N375</f>
        <v>0</v>
      </c>
      <c r="AD376" s="4">
        <f>OBRA!P375</f>
        <v>0</v>
      </c>
      <c r="AE376" s="6">
        <f>OBRA!Q375</f>
        <v>0</v>
      </c>
      <c r="AF376" s="5">
        <f>OBRA!R375</f>
        <v>0</v>
      </c>
      <c r="AG376" s="428">
        <f>OBRA!S375</f>
        <v>0</v>
      </c>
      <c r="AH376" s="54"/>
      <c r="AI376" s="231"/>
      <c r="AJ376" s="267"/>
      <c r="AK376" s="267"/>
      <c r="AL376" s="432"/>
      <c r="AM376" s="573" t="str">
        <f>GRAL!B377</f>
        <v>2018-2021</v>
      </c>
      <c r="AN376" s="448"/>
      <c r="AO376" s="13"/>
    </row>
    <row r="377" spans="1:41" ht="21.95" hidden="1" customHeight="1">
      <c r="A377" s="166">
        <f>OBRA!I376</f>
        <v>2019</v>
      </c>
      <c r="B377" s="2036"/>
      <c r="C377" s="433"/>
      <c r="D377" s="154"/>
      <c r="E377" s="156"/>
      <c r="F377" s="156"/>
      <c r="G377" s="436"/>
      <c r="H377" s="442" t="str">
        <f>OBRA!AD376</f>
        <v>-</v>
      </c>
      <c r="I377" s="438"/>
      <c r="J377" s="444" t="str">
        <f>OBRA!AE376</f>
        <v>-</v>
      </c>
      <c r="K377" s="439"/>
      <c r="L377" s="442" t="str">
        <f>OBRA!AF376</f>
        <v>-</v>
      </c>
      <c r="M377" s="440"/>
      <c r="N377" s="442" t="str">
        <f>OBRA!AG376</f>
        <v>-</v>
      </c>
      <c r="O377" s="152"/>
      <c r="P377" s="152"/>
      <c r="Q377" s="441"/>
      <c r="R377" s="445" t="str">
        <f>OBRA!AH376</f>
        <v>-</v>
      </c>
      <c r="S377" s="349"/>
      <c r="T377" s="446" t="str">
        <f>OBRA!U376</f>
        <v>N/A</v>
      </c>
      <c r="U377" s="447" t="str">
        <f>OBRA!V376</f>
        <v>LIC. SALVADOR CONTRERAS OLGUÍN</v>
      </c>
      <c r="V377" s="1281"/>
      <c r="W377" s="20" t="str">
        <f>OBRA!L376</f>
        <v>DOP/AD/024/2019</v>
      </c>
      <c r="X377" s="13"/>
      <c r="Y377" s="13"/>
      <c r="Z377" s="448" t="str">
        <f>OBRA!K376</f>
        <v>RAMO 33</v>
      </c>
      <c r="AA377" s="13"/>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428">
        <f>OBRA!S376</f>
        <v>43830</v>
      </c>
      <c r="AH377" s="54"/>
      <c r="AI377" s="231"/>
      <c r="AJ377" s="267"/>
      <c r="AK377" s="267"/>
      <c r="AL377" s="432"/>
      <c r="AM377" s="573" t="str">
        <f>GRAL!B378</f>
        <v>2018-2021</v>
      </c>
      <c r="AN377" s="448"/>
      <c r="AO377" s="13"/>
    </row>
    <row r="378" spans="1:41" ht="21.95" hidden="1" customHeight="1">
      <c r="A378" s="166">
        <f>OBRA!I377</f>
        <v>2019</v>
      </c>
      <c r="B378" s="2036"/>
      <c r="C378" s="433"/>
      <c r="D378" s="154"/>
      <c r="E378" s="156"/>
      <c r="F378" s="156"/>
      <c r="G378" s="436"/>
      <c r="H378" s="442" t="str">
        <f>OBRA!AD377</f>
        <v>-</v>
      </c>
      <c r="I378" s="438"/>
      <c r="J378" s="444" t="str">
        <f>OBRA!AE377</f>
        <v>-</v>
      </c>
      <c r="K378" s="439"/>
      <c r="L378" s="442" t="str">
        <f>OBRA!AF377</f>
        <v>-</v>
      </c>
      <c r="M378" s="440"/>
      <c r="N378" s="442" t="str">
        <f>OBRA!AG377</f>
        <v>-</v>
      </c>
      <c r="O378" s="152"/>
      <c r="P378" s="152"/>
      <c r="Q378" s="441"/>
      <c r="R378" s="445" t="str">
        <f>OBRA!AH377</f>
        <v>-</v>
      </c>
      <c r="S378" s="349"/>
      <c r="T378" s="446" t="str">
        <f>OBRA!U377</f>
        <v>-</v>
      </c>
      <c r="U378" s="447">
        <f>OBRA!V377</f>
        <v>0</v>
      </c>
      <c r="V378" s="1281"/>
      <c r="W378" s="20" t="str">
        <f>OBRA!L377</f>
        <v>DOP/AD/025/2019</v>
      </c>
      <c r="X378" s="13"/>
      <c r="Y378" s="13"/>
      <c r="Z378" s="448">
        <f>OBRA!K377</f>
        <v>0</v>
      </c>
      <c r="AA378" s="13"/>
      <c r="AB378" s="2" t="str">
        <f>OBRA!M377</f>
        <v>CANCELADA</v>
      </c>
      <c r="AC378" s="3">
        <f>OBRA!N377</f>
        <v>0</v>
      </c>
      <c r="AD378" s="4">
        <f>OBRA!P377</f>
        <v>0</v>
      </c>
      <c r="AE378" s="6">
        <f>OBRA!Q377</f>
        <v>0</v>
      </c>
      <c r="AF378" s="5">
        <f>OBRA!R377</f>
        <v>0</v>
      </c>
      <c r="AG378" s="428">
        <f>OBRA!S377</f>
        <v>0</v>
      </c>
      <c r="AH378" s="54"/>
      <c r="AI378" s="231"/>
      <c r="AJ378" s="267"/>
      <c r="AK378" s="267"/>
      <c r="AL378" s="432"/>
      <c r="AM378" s="573" t="str">
        <f>GRAL!B379</f>
        <v>2018-2021</v>
      </c>
      <c r="AN378" s="448"/>
      <c r="AO378" s="13"/>
    </row>
    <row r="379" spans="1:41" ht="21.95" hidden="1" customHeight="1">
      <c r="A379" s="166">
        <f>OBRA!I378</f>
        <v>2019</v>
      </c>
      <c r="B379" s="2036"/>
      <c r="C379" s="433"/>
      <c r="D379" s="154"/>
      <c r="E379" s="156"/>
      <c r="F379" s="156"/>
      <c r="G379" s="436"/>
      <c r="H379" s="442" t="str">
        <f>OBRA!AD378</f>
        <v>-</v>
      </c>
      <c r="I379" s="438"/>
      <c r="J379" s="444" t="str">
        <f>OBRA!AE378</f>
        <v>-</v>
      </c>
      <c r="K379" s="439"/>
      <c r="L379" s="442" t="str">
        <f>OBRA!AF378</f>
        <v>-</v>
      </c>
      <c r="M379" s="440"/>
      <c r="N379" s="442" t="str">
        <f>OBRA!AG378</f>
        <v>-</v>
      </c>
      <c r="O379" s="152"/>
      <c r="P379" s="152"/>
      <c r="Q379" s="441"/>
      <c r="R379" s="445" t="str">
        <f>OBRA!AH378</f>
        <v>-</v>
      </c>
      <c r="S379" s="349"/>
      <c r="T379" s="446" t="str">
        <f>OBRA!U378</f>
        <v>BIOESTERES DE MÉXICO S.A. DE C.V.</v>
      </c>
      <c r="U379" s="447" t="str">
        <f>OBRA!V378</f>
        <v>ARQ. JAIME CONDE GOMEZ</v>
      </c>
      <c r="V379" s="1281"/>
      <c r="W379" s="20" t="str">
        <f>OBRA!L378</f>
        <v>RASTRO DIGNO 2019</v>
      </c>
      <c r="X379" s="13"/>
      <c r="Y379" s="13"/>
      <c r="Z379" s="448" t="str">
        <f>OBRA!K378</f>
        <v>RASTRO DIGNO / CTA-CTE</v>
      </c>
      <c r="AA379" s="13"/>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428">
        <f>OBRA!S378</f>
        <v>43814</v>
      </c>
      <c r="AH379" s="54"/>
      <c r="AI379" s="231"/>
      <c r="AJ379" s="267"/>
      <c r="AK379" s="267"/>
      <c r="AL379" s="432"/>
      <c r="AM379" s="573" t="str">
        <f>GRAL!B380</f>
        <v>2018-2021</v>
      </c>
      <c r="AN379" s="448"/>
      <c r="AO379" s="13"/>
    </row>
    <row r="380" spans="1:41" ht="21.95" hidden="1" customHeight="1">
      <c r="A380" s="166">
        <f>OBRA!I379</f>
        <v>2019</v>
      </c>
      <c r="B380" s="2036"/>
      <c r="C380" s="433"/>
      <c r="D380" s="154"/>
      <c r="E380" s="156"/>
      <c r="F380" s="156"/>
      <c r="G380" s="436"/>
      <c r="H380" s="442" t="str">
        <f>OBRA!AD379</f>
        <v>-</v>
      </c>
      <c r="I380" s="438"/>
      <c r="J380" s="444" t="str">
        <f>OBRA!AE379</f>
        <v>-</v>
      </c>
      <c r="K380" s="439"/>
      <c r="L380" s="442" t="str">
        <f>OBRA!AF379</f>
        <v>-</v>
      </c>
      <c r="M380" s="440"/>
      <c r="N380" s="442" t="str">
        <f>OBRA!AG379</f>
        <v>-</v>
      </c>
      <c r="O380" s="152"/>
      <c r="P380" s="152"/>
      <c r="Q380" s="441"/>
      <c r="R380" s="445" t="str">
        <f>OBRA!AH379</f>
        <v>-</v>
      </c>
      <c r="S380" s="349"/>
      <c r="T380" s="446" t="str">
        <f>OBRA!U379</f>
        <v>C. JESÚS RAMÍREZ JIMÉNEZ</v>
      </c>
      <c r="U380" s="447" t="str">
        <f>OBRA!V379</f>
        <v>LIC. SALVADOR CONTRERAS OLGUÍN</v>
      </c>
      <c r="V380" s="1281"/>
      <c r="W380" s="20" t="str">
        <f>OBRA!L379</f>
        <v>PID/2019 - NEXTIPAC</v>
      </c>
      <c r="X380" s="13"/>
      <c r="Y380" s="13"/>
      <c r="Z380" s="448" t="str">
        <f>OBRA!K379</f>
        <v>P.I.D.</v>
      </c>
      <c r="AA380" s="13"/>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428" t="str">
        <f>OBRA!S379</f>
        <v>-</v>
      </c>
      <c r="AH380" s="54"/>
      <c r="AI380" s="231"/>
      <c r="AJ380" s="267"/>
      <c r="AK380" s="267"/>
      <c r="AL380" s="432"/>
      <c r="AM380" s="573" t="str">
        <f>GRAL!B381</f>
        <v>2018-2021</v>
      </c>
      <c r="AN380" s="448"/>
      <c r="AO380" s="13"/>
    </row>
    <row r="381" spans="1:41" ht="21.95" hidden="1" customHeight="1">
      <c r="A381" s="166">
        <f>OBRA!I380</f>
        <v>2019</v>
      </c>
      <c r="B381" s="2036"/>
      <c r="C381" s="433"/>
      <c r="D381" s="154"/>
      <c r="E381" s="156"/>
      <c r="F381" s="156"/>
      <c r="G381" s="436"/>
      <c r="H381" s="442" t="str">
        <f>OBRA!AD380</f>
        <v>-</v>
      </c>
      <c r="I381" s="438"/>
      <c r="J381" s="444" t="str">
        <f>OBRA!AE380</f>
        <v>-</v>
      </c>
      <c r="K381" s="439"/>
      <c r="L381" s="442" t="str">
        <f>OBRA!AF380</f>
        <v>-</v>
      </c>
      <c r="M381" s="440"/>
      <c r="N381" s="442" t="str">
        <f>OBRA!AG380</f>
        <v>-</v>
      </c>
      <c r="O381" s="152"/>
      <c r="P381" s="152"/>
      <c r="Q381" s="441"/>
      <c r="R381" s="445" t="str">
        <f>OBRA!AH380</f>
        <v>-</v>
      </c>
      <c r="S381" s="349"/>
      <c r="T381" s="446" t="str">
        <f>OBRA!U380</f>
        <v>C. JESÚS RAMÍREZ JIMÉNEZ</v>
      </c>
      <c r="U381" s="447" t="str">
        <f>OBRA!V380</f>
        <v>ARQ. CESAR ANTONIO ALONSO JIMENEZ</v>
      </c>
      <c r="V381" s="1281"/>
      <c r="W381" s="20" t="str">
        <f>OBRA!L380</f>
        <v>PID/2019 - SJC</v>
      </c>
      <c r="X381" s="13"/>
      <c r="Y381" s="13"/>
      <c r="Z381" s="448" t="str">
        <f>OBRA!K380</f>
        <v>P.I.D.</v>
      </c>
      <c r="AA381" s="13"/>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428" t="str">
        <f>OBRA!S380</f>
        <v>-</v>
      </c>
      <c r="AH381" s="54"/>
      <c r="AI381" s="231"/>
      <c r="AJ381" s="267"/>
      <c r="AK381" s="267"/>
      <c r="AL381" s="432"/>
      <c r="AM381" s="573" t="str">
        <f>GRAL!B382</f>
        <v>2018-2021</v>
      </c>
      <c r="AN381" s="448"/>
      <c r="AO381" s="13"/>
    </row>
    <row r="382" spans="1:41" ht="21.95" hidden="1" customHeight="1">
      <c r="A382" s="166">
        <f>OBRA!I381</f>
        <v>2019</v>
      </c>
      <c r="B382" s="2036"/>
      <c r="C382" s="433"/>
      <c r="D382" s="154"/>
      <c r="E382" s="156"/>
      <c r="F382" s="156"/>
      <c r="G382" s="436"/>
      <c r="H382" s="442" t="str">
        <f>OBRA!AD381</f>
        <v>-</v>
      </c>
      <c r="I382" s="438"/>
      <c r="J382" s="444" t="str">
        <f>OBRA!AE381</f>
        <v>-</v>
      </c>
      <c r="K382" s="439"/>
      <c r="L382" s="442" t="str">
        <f>OBRA!AF381</f>
        <v>-</v>
      </c>
      <c r="M382" s="440"/>
      <c r="N382" s="442" t="str">
        <f>OBRA!AG381</f>
        <v>-</v>
      </c>
      <c r="O382" s="152"/>
      <c r="P382" s="152"/>
      <c r="Q382" s="441"/>
      <c r="R382" s="445" t="str">
        <f>OBRA!AH381</f>
        <v>-</v>
      </c>
      <c r="S382" s="349"/>
      <c r="T382" s="446" t="str">
        <f>OBRA!U381</f>
        <v>C. VICENTE NAVARRO RUIZ</v>
      </c>
      <c r="U382" s="447" t="str">
        <f>OBRA!V381</f>
        <v>-</v>
      </c>
      <c r="V382" s="1281"/>
      <c r="W382" s="20" t="str">
        <f>OBRA!L381</f>
        <v>CTA-CTE/2019</v>
      </c>
      <c r="X382" s="13"/>
      <c r="Y382" s="13"/>
      <c r="Z382" s="448" t="str">
        <f>OBRA!K381</f>
        <v>CUENTA CORRIENTE</v>
      </c>
      <c r="AA382" s="13"/>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428">
        <f>OBRA!S381</f>
        <v>43821</v>
      </c>
      <c r="AH382" s="54"/>
      <c r="AI382" s="231"/>
      <c r="AJ382" s="267"/>
      <c r="AK382" s="267"/>
      <c r="AL382" s="432"/>
      <c r="AM382" s="573" t="str">
        <f>GRAL!B383</f>
        <v>2018-2021</v>
      </c>
      <c r="AN382" s="448"/>
      <c r="AO382" s="13"/>
    </row>
    <row r="383" spans="1:41" ht="21.95" hidden="1" customHeight="1">
      <c r="A383" s="166">
        <f>OBRA!I382</f>
        <v>2019</v>
      </c>
      <c r="B383" s="2036"/>
      <c r="C383" s="433"/>
      <c r="D383" s="154"/>
      <c r="E383" s="156"/>
      <c r="F383" s="156"/>
      <c r="G383" s="436"/>
      <c r="H383" s="442" t="str">
        <f>OBRA!AD382</f>
        <v>-</v>
      </c>
      <c r="I383" s="438"/>
      <c r="J383" s="444" t="str">
        <f>OBRA!AE382</f>
        <v>-</v>
      </c>
      <c r="K383" s="439"/>
      <c r="L383" s="442" t="str">
        <f>OBRA!AF382</f>
        <v>-</v>
      </c>
      <c r="M383" s="440"/>
      <c r="N383" s="442" t="str">
        <f>OBRA!AG382</f>
        <v>-</v>
      </c>
      <c r="O383" s="152"/>
      <c r="P383" s="152"/>
      <c r="Q383" s="441"/>
      <c r="R383" s="445" t="str">
        <f>OBRA!AH382</f>
        <v>-</v>
      </c>
      <c r="S383" s="349"/>
      <c r="T383" s="446" t="str">
        <f>OBRA!U382</f>
        <v>CONSTRUCTORA PIMONT S.A. DE C.V.</v>
      </c>
      <c r="U383" s="447" t="str">
        <f>OBRA!V382</f>
        <v>-</v>
      </c>
      <c r="V383" s="1281"/>
      <c r="W383" s="20" t="str">
        <f>OBRA!L382</f>
        <v>LEVANTAMIENTOS TOPOGRAFICOS</v>
      </c>
      <c r="X383" s="13"/>
      <c r="Y383" s="13"/>
      <c r="Z383" s="448" t="str">
        <f>OBRA!K382</f>
        <v>RAMO 33</v>
      </c>
      <c r="AA383" s="13"/>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428">
        <f>OBRA!S382</f>
        <v>43830</v>
      </c>
      <c r="AH383" s="54"/>
      <c r="AI383" s="231"/>
      <c r="AJ383" s="267"/>
      <c r="AK383" s="267"/>
      <c r="AL383" s="432"/>
      <c r="AM383" s="573" t="str">
        <f>GRAL!B384</f>
        <v>2018-2021</v>
      </c>
      <c r="AN383" s="448"/>
      <c r="AO383" s="13"/>
    </row>
    <row r="384" spans="1:41" ht="21.95" hidden="1" customHeight="1">
      <c r="A384" s="166">
        <f>OBRA!I383</f>
        <v>2019</v>
      </c>
      <c r="B384" s="2036"/>
      <c r="C384" s="433"/>
      <c r="D384" s="154"/>
      <c r="E384" s="156"/>
      <c r="F384" s="156"/>
      <c r="G384" s="436"/>
      <c r="H384" s="442" t="str">
        <f>OBRA!AD383</f>
        <v>-</v>
      </c>
      <c r="I384" s="438"/>
      <c r="J384" s="444" t="str">
        <f>OBRA!AE383</f>
        <v>-</v>
      </c>
      <c r="K384" s="439"/>
      <c r="L384" s="442" t="str">
        <f>OBRA!AF383</f>
        <v>-</v>
      </c>
      <c r="M384" s="440"/>
      <c r="N384" s="442" t="str">
        <f>OBRA!AG383</f>
        <v>-</v>
      </c>
      <c r="O384" s="152"/>
      <c r="P384" s="152"/>
      <c r="Q384" s="441"/>
      <c r="R384" s="445" t="str">
        <f>OBRA!AH383</f>
        <v>-</v>
      </c>
      <c r="S384" s="349"/>
      <c r="T384" s="446" t="str">
        <f>OBRA!U383</f>
        <v>CONSTRUCTORA PIMONT S.A. DE C.V.</v>
      </c>
      <c r="U384" s="447" t="str">
        <f>OBRA!V383</f>
        <v>ING. J. GUADALUPE IBARRA RAMIREZ</v>
      </c>
      <c r="V384" s="1281"/>
      <c r="W384" s="20" t="str">
        <f>OBRA!L383</f>
        <v>GMJ 001 C-OP/2019</v>
      </c>
      <c r="X384" s="13"/>
      <c r="Y384" s="13"/>
      <c r="Z384" s="448" t="str">
        <f>OBRA!K383</f>
        <v>RAMO 33</v>
      </c>
      <c r="AA384" s="13"/>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428">
        <f>OBRA!S383</f>
        <v>43616</v>
      </c>
      <c r="AH384" s="54"/>
      <c r="AI384" s="231"/>
      <c r="AJ384" s="267"/>
      <c r="AK384" s="267"/>
      <c r="AL384" s="432"/>
      <c r="AM384" s="573" t="str">
        <f>GRAL!B385</f>
        <v>2018-2021</v>
      </c>
      <c r="AN384" s="448"/>
      <c r="AO384" s="13"/>
    </row>
    <row r="385" spans="1:41" ht="21.95" hidden="1" customHeight="1">
      <c r="A385" s="166">
        <f>OBRA!I384</f>
        <v>2019</v>
      </c>
      <c r="B385" s="2036"/>
      <c r="C385" s="433"/>
      <c r="D385" s="154"/>
      <c r="E385" s="156"/>
      <c r="F385" s="156"/>
      <c r="G385" s="436"/>
      <c r="H385" s="442" t="str">
        <f>OBRA!AD384</f>
        <v>-</v>
      </c>
      <c r="I385" s="438"/>
      <c r="J385" s="444" t="str">
        <f>OBRA!AE384</f>
        <v>-</v>
      </c>
      <c r="K385" s="439"/>
      <c r="L385" s="442" t="str">
        <f>OBRA!AF384</f>
        <v>-</v>
      </c>
      <c r="M385" s="440"/>
      <c r="N385" s="442" t="str">
        <f>OBRA!AG384</f>
        <v>-</v>
      </c>
      <c r="O385" s="152"/>
      <c r="P385" s="152"/>
      <c r="Q385" s="441"/>
      <c r="R385" s="445" t="str">
        <f>OBRA!AH384</f>
        <v>-</v>
      </c>
      <c r="S385" s="349"/>
      <c r="T385" s="446" t="str">
        <f>OBRA!U384</f>
        <v>CONSTRUCTORA PIMONT S.A. DE C.V.</v>
      </c>
      <c r="U385" s="447" t="str">
        <f>OBRA!V384</f>
        <v>LIC. SALVADOR CONTRERAS OLGUÍN</v>
      </c>
      <c r="V385" s="1281"/>
      <c r="W385" s="20" t="str">
        <f>OBRA!L384</f>
        <v>GMJ 002 C-OP/2019</v>
      </c>
      <c r="X385" s="13"/>
      <c r="Y385" s="13"/>
      <c r="Z385" s="448" t="str">
        <f>OBRA!K384</f>
        <v>CUENTA CORRIENTE</v>
      </c>
      <c r="AA385" s="13"/>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428">
        <f>OBRA!S384</f>
        <v>43624</v>
      </c>
      <c r="AH385" s="54"/>
      <c r="AI385" s="231"/>
      <c r="AJ385" s="267"/>
      <c r="AK385" s="267"/>
      <c r="AL385" s="432"/>
      <c r="AM385" s="573" t="str">
        <f>GRAL!B386</f>
        <v>2018-2021</v>
      </c>
      <c r="AN385" s="448"/>
      <c r="AO385" s="13"/>
    </row>
    <row r="386" spans="1:41" ht="21.95" hidden="1" customHeight="1">
      <c r="A386" s="166">
        <f>OBRA!I385</f>
        <v>2019</v>
      </c>
      <c r="B386" s="2036"/>
      <c r="C386" s="433"/>
      <c r="D386" s="154"/>
      <c r="E386" s="156"/>
      <c r="F386" s="156"/>
      <c r="G386" s="436"/>
      <c r="H386" s="442" t="str">
        <f>OBRA!AD385</f>
        <v>-</v>
      </c>
      <c r="I386" s="438"/>
      <c r="J386" s="444" t="str">
        <f>OBRA!AE385</f>
        <v>-</v>
      </c>
      <c r="K386" s="439"/>
      <c r="L386" s="442" t="str">
        <f>OBRA!AF385</f>
        <v>-</v>
      </c>
      <c r="M386" s="440"/>
      <c r="N386" s="442" t="str">
        <f>OBRA!AG385</f>
        <v>-</v>
      </c>
      <c r="O386" s="152"/>
      <c r="P386" s="152"/>
      <c r="Q386" s="441"/>
      <c r="R386" s="445" t="str">
        <f>OBRA!AH385</f>
        <v>-</v>
      </c>
      <c r="S386" s="349"/>
      <c r="T386" s="446" t="str">
        <f>OBRA!U385</f>
        <v>ARQUITECTURA INGENIERÍA MENDPAD S.A. DE C.V.</v>
      </c>
      <c r="U386" s="447" t="str">
        <f>OBRA!V385</f>
        <v>LIC. SALVADOR CONTRERAS OLGUÍN</v>
      </c>
      <c r="V386" s="1281"/>
      <c r="W386" s="20" t="str">
        <f>OBRA!L385</f>
        <v>GMJ 003 C-OP/2019</v>
      </c>
      <c r="X386" s="13"/>
      <c r="Y386" s="13"/>
      <c r="Z386" s="448" t="str">
        <f>OBRA!K385</f>
        <v>RAMO 33</v>
      </c>
      <c r="AA386" s="13"/>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428">
        <f>OBRA!S385</f>
        <v>43629</v>
      </c>
      <c r="AH386" s="54"/>
      <c r="AI386" s="231"/>
      <c r="AJ386" s="267"/>
      <c r="AK386" s="267"/>
      <c r="AL386" s="432"/>
      <c r="AM386" s="573" t="str">
        <f>GRAL!B387</f>
        <v>2018-2021</v>
      </c>
      <c r="AN386" s="448"/>
      <c r="AO386" s="13"/>
    </row>
    <row r="387" spans="1:41" ht="21.95" hidden="1" customHeight="1">
      <c r="A387" s="166">
        <f>OBRA!I386</f>
        <v>2019</v>
      </c>
      <c r="B387" s="2036"/>
      <c r="C387" s="433"/>
      <c r="D387" s="154"/>
      <c r="E387" s="156"/>
      <c r="F387" s="156"/>
      <c r="G387" s="436"/>
      <c r="H387" s="442" t="str">
        <f>OBRA!AD386</f>
        <v>-</v>
      </c>
      <c r="I387" s="438"/>
      <c r="J387" s="444" t="str">
        <f>OBRA!AE386</f>
        <v>-</v>
      </c>
      <c r="K387" s="439"/>
      <c r="L387" s="442" t="str">
        <f>OBRA!AF386</f>
        <v>-</v>
      </c>
      <c r="M387" s="440"/>
      <c r="N387" s="442" t="str">
        <f>OBRA!AG386</f>
        <v>-</v>
      </c>
      <c r="O387" s="152"/>
      <c r="P387" s="152"/>
      <c r="Q387" s="441"/>
      <c r="R387" s="445" t="str">
        <f>OBRA!AH386</f>
        <v>-</v>
      </c>
      <c r="S387" s="349"/>
      <c r="T387" s="446" t="str">
        <f>OBRA!U386</f>
        <v>CONSTRUCTORA PIMONT S.A. DE C.V.</v>
      </c>
      <c r="U387" s="447" t="str">
        <f>OBRA!V386</f>
        <v>LIC. SALVADOR CONTRERAS OLGUÍN</v>
      </c>
      <c r="V387" s="1281"/>
      <c r="W387" s="20" t="str">
        <f>OBRA!L386</f>
        <v>GMJ 004 C-OP/2019</v>
      </c>
      <c r="X387" s="13"/>
      <c r="Y387" s="13"/>
      <c r="Z387" s="448" t="str">
        <f>OBRA!K386</f>
        <v>RAMO 33</v>
      </c>
      <c r="AA387" s="13"/>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428">
        <f>OBRA!S386</f>
        <v>43626</v>
      </c>
      <c r="AH387" s="54"/>
      <c r="AI387" s="231"/>
      <c r="AJ387" s="267"/>
      <c r="AK387" s="267"/>
      <c r="AL387" s="432"/>
      <c r="AM387" s="573" t="str">
        <f>GRAL!B388</f>
        <v>2018-2021</v>
      </c>
      <c r="AN387" s="448"/>
      <c r="AO387" s="13"/>
    </row>
    <row r="388" spans="1:41" ht="21.95" hidden="1" customHeight="1">
      <c r="A388" s="166">
        <f>OBRA!I387</f>
        <v>2019</v>
      </c>
      <c r="B388" s="2036"/>
      <c r="C388" s="433"/>
      <c r="D388" s="154"/>
      <c r="E388" s="156"/>
      <c r="F388" s="156"/>
      <c r="G388" s="436"/>
      <c r="H388" s="442" t="str">
        <f>OBRA!AD387</f>
        <v>-</v>
      </c>
      <c r="I388" s="438"/>
      <c r="J388" s="444" t="str">
        <f>OBRA!AE387</f>
        <v>-</v>
      </c>
      <c r="K388" s="439"/>
      <c r="L388" s="442" t="str">
        <f>OBRA!AF387</f>
        <v>-</v>
      </c>
      <c r="M388" s="440"/>
      <c r="N388" s="442" t="str">
        <f>OBRA!AG387</f>
        <v>-</v>
      </c>
      <c r="O388" s="152"/>
      <c r="P388" s="152"/>
      <c r="Q388" s="441"/>
      <c r="R388" s="445" t="str">
        <f>OBRA!AH387</f>
        <v>-</v>
      </c>
      <c r="S388" s="349"/>
      <c r="T388" s="446" t="str">
        <f>OBRA!U387</f>
        <v>SIFRAL INGENIERIA S.A. DE C.V.</v>
      </c>
      <c r="U388" s="447" t="str">
        <f>OBRA!V387</f>
        <v>ING. J. GUADALUPE IBARRA RAMIREZ</v>
      </c>
      <c r="V388" s="1281"/>
      <c r="W388" s="20" t="str">
        <f>OBRA!L387</f>
        <v>GMJ 005 C-OP/2019</v>
      </c>
      <c r="X388" s="13"/>
      <c r="Y388" s="13"/>
      <c r="Z388" s="448" t="str">
        <f>OBRA!K387</f>
        <v>RAMO 33</v>
      </c>
      <c r="AA388" s="13"/>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428">
        <f>OBRA!S387</f>
        <v>43677</v>
      </c>
      <c r="AH388" s="54"/>
      <c r="AI388" s="231"/>
      <c r="AJ388" s="267"/>
      <c r="AK388" s="267"/>
      <c r="AL388" s="432"/>
      <c r="AM388" s="573" t="str">
        <f>GRAL!B389</f>
        <v>2018-2021</v>
      </c>
      <c r="AN388" s="448"/>
      <c r="AO388" s="13"/>
    </row>
    <row r="389" spans="1:41" ht="21.95" hidden="1" customHeight="1">
      <c r="A389" s="166">
        <f>OBRA!I388</f>
        <v>2019</v>
      </c>
      <c r="B389" s="2036"/>
      <c r="C389" s="433"/>
      <c r="D389" s="154"/>
      <c r="E389" s="156"/>
      <c r="F389" s="156"/>
      <c r="G389" s="436"/>
      <c r="H389" s="442" t="str">
        <f>OBRA!AD388</f>
        <v>-</v>
      </c>
      <c r="I389" s="438"/>
      <c r="J389" s="444" t="str">
        <f>OBRA!AE388</f>
        <v>-</v>
      </c>
      <c r="K389" s="439"/>
      <c r="L389" s="442" t="str">
        <f>OBRA!AF388</f>
        <v>-</v>
      </c>
      <c r="M389" s="440"/>
      <c r="N389" s="442" t="str">
        <f>OBRA!AG388</f>
        <v>-</v>
      </c>
      <c r="O389" s="152"/>
      <c r="P389" s="152"/>
      <c r="Q389" s="441"/>
      <c r="R389" s="445" t="str">
        <f>OBRA!AH388</f>
        <v>-</v>
      </c>
      <c r="S389" s="349"/>
      <c r="T389" s="446" t="str">
        <f>OBRA!U388</f>
        <v>SIFRAL INGENIERIA S.A. DE C.V.</v>
      </c>
      <c r="U389" s="447" t="str">
        <f>OBRA!V388</f>
        <v>ING. J. GUADALUPE IBARRA RAMIREZ</v>
      </c>
      <c r="V389" s="1281"/>
      <c r="W389" s="20" t="str">
        <f>OBRA!L388</f>
        <v>GMJ 006 C-OP/2019</v>
      </c>
      <c r="X389" s="13"/>
      <c r="Y389" s="13"/>
      <c r="Z389" s="448" t="str">
        <f>OBRA!K388</f>
        <v>RAMO 33</v>
      </c>
      <c r="AA389" s="13"/>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428">
        <f>OBRA!S388</f>
        <v>43677</v>
      </c>
      <c r="AH389" s="54"/>
      <c r="AI389" s="231"/>
      <c r="AJ389" s="267"/>
      <c r="AK389" s="267"/>
      <c r="AL389" s="432"/>
      <c r="AM389" s="573" t="str">
        <f>GRAL!B390</f>
        <v>2018-2021</v>
      </c>
      <c r="AN389" s="448"/>
      <c r="AO389" s="13"/>
    </row>
    <row r="390" spans="1:41" ht="21.95" hidden="1" customHeight="1">
      <c r="A390" s="166">
        <f>OBRA!I389</f>
        <v>2019</v>
      </c>
      <c r="B390" s="2036"/>
      <c r="C390" s="433"/>
      <c r="D390" s="154"/>
      <c r="E390" s="156"/>
      <c r="F390" s="156"/>
      <c r="G390" s="436"/>
      <c r="H390" s="442" t="str">
        <f>OBRA!AD389</f>
        <v>-</v>
      </c>
      <c r="I390" s="438"/>
      <c r="J390" s="444" t="str">
        <f>OBRA!AE389</f>
        <v>-</v>
      </c>
      <c r="K390" s="439"/>
      <c r="L390" s="442" t="str">
        <f>OBRA!AF389</f>
        <v>-</v>
      </c>
      <c r="M390" s="440"/>
      <c r="N390" s="442" t="str">
        <f>OBRA!AG389</f>
        <v>-</v>
      </c>
      <c r="O390" s="152"/>
      <c r="P390" s="152"/>
      <c r="Q390" s="441"/>
      <c r="R390" s="445" t="str">
        <f>OBRA!AH389</f>
        <v>-</v>
      </c>
      <c r="S390" s="349"/>
      <c r="T390" s="446" t="str">
        <f>OBRA!U389</f>
        <v>ING. OCTAVIO AUGUSTO GONZALEZ TREJO</v>
      </c>
      <c r="U390" s="447" t="str">
        <f>OBRA!V389</f>
        <v>LIC. SALVADOR CONTRERAS OLGUÍN</v>
      </c>
      <c r="V390" s="1281"/>
      <c r="W390" s="20" t="str">
        <f>OBRA!L389</f>
        <v>GMJ 007 C-OP/2019</v>
      </c>
      <c r="X390" s="13"/>
      <c r="Y390" s="13"/>
      <c r="Z390" s="448" t="str">
        <f>OBRA!K389</f>
        <v>RAMO 33</v>
      </c>
      <c r="AA390" s="13"/>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428">
        <f>OBRA!S389</f>
        <v>43643</v>
      </c>
      <c r="AH390" s="54"/>
      <c r="AI390" s="231"/>
      <c r="AJ390" s="267"/>
      <c r="AK390" s="267"/>
      <c r="AL390" s="432"/>
      <c r="AM390" s="573" t="str">
        <f>GRAL!B391</f>
        <v>2018-2021</v>
      </c>
      <c r="AN390" s="448"/>
      <c r="AO390" s="13"/>
    </row>
    <row r="391" spans="1:41" ht="21.95" hidden="1" customHeight="1">
      <c r="A391" s="166">
        <f>OBRA!I390</f>
        <v>2019</v>
      </c>
      <c r="B391" s="2036"/>
      <c r="C391" s="433"/>
      <c r="D391" s="154"/>
      <c r="E391" s="156"/>
      <c r="F391" s="156"/>
      <c r="G391" s="436"/>
      <c r="H391" s="442" t="str">
        <f>OBRA!AD390</f>
        <v>-</v>
      </c>
      <c r="I391" s="438"/>
      <c r="J391" s="444" t="str">
        <f>OBRA!AE390</f>
        <v>-</v>
      </c>
      <c r="K391" s="439"/>
      <c r="L391" s="442" t="str">
        <f>OBRA!AF390</f>
        <v>-</v>
      </c>
      <c r="M391" s="440"/>
      <c r="N391" s="442" t="str">
        <f>OBRA!AG390</f>
        <v>-</v>
      </c>
      <c r="O391" s="152"/>
      <c r="P391" s="152"/>
      <c r="Q391" s="441"/>
      <c r="R391" s="445" t="str">
        <f>OBRA!AH390</f>
        <v>-</v>
      </c>
      <c r="S391" s="349"/>
      <c r="T391" s="446" t="str">
        <f>OBRA!U390</f>
        <v>ING. OCTAVIO AUGUSTO GONZALEZ TREJO</v>
      </c>
      <c r="U391" s="447" t="str">
        <f>OBRA!V390</f>
        <v>ING. RIGOBERTO OLMEDO RAMOS</v>
      </c>
      <c r="V391" s="1281"/>
      <c r="W391" s="20" t="str">
        <f>OBRA!L390</f>
        <v>GMJ 008 C-OP/2019</v>
      </c>
      <c r="X391" s="13"/>
      <c r="Y391" s="13"/>
      <c r="Z391" s="448" t="str">
        <f>OBRA!K390</f>
        <v>CUENTA CORRIENTE</v>
      </c>
      <c r="AA391" s="13"/>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428">
        <f>OBRA!S390</f>
        <v>43675</v>
      </c>
      <c r="AH391" s="54"/>
      <c r="AI391" s="231"/>
      <c r="AJ391" s="267"/>
      <c r="AK391" s="267"/>
      <c r="AL391" s="432"/>
      <c r="AM391" s="573" t="str">
        <f>GRAL!B392</f>
        <v>2018-2021</v>
      </c>
      <c r="AN391" s="448"/>
      <c r="AO391" s="13"/>
    </row>
    <row r="392" spans="1:41" ht="21.95" hidden="1" customHeight="1">
      <c r="A392" s="166">
        <f>OBRA!I391</f>
        <v>2019</v>
      </c>
      <c r="B392" s="2036"/>
      <c r="C392" s="433"/>
      <c r="D392" s="154"/>
      <c r="E392" s="156"/>
      <c r="F392" s="156"/>
      <c r="G392" s="436"/>
      <c r="H392" s="442" t="str">
        <f>OBRA!AD391</f>
        <v>-</v>
      </c>
      <c r="I392" s="438"/>
      <c r="J392" s="444" t="str">
        <f>OBRA!AE391</f>
        <v>-</v>
      </c>
      <c r="K392" s="439"/>
      <c r="L392" s="442" t="str">
        <f>OBRA!AF391</f>
        <v>-</v>
      </c>
      <c r="M392" s="440"/>
      <c r="N392" s="442" t="str">
        <f>OBRA!AG391</f>
        <v>-</v>
      </c>
      <c r="O392" s="152"/>
      <c r="P392" s="152"/>
      <c r="Q392" s="441"/>
      <c r="R392" s="445" t="str">
        <f>OBRA!AH391</f>
        <v>-</v>
      </c>
      <c r="S392" s="349"/>
      <c r="T392" s="446" t="str">
        <f>OBRA!U391</f>
        <v>ING. OCTAVIO AUGUSTO GONZALEZ TREJO</v>
      </c>
      <c r="U392" s="447" t="str">
        <f>OBRA!V391</f>
        <v>ING. JUAN MANUEL GARCIA ESCOTO</v>
      </c>
      <c r="V392" s="1281"/>
      <c r="W392" s="20" t="str">
        <f>OBRA!L391</f>
        <v>GMJ 009 C-OP/2019</v>
      </c>
      <c r="X392" s="13"/>
      <c r="Y392" s="13"/>
      <c r="Z392" s="448" t="str">
        <f>OBRA!K391</f>
        <v>CUENTA CORRIENTE</v>
      </c>
      <c r="AA392" s="13"/>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428">
        <f>OBRA!S391</f>
        <v>43645</v>
      </c>
      <c r="AH392" s="54"/>
      <c r="AI392" s="231"/>
      <c r="AJ392" s="267"/>
      <c r="AK392" s="267"/>
      <c r="AL392" s="432"/>
      <c r="AM392" s="573" t="str">
        <f>GRAL!B393</f>
        <v>2018-2021</v>
      </c>
      <c r="AN392" s="448"/>
      <c r="AO392" s="13"/>
    </row>
    <row r="393" spans="1:41" ht="21.95" hidden="1" customHeight="1">
      <c r="A393" s="166">
        <f>OBRA!I392</f>
        <v>2019</v>
      </c>
      <c r="B393" s="2036"/>
      <c r="C393" s="433"/>
      <c r="D393" s="154"/>
      <c r="E393" s="156"/>
      <c r="F393" s="156"/>
      <c r="G393" s="436"/>
      <c r="H393" s="442" t="str">
        <f>OBRA!AD392</f>
        <v>-</v>
      </c>
      <c r="I393" s="438"/>
      <c r="J393" s="444" t="str">
        <f>OBRA!AE392</f>
        <v>-</v>
      </c>
      <c r="K393" s="439"/>
      <c r="L393" s="442" t="str">
        <f>OBRA!AF392</f>
        <v>-</v>
      </c>
      <c r="M393" s="440"/>
      <c r="N393" s="442" t="str">
        <f>OBRA!AG392</f>
        <v>-</v>
      </c>
      <c r="O393" s="152"/>
      <c r="P393" s="152"/>
      <c r="Q393" s="441"/>
      <c r="R393" s="445" t="str">
        <f>OBRA!AH392</f>
        <v>-</v>
      </c>
      <c r="S393" s="349"/>
      <c r="T393" s="446" t="str">
        <f>OBRA!U392</f>
        <v>CONSTRUCTORA PIMONT S.A. DE C.V.</v>
      </c>
      <c r="U393" s="447" t="str">
        <f>OBRA!V392</f>
        <v>ING. J. GUADALUPE IBARRA RAMIREZ</v>
      </c>
      <c r="V393" s="1281"/>
      <c r="W393" s="20" t="str">
        <f>OBRA!L392</f>
        <v>GMJ 010 C-OP/2019</v>
      </c>
      <c r="X393" s="13"/>
      <c r="Y393" s="13"/>
      <c r="Z393" s="448" t="str">
        <f>OBRA!K392</f>
        <v>CUENTA CORRIENTE</v>
      </c>
      <c r="AA393" s="13"/>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428">
        <f>OBRA!S392</f>
        <v>43707</v>
      </c>
      <c r="AH393" s="54"/>
      <c r="AI393" s="231"/>
      <c r="AJ393" s="267"/>
      <c r="AK393" s="267"/>
      <c r="AL393" s="432"/>
      <c r="AM393" s="573" t="str">
        <f>GRAL!B394</f>
        <v>2018-2021</v>
      </c>
      <c r="AN393" s="448"/>
      <c r="AO393" s="13"/>
    </row>
    <row r="394" spans="1:41" ht="21.95" hidden="1" customHeight="1">
      <c r="A394" s="166">
        <f>OBRA!I393</f>
        <v>2019</v>
      </c>
      <c r="B394" s="2036"/>
      <c r="C394" s="433"/>
      <c r="D394" s="154"/>
      <c r="E394" s="156"/>
      <c r="F394" s="156"/>
      <c r="G394" s="436"/>
      <c r="H394" s="442" t="str">
        <f>OBRA!AD393</f>
        <v>-</v>
      </c>
      <c r="I394" s="438"/>
      <c r="J394" s="444" t="str">
        <f>OBRA!AE393</f>
        <v>-</v>
      </c>
      <c r="K394" s="439"/>
      <c r="L394" s="442" t="str">
        <f>OBRA!AF393</f>
        <v>-</v>
      </c>
      <c r="M394" s="440"/>
      <c r="N394" s="442" t="str">
        <f>OBRA!AG393</f>
        <v>-</v>
      </c>
      <c r="O394" s="152"/>
      <c r="P394" s="152"/>
      <c r="Q394" s="441"/>
      <c r="R394" s="445" t="str">
        <f>OBRA!AH393</f>
        <v>-</v>
      </c>
      <c r="S394" s="349"/>
      <c r="T394" s="446" t="str">
        <f>OBRA!U393</f>
        <v xml:space="preserve">CONSTRUCTORA Y EDIFICACIONES REMI Y ASOCIADOS S.A. DE C.V. </v>
      </c>
      <c r="U394" s="447" t="str">
        <f>OBRA!V393</f>
        <v>ING. RIGOBERTO OLMEDO RAMOS</v>
      </c>
      <c r="V394" s="1281"/>
      <c r="W394" s="20" t="str">
        <f>OBRA!L393</f>
        <v>GMJ 011 C-OP/2019</v>
      </c>
      <c r="X394" s="13"/>
      <c r="Y394" s="13"/>
      <c r="Z394" s="448" t="str">
        <f>OBRA!K393</f>
        <v>CUENTA CORRIENTE</v>
      </c>
      <c r="AA394" s="13"/>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428">
        <f>OBRA!S393</f>
        <v>43785</v>
      </c>
      <c r="AH394" s="54"/>
      <c r="AI394" s="231"/>
      <c r="AJ394" s="267"/>
      <c r="AK394" s="267"/>
      <c r="AL394" s="432"/>
      <c r="AM394" s="573" t="str">
        <f>GRAL!B395</f>
        <v>2018-2021</v>
      </c>
      <c r="AN394" s="448"/>
      <c r="AO394" s="13"/>
    </row>
    <row r="395" spans="1:41" ht="21.95" hidden="1" customHeight="1">
      <c r="A395" s="166">
        <f>OBRA!I394</f>
        <v>2019</v>
      </c>
      <c r="B395" s="2036"/>
      <c r="C395" s="433"/>
      <c r="D395" s="154"/>
      <c r="E395" s="156"/>
      <c r="F395" s="156"/>
      <c r="G395" s="436"/>
      <c r="H395" s="442" t="str">
        <f>OBRA!AD394</f>
        <v>-</v>
      </c>
      <c r="I395" s="438"/>
      <c r="J395" s="444" t="str">
        <f>OBRA!AE394</f>
        <v>-</v>
      </c>
      <c r="K395" s="439"/>
      <c r="L395" s="442" t="str">
        <f>OBRA!AF394</f>
        <v>-</v>
      </c>
      <c r="M395" s="440"/>
      <c r="N395" s="442" t="str">
        <f>OBRA!AG394</f>
        <v>-</v>
      </c>
      <c r="O395" s="152"/>
      <c r="P395" s="152"/>
      <c r="Q395" s="441"/>
      <c r="R395" s="445" t="str">
        <f>OBRA!AH394</f>
        <v>-</v>
      </c>
      <c r="S395" s="349"/>
      <c r="T395" s="446">
        <f>OBRA!U394</f>
        <v>0</v>
      </c>
      <c r="U395" s="447">
        <f>OBRA!V394</f>
        <v>0</v>
      </c>
      <c r="V395" s="1281"/>
      <c r="W395" s="20" t="str">
        <f>OBRA!L394</f>
        <v>GMJ 012 C-OP/2019</v>
      </c>
      <c r="X395" s="13"/>
      <c r="Y395" s="13"/>
      <c r="Z395" s="448">
        <f>OBRA!K394</f>
        <v>0</v>
      </c>
      <c r="AA395" s="13"/>
      <c r="AB395" s="2" t="str">
        <f>OBRA!M394</f>
        <v>CANCELADA</v>
      </c>
      <c r="AC395" s="3">
        <f>OBRA!N394</f>
        <v>0</v>
      </c>
      <c r="AD395" s="4">
        <f>OBRA!P394</f>
        <v>0</v>
      </c>
      <c r="AE395" s="6">
        <f>OBRA!Q394</f>
        <v>0</v>
      </c>
      <c r="AF395" s="5">
        <f>OBRA!R394</f>
        <v>0</v>
      </c>
      <c r="AG395" s="428">
        <f>OBRA!S394</f>
        <v>0</v>
      </c>
      <c r="AH395" s="54"/>
      <c r="AI395" s="231"/>
      <c r="AJ395" s="267"/>
      <c r="AK395" s="267"/>
      <c r="AL395" s="432"/>
      <c r="AM395" s="573" t="str">
        <f>GRAL!B396</f>
        <v>2018-2021</v>
      </c>
      <c r="AN395" s="448"/>
      <c r="AO395" s="13"/>
    </row>
    <row r="396" spans="1:41" ht="21.95" hidden="1" customHeight="1">
      <c r="A396" s="166">
        <f>OBRA!I395</f>
        <v>2019</v>
      </c>
      <c r="B396" s="2036"/>
      <c r="C396" s="433"/>
      <c r="D396" s="154"/>
      <c r="E396" s="156"/>
      <c r="F396" s="156"/>
      <c r="G396" s="436"/>
      <c r="H396" s="442" t="str">
        <f>OBRA!AD395</f>
        <v>-</v>
      </c>
      <c r="I396" s="438"/>
      <c r="J396" s="444" t="str">
        <f>OBRA!AE395</f>
        <v>-</v>
      </c>
      <c r="K396" s="439"/>
      <c r="L396" s="442" t="str">
        <f>OBRA!AF395</f>
        <v>-</v>
      </c>
      <c r="M396" s="440"/>
      <c r="N396" s="442" t="str">
        <f>OBRA!AG395</f>
        <v>-</v>
      </c>
      <c r="O396" s="152"/>
      <c r="P396" s="152"/>
      <c r="Q396" s="441"/>
      <c r="R396" s="445" t="str">
        <f>OBRA!AH395</f>
        <v>-</v>
      </c>
      <c r="S396" s="349"/>
      <c r="T396" s="446" t="str">
        <f>OBRA!U395</f>
        <v>CONSTRUCTORA PIMONT S.A. DE C.V.</v>
      </c>
      <c r="U396" s="447" t="str">
        <f>OBRA!V395</f>
        <v>LIC. SALVADOR CONTRERAS OLGUÍN</v>
      </c>
      <c r="V396" s="1281"/>
      <c r="W396" s="20" t="str">
        <f>OBRA!L395</f>
        <v>GMJ 013 C-OP/2019</v>
      </c>
      <c r="X396" s="13"/>
      <c r="Y396" s="13"/>
      <c r="Z396" s="448" t="str">
        <f>OBRA!K395</f>
        <v>RAMO 33</v>
      </c>
      <c r="AA396" s="13"/>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428">
        <f>OBRA!S395</f>
        <v>43637</v>
      </c>
      <c r="AH396" s="54"/>
      <c r="AI396" s="231"/>
      <c r="AJ396" s="267"/>
      <c r="AK396" s="267"/>
      <c r="AL396" s="432"/>
      <c r="AM396" s="573" t="str">
        <f>GRAL!B397</f>
        <v>2018-2021</v>
      </c>
      <c r="AN396" s="448"/>
      <c r="AO396" s="13"/>
    </row>
    <row r="397" spans="1:41" ht="21.95" hidden="1" customHeight="1">
      <c r="A397" s="166">
        <f>OBRA!I396</f>
        <v>2019</v>
      </c>
      <c r="B397" s="2036"/>
      <c r="C397" s="433"/>
      <c r="D397" s="154"/>
      <c r="E397" s="156"/>
      <c r="F397" s="156"/>
      <c r="G397" s="436"/>
      <c r="H397" s="442" t="str">
        <f>OBRA!AD396</f>
        <v>-</v>
      </c>
      <c r="I397" s="438"/>
      <c r="J397" s="444" t="str">
        <f>OBRA!AE396</f>
        <v>-</v>
      </c>
      <c r="K397" s="439"/>
      <c r="L397" s="442" t="str">
        <f>OBRA!AF396</f>
        <v>-</v>
      </c>
      <c r="M397" s="440"/>
      <c r="N397" s="442" t="str">
        <f>OBRA!AG396</f>
        <v>-</v>
      </c>
      <c r="O397" s="152"/>
      <c r="P397" s="152"/>
      <c r="Q397" s="441"/>
      <c r="R397" s="445" t="str">
        <f>OBRA!AH396</f>
        <v>-</v>
      </c>
      <c r="S397" s="349"/>
      <c r="T397" s="446" t="str">
        <f>OBRA!U396</f>
        <v>INGENIERÍA ARQUITECTURA MENDPAD S.A. DE C.V.</v>
      </c>
      <c r="U397" s="447" t="str">
        <f>OBRA!V396</f>
        <v>LIC. SALVADOR CONTRERAS OLGUÍN</v>
      </c>
      <c r="V397" s="1281"/>
      <c r="W397" s="20" t="str">
        <f>OBRA!L396</f>
        <v>GMJ 014 C-OP/2019</v>
      </c>
      <c r="X397" s="13"/>
      <c r="Y397" s="13"/>
      <c r="Z397" s="448" t="str">
        <f>OBRA!K396</f>
        <v>RAMO 33</v>
      </c>
      <c r="AA397" s="13"/>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428">
        <f>OBRA!S396</f>
        <v>43687</v>
      </c>
      <c r="AH397" s="54"/>
      <c r="AI397" s="231"/>
      <c r="AJ397" s="267"/>
      <c r="AK397" s="267"/>
      <c r="AL397" s="432"/>
      <c r="AM397" s="573" t="str">
        <f>GRAL!B398</f>
        <v>2018-2021</v>
      </c>
      <c r="AN397" s="448"/>
      <c r="AO397" s="13"/>
    </row>
    <row r="398" spans="1:41" ht="21.95" hidden="1" customHeight="1">
      <c r="A398" s="166">
        <f>OBRA!I397</f>
        <v>2019</v>
      </c>
      <c r="B398" s="2036"/>
      <c r="C398" s="433"/>
      <c r="D398" s="154"/>
      <c r="E398" s="156"/>
      <c r="F398" s="156"/>
      <c r="G398" s="436"/>
      <c r="H398" s="442" t="str">
        <f>OBRA!AD397</f>
        <v>-</v>
      </c>
      <c r="I398" s="438"/>
      <c r="J398" s="444" t="str">
        <f>OBRA!AE397</f>
        <v>-</v>
      </c>
      <c r="K398" s="439"/>
      <c r="L398" s="442" t="str">
        <f>OBRA!AF397</f>
        <v>-</v>
      </c>
      <c r="M398" s="440"/>
      <c r="N398" s="442" t="str">
        <f>OBRA!AG397</f>
        <v>-</v>
      </c>
      <c r="O398" s="152"/>
      <c r="P398" s="152"/>
      <c r="Q398" s="441"/>
      <c r="R398" s="445" t="str">
        <f>OBRA!AH397</f>
        <v>-</v>
      </c>
      <c r="S398" s="349"/>
      <c r="T398" s="446" t="str">
        <f>OBRA!U397</f>
        <v>GALJACK ARQUITECTOS  Y CONSTRUCCIONES S.A. DE C.V.</v>
      </c>
      <c r="U398" s="447" t="str">
        <f>OBRA!V397</f>
        <v>LIC. SALVADOR CONTRERAS OLGUÍN</v>
      </c>
      <c r="V398" s="1281"/>
      <c r="W398" s="20" t="str">
        <f>OBRA!L397</f>
        <v>GMJ 015 C-OP/2019</v>
      </c>
      <c r="X398" s="13"/>
      <c r="Y398" s="13"/>
      <c r="Z398" s="448" t="str">
        <f>OBRA!K397</f>
        <v>RAMO 33</v>
      </c>
      <c r="AA398" s="13"/>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428">
        <f>OBRA!S397</f>
        <v>43742</v>
      </c>
      <c r="AH398" s="54"/>
      <c r="AI398" s="231"/>
      <c r="AJ398" s="267"/>
      <c r="AK398" s="267"/>
      <c r="AL398" s="432"/>
      <c r="AM398" s="573" t="str">
        <f>GRAL!B399</f>
        <v>2018-2021</v>
      </c>
      <c r="AN398" s="448"/>
      <c r="AO398" s="13"/>
    </row>
    <row r="399" spans="1:41" ht="21.95" hidden="1" customHeight="1">
      <c r="A399" s="166">
        <f>OBRA!I398</f>
        <v>2019</v>
      </c>
      <c r="B399" s="2036"/>
      <c r="C399" s="433"/>
      <c r="D399" s="154"/>
      <c r="E399" s="156"/>
      <c r="F399" s="156"/>
      <c r="G399" s="436"/>
      <c r="H399" s="442" t="str">
        <f>OBRA!AD398</f>
        <v>-</v>
      </c>
      <c r="I399" s="438"/>
      <c r="J399" s="444" t="str">
        <f>OBRA!AE398</f>
        <v>-</v>
      </c>
      <c r="K399" s="439"/>
      <c r="L399" s="442" t="str">
        <f>OBRA!AF398</f>
        <v>-</v>
      </c>
      <c r="M399" s="440"/>
      <c r="N399" s="442" t="str">
        <f>OBRA!AG398</f>
        <v>-</v>
      </c>
      <c r="O399" s="152"/>
      <c r="P399" s="152"/>
      <c r="Q399" s="441"/>
      <c r="R399" s="445" t="str">
        <f>OBRA!AH398</f>
        <v>-</v>
      </c>
      <c r="S399" s="349"/>
      <c r="T399" s="446" t="str">
        <f>OBRA!U398</f>
        <v>GALJACK ARQUITECTOS S.A. DE C.V.</v>
      </c>
      <c r="U399" s="447" t="str">
        <f>OBRA!V398</f>
        <v>LIC. SALVADOR CONTRERAS OLGUÍN</v>
      </c>
      <c r="V399" s="1281"/>
      <c r="W399" s="20" t="str">
        <f>OBRA!L398</f>
        <v>GMJ 016 C-OP/2019</v>
      </c>
      <c r="X399" s="13"/>
      <c r="Y399" s="13"/>
      <c r="Z399" s="448" t="str">
        <f>OBRA!K398</f>
        <v>RAMO 33</v>
      </c>
      <c r="AA399" s="13"/>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428">
        <f>OBRA!S398</f>
        <v>43742</v>
      </c>
      <c r="AH399" s="54"/>
      <c r="AI399" s="231"/>
      <c r="AJ399" s="267"/>
      <c r="AK399" s="267"/>
      <c r="AL399" s="432"/>
      <c r="AM399" s="573" t="str">
        <f>GRAL!B400</f>
        <v>2018-2021</v>
      </c>
      <c r="AN399" s="448"/>
      <c r="AO399" s="13"/>
    </row>
    <row r="400" spans="1:41" ht="21.95" hidden="1" customHeight="1">
      <c r="A400" s="166">
        <f>OBRA!I399</f>
        <v>2019</v>
      </c>
      <c r="B400" s="2036"/>
      <c r="C400" s="433"/>
      <c r="D400" s="154"/>
      <c r="E400" s="156"/>
      <c r="F400" s="156"/>
      <c r="G400" s="436"/>
      <c r="H400" s="442" t="str">
        <f>OBRA!AD399</f>
        <v>-</v>
      </c>
      <c r="I400" s="438"/>
      <c r="J400" s="444" t="str">
        <f>OBRA!AE399</f>
        <v>-</v>
      </c>
      <c r="K400" s="439"/>
      <c r="L400" s="442" t="str">
        <f>OBRA!AF399</f>
        <v>-</v>
      </c>
      <c r="M400" s="440"/>
      <c r="N400" s="442" t="str">
        <f>OBRA!AG399</f>
        <v>-</v>
      </c>
      <c r="O400" s="152"/>
      <c r="P400" s="152"/>
      <c r="Q400" s="441"/>
      <c r="R400" s="445" t="str">
        <f>OBRA!AH399</f>
        <v>-</v>
      </c>
      <c r="S400" s="349"/>
      <c r="T400" s="446" t="str">
        <f>OBRA!U399</f>
        <v>ALSERCON SA DE CV</v>
      </c>
      <c r="U400" s="447" t="str">
        <f>OBRA!V399</f>
        <v>ING. J. GUADALUPE IBARRA RAMIREZ</v>
      </c>
      <c r="V400" s="1281"/>
      <c r="W400" s="20" t="str">
        <f>OBRA!L399</f>
        <v>GMJ 017 C-OP/2019</v>
      </c>
      <c r="X400" s="13"/>
      <c r="Y400" s="13"/>
      <c r="Z400" s="448" t="str">
        <f>OBRA!K399</f>
        <v>RAMO 33</v>
      </c>
      <c r="AA400" s="13"/>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428">
        <f>OBRA!S399</f>
        <v>43785</v>
      </c>
      <c r="AH400" s="54"/>
      <c r="AI400" s="231"/>
      <c r="AJ400" s="267"/>
      <c r="AK400" s="267"/>
      <c r="AL400" s="432"/>
      <c r="AM400" s="573" t="str">
        <f>GRAL!B401</f>
        <v>2018-2021</v>
      </c>
      <c r="AN400" s="448"/>
      <c r="AO400" s="13"/>
    </row>
    <row r="401" spans="1:41" ht="21.95" hidden="1" customHeight="1">
      <c r="A401" s="166">
        <f>OBRA!I400</f>
        <v>2019</v>
      </c>
      <c r="B401" s="2036"/>
      <c r="C401" s="433"/>
      <c r="D401" s="154"/>
      <c r="E401" s="156"/>
      <c r="F401" s="156"/>
      <c r="G401" s="436"/>
      <c r="H401" s="442" t="str">
        <f>OBRA!AD400</f>
        <v>-</v>
      </c>
      <c r="I401" s="438"/>
      <c r="J401" s="444" t="str">
        <f>OBRA!AE400</f>
        <v>-</v>
      </c>
      <c r="K401" s="439"/>
      <c r="L401" s="442" t="str">
        <f>OBRA!AF400</f>
        <v>-</v>
      </c>
      <c r="M401" s="440"/>
      <c r="N401" s="442" t="str">
        <f>OBRA!AG400</f>
        <v>-</v>
      </c>
      <c r="O401" s="152"/>
      <c r="P401" s="152"/>
      <c r="Q401" s="441"/>
      <c r="R401" s="445" t="str">
        <f>OBRA!AH400</f>
        <v>-</v>
      </c>
      <c r="S401" s="349"/>
      <c r="T401" s="446" t="str">
        <f>OBRA!U400</f>
        <v>ALSERCON SA DE CV</v>
      </c>
      <c r="U401" s="447" t="str">
        <f>OBRA!V400</f>
        <v>ING. J. GUADALUPE IBARRA RAMIREZ</v>
      </c>
      <c r="V401" s="1281"/>
      <c r="W401" s="20" t="str">
        <f>OBRA!L400</f>
        <v>GMJ 018 C-OP/2019</v>
      </c>
      <c r="X401" s="13"/>
      <c r="Y401" s="13"/>
      <c r="Z401" s="448" t="str">
        <f>OBRA!K400</f>
        <v>RAMO 33</v>
      </c>
      <c r="AA401" s="13"/>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428">
        <f>OBRA!S400</f>
        <v>43785</v>
      </c>
      <c r="AH401" s="54"/>
      <c r="AI401" s="231"/>
      <c r="AJ401" s="267"/>
      <c r="AK401" s="267"/>
      <c r="AL401" s="432"/>
      <c r="AM401" s="573" t="str">
        <f>GRAL!B402</f>
        <v>2018-2021</v>
      </c>
      <c r="AN401" s="448"/>
      <c r="AO401" s="13"/>
    </row>
    <row r="402" spans="1:41" ht="21.95" hidden="1" customHeight="1">
      <c r="A402" s="166">
        <f>OBRA!I401</f>
        <v>2019</v>
      </c>
      <c r="B402" s="2036"/>
      <c r="C402" s="433"/>
      <c r="D402" s="154"/>
      <c r="E402" s="156"/>
      <c r="F402" s="156"/>
      <c r="G402" s="436"/>
      <c r="H402" s="442" t="str">
        <f>OBRA!AD401</f>
        <v>-</v>
      </c>
      <c r="I402" s="438"/>
      <c r="J402" s="444" t="str">
        <f>OBRA!AE401</f>
        <v>-</v>
      </c>
      <c r="K402" s="439"/>
      <c r="L402" s="442" t="str">
        <f>OBRA!AF401</f>
        <v>-</v>
      </c>
      <c r="M402" s="440"/>
      <c r="N402" s="442" t="str">
        <f>OBRA!AG401</f>
        <v>-</v>
      </c>
      <c r="O402" s="152"/>
      <c r="P402" s="152"/>
      <c r="Q402" s="441"/>
      <c r="R402" s="445" t="str">
        <f>OBRA!AH401</f>
        <v>-</v>
      </c>
      <c r="S402" s="349"/>
      <c r="T402" s="446" t="str">
        <f>OBRA!U401</f>
        <v>INGENIERÍA ARQUITECTURA MENDPAD S.A. DE C.V.</v>
      </c>
      <c r="U402" s="447" t="str">
        <f>OBRA!V401</f>
        <v>LIC. SALVADOR CONTRERAS OLGUÍN</v>
      </c>
      <c r="V402" s="1281"/>
      <c r="W402" s="20" t="str">
        <f>OBRA!L401</f>
        <v>GMJ 019 C-OP/2019</v>
      </c>
      <c r="X402" s="13"/>
      <c r="Y402" s="13"/>
      <c r="Z402" s="448" t="str">
        <f>OBRA!K401</f>
        <v>RAMO 33</v>
      </c>
      <c r="AA402" s="13"/>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428">
        <f>OBRA!S401</f>
        <v>43731</v>
      </c>
      <c r="AH402" s="54"/>
      <c r="AI402" s="231"/>
      <c r="AJ402" s="267"/>
      <c r="AK402" s="267"/>
      <c r="AL402" s="432"/>
      <c r="AM402" s="573" t="str">
        <f>GRAL!B403</f>
        <v>2018-2021</v>
      </c>
      <c r="AN402" s="448"/>
      <c r="AO402" s="13"/>
    </row>
    <row r="403" spans="1:41" ht="21.95" hidden="1" customHeight="1">
      <c r="A403" s="166">
        <f>OBRA!I402</f>
        <v>2019</v>
      </c>
      <c r="B403" s="2036"/>
      <c r="C403" s="433"/>
      <c r="D403" s="154"/>
      <c r="E403" s="156"/>
      <c r="F403" s="156"/>
      <c r="G403" s="436"/>
      <c r="H403" s="442">
        <f>OBRA!AD402</f>
        <v>0</v>
      </c>
      <c r="I403" s="438"/>
      <c r="J403" s="444">
        <f>OBRA!AE402</f>
        <v>0</v>
      </c>
      <c r="K403" s="439"/>
      <c r="L403" s="442">
        <f>OBRA!AF402</f>
        <v>0</v>
      </c>
      <c r="M403" s="440"/>
      <c r="N403" s="442">
        <f>OBRA!AG402</f>
        <v>0</v>
      </c>
      <c r="O403" s="152"/>
      <c r="P403" s="152"/>
      <c r="Q403" s="441"/>
      <c r="R403" s="445">
        <f>OBRA!AH402</f>
        <v>0</v>
      </c>
      <c r="S403" s="349"/>
      <c r="T403" s="446" t="str">
        <f>OBRA!U402</f>
        <v>INGENIERÍA ARQUITECTURA MENDPAD S.A. DE C.V.</v>
      </c>
      <c r="U403" s="447" t="str">
        <f>OBRA!V402</f>
        <v>LIC. SALVADOR CONTRERAS OLGUÍN</v>
      </c>
      <c r="V403" s="1281"/>
      <c r="W403" s="20" t="str">
        <f>OBRA!L402</f>
        <v>GMJ 019 C-OP/2019</v>
      </c>
      <c r="X403" s="13"/>
      <c r="Y403" s="13"/>
      <c r="Z403" s="448" t="str">
        <f>OBRA!K402</f>
        <v>RAMO 33</v>
      </c>
      <c r="AA403" s="13"/>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428">
        <f>OBRA!S402</f>
        <v>43731</v>
      </c>
      <c r="AH403" s="54"/>
      <c r="AI403" s="231"/>
      <c r="AJ403" s="267"/>
      <c r="AK403" s="267"/>
      <c r="AL403" s="432"/>
      <c r="AM403" s="573" t="str">
        <f>GRAL!B404</f>
        <v>2018-2021</v>
      </c>
      <c r="AN403" s="448"/>
      <c r="AO403" s="13"/>
    </row>
    <row r="404" spans="1:41" ht="21.95" hidden="1" customHeight="1">
      <c r="A404" s="166">
        <f>OBRA!I403</f>
        <v>2019</v>
      </c>
      <c r="B404" s="2036"/>
      <c r="C404" s="433"/>
      <c r="D404" s="154"/>
      <c r="E404" s="156"/>
      <c r="F404" s="156"/>
      <c r="G404" s="436"/>
      <c r="H404" s="442" t="str">
        <f>OBRA!AD403</f>
        <v>-</v>
      </c>
      <c r="I404" s="438"/>
      <c r="J404" s="444" t="str">
        <f>OBRA!AE403</f>
        <v>-</v>
      </c>
      <c r="K404" s="439"/>
      <c r="L404" s="442" t="str">
        <f>OBRA!AF403</f>
        <v>-</v>
      </c>
      <c r="M404" s="440"/>
      <c r="N404" s="442" t="str">
        <f>OBRA!AG403</f>
        <v>-</v>
      </c>
      <c r="O404" s="152"/>
      <c r="P404" s="152"/>
      <c r="Q404" s="441"/>
      <c r="R404" s="445" t="str">
        <f>OBRA!AH403</f>
        <v>-</v>
      </c>
      <c r="S404" s="349"/>
      <c r="T404" s="446" t="str">
        <f>OBRA!U403</f>
        <v>INGENIERÍA ARQUITECTURA MENDPAD S.A. DE C.V.</v>
      </c>
      <c r="U404" s="447" t="str">
        <f>OBRA!V403</f>
        <v>LIC. SALVADOR CONTRERAS OLGUÍN</v>
      </c>
      <c r="V404" s="1281"/>
      <c r="W404" s="20" t="str">
        <f>OBRA!L403</f>
        <v>GMJ 020 C-OP/2019</v>
      </c>
      <c r="X404" s="13"/>
      <c r="Y404" s="13"/>
      <c r="Z404" s="448" t="str">
        <f>OBRA!K403</f>
        <v>RAMO 33</v>
      </c>
      <c r="AA404" s="13"/>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428">
        <f>OBRA!S403</f>
        <v>43768</v>
      </c>
      <c r="AH404" s="54"/>
      <c r="AI404" s="231"/>
      <c r="AJ404" s="267"/>
      <c r="AK404" s="267"/>
      <c r="AL404" s="432"/>
      <c r="AM404" s="573" t="str">
        <f>GRAL!B405</f>
        <v>2018-2021</v>
      </c>
      <c r="AN404" s="448"/>
      <c r="AO404" s="13"/>
    </row>
    <row r="405" spans="1:41" ht="21.95" hidden="1" customHeight="1">
      <c r="A405" s="166">
        <f>OBRA!I404</f>
        <v>2019</v>
      </c>
      <c r="B405" s="2036"/>
      <c r="C405" s="433"/>
      <c r="D405" s="154"/>
      <c r="E405" s="156"/>
      <c r="F405" s="156"/>
      <c r="G405" s="436"/>
      <c r="H405" s="442" t="str">
        <f>OBRA!AD404</f>
        <v>-</v>
      </c>
      <c r="I405" s="438"/>
      <c r="J405" s="444" t="str">
        <f>OBRA!AE404</f>
        <v>-</v>
      </c>
      <c r="K405" s="439"/>
      <c r="L405" s="442" t="str">
        <f>OBRA!AF404</f>
        <v>-</v>
      </c>
      <c r="M405" s="440"/>
      <c r="N405" s="442" t="str">
        <f>OBRA!AG404</f>
        <v>-</v>
      </c>
      <c r="O405" s="152"/>
      <c r="P405" s="152"/>
      <c r="Q405" s="441"/>
      <c r="R405" s="445" t="str">
        <f>OBRA!AH404</f>
        <v>-</v>
      </c>
      <c r="S405" s="349"/>
      <c r="T405" s="446" t="str">
        <f>OBRA!U404</f>
        <v>INGENIERÍA ARQUITECTURA MENDPAD S.A. DE C.V.</v>
      </c>
      <c r="U405" s="447" t="str">
        <f>OBRA!V404</f>
        <v>LIC. SALVADOR CONTRERAS OLGUÍN</v>
      </c>
      <c r="V405" s="1281"/>
      <c r="W405" s="20" t="str">
        <f>OBRA!L404</f>
        <v>GMJ 021 C-OP/2019</v>
      </c>
      <c r="X405" s="13"/>
      <c r="Y405" s="13"/>
      <c r="Z405" s="448" t="str">
        <f>OBRA!K404</f>
        <v>RAMO 33</v>
      </c>
      <c r="AA405" s="13"/>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428">
        <f>OBRA!S404</f>
        <v>43768</v>
      </c>
      <c r="AH405" s="54"/>
      <c r="AI405" s="231"/>
      <c r="AJ405" s="267"/>
      <c r="AK405" s="267"/>
      <c r="AL405" s="432"/>
      <c r="AM405" s="573" t="str">
        <f>GRAL!B406</f>
        <v>2018-2021</v>
      </c>
      <c r="AN405" s="448"/>
      <c r="AO405" s="13"/>
    </row>
    <row r="406" spans="1:41" ht="21.95" hidden="1" customHeight="1">
      <c r="A406" s="166">
        <f>OBRA!I405</f>
        <v>2019</v>
      </c>
      <c r="B406" s="2036"/>
      <c r="C406" s="433"/>
      <c r="D406" s="154"/>
      <c r="E406" s="156"/>
      <c r="F406" s="156"/>
      <c r="G406" s="436"/>
      <c r="H406" s="442" t="str">
        <f>OBRA!AD405</f>
        <v>-</v>
      </c>
      <c r="I406" s="438"/>
      <c r="J406" s="444" t="str">
        <f>OBRA!AE405</f>
        <v>-</v>
      </c>
      <c r="K406" s="439"/>
      <c r="L406" s="442" t="str">
        <f>OBRA!AF405</f>
        <v>-</v>
      </c>
      <c r="M406" s="440"/>
      <c r="N406" s="442" t="str">
        <f>OBRA!AG405</f>
        <v>-</v>
      </c>
      <c r="O406" s="152"/>
      <c r="P406" s="152"/>
      <c r="Q406" s="441"/>
      <c r="R406" s="445" t="str">
        <f>OBRA!AH405</f>
        <v>-</v>
      </c>
      <c r="S406" s="349"/>
      <c r="T406" s="446" t="str">
        <f>OBRA!U405</f>
        <v>C. PAUL ANTONIO VENEGAS GARCÍA</v>
      </c>
      <c r="U406" s="447" t="str">
        <f>OBRA!V405</f>
        <v>ARQ. JAIME CONDE GOMEZ</v>
      </c>
      <c r="V406" s="1281"/>
      <c r="W406" s="20" t="str">
        <f>OBRA!L405</f>
        <v>GMJ 022 C-OP/2019</v>
      </c>
      <c r="X406" s="13"/>
      <c r="Y406" s="13"/>
      <c r="Z406" s="448" t="str">
        <f>OBRA!K405</f>
        <v>RASTRO DIGNO / CTA-CTE</v>
      </c>
      <c r="AA406" s="13"/>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428">
        <f>OBRA!S405</f>
        <v>43785</v>
      </c>
      <c r="AH406" s="54"/>
      <c r="AI406" s="231"/>
      <c r="AJ406" s="267"/>
      <c r="AK406" s="267"/>
      <c r="AL406" s="432"/>
      <c r="AM406" s="573" t="str">
        <f>GRAL!B407</f>
        <v>2018-2021</v>
      </c>
      <c r="AN406" s="448"/>
      <c r="AO406" s="13"/>
    </row>
    <row r="407" spans="1:41" ht="21.95" hidden="1" customHeight="1">
      <c r="A407" s="166">
        <f>OBRA!I406</f>
        <v>2019</v>
      </c>
      <c r="B407" s="2036"/>
      <c r="C407" s="433"/>
      <c r="D407" s="154"/>
      <c r="E407" s="156"/>
      <c r="F407" s="156"/>
      <c r="G407" s="436"/>
      <c r="H407" s="442" t="str">
        <f>OBRA!AD406</f>
        <v>-</v>
      </c>
      <c r="I407" s="438"/>
      <c r="J407" s="444" t="str">
        <f>OBRA!AE406</f>
        <v>-</v>
      </c>
      <c r="K407" s="439"/>
      <c r="L407" s="442" t="str">
        <f>OBRA!AF406</f>
        <v>-</v>
      </c>
      <c r="M407" s="440"/>
      <c r="N407" s="442" t="str">
        <f>OBRA!AG406</f>
        <v>-</v>
      </c>
      <c r="O407" s="152"/>
      <c r="P407" s="152"/>
      <c r="Q407" s="441"/>
      <c r="R407" s="445" t="str">
        <f>OBRA!AH406</f>
        <v>-</v>
      </c>
      <c r="S407" s="349"/>
      <c r="T407" s="446" t="str">
        <f>OBRA!U406</f>
        <v>SDT CONSTRUCTORA S.A. DE C.V.</v>
      </c>
      <c r="U407" s="447" t="str">
        <f>OBRA!V406</f>
        <v>ARQ. JAIME CONDE GOMEZ</v>
      </c>
      <c r="V407" s="1281"/>
      <c r="W407" s="20" t="str">
        <f>OBRA!L406</f>
        <v>GMJ 023 C-OP/2019</v>
      </c>
      <c r="X407" s="13"/>
      <c r="Y407" s="13"/>
      <c r="Z407" s="448" t="str">
        <f>OBRA!K406</f>
        <v>RASTRO DIGNO / CTA-CTE</v>
      </c>
      <c r="AA407" s="13"/>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428">
        <f>OBRA!S406</f>
        <v>43830</v>
      </c>
      <c r="AH407" s="54"/>
      <c r="AI407" s="231"/>
      <c r="AJ407" s="267"/>
      <c r="AK407" s="267"/>
      <c r="AL407" s="432"/>
      <c r="AM407" s="573" t="str">
        <f>GRAL!B408</f>
        <v>2018-2021</v>
      </c>
      <c r="AN407" s="448"/>
      <c r="AO407" s="13"/>
    </row>
    <row r="408" spans="1:41" ht="21.95" hidden="1" customHeight="1">
      <c r="A408" s="166">
        <f>OBRA!I407</f>
        <v>2019</v>
      </c>
      <c r="B408" s="2036"/>
      <c r="C408" s="433"/>
      <c r="D408" s="154"/>
      <c r="E408" s="156"/>
      <c r="F408" s="156"/>
      <c r="G408" s="436"/>
      <c r="H408" s="442" t="str">
        <f>OBRA!AD407</f>
        <v>-</v>
      </c>
      <c r="I408" s="438"/>
      <c r="J408" s="444" t="str">
        <f>OBRA!AE407</f>
        <v>-</v>
      </c>
      <c r="K408" s="439"/>
      <c r="L408" s="442" t="str">
        <f>OBRA!AF407</f>
        <v>-</v>
      </c>
      <c r="M408" s="440"/>
      <c r="N408" s="442" t="str">
        <f>OBRA!AG407</f>
        <v>-</v>
      </c>
      <c r="O408" s="152"/>
      <c r="P408" s="152"/>
      <c r="Q408" s="441"/>
      <c r="R408" s="445" t="str">
        <f>OBRA!AH407</f>
        <v>-</v>
      </c>
      <c r="S408" s="349"/>
      <c r="T408" s="446" t="str">
        <f>OBRA!U407</f>
        <v>DACO, DESARROLLOS ARQUITECTÓNICOS Y CONSTRUCCIÓN OBRA CIVIL S.A. DE C.V.</v>
      </c>
      <c r="U408" s="447" t="str">
        <f>OBRA!V407</f>
        <v>ARQ. JAIME CONDE GOMEZ</v>
      </c>
      <c r="V408" s="1281"/>
      <c r="W408" s="20" t="str">
        <f>OBRA!L407</f>
        <v>GMJ 024 C-OP/2019</v>
      </c>
      <c r="X408" s="13"/>
      <c r="Y408" s="13"/>
      <c r="Z408" s="448" t="str">
        <f>OBRA!K407</f>
        <v>RASTRO DIGNO / CTA-CTE</v>
      </c>
      <c r="AA408" s="13"/>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428">
        <f>OBRA!S407</f>
        <v>43830</v>
      </c>
      <c r="AH408" s="54"/>
      <c r="AI408" s="231"/>
      <c r="AJ408" s="267"/>
      <c r="AK408" s="267"/>
      <c r="AL408" s="432"/>
      <c r="AM408" s="573" t="str">
        <f>GRAL!B409</f>
        <v>2018-2021</v>
      </c>
      <c r="AN408" s="448"/>
      <c r="AO408" s="13"/>
    </row>
    <row r="409" spans="1:41" ht="21.95" hidden="1" customHeight="1">
      <c r="A409" s="166">
        <f>OBRA!I408</f>
        <v>2019</v>
      </c>
      <c r="B409" s="2036"/>
      <c r="C409" s="433"/>
      <c r="D409" s="154"/>
      <c r="E409" s="156"/>
      <c r="F409" s="156"/>
      <c r="G409" s="436"/>
      <c r="H409" s="442" t="str">
        <f>OBRA!AD408</f>
        <v>-</v>
      </c>
      <c r="I409" s="438"/>
      <c r="J409" s="444" t="str">
        <f>OBRA!AE408</f>
        <v>-</v>
      </c>
      <c r="K409" s="439"/>
      <c r="L409" s="442" t="str">
        <f>OBRA!AF408</f>
        <v>-</v>
      </c>
      <c r="M409" s="440"/>
      <c r="N409" s="442" t="str">
        <f>OBRA!AG408</f>
        <v>-</v>
      </c>
      <c r="O409" s="152"/>
      <c r="P409" s="152"/>
      <c r="Q409" s="441"/>
      <c r="R409" s="445" t="str">
        <f>OBRA!AH408</f>
        <v>-</v>
      </c>
      <c r="S409" s="349"/>
      <c r="T409" s="446" t="str">
        <f>OBRA!U408</f>
        <v>AV ATELIER DE ARQUITECTURA S.A. DE C.V.</v>
      </c>
      <c r="U409" s="447" t="str">
        <f>OBRA!V408</f>
        <v>LIC. SALVADOR CONTRERAS OLGUÍN</v>
      </c>
      <c r="V409" s="1281"/>
      <c r="W409" s="20" t="str">
        <f>OBRA!L408</f>
        <v>GMJ 025 C-OP/2019</v>
      </c>
      <c r="X409" s="13"/>
      <c r="Y409" s="13"/>
      <c r="Z409" s="448" t="str">
        <f>OBRA!K408</f>
        <v>RAMO 33</v>
      </c>
      <c r="AA409" s="13"/>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428">
        <f>OBRA!S408</f>
        <v>43809</v>
      </c>
      <c r="AH409" s="54"/>
      <c r="AI409" s="231"/>
      <c r="AJ409" s="267"/>
      <c r="AK409" s="267"/>
      <c r="AL409" s="432"/>
      <c r="AM409" s="573" t="str">
        <f>GRAL!B410</f>
        <v>2018-2021</v>
      </c>
      <c r="AN409" s="448"/>
      <c r="AO409" s="13"/>
    </row>
    <row r="410" spans="1:41" ht="21.95" hidden="1" customHeight="1">
      <c r="A410" s="166">
        <f>OBRA!I409</f>
        <v>2019</v>
      </c>
      <c r="B410" s="2036"/>
      <c r="C410" s="433"/>
      <c r="D410" s="154"/>
      <c r="E410" s="156"/>
      <c r="F410" s="156"/>
      <c r="G410" s="436"/>
      <c r="H410" s="442" t="str">
        <f>OBRA!AD409</f>
        <v>-</v>
      </c>
      <c r="I410" s="438"/>
      <c r="J410" s="444" t="str">
        <f>OBRA!AE409</f>
        <v>-</v>
      </c>
      <c r="K410" s="439"/>
      <c r="L410" s="442" t="str">
        <f>OBRA!AF409</f>
        <v>-</v>
      </c>
      <c r="M410" s="440"/>
      <c r="N410" s="442" t="str">
        <f>OBRA!AG409</f>
        <v>-</v>
      </c>
      <c r="O410" s="152"/>
      <c r="P410" s="152"/>
      <c r="Q410" s="441"/>
      <c r="R410" s="445" t="str">
        <f>OBRA!AH409</f>
        <v>-</v>
      </c>
      <c r="S410" s="349"/>
      <c r="T410" s="446" t="str">
        <f>OBRA!U409</f>
        <v>AV ATELIER DE ARQUITECTURA S.A. DE C.V.</v>
      </c>
      <c r="U410" s="447" t="str">
        <f>OBRA!V409</f>
        <v>LIC. SALVADOR CONTRERAS OLGUÍN</v>
      </c>
      <c r="V410" s="1281"/>
      <c r="W410" s="20" t="str">
        <f>OBRA!L409</f>
        <v>GMJ 026 C-OP/2019</v>
      </c>
      <c r="X410" s="13"/>
      <c r="Y410" s="13"/>
      <c r="Z410" s="448" t="str">
        <f>OBRA!K409</f>
        <v>RAMO 33</v>
      </c>
      <c r="AA410" s="13"/>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428">
        <f>OBRA!S409</f>
        <v>43809</v>
      </c>
      <c r="AH410" s="54"/>
      <c r="AI410" s="231"/>
      <c r="AJ410" s="267"/>
      <c r="AK410" s="267"/>
      <c r="AL410" s="432"/>
      <c r="AM410" s="573" t="str">
        <f>GRAL!B411</f>
        <v>2018-2021</v>
      </c>
      <c r="AN410" s="448"/>
      <c r="AO410" s="13"/>
    </row>
    <row r="411" spans="1:41" ht="21.95" hidden="1" customHeight="1">
      <c r="A411" s="166">
        <f>OBRA!I410</f>
        <v>2019</v>
      </c>
      <c r="B411" s="2036"/>
      <c r="C411" s="433"/>
      <c r="D411" s="154"/>
      <c r="E411" s="156"/>
      <c r="F411" s="156"/>
      <c r="G411" s="436"/>
      <c r="H411" s="442" t="str">
        <f>OBRA!AD410</f>
        <v>-</v>
      </c>
      <c r="I411" s="438"/>
      <c r="J411" s="444" t="str">
        <f>OBRA!AE410</f>
        <v>-</v>
      </c>
      <c r="K411" s="439"/>
      <c r="L411" s="442" t="str">
        <f>OBRA!AF410</f>
        <v>-</v>
      </c>
      <c r="M411" s="440"/>
      <c r="N411" s="442" t="str">
        <f>OBRA!AG410</f>
        <v>-</v>
      </c>
      <c r="O411" s="152"/>
      <c r="P411" s="152"/>
      <c r="Q411" s="441"/>
      <c r="R411" s="445" t="str">
        <f>OBRA!AH410</f>
        <v>-</v>
      </c>
      <c r="S411" s="349"/>
      <c r="T411" s="446" t="str">
        <f>OBRA!U410</f>
        <v>AV ATELIER DE ARQUITECTURA S.A. DE C.V.</v>
      </c>
      <c r="U411" s="447" t="str">
        <f>OBRA!V410</f>
        <v>LIC. SALVADOR CONTRERAS OLGUÍN</v>
      </c>
      <c r="V411" s="1281"/>
      <c r="W411" s="20" t="str">
        <f>OBRA!L410</f>
        <v>GMJ 027 C-OP/2019</v>
      </c>
      <c r="X411" s="13"/>
      <c r="Y411" s="13"/>
      <c r="Z411" s="448" t="str">
        <f>OBRA!K410</f>
        <v>RAMO 33</v>
      </c>
      <c r="AA411" s="13"/>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428">
        <f>OBRA!S410</f>
        <v>43809</v>
      </c>
      <c r="AH411" s="54"/>
      <c r="AI411" s="231"/>
      <c r="AJ411" s="267"/>
      <c r="AK411" s="267"/>
      <c r="AL411" s="432"/>
      <c r="AM411" s="573" t="str">
        <f>GRAL!B412</f>
        <v>2018-2021</v>
      </c>
      <c r="AN411" s="448"/>
      <c r="AO411" s="13"/>
    </row>
    <row r="412" spans="1:41" ht="21.95" hidden="1" customHeight="1">
      <c r="A412" s="166">
        <f>OBRA!I411</f>
        <v>2019</v>
      </c>
      <c r="B412" s="2036"/>
      <c r="C412" s="433"/>
      <c r="D412" s="154"/>
      <c r="E412" s="156"/>
      <c r="F412" s="156"/>
      <c r="G412" s="436"/>
      <c r="H412" s="442" t="str">
        <f>OBRA!AD411</f>
        <v>-</v>
      </c>
      <c r="I412" s="438"/>
      <c r="J412" s="444" t="str">
        <f>OBRA!AE411</f>
        <v>-</v>
      </c>
      <c r="K412" s="439"/>
      <c r="L412" s="442" t="str">
        <f>OBRA!AF411</f>
        <v>-</v>
      </c>
      <c r="M412" s="440"/>
      <c r="N412" s="442" t="str">
        <f>OBRA!AG411</f>
        <v>-</v>
      </c>
      <c r="O412" s="152"/>
      <c r="P412" s="152"/>
      <c r="Q412" s="441"/>
      <c r="R412" s="445" t="str">
        <f>OBRA!AH411</f>
        <v>-</v>
      </c>
      <c r="S412" s="349"/>
      <c r="T412" s="446" t="str">
        <f>OBRA!U411</f>
        <v>GRUPO CONSTRUCTOR HORUS, S.A. DE C.V.</v>
      </c>
      <c r="U412" s="447" t="str">
        <f>OBRA!V411</f>
        <v>ING. J. GUADALUPE IBARRA RAMIREZ</v>
      </c>
      <c r="V412" s="1281"/>
      <c r="W412" s="20" t="str">
        <f>OBRA!L411</f>
        <v>GMJ 028 C-OP/2019</v>
      </c>
      <c r="X412" s="13"/>
      <c r="Y412" s="13"/>
      <c r="Z412" s="448" t="str">
        <f>OBRA!K411</f>
        <v>RAMO 33</v>
      </c>
      <c r="AA412" s="13"/>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428">
        <f>OBRA!S411</f>
        <v>43799</v>
      </c>
      <c r="AH412" s="54"/>
      <c r="AI412" s="231"/>
      <c r="AJ412" s="267"/>
      <c r="AK412" s="267"/>
      <c r="AL412" s="432"/>
      <c r="AM412" s="573" t="str">
        <f>GRAL!B413</f>
        <v>2018-2021</v>
      </c>
      <c r="AN412" s="448"/>
      <c r="AO412" s="13"/>
    </row>
    <row r="413" spans="1:41" ht="21.95" hidden="1" customHeight="1">
      <c r="A413" s="166">
        <f>OBRA!I412</f>
        <v>2019</v>
      </c>
      <c r="B413" s="2036"/>
      <c r="C413" s="433"/>
      <c r="D413" s="154"/>
      <c r="E413" s="156"/>
      <c r="F413" s="156"/>
      <c r="G413" s="436"/>
      <c r="H413" s="442">
        <f>OBRA!AD412</f>
        <v>0</v>
      </c>
      <c r="I413" s="438"/>
      <c r="J413" s="444">
        <f>OBRA!AE412</f>
        <v>0</v>
      </c>
      <c r="K413" s="439"/>
      <c r="L413" s="442">
        <f>OBRA!AF412</f>
        <v>0</v>
      </c>
      <c r="M413" s="440"/>
      <c r="N413" s="442">
        <f>OBRA!AG412</f>
        <v>0</v>
      </c>
      <c r="O413" s="152"/>
      <c r="P413" s="152"/>
      <c r="Q413" s="441"/>
      <c r="R413" s="445">
        <f>OBRA!AH412</f>
        <v>0</v>
      </c>
      <c r="S413" s="349"/>
      <c r="T413" s="446" t="str">
        <f>OBRA!U412</f>
        <v>GRUPO CONSTRUCTOR HORUS, S.A. DE C.V.</v>
      </c>
      <c r="U413" s="447" t="str">
        <f>OBRA!V412</f>
        <v>ING. J. GUADALUPE IBARRA RAMIREZ</v>
      </c>
      <c r="V413" s="1281"/>
      <c r="W413" s="20" t="str">
        <f>OBRA!L412</f>
        <v>GMJ 029 C-OP/2019</v>
      </c>
      <c r="X413" s="13"/>
      <c r="Y413" s="13"/>
      <c r="Z413" s="448" t="str">
        <f>OBRA!K412</f>
        <v>RAMO 33</v>
      </c>
      <c r="AA413" s="13"/>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428">
        <f>OBRA!S412</f>
        <v>43799</v>
      </c>
      <c r="AH413" s="54"/>
      <c r="AI413" s="231"/>
      <c r="AJ413" s="267"/>
      <c r="AK413" s="267"/>
      <c r="AL413" s="432"/>
      <c r="AM413" s="573" t="str">
        <f>GRAL!B414</f>
        <v>2018-2021</v>
      </c>
      <c r="AN413" s="448"/>
      <c r="AO413" s="13"/>
    </row>
    <row r="414" spans="1:41" ht="21.95" hidden="1" customHeight="1">
      <c r="A414" s="166">
        <f>OBRA!I413</f>
        <v>2019</v>
      </c>
      <c r="B414" s="2036"/>
      <c r="C414" s="433"/>
      <c r="D414" s="154"/>
      <c r="E414" s="156"/>
      <c r="F414" s="156"/>
      <c r="G414" s="436"/>
      <c r="H414" s="442" t="str">
        <f>OBRA!AD413</f>
        <v>-</v>
      </c>
      <c r="I414" s="438"/>
      <c r="J414" s="444" t="str">
        <f>OBRA!AE413</f>
        <v>-</v>
      </c>
      <c r="K414" s="439"/>
      <c r="L414" s="442" t="str">
        <f>OBRA!AF413</f>
        <v>-</v>
      </c>
      <c r="M414" s="440"/>
      <c r="N414" s="442" t="str">
        <f>OBRA!AG413</f>
        <v>-</v>
      </c>
      <c r="O414" s="152"/>
      <c r="P414" s="152"/>
      <c r="Q414" s="441"/>
      <c r="R414" s="445" t="str">
        <f>OBRA!AH413</f>
        <v>-</v>
      </c>
      <c r="S414" s="349"/>
      <c r="T414" s="446" t="str">
        <f>OBRA!U413</f>
        <v>GRUPO CONSTRUCTOR HORUS, S.A. DE C.V.</v>
      </c>
      <c r="U414" s="447" t="str">
        <f>OBRA!V413</f>
        <v>ING. J. GUADALUPE IBARRA RAMIREZ</v>
      </c>
      <c r="V414" s="1281"/>
      <c r="W414" s="20" t="str">
        <f>OBRA!L413</f>
        <v>GMJ 030 C-OP/2019</v>
      </c>
      <c r="X414" s="13"/>
      <c r="Y414" s="13"/>
      <c r="Z414" s="448" t="str">
        <f>OBRA!K413</f>
        <v>RAMO 33</v>
      </c>
      <c r="AA414" s="13"/>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428">
        <f>OBRA!S413</f>
        <v>43799</v>
      </c>
      <c r="AH414" s="54"/>
      <c r="AI414" s="231"/>
      <c r="AJ414" s="267"/>
      <c r="AK414" s="267"/>
      <c r="AL414" s="432"/>
      <c r="AM414" s="573" t="str">
        <f>GRAL!B415</f>
        <v>2018-2021</v>
      </c>
      <c r="AN414" s="448"/>
      <c r="AO414" s="13"/>
    </row>
    <row r="415" spans="1:41" ht="21.95" hidden="1" customHeight="1">
      <c r="A415" s="166">
        <f>OBRA!I414</f>
        <v>2019</v>
      </c>
      <c r="B415" s="2036"/>
      <c r="C415" s="433"/>
      <c r="D415" s="154"/>
      <c r="E415" s="156"/>
      <c r="F415" s="156"/>
      <c r="G415" s="436"/>
      <c r="H415" s="442" t="str">
        <f>OBRA!AD414</f>
        <v>-</v>
      </c>
      <c r="I415" s="438"/>
      <c r="J415" s="444" t="str">
        <f>OBRA!AE414</f>
        <v>-</v>
      </c>
      <c r="K415" s="439"/>
      <c r="L415" s="442" t="str">
        <f>OBRA!AF414</f>
        <v>-</v>
      </c>
      <c r="M415" s="440"/>
      <c r="N415" s="442" t="str">
        <f>OBRA!AG414</f>
        <v>-</v>
      </c>
      <c r="O415" s="152"/>
      <c r="P415" s="152"/>
      <c r="Q415" s="441"/>
      <c r="R415" s="445" t="str">
        <f>OBRA!AH414</f>
        <v>-</v>
      </c>
      <c r="S415" s="349"/>
      <c r="T415" s="446" t="str">
        <f>OBRA!U414</f>
        <v>CONSTRUCTORA PIMONT S.A. DE C.V.</v>
      </c>
      <c r="U415" s="447" t="str">
        <f>OBRA!V414</f>
        <v>LIC. SALVADOR CONTRERAS OLGUÍN</v>
      </c>
      <c r="V415" s="1281"/>
      <c r="W415" s="20" t="str">
        <f>OBRA!L414</f>
        <v>GMJ 031 C-OP/2019</v>
      </c>
      <c r="X415" s="13"/>
      <c r="Y415" s="13"/>
      <c r="Z415" s="448" t="str">
        <f>OBRA!K414</f>
        <v>RAMO 33</v>
      </c>
      <c r="AA415" s="13"/>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428">
        <f>OBRA!S414</f>
        <v>43790</v>
      </c>
      <c r="AH415" s="54"/>
      <c r="AI415" s="231"/>
      <c r="AJ415" s="267"/>
      <c r="AK415" s="267"/>
      <c r="AL415" s="432"/>
      <c r="AM415" s="573" t="str">
        <f>GRAL!B416</f>
        <v>2018-2021</v>
      </c>
      <c r="AN415" s="448"/>
      <c r="AO415" s="13"/>
    </row>
    <row r="416" spans="1:41" ht="21.95" hidden="1" customHeight="1">
      <c r="A416" s="166">
        <f>OBRA!I415</f>
        <v>2019</v>
      </c>
      <c r="B416" s="2036"/>
      <c r="C416" s="433"/>
      <c r="D416" s="154"/>
      <c r="E416" s="156"/>
      <c r="F416" s="156"/>
      <c r="G416" s="436"/>
      <c r="H416" s="442" t="str">
        <f>OBRA!AD415</f>
        <v>-</v>
      </c>
      <c r="I416" s="438"/>
      <c r="J416" s="444" t="str">
        <f>OBRA!AE415</f>
        <v>-</v>
      </c>
      <c r="K416" s="439"/>
      <c r="L416" s="442" t="str">
        <f>OBRA!AF415</f>
        <v>-</v>
      </c>
      <c r="M416" s="440"/>
      <c r="N416" s="442" t="str">
        <f>OBRA!AG415</f>
        <v>-</v>
      </c>
      <c r="O416" s="152"/>
      <c r="P416" s="152"/>
      <c r="Q416" s="441"/>
      <c r="R416" s="445" t="str">
        <f>OBRA!AH415</f>
        <v>-</v>
      </c>
      <c r="S416" s="349"/>
      <c r="T416" s="446">
        <f>OBRA!U415</f>
        <v>0</v>
      </c>
      <c r="U416" s="447">
        <f>OBRA!V415</f>
        <v>0</v>
      </c>
      <c r="V416" s="1281"/>
      <c r="W416" s="20" t="str">
        <f>OBRA!L415</f>
        <v>GMJ 032 C-OP/2019</v>
      </c>
      <c r="X416" s="13"/>
      <c r="Y416" s="13"/>
      <c r="Z416" s="448">
        <f>OBRA!K415</f>
        <v>0</v>
      </c>
      <c r="AA416" s="13"/>
      <c r="AB416" s="2" t="str">
        <f>OBRA!M415</f>
        <v>CANCELADA</v>
      </c>
      <c r="AC416" s="3">
        <f>OBRA!N415</f>
        <v>0</v>
      </c>
      <c r="AD416" s="4">
        <f>OBRA!P415</f>
        <v>0</v>
      </c>
      <c r="AE416" s="6">
        <f>OBRA!Q415</f>
        <v>0</v>
      </c>
      <c r="AF416" s="5">
        <f>OBRA!R415</f>
        <v>0</v>
      </c>
      <c r="AG416" s="428">
        <f>OBRA!S415</f>
        <v>0</v>
      </c>
      <c r="AH416" s="54"/>
      <c r="AI416" s="231"/>
      <c r="AJ416" s="267"/>
      <c r="AK416" s="267"/>
      <c r="AL416" s="432"/>
      <c r="AM416" s="573" t="str">
        <f>GRAL!B417</f>
        <v>2018-2021</v>
      </c>
      <c r="AN416" s="448"/>
      <c r="AO416" s="13"/>
    </row>
    <row r="417" spans="1:41" ht="21.95" hidden="1" customHeight="1">
      <c r="A417" s="166">
        <f>OBRA!I416</f>
        <v>2019</v>
      </c>
      <c r="B417" s="2036"/>
      <c r="C417" s="433"/>
      <c r="D417" s="154"/>
      <c r="E417" s="156"/>
      <c r="F417" s="156"/>
      <c r="G417" s="436"/>
      <c r="H417" s="442" t="str">
        <f>OBRA!AD416</f>
        <v>-</v>
      </c>
      <c r="I417" s="438"/>
      <c r="J417" s="444" t="str">
        <f>OBRA!AE416</f>
        <v>-</v>
      </c>
      <c r="K417" s="439"/>
      <c r="L417" s="442" t="str">
        <f>OBRA!AF416</f>
        <v>-</v>
      </c>
      <c r="M417" s="440"/>
      <c r="N417" s="442" t="str">
        <f>OBRA!AG416</f>
        <v>-</v>
      </c>
      <c r="O417" s="152"/>
      <c r="P417" s="152"/>
      <c r="Q417" s="441"/>
      <c r="R417" s="445" t="str">
        <f>OBRA!AH416</f>
        <v>-</v>
      </c>
      <c r="S417" s="349"/>
      <c r="T417" s="446">
        <f>OBRA!U416</f>
        <v>0</v>
      </c>
      <c r="U417" s="447">
        <f>OBRA!V416</f>
        <v>0</v>
      </c>
      <c r="V417" s="1281"/>
      <c r="W417" s="20" t="str">
        <f>OBRA!L416</f>
        <v>GMJ 033 C-OP/2019</v>
      </c>
      <c r="X417" s="13"/>
      <c r="Y417" s="13"/>
      <c r="Z417" s="448">
        <f>OBRA!K416</f>
        <v>0</v>
      </c>
      <c r="AA417" s="13"/>
      <c r="AB417" s="2" t="str">
        <f>OBRA!M416</f>
        <v>CANCELADA</v>
      </c>
      <c r="AC417" s="3">
        <f>OBRA!N416</f>
        <v>0</v>
      </c>
      <c r="AD417" s="4">
        <f>OBRA!P416</f>
        <v>0</v>
      </c>
      <c r="AE417" s="6">
        <f>OBRA!Q416</f>
        <v>0</v>
      </c>
      <c r="AF417" s="5">
        <f>OBRA!R416</f>
        <v>0</v>
      </c>
      <c r="AG417" s="428">
        <f>OBRA!S416</f>
        <v>0</v>
      </c>
      <c r="AH417" s="54"/>
      <c r="AI417" s="231"/>
      <c r="AJ417" s="267"/>
      <c r="AK417" s="267"/>
      <c r="AL417" s="432"/>
      <c r="AM417" s="573" t="str">
        <f>GRAL!B418</f>
        <v>2018-2021</v>
      </c>
      <c r="AN417" s="448"/>
      <c r="AO417" s="13"/>
    </row>
    <row r="418" spans="1:41" ht="21.95" hidden="1" customHeight="1">
      <c r="A418" s="166">
        <f>OBRA!I417</f>
        <v>2019</v>
      </c>
      <c r="B418" s="2036"/>
      <c r="C418" s="433"/>
      <c r="D418" s="154"/>
      <c r="E418" s="156"/>
      <c r="F418" s="156"/>
      <c r="G418" s="436"/>
      <c r="H418" s="442" t="str">
        <f>OBRA!AD417</f>
        <v>-</v>
      </c>
      <c r="I418" s="438"/>
      <c r="J418" s="444" t="str">
        <f>OBRA!AE417</f>
        <v>-</v>
      </c>
      <c r="K418" s="439"/>
      <c r="L418" s="442" t="str">
        <f>OBRA!AF417</f>
        <v>-</v>
      </c>
      <c r="M418" s="440"/>
      <c r="N418" s="442" t="str">
        <f>OBRA!AG417</f>
        <v>-</v>
      </c>
      <c r="O418" s="152"/>
      <c r="P418" s="152"/>
      <c r="Q418" s="441"/>
      <c r="R418" s="445" t="str">
        <f>OBRA!AH417</f>
        <v>-</v>
      </c>
      <c r="S418" s="349"/>
      <c r="T418" s="446" t="str">
        <f>OBRA!U417</f>
        <v>INGENIERÍA ARQUITECTURA MENDPAD S.A. DE C.V.</v>
      </c>
      <c r="U418" s="447" t="str">
        <f>OBRA!V417</f>
        <v>LIC. SALVADOR CONTRERAS OLGUÍN</v>
      </c>
      <c r="V418" s="1281"/>
      <c r="W418" s="20" t="str">
        <f>OBRA!L417</f>
        <v>GMJ 034 C-OP/2019</v>
      </c>
      <c r="X418" s="13"/>
      <c r="Y418" s="13"/>
      <c r="Z418" s="448" t="str">
        <f>OBRA!K417</f>
        <v>RAMO 33</v>
      </c>
      <c r="AA418" s="13"/>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428">
        <f>OBRA!S417</f>
        <v>43767</v>
      </c>
      <c r="AH418" s="54"/>
      <c r="AI418" s="231"/>
      <c r="AJ418" s="267"/>
      <c r="AK418" s="267"/>
      <c r="AL418" s="432"/>
      <c r="AM418" s="573" t="str">
        <f>GRAL!B419</f>
        <v>2018-2021</v>
      </c>
      <c r="AN418" s="448"/>
      <c r="AO418" s="13"/>
    </row>
    <row r="419" spans="1:41" ht="21.95" hidden="1" customHeight="1">
      <c r="A419" s="166">
        <f>OBRA!I418</f>
        <v>2019</v>
      </c>
      <c r="B419" s="2036"/>
      <c r="C419" s="433"/>
      <c r="D419" s="154"/>
      <c r="E419" s="156"/>
      <c r="F419" s="156"/>
      <c r="G419" s="436"/>
      <c r="H419" s="442" t="str">
        <f>OBRA!AD418</f>
        <v>-</v>
      </c>
      <c r="I419" s="438"/>
      <c r="J419" s="444" t="str">
        <f>OBRA!AE418</f>
        <v>-</v>
      </c>
      <c r="K419" s="439"/>
      <c r="L419" s="442" t="str">
        <f>OBRA!AF418</f>
        <v>-</v>
      </c>
      <c r="M419" s="440"/>
      <c r="N419" s="442" t="str">
        <f>OBRA!AG418</f>
        <v>-</v>
      </c>
      <c r="O419" s="152"/>
      <c r="P419" s="152"/>
      <c r="Q419" s="441"/>
      <c r="R419" s="445" t="str">
        <f>OBRA!AH418</f>
        <v>-</v>
      </c>
      <c r="S419" s="349"/>
      <c r="T419" s="446" t="str">
        <f>OBRA!U418</f>
        <v>INGENIERÍA ARQUITECTURA MENDPAD S.A. DE C.V.</v>
      </c>
      <c r="U419" s="447" t="str">
        <f>OBRA!V418</f>
        <v>LIC. SALVADOR CONTRERAS OLGUÍN</v>
      </c>
      <c r="V419" s="1281"/>
      <c r="W419" s="20" t="str">
        <f>OBRA!L418</f>
        <v>GMJ 035 C-OP/2019</v>
      </c>
      <c r="X419" s="13"/>
      <c r="Y419" s="13"/>
      <c r="Z419" s="448" t="str">
        <f>OBRA!K418</f>
        <v>RAMO 33</v>
      </c>
      <c r="AA419" s="13"/>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428">
        <f>OBRA!S418</f>
        <v>43813</v>
      </c>
      <c r="AH419" s="54"/>
      <c r="AI419" s="231"/>
      <c r="AJ419" s="267"/>
      <c r="AK419" s="267"/>
      <c r="AL419" s="432"/>
      <c r="AM419" s="573" t="str">
        <f>GRAL!B420</f>
        <v>2018-2021</v>
      </c>
      <c r="AN419" s="448"/>
      <c r="AO419" s="13"/>
    </row>
    <row r="420" spans="1:41" ht="24.95" hidden="1" customHeight="1">
      <c r="A420" s="166">
        <f>OBRA!I419</f>
        <v>2019</v>
      </c>
      <c r="B420" s="2036"/>
      <c r="C420" s="433"/>
      <c r="D420" s="154"/>
      <c r="E420" s="156"/>
      <c r="F420" s="156"/>
      <c r="G420" s="436"/>
      <c r="H420" s="442" t="str">
        <f>OBRA!AD419</f>
        <v>-</v>
      </c>
      <c r="I420" s="438"/>
      <c r="J420" s="444" t="str">
        <f>OBRA!AE419</f>
        <v>-</v>
      </c>
      <c r="K420" s="439"/>
      <c r="L420" s="442" t="str">
        <f>OBRA!AF419</f>
        <v>-</v>
      </c>
      <c r="M420" s="440"/>
      <c r="N420" s="442" t="str">
        <f>OBRA!AG419</f>
        <v>-</v>
      </c>
      <c r="O420" s="152"/>
      <c r="P420" s="152"/>
      <c r="Q420" s="441"/>
      <c r="R420" s="445" t="str">
        <f>OBRA!AH419</f>
        <v>-</v>
      </c>
      <c r="S420" s="349"/>
      <c r="T420" s="446" t="str">
        <f>OBRA!U419</f>
        <v>INGENIERÍA ARQUITECTURA MENDPAD S.A. DE C.V.</v>
      </c>
      <c r="U420" s="447" t="str">
        <f>OBRA!V419</f>
        <v>LIC. SALVADOR CONTRERAS OLGUÍN</v>
      </c>
      <c r="V420" s="1281"/>
      <c r="W420" s="20" t="str">
        <f>OBRA!L419</f>
        <v>GMJ 036 C-OP/2019</v>
      </c>
      <c r="X420" s="13"/>
      <c r="Y420" s="13"/>
      <c r="Z420" s="448" t="str">
        <f>OBRA!K419</f>
        <v>RAMO 33</v>
      </c>
      <c r="AA420" s="13"/>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428">
        <f>OBRA!S419</f>
        <v>43830</v>
      </c>
      <c r="AH420" s="54"/>
      <c r="AI420" s="231"/>
      <c r="AJ420" s="267"/>
      <c r="AK420" s="267"/>
      <c r="AL420" s="432"/>
      <c r="AM420" s="573" t="str">
        <f>GRAL!B421</f>
        <v>2018-2021</v>
      </c>
      <c r="AN420" s="448"/>
      <c r="AO420" s="13"/>
    </row>
    <row r="421" spans="1:41" ht="24.95" hidden="1" customHeight="1">
      <c r="A421" s="166">
        <f>OBRA!I420</f>
        <v>2019</v>
      </c>
      <c r="B421" s="2036"/>
      <c r="C421" s="433"/>
      <c r="D421" s="154"/>
      <c r="E421" s="156"/>
      <c r="F421" s="156"/>
      <c r="G421" s="436"/>
      <c r="H421" s="442">
        <f>OBRA!AD420</f>
        <v>0</v>
      </c>
      <c r="I421" s="438"/>
      <c r="J421" s="444">
        <f>OBRA!AE420</f>
        <v>0</v>
      </c>
      <c r="K421" s="439"/>
      <c r="L421" s="442">
        <f>OBRA!AF420</f>
        <v>0</v>
      </c>
      <c r="M421" s="440"/>
      <c r="N421" s="442">
        <f>OBRA!AG420</f>
        <v>0</v>
      </c>
      <c r="O421" s="152"/>
      <c r="P421" s="152"/>
      <c r="Q421" s="441"/>
      <c r="R421" s="445">
        <f>OBRA!AH420</f>
        <v>0</v>
      </c>
      <c r="S421" s="349"/>
      <c r="T421" s="446">
        <f>OBRA!U420</f>
        <v>0</v>
      </c>
      <c r="U421" s="447">
        <f>OBRA!V420</f>
        <v>0</v>
      </c>
      <c r="V421" s="1281"/>
      <c r="W421" s="20" t="str">
        <f>OBRA!L420</f>
        <v>GMJ 037 C-OP/2019</v>
      </c>
      <c r="X421" s="13"/>
      <c r="Y421" s="13"/>
      <c r="Z421" s="448">
        <f>OBRA!K420</f>
        <v>0</v>
      </c>
      <c r="AA421" s="13"/>
      <c r="AB421" s="2" t="str">
        <f>OBRA!M420</f>
        <v>CANCELADA</v>
      </c>
      <c r="AC421" s="3">
        <f>OBRA!N420</f>
        <v>0</v>
      </c>
      <c r="AD421" s="4">
        <f>OBRA!P420</f>
        <v>0</v>
      </c>
      <c r="AE421" s="6">
        <f>OBRA!Q420</f>
        <v>0</v>
      </c>
      <c r="AF421" s="5">
        <f>OBRA!R420</f>
        <v>0</v>
      </c>
      <c r="AG421" s="428">
        <f>OBRA!S420</f>
        <v>0</v>
      </c>
      <c r="AH421" s="54"/>
      <c r="AI421" s="231"/>
      <c r="AJ421" s="267"/>
      <c r="AK421" s="267"/>
      <c r="AL421" s="432"/>
      <c r="AM421" s="573" t="str">
        <f>GRAL!B422</f>
        <v>2018-2021</v>
      </c>
      <c r="AN421" s="448"/>
      <c r="AO421" s="13"/>
    </row>
    <row r="422" spans="1:41" ht="24.95" hidden="1" customHeight="1">
      <c r="A422" s="166">
        <f>OBRA!I421</f>
        <v>2019</v>
      </c>
      <c r="B422" s="2036"/>
      <c r="C422" s="433"/>
      <c r="D422" s="154"/>
      <c r="E422" s="156"/>
      <c r="F422" s="156"/>
      <c r="G422" s="436"/>
      <c r="H422" s="442" t="str">
        <f>OBRA!AD421</f>
        <v>-</v>
      </c>
      <c r="I422" s="438"/>
      <c r="J422" s="444" t="str">
        <f>OBRA!AE421</f>
        <v>-</v>
      </c>
      <c r="K422" s="439"/>
      <c r="L422" s="442" t="str">
        <f>OBRA!AF421</f>
        <v>-</v>
      </c>
      <c r="M422" s="440"/>
      <c r="N422" s="442" t="str">
        <f>OBRA!AG421</f>
        <v>-</v>
      </c>
      <c r="O422" s="152"/>
      <c r="P422" s="152"/>
      <c r="Q422" s="441"/>
      <c r="R422" s="445" t="str">
        <f>OBRA!AH421</f>
        <v>-</v>
      </c>
      <c r="S422" s="349"/>
      <c r="T422" s="446" t="str">
        <f>OBRA!U421</f>
        <v>CONSTRUCTORA PIMONT S.A. DE C.V.</v>
      </c>
      <c r="U422" s="447" t="str">
        <f>OBRA!V421</f>
        <v>LIC. SALVADOR CONTRERAS OLGUÍN</v>
      </c>
      <c r="V422" s="1281"/>
      <c r="W422" s="20" t="str">
        <f>OBRA!L421</f>
        <v>GMJ 038 C-OP/2019</v>
      </c>
      <c r="X422" s="13"/>
      <c r="Y422" s="13"/>
      <c r="Z422" s="448" t="str">
        <f>OBRA!K421</f>
        <v>P.I.D.</v>
      </c>
      <c r="AA422" s="13"/>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428">
        <f>OBRA!S421</f>
        <v>43829</v>
      </c>
      <c r="AH422" s="54"/>
      <c r="AI422" s="231"/>
      <c r="AJ422" s="267"/>
      <c r="AK422" s="267"/>
      <c r="AL422" s="432"/>
      <c r="AM422" s="573" t="str">
        <f>GRAL!B423</f>
        <v>2018-2021</v>
      </c>
      <c r="AN422" s="448"/>
      <c r="AO422" s="13"/>
    </row>
    <row r="423" spans="1:41" ht="30" hidden="1" customHeight="1">
      <c r="A423" s="166">
        <f>OBRA!I422</f>
        <v>2020</v>
      </c>
      <c r="B423" s="2036"/>
      <c r="C423" s="433"/>
      <c r="D423" s="154"/>
      <c r="E423" s="156"/>
      <c r="F423" s="156"/>
      <c r="G423" s="436"/>
      <c r="H423" s="442" t="str">
        <f>OBRA!AD422</f>
        <v>-</v>
      </c>
      <c r="I423" s="438"/>
      <c r="J423" s="444" t="str">
        <f>OBRA!AE422</f>
        <v>-</v>
      </c>
      <c r="K423" s="439"/>
      <c r="L423" s="442" t="str">
        <f>OBRA!AF422</f>
        <v>-</v>
      </c>
      <c r="M423" s="440"/>
      <c r="N423" s="442" t="str">
        <f>OBRA!AG422</f>
        <v>-</v>
      </c>
      <c r="O423" s="152"/>
      <c r="P423" s="152"/>
      <c r="Q423" s="441"/>
      <c r="R423" s="445" t="str">
        <f>OBRA!AH422</f>
        <v>-</v>
      </c>
      <c r="S423" s="349"/>
      <c r="T423" s="446" t="str">
        <f>OBRA!U422</f>
        <v>N/A</v>
      </c>
      <c r="U423" s="447" t="str">
        <f>OBRA!V422</f>
        <v>N/A</v>
      </c>
      <c r="V423" s="1281"/>
      <c r="W423" s="20" t="str">
        <f>OBRA!L422</f>
        <v>CEAJ-PERF-002/2020</v>
      </c>
      <c r="X423" s="13"/>
      <c r="Y423" s="13"/>
      <c r="Z423" s="448" t="str">
        <f>OBRA!K422</f>
        <v>CEAJ / CUENTA CORRIENTE</v>
      </c>
      <c r="AA423" s="13"/>
      <c r="AB423" s="2" t="str">
        <f>OBRA!M422</f>
        <v>CONVENIO</v>
      </c>
      <c r="AC423" s="3" t="str">
        <f>OBRA!N422</f>
        <v>CONVENIO PARA LA PERFORACIÓN DE UN POZO PROFUNDO PARA AGUA POTABLE</v>
      </c>
      <c r="AD423" s="4">
        <f>OBRA!P422</f>
        <v>962427.31</v>
      </c>
      <c r="AE423" s="6">
        <f>OBRA!Q422</f>
        <v>43943</v>
      </c>
      <c r="AF423" s="5" t="str">
        <f>OBRA!R422</f>
        <v>-</v>
      </c>
      <c r="AG423" s="428" t="str">
        <f>OBRA!S422</f>
        <v>-</v>
      </c>
      <c r="AH423" s="54"/>
      <c r="AI423" s="231"/>
      <c r="AJ423" s="267"/>
      <c r="AK423" s="267"/>
      <c r="AL423" s="432"/>
      <c r="AM423" s="573" t="str">
        <f>GRAL!B424</f>
        <v>2018-2021</v>
      </c>
      <c r="AN423" s="448"/>
      <c r="AO423" s="13"/>
    </row>
    <row r="424" spans="1:41" ht="30" hidden="1" customHeight="1">
      <c r="A424" s="166">
        <f>OBRA!I423</f>
        <v>2020</v>
      </c>
      <c r="B424" s="2036"/>
      <c r="C424" s="433"/>
      <c r="D424" s="154"/>
      <c r="E424" s="156"/>
      <c r="F424" s="156"/>
      <c r="G424" s="436"/>
      <c r="H424" s="442" t="str">
        <f>OBRA!AD423</f>
        <v>-</v>
      </c>
      <c r="I424" s="438"/>
      <c r="J424" s="444" t="str">
        <f>OBRA!AE423</f>
        <v>-</v>
      </c>
      <c r="K424" s="439"/>
      <c r="L424" s="442" t="str">
        <f>OBRA!AF423</f>
        <v>-</v>
      </c>
      <c r="M424" s="440"/>
      <c r="N424" s="442" t="str">
        <f>OBRA!AG423</f>
        <v>-</v>
      </c>
      <c r="O424" s="152"/>
      <c r="P424" s="152"/>
      <c r="Q424" s="441"/>
      <c r="R424" s="445" t="str">
        <f>OBRA!AH423</f>
        <v>-</v>
      </c>
      <c r="S424" s="349"/>
      <c r="T424" s="446" t="str">
        <f>OBRA!U423</f>
        <v>N/A</v>
      </c>
      <c r="U424" s="447" t="str">
        <f>OBRA!V423</f>
        <v>N/A</v>
      </c>
      <c r="V424" s="1281"/>
      <c r="W424" s="20" t="str">
        <f>OBRA!L423</f>
        <v>CULTURA 2020</v>
      </c>
      <c r="X424" s="13"/>
      <c r="Y424" s="13"/>
      <c r="Z424" s="448" t="str">
        <f>OBRA!K423</f>
        <v>RESCATE AL PATRIMONIO</v>
      </c>
      <c r="AA424" s="13"/>
      <c r="AB424" s="2" t="str">
        <f>OBRA!M423</f>
        <v>CONVENIO</v>
      </c>
      <c r="AC424" s="3" t="str">
        <f>OBRA!N423</f>
        <v>REMOZAMIENTO Y MEJORAMIENTO  DE IMAGEN URBANA DEL TEMPLO DEL SEÑOR DEL MONTE</v>
      </c>
      <c r="AD424" s="4">
        <f>OBRA!P423</f>
        <v>1600000</v>
      </c>
      <c r="AE424" s="6">
        <f>OBRA!Q423</f>
        <v>44162</v>
      </c>
      <c r="AF424" s="5" t="str">
        <f>OBRA!R423</f>
        <v>-</v>
      </c>
      <c r="AG424" s="428" t="str">
        <f>OBRA!S423</f>
        <v>-</v>
      </c>
      <c r="AH424" s="54"/>
      <c r="AI424" s="231"/>
      <c r="AJ424" s="267"/>
      <c r="AK424" s="267"/>
      <c r="AL424" s="432"/>
      <c r="AM424" s="573" t="str">
        <f>GRAL!B425</f>
        <v>2018-2021</v>
      </c>
      <c r="AN424" s="448"/>
      <c r="AO424" s="13"/>
    </row>
    <row r="425" spans="1:41" ht="30" hidden="1" customHeight="1">
      <c r="A425" s="166">
        <f>OBRA!I425</f>
        <v>2020</v>
      </c>
      <c r="B425" s="2036"/>
      <c r="C425" s="433"/>
      <c r="D425" s="154"/>
      <c r="E425" s="156"/>
      <c r="F425" s="156"/>
      <c r="G425" s="436"/>
      <c r="H425" s="442" t="str">
        <f>OBRA!AD425</f>
        <v>-</v>
      </c>
      <c r="I425" s="438"/>
      <c r="J425" s="444" t="str">
        <f>OBRA!AE425</f>
        <v>-</v>
      </c>
      <c r="K425" s="439"/>
      <c r="L425" s="442" t="str">
        <f>OBRA!AF425</f>
        <v>-</v>
      </c>
      <c r="M425" s="440"/>
      <c r="N425" s="442" t="str">
        <f>OBRA!AG425</f>
        <v>-</v>
      </c>
      <c r="O425" s="152"/>
      <c r="P425" s="152"/>
      <c r="Q425" s="441"/>
      <c r="R425" s="445" t="str">
        <f>OBRA!AH425</f>
        <v>-</v>
      </c>
      <c r="S425" s="349"/>
      <c r="T425" s="446" t="str">
        <f>OBRA!U425</f>
        <v>N/A</v>
      </c>
      <c r="U425" s="447" t="str">
        <f>OBRA!V425</f>
        <v>N/A</v>
      </c>
      <c r="V425" s="1281"/>
      <c r="W425" s="20" t="str">
        <f>OBRA!L425</f>
        <v>RASTRO DIGNO 2020</v>
      </c>
      <c r="X425" s="13"/>
      <c r="Y425" s="13"/>
      <c r="Z425" s="448" t="str">
        <f>OBRA!K425</f>
        <v xml:space="preserve">RASTRO DIGNO </v>
      </c>
      <c r="AA425" s="13"/>
      <c r="AB425" s="2" t="str">
        <f>OBRA!M425</f>
        <v>CONVENIO</v>
      </c>
      <c r="AC425" s="3" t="str">
        <f>OBRA!N425</f>
        <v>PROGRAMA PARA MEJORAMIENTO DE RASTROS "RASTRO DIGNO", EJERCICIO 2020</v>
      </c>
      <c r="AD425" s="4">
        <f>OBRA!P425</f>
        <v>2755548.61</v>
      </c>
      <c r="AE425" s="6">
        <f>OBRA!Q425</f>
        <v>44174</v>
      </c>
      <c r="AF425" s="5" t="str">
        <f>OBRA!R425</f>
        <v>-</v>
      </c>
      <c r="AG425" s="428" t="str">
        <f>OBRA!S425</f>
        <v>-</v>
      </c>
      <c r="AH425" s="54"/>
      <c r="AI425" s="231"/>
      <c r="AJ425" s="267"/>
      <c r="AK425" s="267"/>
      <c r="AL425" s="432"/>
      <c r="AM425" s="573" t="str">
        <f>GRAL!B427</f>
        <v>2018-2021</v>
      </c>
      <c r="AN425" s="448"/>
      <c r="AO425" s="13"/>
    </row>
    <row r="426" spans="1:41" ht="30" hidden="1" customHeight="1">
      <c r="A426" s="166">
        <f>OBRA!I426</f>
        <v>2020</v>
      </c>
      <c r="B426" s="2036"/>
      <c r="C426" s="433"/>
      <c r="D426" s="154"/>
      <c r="E426" s="156"/>
      <c r="F426" s="156"/>
      <c r="G426" s="436"/>
      <c r="H426" s="442" t="str">
        <f>OBRA!AD426</f>
        <v>-</v>
      </c>
      <c r="I426" s="438"/>
      <c r="J426" s="444" t="str">
        <f>OBRA!AE426</f>
        <v>-</v>
      </c>
      <c r="K426" s="439"/>
      <c r="L426" s="442" t="str">
        <f>OBRA!AF426</f>
        <v>-</v>
      </c>
      <c r="M426" s="440"/>
      <c r="N426" s="442" t="str">
        <f>OBRA!AG426</f>
        <v>-</v>
      </c>
      <c r="O426" s="152"/>
      <c r="P426" s="152"/>
      <c r="Q426" s="441"/>
      <c r="R426" s="445" t="str">
        <f>OBRA!AH426</f>
        <v>-</v>
      </c>
      <c r="S426" s="349"/>
      <c r="T426" s="446" t="str">
        <f>OBRA!U426</f>
        <v>N/A</v>
      </c>
      <c r="U426" s="447" t="str">
        <f>OBRA!V426</f>
        <v>N/A</v>
      </c>
      <c r="V426" s="1281"/>
      <c r="W426" s="20" t="str">
        <f>OBRA!L426</f>
        <v>SADER/DGIR/EMP/057/2020</v>
      </c>
      <c r="X426" s="13"/>
      <c r="Y426" s="13"/>
      <c r="Z426" s="448" t="str">
        <f>OBRA!K426</f>
        <v>EMP P/LA REACTIVACIÓN ECONÓMICA EN MPIOS</v>
      </c>
      <c r="AA426" s="13"/>
      <c r="AB426" s="2" t="str">
        <f>OBRA!M426</f>
        <v>CONVENIO</v>
      </c>
      <c r="AC426" s="3" t="str">
        <f>OBRA!N426</f>
        <v xml:space="preserve">PROGRAMA DE EMPEDRADOS PARA LA REACTIVACIÓN ECONÓMICA EN MUNICIPIOS </v>
      </c>
      <c r="AD426" s="4">
        <f>OBRA!P426</f>
        <v>7000000</v>
      </c>
      <c r="AE426" s="6">
        <f>OBRA!Q426</f>
        <v>44085</v>
      </c>
      <c r="AF426" s="5" t="str">
        <f>OBRA!R426</f>
        <v>-</v>
      </c>
      <c r="AG426" s="428" t="str">
        <f>OBRA!S426</f>
        <v>-</v>
      </c>
      <c r="AH426" s="54"/>
      <c r="AI426" s="231"/>
      <c r="AJ426" s="267"/>
      <c r="AK426" s="267"/>
      <c r="AL426" s="432"/>
      <c r="AM426" s="573" t="str">
        <f>GRAL!B428</f>
        <v>2018-2021</v>
      </c>
      <c r="AN426" s="448"/>
      <c r="AO426" s="13"/>
    </row>
    <row r="427" spans="1:41" ht="30" hidden="1" customHeight="1">
      <c r="A427" s="166">
        <f>OBRA!I427</f>
        <v>2020</v>
      </c>
      <c r="B427" s="2036"/>
      <c r="C427" s="433"/>
      <c r="D427" s="154"/>
      <c r="E427" s="156"/>
      <c r="F427" s="156"/>
      <c r="G427" s="436"/>
      <c r="H427" s="442" t="str">
        <f>OBRA!AD427</f>
        <v>-</v>
      </c>
      <c r="I427" s="438"/>
      <c r="J427" s="444" t="str">
        <f>OBRA!AE427</f>
        <v>-</v>
      </c>
      <c r="K427" s="439"/>
      <c r="L427" s="442" t="str">
        <f>OBRA!AF427</f>
        <v>-</v>
      </c>
      <c r="M427" s="440"/>
      <c r="N427" s="442" t="str">
        <f>OBRA!AG427</f>
        <v>-</v>
      </c>
      <c r="O427" s="152"/>
      <c r="P427" s="152"/>
      <c r="Q427" s="441"/>
      <c r="R427" s="445" t="str">
        <f>OBRA!AH427</f>
        <v>-</v>
      </c>
      <c r="S427" s="349"/>
      <c r="T427" s="446" t="str">
        <f>OBRA!U427</f>
        <v>N/A</v>
      </c>
      <c r="U427" s="447" t="str">
        <f>OBRA!V427</f>
        <v>ING. JUAN MANUEL GARCIA ESCOTO</v>
      </c>
      <c r="V427" s="1281"/>
      <c r="W427" s="20" t="str">
        <f>OBRA!L427</f>
        <v>DOP/AD/001/2020</v>
      </c>
      <c r="X427" s="13"/>
      <c r="Y427" s="13"/>
      <c r="Z427" s="448" t="str">
        <f>OBRA!K427</f>
        <v>CUENTA CORRIENTE</v>
      </c>
      <c r="AA427" s="13"/>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428">
        <f>OBRA!S427</f>
        <v>43982</v>
      </c>
      <c r="AH427" s="54"/>
      <c r="AI427" s="231"/>
      <c r="AJ427" s="267"/>
      <c r="AK427" s="267"/>
      <c r="AL427" s="432"/>
      <c r="AM427" s="573" t="str">
        <f>GRAL!B429</f>
        <v>2018-2021</v>
      </c>
      <c r="AN427" s="448"/>
      <c r="AO427" s="13"/>
    </row>
    <row r="428" spans="1:41" ht="30" hidden="1" customHeight="1">
      <c r="A428" s="166">
        <f>OBRA!I428</f>
        <v>2020</v>
      </c>
      <c r="B428" s="2036"/>
      <c r="C428" s="433"/>
      <c r="D428" s="154"/>
      <c r="E428" s="156"/>
      <c r="F428" s="156"/>
      <c r="G428" s="436"/>
      <c r="H428" s="442" t="str">
        <f>OBRA!AD428</f>
        <v>-</v>
      </c>
      <c r="I428" s="438"/>
      <c r="J428" s="444" t="str">
        <f>OBRA!AE428</f>
        <v>-</v>
      </c>
      <c r="K428" s="439"/>
      <c r="L428" s="442" t="str">
        <f>OBRA!AF428</f>
        <v>-</v>
      </c>
      <c r="M428" s="440"/>
      <c r="N428" s="442" t="str">
        <f>OBRA!AG428</f>
        <v>-</v>
      </c>
      <c r="O428" s="152"/>
      <c r="P428" s="152"/>
      <c r="Q428" s="441"/>
      <c r="R428" s="445" t="str">
        <f>OBRA!AH428</f>
        <v>-</v>
      </c>
      <c r="S428" s="349"/>
      <c r="T428" s="446" t="str">
        <f>OBRA!U428</f>
        <v>N/A</v>
      </c>
      <c r="U428" s="447" t="str">
        <f>OBRA!V428</f>
        <v>HACIENDA MPAL</v>
      </c>
      <c r="V428" s="1281"/>
      <c r="W428" s="20" t="str">
        <f>OBRA!L428</f>
        <v>DOP/AD/002/2020</v>
      </c>
      <c r="X428" s="13"/>
      <c r="Y428" s="13"/>
      <c r="Z428" s="448" t="str">
        <f>OBRA!K428</f>
        <v>CUENTA CORRIENTE</v>
      </c>
      <c r="AA428" s="13"/>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428">
        <f>OBRA!S428</f>
        <v>44043</v>
      </c>
      <c r="AH428" s="54"/>
      <c r="AI428" s="231"/>
      <c r="AJ428" s="267"/>
      <c r="AK428" s="267"/>
      <c r="AL428" s="432"/>
      <c r="AM428" s="573" t="str">
        <f>GRAL!B430</f>
        <v>2018-2021</v>
      </c>
      <c r="AN428" s="448"/>
      <c r="AO428" s="13"/>
    </row>
    <row r="429" spans="1:41" ht="30" hidden="1" customHeight="1">
      <c r="A429" s="166">
        <f>OBRA!I429</f>
        <v>2020</v>
      </c>
      <c r="B429" s="2036"/>
      <c r="C429" s="433"/>
      <c r="D429" s="154"/>
      <c r="E429" s="156"/>
      <c r="F429" s="156"/>
      <c r="G429" s="436"/>
      <c r="H429" s="442" t="str">
        <f>OBRA!AD429</f>
        <v>-</v>
      </c>
      <c r="I429" s="438"/>
      <c r="J429" s="444" t="str">
        <f>OBRA!AE429</f>
        <v>-</v>
      </c>
      <c r="K429" s="439"/>
      <c r="L429" s="442" t="str">
        <f>OBRA!AF429</f>
        <v>-</v>
      </c>
      <c r="M429" s="440"/>
      <c r="N429" s="442" t="str">
        <f>OBRA!AG429</f>
        <v>-</v>
      </c>
      <c r="O429" s="152"/>
      <c r="P429" s="152"/>
      <c r="Q429" s="441"/>
      <c r="R429" s="445" t="str">
        <f>OBRA!AH429</f>
        <v>-</v>
      </c>
      <c r="S429" s="349"/>
      <c r="T429" s="446" t="str">
        <f>OBRA!U429</f>
        <v>N/A</v>
      </c>
      <c r="U429" s="447" t="str">
        <f>OBRA!V429</f>
        <v>ARQ. JAIME CONDE GOMEZ</v>
      </c>
      <c r="V429" s="1281"/>
      <c r="W429" s="20" t="str">
        <f>OBRA!L429</f>
        <v>DOP/AD/003/2020</v>
      </c>
      <c r="X429" s="13"/>
      <c r="Y429" s="13"/>
      <c r="Z429" s="448" t="str">
        <f>OBRA!K429</f>
        <v>CEAJ / CUENTA CORRIENTE</v>
      </c>
      <c r="AA429" s="13"/>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428">
        <f>OBRA!S429</f>
        <v>44098</v>
      </c>
      <c r="AH429" s="54"/>
      <c r="AI429" s="231"/>
      <c r="AJ429" s="267"/>
      <c r="AK429" s="267"/>
      <c r="AL429" s="432"/>
      <c r="AM429" s="573" t="str">
        <f>GRAL!B431</f>
        <v>2018-2021</v>
      </c>
      <c r="AN429" s="448"/>
      <c r="AO429" s="13"/>
    </row>
    <row r="430" spans="1:41" ht="30" hidden="1" customHeight="1">
      <c r="A430" s="166">
        <f>OBRA!I430</f>
        <v>2020</v>
      </c>
      <c r="B430" s="2036"/>
      <c r="C430" s="433"/>
      <c r="D430" s="154"/>
      <c r="E430" s="156"/>
      <c r="F430" s="156"/>
      <c r="G430" s="436"/>
      <c r="H430" s="442" t="str">
        <f>OBRA!AD430</f>
        <v>-</v>
      </c>
      <c r="I430" s="438"/>
      <c r="J430" s="444" t="str">
        <f>OBRA!AE430</f>
        <v>-</v>
      </c>
      <c r="K430" s="439"/>
      <c r="L430" s="442" t="str">
        <f>OBRA!AF430</f>
        <v>-</v>
      </c>
      <c r="M430" s="440"/>
      <c r="N430" s="442" t="str">
        <f>OBRA!AG430</f>
        <v>-</v>
      </c>
      <c r="O430" s="152"/>
      <c r="P430" s="152"/>
      <c r="Q430" s="441"/>
      <c r="R430" s="445" t="str">
        <f>OBRA!AH430</f>
        <v>-</v>
      </c>
      <c r="S430" s="349"/>
      <c r="T430" s="446" t="str">
        <f>OBRA!U430</f>
        <v>N/A</v>
      </c>
      <c r="U430" s="447" t="str">
        <f>OBRA!V430</f>
        <v>TESORERÍA</v>
      </c>
      <c r="V430" s="1281"/>
      <c r="W430" s="20" t="str">
        <f>OBRA!L430</f>
        <v>DOP/AD/004/2020</v>
      </c>
      <c r="X430" s="13"/>
      <c r="Y430" s="13"/>
      <c r="Z430" s="448" t="str">
        <f>OBRA!K430</f>
        <v>CUENTA CORRIENTE</v>
      </c>
      <c r="AA430" s="13"/>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428">
        <f>OBRA!S430</f>
        <v>43960</v>
      </c>
      <c r="AH430" s="54"/>
      <c r="AI430" s="231"/>
      <c r="AJ430" s="267"/>
      <c r="AK430" s="267"/>
      <c r="AL430" s="432"/>
      <c r="AM430" s="573" t="str">
        <f>GRAL!B432</f>
        <v>2018-2021</v>
      </c>
      <c r="AN430" s="448"/>
      <c r="AO430" s="13"/>
    </row>
    <row r="431" spans="1:41" ht="30" hidden="1" customHeight="1">
      <c r="A431" s="166">
        <f>OBRA!I431</f>
        <v>2020</v>
      </c>
      <c r="B431" s="2036"/>
      <c r="C431" s="433"/>
      <c r="D431" s="154"/>
      <c r="E431" s="156"/>
      <c r="F431" s="156"/>
      <c r="G431" s="436"/>
      <c r="H431" s="442" t="str">
        <f>OBRA!AD431</f>
        <v>-</v>
      </c>
      <c r="I431" s="438"/>
      <c r="J431" s="444" t="str">
        <f>OBRA!AE431</f>
        <v>-</v>
      </c>
      <c r="K431" s="439"/>
      <c r="L431" s="442" t="str">
        <f>OBRA!AF431</f>
        <v>-</v>
      </c>
      <c r="M431" s="440"/>
      <c r="N431" s="442" t="str">
        <f>OBRA!AG431</f>
        <v>-</v>
      </c>
      <c r="O431" s="152"/>
      <c r="P431" s="152"/>
      <c r="Q431" s="441"/>
      <c r="R431" s="445" t="str">
        <f>OBRA!AH431</f>
        <v>-</v>
      </c>
      <c r="S431" s="349"/>
      <c r="T431" s="446" t="str">
        <f>OBRA!U431</f>
        <v>N/A</v>
      </c>
      <c r="U431" s="447" t="str">
        <f>OBRA!V431</f>
        <v>HACIENDA MPAL</v>
      </c>
      <c r="V431" s="1281"/>
      <c r="W431" s="20" t="str">
        <f>OBRA!L431</f>
        <v>DOP/AD/005/2020</v>
      </c>
      <c r="X431" s="13"/>
      <c r="Y431" s="13"/>
      <c r="Z431" s="448" t="str">
        <f>OBRA!K431</f>
        <v>CUENTA CORRIENTE</v>
      </c>
      <c r="AA431" s="13"/>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428">
        <f>OBRA!S431</f>
        <v>43961</v>
      </c>
      <c r="AH431" s="54"/>
      <c r="AI431" s="231"/>
      <c r="AJ431" s="267"/>
      <c r="AK431" s="267"/>
      <c r="AL431" s="432"/>
      <c r="AM431" s="573" t="str">
        <f>GRAL!B433</f>
        <v>2018-2021</v>
      </c>
      <c r="AN431" s="448"/>
      <c r="AO431" s="13"/>
    </row>
    <row r="432" spans="1:41" ht="30" hidden="1" customHeight="1">
      <c r="A432" s="166">
        <f>OBRA!I432</f>
        <v>2020</v>
      </c>
      <c r="B432" s="2036"/>
      <c r="C432" s="433"/>
      <c r="D432" s="154"/>
      <c r="E432" s="156"/>
      <c r="F432" s="156"/>
      <c r="G432" s="436"/>
      <c r="H432" s="442" t="str">
        <f>OBRA!AD432</f>
        <v>-</v>
      </c>
      <c r="I432" s="438"/>
      <c r="J432" s="444" t="str">
        <f>OBRA!AE432</f>
        <v>-</v>
      </c>
      <c r="K432" s="439"/>
      <c r="L432" s="442" t="str">
        <f>OBRA!AF432</f>
        <v>-</v>
      </c>
      <c r="M432" s="440"/>
      <c r="N432" s="442" t="str">
        <f>OBRA!AG432</f>
        <v>-</v>
      </c>
      <c r="O432" s="152"/>
      <c r="P432" s="152"/>
      <c r="Q432" s="441"/>
      <c r="R432" s="445" t="str">
        <f>OBRA!AH432</f>
        <v>-</v>
      </c>
      <c r="S432" s="349"/>
      <c r="T432" s="446" t="str">
        <f>OBRA!U432</f>
        <v>N/A</v>
      </c>
      <c r="U432" s="447" t="str">
        <f>OBRA!V432</f>
        <v>ING. J. GUADALUPE IBARRA RAMIREZ</v>
      </c>
      <c r="V432" s="1281"/>
      <c r="W432" s="20" t="str">
        <f>OBRA!L432</f>
        <v>DOP/AD/006/2020</v>
      </c>
      <c r="X432" s="13"/>
      <c r="Y432" s="13"/>
      <c r="Z432" s="448" t="str">
        <f>OBRA!K432</f>
        <v>RAMO 33</v>
      </c>
      <c r="AA432" s="13"/>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428">
        <f>OBRA!S432</f>
        <v>44120</v>
      </c>
      <c r="AH432" s="54"/>
      <c r="AI432" s="231"/>
      <c r="AJ432" s="267"/>
      <c r="AK432" s="267"/>
      <c r="AL432" s="432"/>
      <c r="AM432" s="573" t="str">
        <f>GRAL!B434</f>
        <v>2018-2021</v>
      </c>
      <c r="AN432" s="448"/>
      <c r="AO432" s="13"/>
    </row>
    <row r="433" spans="1:41" ht="30" hidden="1" customHeight="1">
      <c r="A433" s="166">
        <f>OBRA!I433</f>
        <v>2020</v>
      </c>
      <c r="B433" s="2036"/>
      <c r="C433" s="433"/>
      <c r="D433" s="154"/>
      <c r="E433" s="156"/>
      <c r="F433" s="156"/>
      <c r="G433" s="436"/>
      <c r="H433" s="442" t="str">
        <f>OBRA!AD433</f>
        <v>-</v>
      </c>
      <c r="I433" s="438"/>
      <c r="J433" s="444" t="str">
        <f>OBRA!AE433</f>
        <v>-</v>
      </c>
      <c r="K433" s="439"/>
      <c r="L433" s="442" t="str">
        <f>OBRA!AF433</f>
        <v>-</v>
      </c>
      <c r="M433" s="440"/>
      <c r="N433" s="442" t="str">
        <f>OBRA!AG433</f>
        <v>-</v>
      </c>
      <c r="O433" s="152"/>
      <c r="P433" s="152"/>
      <c r="Q433" s="441"/>
      <c r="R433" s="445" t="str">
        <f>OBRA!AH433</f>
        <v>-</v>
      </c>
      <c r="S433" s="349"/>
      <c r="T433" s="446" t="str">
        <f>OBRA!U433</f>
        <v>N/A</v>
      </c>
      <c r="U433" s="447" t="str">
        <f>OBRA!V433</f>
        <v>ING. J. GUADALUPE IBARRA RAMIREZ</v>
      </c>
      <c r="V433" s="1281"/>
      <c r="W433" s="20" t="str">
        <f>OBRA!L433</f>
        <v>DOP/AD/007/2020</v>
      </c>
      <c r="X433" s="13"/>
      <c r="Y433" s="13"/>
      <c r="Z433" s="448" t="str">
        <f>OBRA!K433</f>
        <v>EMP P/LA REACTIVACIÓN ECONÓMICA EN MPIOS</v>
      </c>
      <c r="AA433" s="13"/>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428">
        <f>OBRA!S433</f>
        <v>44191</v>
      </c>
      <c r="AH433" s="54"/>
      <c r="AI433" s="231"/>
      <c r="AJ433" s="267"/>
      <c r="AK433" s="267"/>
      <c r="AL433" s="432"/>
      <c r="AM433" s="573" t="str">
        <f>GRAL!B435</f>
        <v>2018-2021</v>
      </c>
      <c r="AN433" s="448"/>
      <c r="AO433" s="13"/>
    </row>
    <row r="434" spans="1:41" ht="30" hidden="1" customHeight="1">
      <c r="A434" s="166">
        <f>OBRA!I434</f>
        <v>2020</v>
      </c>
      <c r="B434" s="2036"/>
      <c r="C434" s="433"/>
      <c r="D434" s="154"/>
      <c r="E434" s="156"/>
      <c r="F434" s="156"/>
      <c r="G434" s="436"/>
      <c r="H434" s="442" t="str">
        <f>OBRA!AD434</f>
        <v>-</v>
      </c>
      <c r="I434" s="438"/>
      <c r="J434" s="444" t="str">
        <f>OBRA!AE434</f>
        <v>-</v>
      </c>
      <c r="K434" s="439"/>
      <c r="L434" s="442" t="str">
        <f>OBRA!AF434</f>
        <v>-</v>
      </c>
      <c r="M434" s="440"/>
      <c r="N434" s="442" t="str">
        <f>OBRA!AG434</f>
        <v>-</v>
      </c>
      <c r="O434" s="152"/>
      <c r="P434" s="152"/>
      <c r="Q434" s="441"/>
      <c r="R434" s="445" t="str">
        <f>OBRA!AH434</f>
        <v>-</v>
      </c>
      <c r="S434" s="349"/>
      <c r="T434" s="446" t="str">
        <f>OBRA!U434</f>
        <v>N/A</v>
      </c>
      <c r="U434" s="447">
        <f>OBRA!V434</f>
        <v>0</v>
      </c>
      <c r="V434" s="1281"/>
      <c r="W434" s="20" t="str">
        <f>OBRA!L434</f>
        <v>DOP/AD/007-A/2020</v>
      </c>
      <c r="X434" s="13"/>
      <c r="Y434" s="13"/>
      <c r="Z434" s="448" t="str">
        <f>OBRA!K434</f>
        <v>CTA-CTE / EMP P REACT ECO MPIOS</v>
      </c>
      <c r="AA434" s="13"/>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428">
        <f>OBRA!S434</f>
        <v>44191</v>
      </c>
      <c r="AH434" s="54"/>
      <c r="AI434" s="231"/>
      <c r="AJ434" s="267"/>
      <c r="AK434" s="267"/>
      <c r="AL434" s="432"/>
      <c r="AM434" s="573" t="str">
        <f>GRAL!B436</f>
        <v>2018-2021</v>
      </c>
      <c r="AN434" s="448"/>
      <c r="AO434" s="13"/>
    </row>
    <row r="435" spans="1:41" ht="30" hidden="1" customHeight="1">
      <c r="A435" s="166">
        <f>OBRA!I435</f>
        <v>2020</v>
      </c>
      <c r="B435" s="2036"/>
      <c r="C435" s="433"/>
      <c r="D435" s="154"/>
      <c r="E435" s="156"/>
      <c r="F435" s="156"/>
      <c r="G435" s="436"/>
      <c r="H435" s="442" t="str">
        <f>OBRA!AD435</f>
        <v>-</v>
      </c>
      <c r="I435" s="438"/>
      <c r="J435" s="444" t="str">
        <f>OBRA!AE435</f>
        <v>-</v>
      </c>
      <c r="K435" s="439"/>
      <c r="L435" s="442" t="str">
        <f>OBRA!AF435</f>
        <v>-</v>
      </c>
      <c r="M435" s="440"/>
      <c r="N435" s="442" t="str">
        <f>OBRA!AG435</f>
        <v>-</v>
      </c>
      <c r="O435" s="152"/>
      <c r="P435" s="152"/>
      <c r="Q435" s="441"/>
      <c r="R435" s="445" t="str">
        <f>OBRA!AH435</f>
        <v>-</v>
      </c>
      <c r="S435" s="349"/>
      <c r="T435" s="446" t="str">
        <f>OBRA!U435</f>
        <v>N/A</v>
      </c>
      <c r="U435" s="447" t="str">
        <f>OBRA!V435</f>
        <v>ING. J. GUADALUPE IBARRA RAMIREZ</v>
      </c>
      <c r="V435" s="1281"/>
      <c r="W435" s="20" t="str">
        <f>OBRA!L435</f>
        <v>DOP/AD/008/2020</v>
      </c>
      <c r="X435" s="13"/>
      <c r="Y435" s="13"/>
      <c r="Z435" s="448" t="str">
        <f>OBRA!K435</f>
        <v>EMP P/LA REACTIVACIÓN ECONÓMICA EN MPIOS</v>
      </c>
      <c r="AA435" s="13"/>
      <c r="AB435" s="2" t="str">
        <f>OBRA!M435</f>
        <v>ADMINISTRACIÓN DIRECTA</v>
      </c>
      <c r="AC435" s="3" t="str">
        <f>OBRA!N435</f>
        <v>CONSTRUCCIÓN DE EMPEDRADO ZAMPEADO EN CALLES DE LA DELEGACIÓN DE HUEJOTITAN</v>
      </c>
      <c r="AD435" s="4">
        <f>OBRA!P435</f>
        <v>1079624.5</v>
      </c>
      <c r="AE435" s="6">
        <f>OBRA!Q435</f>
        <v>44454</v>
      </c>
      <c r="AF435" s="5">
        <f>OBRA!R435</f>
        <v>44166</v>
      </c>
      <c r="AG435" s="428">
        <f>OBRA!S435</f>
        <v>44196</v>
      </c>
      <c r="AH435" s="54"/>
      <c r="AI435" s="231"/>
      <c r="AJ435" s="267"/>
      <c r="AK435" s="267"/>
      <c r="AL435" s="432"/>
      <c r="AM435" s="573" t="str">
        <f>GRAL!B437</f>
        <v>2018-2021</v>
      </c>
      <c r="AN435" s="448"/>
      <c r="AO435" s="13"/>
    </row>
    <row r="436" spans="1:41" ht="30" hidden="1" customHeight="1">
      <c r="A436" s="166">
        <f>OBRA!I436</f>
        <v>2020</v>
      </c>
      <c r="B436" s="2036"/>
      <c r="C436" s="433"/>
      <c r="D436" s="154"/>
      <c r="E436" s="156"/>
      <c r="F436" s="156"/>
      <c r="G436" s="436"/>
      <c r="H436" s="442" t="str">
        <f>OBRA!AD436</f>
        <v>-</v>
      </c>
      <c r="I436" s="438"/>
      <c r="J436" s="444" t="str">
        <f>OBRA!AE436</f>
        <v>-</v>
      </c>
      <c r="K436" s="439"/>
      <c r="L436" s="442" t="str">
        <f>OBRA!AF436</f>
        <v>-</v>
      </c>
      <c r="M436" s="440"/>
      <c r="N436" s="442" t="str">
        <f>OBRA!AG436</f>
        <v>-</v>
      </c>
      <c r="O436" s="152"/>
      <c r="P436" s="152"/>
      <c r="Q436" s="441"/>
      <c r="R436" s="445" t="str">
        <f>OBRA!AH436</f>
        <v>-</v>
      </c>
      <c r="S436" s="349"/>
      <c r="T436" s="446" t="str">
        <f>OBRA!U436</f>
        <v>N/A</v>
      </c>
      <c r="U436" s="447">
        <f>OBRA!V436</f>
        <v>0</v>
      </c>
      <c r="V436" s="1281"/>
      <c r="W436" s="20" t="str">
        <f>OBRA!L436</f>
        <v>DOP/AD/008-A/2020</v>
      </c>
      <c r="X436" s="13"/>
      <c r="Y436" s="13"/>
      <c r="Z436" s="448" t="str">
        <f>OBRA!K436</f>
        <v>CTA-CTE / EMP P REACT ECO MPIOS</v>
      </c>
      <c r="AA436" s="13"/>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428">
        <f>OBRA!S436</f>
        <v>44196</v>
      </c>
      <c r="AH436" s="54"/>
      <c r="AI436" s="231"/>
      <c r="AJ436" s="267"/>
      <c r="AK436" s="267"/>
      <c r="AL436" s="432"/>
      <c r="AM436" s="573" t="str">
        <f>GRAL!B438</f>
        <v>2018-2021</v>
      </c>
      <c r="AN436" s="448"/>
      <c r="AO436" s="13"/>
    </row>
    <row r="437" spans="1:41" ht="30" hidden="1" customHeight="1">
      <c r="A437" s="166">
        <f>OBRA!I437</f>
        <v>2020</v>
      </c>
      <c r="B437" s="2036"/>
      <c r="C437" s="433"/>
      <c r="D437" s="154"/>
      <c r="E437" s="156"/>
      <c r="F437" s="156"/>
      <c r="G437" s="436"/>
      <c r="H437" s="442" t="str">
        <f>OBRA!AD437</f>
        <v>-</v>
      </c>
      <c r="I437" s="438"/>
      <c r="J437" s="444" t="str">
        <f>OBRA!AE437</f>
        <v>-</v>
      </c>
      <c r="K437" s="439"/>
      <c r="L437" s="442" t="str">
        <f>OBRA!AF437</f>
        <v>-</v>
      </c>
      <c r="M437" s="440"/>
      <c r="N437" s="442" t="str">
        <f>OBRA!AG437</f>
        <v>-</v>
      </c>
      <c r="O437" s="152"/>
      <c r="P437" s="152"/>
      <c r="Q437" s="441"/>
      <c r="R437" s="445" t="str">
        <f>OBRA!AH437</f>
        <v>-</v>
      </c>
      <c r="S437" s="349"/>
      <c r="T437" s="446" t="str">
        <f>OBRA!U437</f>
        <v>N/A</v>
      </c>
      <c r="U437" s="447" t="str">
        <f>OBRA!V437</f>
        <v>ING. J. GUADALUPE IBARRA RAMIREZ</v>
      </c>
      <c r="V437" s="1281"/>
      <c r="W437" s="20" t="str">
        <f>OBRA!L437</f>
        <v>DOP/AD/009/2020</v>
      </c>
      <c r="X437" s="13"/>
      <c r="Y437" s="13"/>
      <c r="Z437" s="448" t="str">
        <f>OBRA!K437</f>
        <v>EMP P/LA REACTIVACIÓN ECONÓMICA EN MPIOS</v>
      </c>
      <c r="AA437" s="13"/>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428">
        <f>OBRA!S437</f>
        <v>44191</v>
      </c>
      <c r="AH437" s="54"/>
      <c r="AI437" s="231"/>
      <c r="AJ437" s="267"/>
      <c r="AK437" s="267"/>
      <c r="AL437" s="432"/>
      <c r="AM437" s="573" t="str">
        <f>GRAL!B439</f>
        <v>2018-2021</v>
      </c>
      <c r="AN437" s="448"/>
      <c r="AO437" s="13"/>
    </row>
    <row r="438" spans="1:41" ht="30" hidden="1" customHeight="1">
      <c r="A438" s="166">
        <f>OBRA!I438</f>
        <v>2020</v>
      </c>
      <c r="B438" s="2036"/>
      <c r="C438" s="433"/>
      <c r="D438" s="154"/>
      <c r="E438" s="156"/>
      <c r="F438" s="156"/>
      <c r="G438" s="436"/>
      <c r="H438" s="442" t="str">
        <f>OBRA!AD438</f>
        <v>-</v>
      </c>
      <c r="I438" s="438"/>
      <c r="J438" s="444" t="str">
        <f>OBRA!AE438</f>
        <v>-</v>
      </c>
      <c r="K438" s="439"/>
      <c r="L438" s="442" t="str">
        <f>OBRA!AF438</f>
        <v>-</v>
      </c>
      <c r="M438" s="440"/>
      <c r="N438" s="442" t="str">
        <f>OBRA!AG438</f>
        <v>-</v>
      </c>
      <c r="O438" s="152"/>
      <c r="P438" s="152"/>
      <c r="Q438" s="441"/>
      <c r="R438" s="445" t="str">
        <f>OBRA!AH438</f>
        <v>-</v>
      </c>
      <c r="S438" s="349"/>
      <c r="T438" s="446" t="str">
        <f>OBRA!U438</f>
        <v>N/A</v>
      </c>
      <c r="U438" s="447" t="str">
        <f>OBRA!V438</f>
        <v>ING. J. GUADALUPE IBARRA RAMIREZ</v>
      </c>
      <c r="V438" s="1281"/>
      <c r="W438" s="20" t="str">
        <f>OBRA!L438</f>
        <v>DOP/AD/009/2020</v>
      </c>
      <c r="X438" s="13"/>
      <c r="Y438" s="13"/>
      <c r="Z438" s="448" t="str">
        <f>OBRA!K438</f>
        <v>EMP P/LA REACTIVACIÓN ECONÓMICA EN MPIOS</v>
      </c>
      <c r="AA438" s="13"/>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428">
        <f>OBRA!S438</f>
        <v>44191</v>
      </c>
      <c r="AH438" s="54"/>
      <c r="AI438" s="231"/>
      <c r="AJ438" s="267"/>
      <c r="AK438" s="267"/>
      <c r="AL438" s="432"/>
      <c r="AM438" s="573" t="str">
        <f>GRAL!B440</f>
        <v>2018-2021</v>
      </c>
      <c r="AN438" s="448"/>
      <c r="AO438" s="13"/>
    </row>
    <row r="439" spans="1:41" ht="30" hidden="1" customHeight="1">
      <c r="A439" s="166">
        <f>OBRA!I439</f>
        <v>2020</v>
      </c>
      <c r="B439" s="2036"/>
      <c r="C439" s="433"/>
      <c r="D439" s="154"/>
      <c r="E439" s="156"/>
      <c r="F439" s="156"/>
      <c r="G439" s="436"/>
      <c r="H439" s="442" t="str">
        <f>OBRA!AD439</f>
        <v>-</v>
      </c>
      <c r="I439" s="438"/>
      <c r="J439" s="444" t="str">
        <f>OBRA!AE439</f>
        <v>-</v>
      </c>
      <c r="K439" s="439"/>
      <c r="L439" s="442" t="str">
        <f>OBRA!AF439</f>
        <v>-</v>
      </c>
      <c r="M439" s="440"/>
      <c r="N439" s="442" t="str">
        <f>OBRA!AG439</f>
        <v>-</v>
      </c>
      <c r="O439" s="152"/>
      <c r="P439" s="152"/>
      <c r="Q439" s="441"/>
      <c r="R439" s="445" t="str">
        <f>OBRA!AH439</f>
        <v>-</v>
      </c>
      <c r="S439" s="349"/>
      <c r="T439" s="446" t="str">
        <f>OBRA!U439</f>
        <v>N/A</v>
      </c>
      <c r="U439" s="447">
        <f>OBRA!V439</f>
        <v>0</v>
      </c>
      <c r="V439" s="1281"/>
      <c r="W439" s="20" t="str">
        <f>OBRA!L439</f>
        <v>DOP/AD/009-A/2020</v>
      </c>
      <c r="X439" s="13"/>
      <c r="Y439" s="13"/>
      <c r="Z439" s="448" t="str">
        <f>OBRA!K439</f>
        <v>CTA-CTE / EMP P REACT ECO MPIOS</v>
      </c>
      <c r="AA439" s="13"/>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428">
        <f>OBRA!S439</f>
        <v>44191</v>
      </c>
      <c r="AH439" s="54"/>
      <c r="AI439" s="231"/>
      <c r="AJ439" s="267"/>
      <c r="AK439" s="267"/>
      <c r="AL439" s="432"/>
      <c r="AM439" s="573" t="str">
        <f>GRAL!B441</f>
        <v>2018-2021</v>
      </c>
      <c r="AN439" s="448"/>
      <c r="AO439" s="13"/>
    </row>
    <row r="440" spans="1:41" ht="30" hidden="1" customHeight="1">
      <c r="A440" s="166">
        <f>OBRA!I440</f>
        <v>2020</v>
      </c>
      <c r="B440" s="2036"/>
      <c r="C440" s="433"/>
      <c r="D440" s="154"/>
      <c r="E440" s="156"/>
      <c r="F440" s="156"/>
      <c r="G440" s="436"/>
      <c r="H440" s="442" t="str">
        <f>OBRA!AD440</f>
        <v>-</v>
      </c>
      <c r="I440" s="438"/>
      <c r="J440" s="444" t="str">
        <f>OBRA!AE440</f>
        <v>-</v>
      </c>
      <c r="K440" s="439"/>
      <c r="L440" s="442" t="str">
        <f>OBRA!AF440</f>
        <v>-</v>
      </c>
      <c r="M440" s="440"/>
      <c r="N440" s="442" t="str">
        <f>OBRA!AG440</f>
        <v>-</v>
      </c>
      <c r="O440" s="152"/>
      <c r="P440" s="152"/>
      <c r="Q440" s="441"/>
      <c r="R440" s="445" t="str">
        <f>OBRA!AH440</f>
        <v>-</v>
      </c>
      <c r="S440" s="349"/>
      <c r="T440" s="446" t="str">
        <f>OBRA!U440</f>
        <v>N/A</v>
      </c>
      <c r="U440" s="447" t="str">
        <f>OBRA!V440</f>
        <v>ING. J. GUADALUPE IBARRA RAMIREZ</v>
      </c>
      <c r="V440" s="1281"/>
      <c r="W440" s="20" t="str">
        <f>OBRA!L440</f>
        <v>DOP/AD/010/2020</v>
      </c>
      <c r="X440" s="13"/>
      <c r="Y440" s="13"/>
      <c r="Z440" s="448" t="str">
        <f>OBRA!K440</f>
        <v>EMP P/LA REACTIVACIÓN ECONÓMICA EN MPIOS</v>
      </c>
      <c r="AA440" s="13"/>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428">
        <f>OBRA!S440</f>
        <v>44196</v>
      </c>
      <c r="AH440" s="54"/>
      <c r="AI440" s="231"/>
      <c r="AJ440" s="267"/>
      <c r="AK440" s="267"/>
      <c r="AL440" s="432"/>
      <c r="AM440" s="573" t="str">
        <f>GRAL!B442</f>
        <v>2018-2021</v>
      </c>
      <c r="AN440" s="448"/>
      <c r="AO440" s="13"/>
    </row>
    <row r="441" spans="1:41" ht="30" hidden="1" customHeight="1">
      <c r="A441" s="166">
        <f>OBRA!I441</f>
        <v>2020</v>
      </c>
      <c r="B441" s="2036"/>
      <c r="C441" s="433"/>
      <c r="D441" s="154"/>
      <c r="E441" s="156"/>
      <c r="F441" s="156"/>
      <c r="G441" s="436"/>
      <c r="H441" s="442" t="str">
        <f>OBRA!AD441</f>
        <v>-</v>
      </c>
      <c r="I441" s="438"/>
      <c r="J441" s="444" t="str">
        <f>OBRA!AE441</f>
        <v>-</v>
      </c>
      <c r="K441" s="439"/>
      <c r="L441" s="442" t="str">
        <f>OBRA!AF441</f>
        <v>-</v>
      </c>
      <c r="M441" s="440"/>
      <c r="N441" s="442" t="str">
        <f>OBRA!AG441</f>
        <v>-</v>
      </c>
      <c r="O441" s="152"/>
      <c r="P441" s="152"/>
      <c r="Q441" s="441"/>
      <c r="R441" s="445" t="str">
        <f>OBRA!AH441</f>
        <v>-</v>
      </c>
      <c r="S441" s="349"/>
      <c r="T441" s="446" t="str">
        <f>OBRA!U441</f>
        <v>N/A</v>
      </c>
      <c r="U441" s="447">
        <f>OBRA!V441</f>
        <v>0</v>
      </c>
      <c r="V441" s="1281"/>
      <c r="W441" s="20" t="str">
        <f>OBRA!L441</f>
        <v>DOP/AD/010-A/2020</v>
      </c>
      <c r="X441" s="13"/>
      <c r="Y441" s="13"/>
      <c r="Z441" s="448" t="str">
        <f>OBRA!K441</f>
        <v>CTA-CTE / EMP P REACT ECO MPIOS</v>
      </c>
      <c r="AA441" s="13"/>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428">
        <f>OBRA!S441</f>
        <v>44196</v>
      </c>
      <c r="AH441" s="54"/>
      <c r="AI441" s="231"/>
      <c r="AJ441" s="267"/>
      <c r="AK441" s="267"/>
      <c r="AL441" s="432"/>
      <c r="AM441" s="573" t="str">
        <f>GRAL!B443</f>
        <v>2018-2021</v>
      </c>
      <c r="AN441" s="448"/>
      <c r="AO441" s="13"/>
    </row>
    <row r="442" spans="1:41" ht="30" hidden="1" customHeight="1">
      <c r="A442" s="166">
        <f>OBRA!I442</f>
        <v>2020</v>
      </c>
      <c r="B442" s="2036"/>
      <c r="C442" s="433"/>
      <c r="D442" s="154"/>
      <c r="E442" s="156"/>
      <c r="F442" s="156"/>
      <c r="G442" s="436"/>
      <c r="H442" s="442" t="str">
        <f>OBRA!AD442</f>
        <v>-</v>
      </c>
      <c r="I442" s="438"/>
      <c r="J442" s="444" t="str">
        <f>OBRA!AE442</f>
        <v>-</v>
      </c>
      <c r="K442" s="439"/>
      <c r="L442" s="442" t="str">
        <f>OBRA!AF442</f>
        <v>-</v>
      </c>
      <c r="M442" s="440"/>
      <c r="N442" s="442" t="str">
        <f>OBRA!AG442</f>
        <v>-</v>
      </c>
      <c r="O442" s="152"/>
      <c r="P442" s="152"/>
      <c r="Q442" s="441"/>
      <c r="R442" s="445" t="str">
        <f>OBRA!AH442</f>
        <v>-</v>
      </c>
      <c r="S442" s="349"/>
      <c r="T442" s="446" t="str">
        <f>OBRA!U442</f>
        <v>N/A</v>
      </c>
      <c r="U442" s="447" t="str">
        <f>OBRA!V442</f>
        <v>ING. J. GUADALUPE IBARRA RAMIREZ</v>
      </c>
      <c r="V442" s="1281"/>
      <c r="W442" s="20" t="str">
        <f>OBRA!L442</f>
        <v>DOP/AD/011/2020</v>
      </c>
      <c r="X442" s="13"/>
      <c r="Y442" s="13"/>
      <c r="Z442" s="448" t="str">
        <f>OBRA!K442</f>
        <v>EMP P/LA REACTIVACIÓN ECONÓMICA EN MPIOS</v>
      </c>
      <c r="AA442" s="13"/>
      <c r="AB442" s="2" t="str">
        <f>OBRA!M442</f>
        <v>ADMINISTRACIÓN DIRECTA</v>
      </c>
      <c r="AC442" s="3" t="str">
        <f>OBRA!N442</f>
        <v>CONSTRUCCIÓN DE EMPEDRADO ZAMPEADO EN CALLES DE LA AGENCIA DE EL SAUZ</v>
      </c>
      <c r="AD442" s="4">
        <f>OBRA!P442</f>
        <v>781012.26</v>
      </c>
      <c r="AE442" s="6">
        <f>OBRA!Q442</f>
        <v>44089</v>
      </c>
      <c r="AF442" s="5">
        <f>OBRA!R442</f>
        <v>44150</v>
      </c>
      <c r="AG442" s="428">
        <f>OBRA!S442</f>
        <v>44181</v>
      </c>
      <c r="AH442" s="54"/>
      <c r="AI442" s="231"/>
      <c r="AJ442" s="267"/>
      <c r="AK442" s="267"/>
      <c r="AL442" s="432"/>
      <c r="AM442" s="573" t="str">
        <f>GRAL!B444</f>
        <v>2018-2021</v>
      </c>
      <c r="AN442" s="448"/>
      <c r="AO442" s="13"/>
    </row>
    <row r="443" spans="1:41" ht="30" hidden="1" customHeight="1">
      <c r="A443" s="166">
        <f>OBRA!I443</f>
        <v>2020</v>
      </c>
      <c r="B443" s="2036"/>
      <c r="C443" s="433"/>
      <c r="D443" s="154"/>
      <c r="E443" s="156"/>
      <c r="F443" s="156"/>
      <c r="G443" s="436"/>
      <c r="H443" s="442" t="str">
        <f>OBRA!AD443</f>
        <v>-</v>
      </c>
      <c r="I443" s="438"/>
      <c r="J443" s="444" t="str">
        <f>OBRA!AE443</f>
        <v>-</v>
      </c>
      <c r="K443" s="439"/>
      <c r="L443" s="442" t="str">
        <f>OBRA!AF443</f>
        <v>-</v>
      </c>
      <c r="M443" s="440"/>
      <c r="N443" s="442" t="str">
        <f>OBRA!AG443</f>
        <v>-</v>
      </c>
      <c r="O443" s="152"/>
      <c r="P443" s="152"/>
      <c r="Q443" s="441"/>
      <c r="R443" s="445" t="str">
        <f>OBRA!AH443</f>
        <v>-</v>
      </c>
      <c r="S443" s="349"/>
      <c r="T443" s="446" t="str">
        <f>OBRA!U443</f>
        <v>N/A</v>
      </c>
      <c r="U443" s="447">
        <f>OBRA!V443</f>
        <v>0</v>
      </c>
      <c r="V443" s="1281"/>
      <c r="W443" s="20" t="str">
        <f>OBRA!L443</f>
        <v>DOP/AD/011-A/2020</v>
      </c>
      <c r="X443" s="13"/>
      <c r="Y443" s="13"/>
      <c r="Z443" s="448" t="str">
        <f>OBRA!K443</f>
        <v>CTA-CTE / EMP P REACT ECO MPIOS</v>
      </c>
      <c r="AA443" s="13"/>
      <c r="AB443" s="2" t="str">
        <f>OBRA!M443</f>
        <v>ADMINISTRACIÓN DIRECTA</v>
      </c>
      <c r="AC443" s="3" t="str">
        <f>OBRA!N443</f>
        <v>CONSTRUCCIÓN DE EMPEDRADO ZAMPEADO, EN LA AGENCIA DE EL SAUZ</v>
      </c>
      <c r="AD443" s="4">
        <f>OBRA!P443</f>
        <v>289700.96999999997</v>
      </c>
      <c r="AE443" s="6">
        <f>OBRA!Q443</f>
        <v>44089</v>
      </c>
      <c r="AF443" s="5">
        <f>OBRA!R443</f>
        <v>44150</v>
      </c>
      <c r="AG443" s="428">
        <f>OBRA!S443</f>
        <v>44181</v>
      </c>
      <c r="AH443" s="54"/>
      <c r="AI443" s="231"/>
      <c r="AJ443" s="267"/>
      <c r="AK443" s="267"/>
      <c r="AL443" s="432"/>
      <c r="AM443" s="573" t="str">
        <f>GRAL!B445</f>
        <v>2018-2021</v>
      </c>
      <c r="AN443" s="448"/>
      <c r="AO443" s="13"/>
    </row>
    <row r="444" spans="1:41" ht="30" hidden="1" customHeight="1">
      <c r="A444" s="166">
        <f>OBRA!I444</f>
        <v>2020</v>
      </c>
      <c r="B444" s="2036"/>
      <c r="C444" s="433"/>
      <c r="D444" s="154"/>
      <c r="E444" s="156"/>
      <c r="F444" s="156"/>
      <c r="G444" s="436"/>
      <c r="H444" s="442" t="str">
        <f>OBRA!AD444</f>
        <v>-</v>
      </c>
      <c r="I444" s="438"/>
      <c r="J444" s="444" t="str">
        <f>OBRA!AE444</f>
        <v>-</v>
      </c>
      <c r="K444" s="439"/>
      <c r="L444" s="442" t="str">
        <f>OBRA!AF444</f>
        <v>-</v>
      </c>
      <c r="M444" s="440"/>
      <c r="N444" s="442" t="str">
        <f>OBRA!AG444</f>
        <v>-</v>
      </c>
      <c r="O444" s="152"/>
      <c r="P444" s="152"/>
      <c r="Q444" s="441"/>
      <c r="R444" s="445" t="str">
        <f>OBRA!AH444</f>
        <v>-</v>
      </c>
      <c r="S444" s="349"/>
      <c r="T444" s="446" t="str">
        <f>OBRA!U444</f>
        <v>N/A</v>
      </c>
      <c r="U444" s="447" t="str">
        <f>OBRA!V444</f>
        <v>ING. J. GUADALUPE IBARRA RAMIREZ</v>
      </c>
      <c r="V444" s="1281"/>
      <c r="W444" s="20" t="str">
        <f>OBRA!L444</f>
        <v>DOP/AD/012/2020</v>
      </c>
      <c r="X444" s="13"/>
      <c r="Y444" s="13"/>
      <c r="Z444" s="448" t="str">
        <f>OBRA!K444</f>
        <v>EMP P/LA REACTIVACIÓN ECONÓMICA EN MPIOS</v>
      </c>
      <c r="AA444" s="13"/>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428">
        <f>OBRA!S444</f>
        <v>44196</v>
      </c>
      <c r="AH444" s="54"/>
      <c r="AI444" s="231"/>
      <c r="AJ444" s="267"/>
      <c r="AK444" s="267"/>
      <c r="AL444" s="432"/>
      <c r="AM444" s="573" t="str">
        <f>GRAL!B446</f>
        <v>2018-2021</v>
      </c>
      <c r="AN444" s="448"/>
      <c r="AO444" s="13"/>
    </row>
    <row r="445" spans="1:41" ht="30" hidden="1" customHeight="1">
      <c r="A445" s="166">
        <f>OBRA!I445</f>
        <v>2020</v>
      </c>
      <c r="B445" s="2036"/>
      <c r="C445" s="433"/>
      <c r="D445" s="154"/>
      <c r="E445" s="156"/>
      <c r="F445" s="156"/>
      <c r="G445" s="436"/>
      <c r="H445" s="442" t="str">
        <f>OBRA!AD445</f>
        <v>-</v>
      </c>
      <c r="I445" s="438"/>
      <c r="J445" s="444" t="str">
        <f>OBRA!AE445</f>
        <v>-</v>
      </c>
      <c r="K445" s="439"/>
      <c r="L445" s="442" t="str">
        <f>OBRA!AF445</f>
        <v>-</v>
      </c>
      <c r="M445" s="440"/>
      <c r="N445" s="442" t="str">
        <f>OBRA!AG445</f>
        <v>-</v>
      </c>
      <c r="O445" s="152"/>
      <c r="P445" s="152"/>
      <c r="Q445" s="441"/>
      <c r="R445" s="445" t="str">
        <f>OBRA!AH445</f>
        <v>-</v>
      </c>
      <c r="S445" s="349"/>
      <c r="T445" s="446" t="str">
        <f>OBRA!U445</f>
        <v>N/A</v>
      </c>
      <c r="U445" s="447">
        <f>OBRA!V445</f>
        <v>0</v>
      </c>
      <c r="V445" s="1281"/>
      <c r="W445" s="20" t="str">
        <f>OBRA!L445</f>
        <v>DOP/AD/012-A/2020</v>
      </c>
      <c r="X445" s="13"/>
      <c r="Y445" s="13"/>
      <c r="Z445" s="448" t="str">
        <f>OBRA!K445</f>
        <v>CTA-CTE / EMP P REACT ECO MPIOS</v>
      </c>
      <c r="AA445" s="13"/>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428">
        <f>OBRA!S445</f>
        <v>44196</v>
      </c>
      <c r="AH445" s="54"/>
      <c r="AI445" s="231"/>
      <c r="AJ445" s="267"/>
      <c r="AK445" s="267"/>
      <c r="AL445" s="432"/>
      <c r="AM445" s="573" t="str">
        <f>GRAL!B447</f>
        <v>2018-2021</v>
      </c>
      <c r="AN445" s="448"/>
      <c r="AO445" s="13"/>
    </row>
    <row r="446" spans="1:41" ht="30" hidden="1" customHeight="1">
      <c r="A446" s="166">
        <f>OBRA!I446</f>
        <v>2020</v>
      </c>
      <c r="B446" s="2036"/>
      <c r="C446" s="433"/>
      <c r="D446" s="154"/>
      <c r="E446" s="156"/>
      <c r="F446" s="156"/>
      <c r="G446" s="436"/>
      <c r="H446" s="442" t="str">
        <f>OBRA!AD446</f>
        <v>-</v>
      </c>
      <c r="I446" s="438"/>
      <c r="J446" s="444" t="str">
        <f>OBRA!AE446</f>
        <v>-</v>
      </c>
      <c r="K446" s="439"/>
      <c r="L446" s="442" t="str">
        <f>OBRA!AF446</f>
        <v>-</v>
      </c>
      <c r="M446" s="440"/>
      <c r="N446" s="442" t="str">
        <f>OBRA!AG446</f>
        <v>-</v>
      </c>
      <c r="O446" s="152"/>
      <c r="P446" s="152"/>
      <c r="Q446" s="441"/>
      <c r="R446" s="445" t="str">
        <f>OBRA!AH446</f>
        <v>-</v>
      </c>
      <c r="S446" s="349"/>
      <c r="T446" s="446" t="str">
        <f>OBRA!U446</f>
        <v>N/A</v>
      </c>
      <c r="U446" s="447" t="str">
        <f>OBRA!V446</f>
        <v>ING. J. GUADALUPE IBARRA RAMIREZ</v>
      </c>
      <c r="V446" s="1281"/>
      <c r="W446" s="20" t="str">
        <f>OBRA!L446</f>
        <v>DOP/AD/013/2020</v>
      </c>
      <c r="X446" s="13"/>
      <c r="Y446" s="13"/>
      <c r="Z446" s="448" t="str">
        <f>OBRA!K446</f>
        <v>EMP P/LA REACTIVACIÓN ECONÓMICA EN MPIOS</v>
      </c>
      <c r="AA446" s="13"/>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428">
        <f>OBRA!S446</f>
        <v>44191</v>
      </c>
      <c r="AH446" s="54"/>
      <c r="AI446" s="231"/>
      <c r="AJ446" s="267"/>
      <c r="AK446" s="267"/>
      <c r="AL446" s="432"/>
      <c r="AM446" s="573" t="str">
        <f>GRAL!B448</f>
        <v>2018-2021</v>
      </c>
      <c r="AN446" s="448"/>
      <c r="AO446" s="13"/>
    </row>
    <row r="447" spans="1:41" ht="30" hidden="1" customHeight="1">
      <c r="A447" s="166">
        <f>OBRA!I447</f>
        <v>2020</v>
      </c>
      <c r="B447" s="2036"/>
      <c r="C447" s="433"/>
      <c r="D447" s="154"/>
      <c r="E447" s="156"/>
      <c r="F447" s="156"/>
      <c r="G447" s="436"/>
      <c r="H447" s="442" t="str">
        <f>OBRA!AD447</f>
        <v>-</v>
      </c>
      <c r="I447" s="438"/>
      <c r="J447" s="444" t="str">
        <f>OBRA!AE447</f>
        <v>-</v>
      </c>
      <c r="K447" s="439"/>
      <c r="L447" s="442" t="str">
        <f>OBRA!AF447</f>
        <v>-</v>
      </c>
      <c r="M447" s="440"/>
      <c r="N447" s="442" t="str">
        <f>OBRA!AG447</f>
        <v>-</v>
      </c>
      <c r="O447" s="152"/>
      <c r="P447" s="152"/>
      <c r="Q447" s="441"/>
      <c r="R447" s="445" t="str">
        <f>OBRA!AH447</f>
        <v>-</v>
      </c>
      <c r="S447" s="349"/>
      <c r="T447" s="446" t="str">
        <f>OBRA!U447</f>
        <v>N/A</v>
      </c>
      <c r="U447" s="447">
        <f>OBRA!V447</f>
        <v>0</v>
      </c>
      <c r="V447" s="1281"/>
      <c r="W447" s="20" t="str">
        <f>OBRA!L447</f>
        <v>DOP/AD/013-A/2020</v>
      </c>
      <c r="X447" s="13"/>
      <c r="Y447" s="13"/>
      <c r="Z447" s="448" t="str">
        <f>OBRA!K447</f>
        <v>CTA-CTE / EMP P REACT ECO MPIOS</v>
      </c>
      <c r="AA447" s="13"/>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428">
        <f>OBRA!S447</f>
        <v>44191</v>
      </c>
      <c r="AH447" s="54"/>
      <c r="AI447" s="231"/>
      <c r="AJ447" s="267"/>
      <c r="AK447" s="267"/>
      <c r="AL447" s="432"/>
      <c r="AM447" s="573" t="str">
        <f>GRAL!B449</f>
        <v>2018-2021</v>
      </c>
      <c r="AN447" s="448"/>
      <c r="AO447" s="13"/>
    </row>
    <row r="448" spans="1:41" ht="30" hidden="1" customHeight="1">
      <c r="A448" s="166">
        <f>OBRA!I448</f>
        <v>2020</v>
      </c>
      <c r="B448" s="2036"/>
      <c r="C448" s="433"/>
      <c r="D448" s="154"/>
      <c r="E448" s="156"/>
      <c r="F448" s="156"/>
      <c r="G448" s="436"/>
      <c r="H448" s="442" t="str">
        <f>OBRA!AD448</f>
        <v>-</v>
      </c>
      <c r="I448" s="438"/>
      <c r="J448" s="444" t="str">
        <f>OBRA!AE448</f>
        <v>-</v>
      </c>
      <c r="K448" s="439"/>
      <c r="L448" s="442" t="str">
        <f>OBRA!AF448</f>
        <v>-</v>
      </c>
      <c r="M448" s="440"/>
      <c r="N448" s="442" t="str">
        <f>OBRA!AG448</f>
        <v>-</v>
      </c>
      <c r="O448" s="152"/>
      <c r="P448" s="152"/>
      <c r="Q448" s="441"/>
      <c r="R448" s="445" t="str">
        <f>OBRA!AH448</f>
        <v>-</v>
      </c>
      <c r="S448" s="349"/>
      <c r="T448" s="446" t="str">
        <f>OBRA!U448</f>
        <v>N/A</v>
      </c>
      <c r="U448" s="447" t="str">
        <f>OBRA!V448</f>
        <v>ING. J. GUADALUPE IBARRA RAMIREZ</v>
      </c>
      <c r="V448" s="1281"/>
      <c r="W448" s="20" t="str">
        <f>OBRA!L448</f>
        <v>DOP/AD/014/2020</v>
      </c>
      <c r="X448" s="13"/>
      <c r="Y448" s="13"/>
      <c r="Z448" s="448" t="str">
        <f>OBRA!K448</f>
        <v>EMP P/LA REACTIVACIÓN ECONÓMICA EN MPIOS</v>
      </c>
      <c r="AA448" s="13"/>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428">
        <f>OBRA!S448</f>
        <v>44196</v>
      </c>
      <c r="AH448" s="54"/>
      <c r="AI448" s="231"/>
      <c r="AJ448" s="267"/>
      <c r="AK448" s="267"/>
      <c r="AL448" s="432"/>
      <c r="AM448" s="573" t="str">
        <f>GRAL!B450</f>
        <v>2018-2021</v>
      </c>
      <c r="AN448" s="448"/>
      <c r="AO448" s="13"/>
    </row>
    <row r="449" spans="1:41" ht="30" hidden="1" customHeight="1">
      <c r="A449" s="166">
        <f>OBRA!I449</f>
        <v>2020</v>
      </c>
      <c r="B449" s="2036"/>
      <c r="C449" s="433"/>
      <c r="D449" s="154"/>
      <c r="E449" s="156"/>
      <c r="F449" s="156"/>
      <c r="G449" s="436"/>
      <c r="H449" s="442" t="str">
        <f>OBRA!AD449</f>
        <v>-</v>
      </c>
      <c r="I449" s="438"/>
      <c r="J449" s="444" t="str">
        <f>OBRA!AE449</f>
        <v>-</v>
      </c>
      <c r="K449" s="439"/>
      <c r="L449" s="442" t="str">
        <f>OBRA!AF449</f>
        <v>-</v>
      </c>
      <c r="M449" s="440"/>
      <c r="N449" s="442" t="str">
        <f>OBRA!AG449</f>
        <v>-</v>
      </c>
      <c r="O449" s="152"/>
      <c r="P449" s="152"/>
      <c r="Q449" s="441"/>
      <c r="R449" s="445" t="str">
        <f>OBRA!AH449</f>
        <v>-</v>
      </c>
      <c r="S449" s="349"/>
      <c r="T449" s="446" t="str">
        <f>OBRA!U449</f>
        <v>N/A</v>
      </c>
      <c r="U449" s="447">
        <f>OBRA!V449</f>
        <v>0</v>
      </c>
      <c r="V449" s="1281"/>
      <c r="W449" s="20" t="str">
        <f>OBRA!L449</f>
        <v>DOP/AD/014-A/2020</v>
      </c>
      <c r="X449" s="13"/>
      <c r="Y449" s="13"/>
      <c r="Z449" s="448" t="str">
        <f>OBRA!K449</f>
        <v>CTA-CTE / EMP P REACT ECO MPIOS</v>
      </c>
      <c r="AA449" s="13"/>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428">
        <f>OBRA!S449</f>
        <v>44196</v>
      </c>
      <c r="AH449" s="54"/>
      <c r="AI449" s="231"/>
      <c r="AJ449" s="267"/>
      <c r="AK449" s="267"/>
      <c r="AL449" s="432"/>
      <c r="AM449" s="573" t="str">
        <f>GRAL!B451</f>
        <v>2018-2021</v>
      </c>
      <c r="AN449" s="448"/>
      <c r="AO449" s="13"/>
    </row>
    <row r="450" spans="1:41" ht="30" hidden="1" customHeight="1">
      <c r="A450" s="166">
        <f>OBRA!I450</f>
        <v>2020</v>
      </c>
      <c r="B450" s="2036"/>
      <c r="C450" s="433"/>
      <c r="D450" s="154"/>
      <c r="E450" s="156"/>
      <c r="F450" s="156"/>
      <c r="G450" s="436"/>
      <c r="H450" s="442" t="str">
        <f>OBRA!AD450</f>
        <v>-</v>
      </c>
      <c r="I450" s="438"/>
      <c r="J450" s="444" t="str">
        <f>OBRA!AE450</f>
        <v>-</v>
      </c>
      <c r="K450" s="439"/>
      <c r="L450" s="442" t="str">
        <f>OBRA!AF450</f>
        <v>-</v>
      </c>
      <c r="M450" s="440"/>
      <c r="N450" s="442" t="str">
        <f>OBRA!AG450</f>
        <v>-</v>
      </c>
      <c r="O450" s="152"/>
      <c r="P450" s="152"/>
      <c r="Q450" s="441"/>
      <c r="R450" s="445" t="str">
        <f>OBRA!AH450</f>
        <v>-</v>
      </c>
      <c r="S450" s="349"/>
      <c r="T450" s="446" t="str">
        <f>OBRA!U450</f>
        <v>N/A</v>
      </c>
      <c r="U450" s="447" t="str">
        <f>OBRA!V450</f>
        <v>ING. J. GUADALUPE IBARRA RAMIREZ</v>
      </c>
      <c r="V450" s="1281"/>
      <c r="W450" s="20" t="str">
        <f>OBRA!L450</f>
        <v>DOP/AD/015/2020</v>
      </c>
      <c r="X450" s="13"/>
      <c r="Y450" s="13"/>
      <c r="Z450" s="448" t="str">
        <f>OBRA!K450</f>
        <v>EMP P/LA REACTIVACIÓN ECONÓMICA EN MPIOS</v>
      </c>
      <c r="AA450" s="13"/>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428">
        <f>OBRA!S450</f>
        <v>44191</v>
      </c>
      <c r="AH450" s="54"/>
      <c r="AI450" s="231"/>
      <c r="AJ450" s="267"/>
      <c r="AK450" s="267"/>
      <c r="AL450" s="432"/>
      <c r="AM450" s="573" t="str">
        <f>GRAL!B452</f>
        <v>2018-2021</v>
      </c>
      <c r="AN450" s="448"/>
      <c r="AO450" s="13"/>
    </row>
    <row r="451" spans="1:41" ht="30" hidden="1" customHeight="1">
      <c r="A451" s="166">
        <f>OBRA!I451</f>
        <v>2020</v>
      </c>
      <c r="B451" s="2036"/>
      <c r="C451" s="433"/>
      <c r="D451" s="154"/>
      <c r="E451" s="156"/>
      <c r="F451" s="156"/>
      <c r="G451" s="436"/>
      <c r="H451" s="442" t="str">
        <f>OBRA!AD451</f>
        <v>-</v>
      </c>
      <c r="I451" s="438"/>
      <c r="J451" s="444" t="str">
        <f>OBRA!AE451</f>
        <v>-</v>
      </c>
      <c r="K451" s="439"/>
      <c r="L451" s="442" t="str">
        <f>OBRA!AF451</f>
        <v>-</v>
      </c>
      <c r="M451" s="440"/>
      <c r="N451" s="442" t="str">
        <f>OBRA!AG451</f>
        <v>-</v>
      </c>
      <c r="O451" s="152"/>
      <c r="P451" s="152"/>
      <c r="Q451" s="441"/>
      <c r="R451" s="445" t="str">
        <f>OBRA!AH451</f>
        <v>-</v>
      </c>
      <c r="S451" s="349"/>
      <c r="T451" s="446" t="str">
        <f>OBRA!U451</f>
        <v>N/A</v>
      </c>
      <c r="U451" s="447" t="str">
        <f>OBRA!V451</f>
        <v>ING. J. GUADALUPE IBARRA RAMIREZ</v>
      </c>
      <c r="V451" s="1281"/>
      <c r="W451" s="20" t="str">
        <f>OBRA!L451</f>
        <v>DOP/AD/015/2020</v>
      </c>
      <c r="X451" s="13"/>
      <c r="Y451" s="13"/>
      <c r="Z451" s="448" t="str">
        <f>OBRA!K451</f>
        <v>EMP P/LA REACTIVACIÓN ECONÓMICA EN MPIOS</v>
      </c>
      <c r="AA451" s="13"/>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428">
        <f>OBRA!S451</f>
        <v>44191</v>
      </c>
      <c r="AH451" s="54"/>
      <c r="AI451" s="231"/>
      <c r="AJ451" s="267"/>
      <c r="AK451" s="267"/>
      <c r="AL451" s="432"/>
      <c r="AM451" s="573" t="str">
        <f>GRAL!B453</f>
        <v>2018-2021</v>
      </c>
      <c r="AN451" s="448"/>
      <c r="AO451" s="13"/>
    </row>
    <row r="452" spans="1:41" ht="30" hidden="1" customHeight="1">
      <c r="A452" s="166">
        <f>OBRA!I452</f>
        <v>2020</v>
      </c>
      <c r="B452" s="2036"/>
      <c r="C452" s="433"/>
      <c r="D452" s="154"/>
      <c r="E452" s="156"/>
      <c r="F452" s="156"/>
      <c r="G452" s="436"/>
      <c r="H452" s="442" t="str">
        <f>OBRA!AD452</f>
        <v>-</v>
      </c>
      <c r="I452" s="438"/>
      <c r="J452" s="444" t="str">
        <f>OBRA!AE452</f>
        <v>-</v>
      </c>
      <c r="K452" s="439"/>
      <c r="L452" s="442" t="str">
        <f>OBRA!AF452</f>
        <v>-</v>
      </c>
      <c r="M452" s="440"/>
      <c r="N452" s="442" t="str">
        <f>OBRA!AG452</f>
        <v>-</v>
      </c>
      <c r="O452" s="152"/>
      <c r="P452" s="152"/>
      <c r="Q452" s="441"/>
      <c r="R452" s="445" t="str">
        <f>OBRA!AH452</f>
        <v>-</v>
      </c>
      <c r="S452" s="349"/>
      <c r="T452" s="446" t="str">
        <f>OBRA!U452</f>
        <v>N/A</v>
      </c>
      <c r="U452" s="447">
        <f>OBRA!V452</f>
        <v>0</v>
      </c>
      <c r="V452" s="1281"/>
      <c r="W452" s="20" t="str">
        <f>OBRA!L452</f>
        <v>DOP/AD/015-A/2020</v>
      </c>
      <c r="X452" s="13"/>
      <c r="Y452" s="13"/>
      <c r="Z452" s="448" t="str">
        <f>OBRA!K452</f>
        <v>CTA-CTE / EMP P REACT ECO MPIOS</v>
      </c>
      <c r="AA452" s="13"/>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428">
        <f>OBRA!S452</f>
        <v>44191</v>
      </c>
      <c r="AH452" s="54"/>
      <c r="AI452" s="231"/>
      <c r="AJ452" s="267"/>
      <c r="AK452" s="267"/>
      <c r="AL452" s="432"/>
      <c r="AM452" s="573" t="str">
        <f>GRAL!B454</f>
        <v>2018-2021</v>
      </c>
      <c r="AN452" s="448"/>
      <c r="AO452" s="13"/>
    </row>
    <row r="453" spans="1:41" ht="30" hidden="1" customHeight="1">
      <c r="A453" s="166">
        <f>OBRA!I453</f>
        <v>2020</v>
      </c>
      <c r="B453" s="2036"/>
      <c r="C453" s="433"/>
      <c r="D453" s="154"/>
      <c r="E453" s="156"/>
      <c r="F453" s="156"/>
      <c r="G453" s="436"/>
      <c r="H453" s="442" t="str">
        <f>OBRA!AD453</f>
        <v>-</v>
      </c>
      <c r="I453" s="438"/>
      <c r="J453" s="444" t="str">
        <f>OBRA!AE453</f>
        <v>-</v>
      </c>
      <c r="K453" s="439"/>
      <c r="L453" s="442" t="str">
        <f>OBRA!AF453</f>
        <v>-</v>
      </c>
      <c r="M453" s="440"/>
      <c r="N453" s="442" t="str">
        <f>OBRA!AG453</f>
        <v>-</v>
      </c>
      <c r="O453" s="152"/>
      <c r="P453" s="152"/>
      <c r="Q453" s="441"/>
      <c r="R453" s="445" t="str">
        <f>OBRA!AH453</f>
        <v>-</v>
      </c>
      <c r="S453" s="349"/>
      <c r="T453" s="446" t="str">
        <f>OBRA!U453</f>
        <v>N/A</v>
      </c>
      <c r="U453" s="447" t="str">
        <f>OBRA!V453</f>
        <v>ING. J. GUADALUPE IBARRA RAMIREZ</v>
      </c>
      <c r="V453" s="1281"/>
      <c r="W453" s="20" t="str">
        <f>OBRA!L453</f>
        <v>DOP/AD/016/2020</v>
      </c>
      <c r="X453" s="13"/>
      <c r="Y453" s="13"/>
      <c r="Z453" s="448" t="str">
        <f>OBRA!K453</f>
        <v>EMP P/LA REACTIVACIÓN ECONÓMICA EN MPIOS</v>
      </c>
      <c r="AA453" s="13"/>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428">
        <f>OBRA!S453</f>
        <v>44196</v>
      </c>
      <c r="AH453" s="54"/>
      <c r="AI453" s="231"/>
      <c r="AJ453" s="267"/>
      <c r="AK453" s="267"/>
      <c r="AL453" s="432"/>
      <c r="AM453" s="573" t="str">
        <f>GRAL!B455</f>
        <v>2018-2021</v>
      </c>
      <c r="AN453" s="448"/>
      <c r="AO453" s="13"/>
    </row>
    <row r="454" spans="1:41" ht="30" hidden="1" customHeight="1">
      <c r="A454" s="166">
        <f>OBRA!I454</f>
        <v>2020</v>
      </c>
      <c r="B454" s="2036"/>
      <c r="C454" s="433"/>
      <c r="D454" s="154"/>
      <c r="E454" s="156"/>
      <c r="F454" s="156"/>
      <c r="G454" s="436"/>
      <c r="H454" s="442" t="str">
        <f>OBRA!AD454</f>
        <v>-</v>
      </c>
      <c r="I454" s="438"/>
      <c r="J454" s="444" t="str">
        <f>OBRA!AE454</f>
        <v>-</v>
      </c>
      <c r="K454" s="439"/>
      <c r="L454" s="442" t="str">
        <f>OBRA!AF454</f>
        <v>-</v>
      </c>
      <c r="M454" s="440"/>
      <c r="N454" s="442" t="str">
        <f>OBRA!AG454</f>
        <v>-</v>
      </c>
      <c r="O454" s="152"/>
      <c r="P454" s="152"/>
      <c r="Q454" s="441"/>
      <c r="R454" s="445" t="str">
        <f>OBRA!AH454</f>
        <v>-</v>
      </c>
      <c r="S454" s="349"/>
      <c r="T454" s="446" t="str">
        <f>OBRA!U454</f>
        <v>N/A</v>
      </c>
      <c r="U454" s="447">
        <f>OBRA!V454</f>
        <v>0</v>
      </c>
      <c r="V454" s="1281"/>
      <c r="W454" s="20" t="str">
        <f>OBRA!L454</f>
        <v>DOP/AD/016-A/2020</v>
      </c>
      <c r="X454" s="13"/>
      <c r="Y454" s="13"/>
      <c r="Z454" s="448" t="str">
        <f>OBRA!K454</f>
        <v>CTA-CTE / EMP P REACT ECO MPIOS</v>
      </c>
      <c r="AA454" s="13"/>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428">
        <f>OBRA!S454</f>
        <v>44196</v>
      </c>
      <c r="AH454" s="54"/>
      <c r="AI454" s="231"/>
      <c r="AJ454" s="267"/>
      <c r="AK454" s="267"/>
      <c r="AL454" s="432"/>
      <c r="AM454" s="573" t="str">
        <f>GRAL!B456</f>
        <v>2018-2021</v>
      </c>
      <c r="AN454" s="448"/>
      <c r="AO454" s="13"/>
    </row>
    <row r="455" spans="1:41" ht="30" hidden="1" customHeight="1">
      <c r="A455" s="166">
        <f>OBRA!I455</f>
        <v>2020</v>
      </c>
      <c r="B455" s="2036"/>
      <c r="C455" s="433"/>
      <c r="D455" s="154"/>
      <c r="E455" s="156"/>
      <c r="F455" s="156"/>
      <c r="G455" s="436"/>
      <c r="H455" s="442" t="str">
        <f>OBRA!AD455</f>
        <v>-</v>
      </c>
      <c r="I455" s="438"/>
      <c r="J455" s="444" t="str">
        <f>OBRA!AE455</f>
        <v>-</v>
      </c>
      <c r="K455" s="439"/>
      <c r="L455" s="442" t="str">
        <f>OBRA!AF455</f>
        <v>-</v>
      </c>
      <c r="M455" s="440"/>
      <c r="N455" s="442" t="str">
        <f>OBRA!AG455</f>
        <v>-</v>
      </c>
      <c r="O455" s="152"/>
      <c r="P455" s="152"/>
      <c r="Q455" s="441"/>
      <c r="R455" s="445" t="str">
        <f>OBRA!AH455</f>
        <v>-</v>
      </c>
      <c r="S455" s="349"/>
      <c r="T455" s="446" t="str">
        <f>OBRA!U455</f>
        <v xml:space="preserve">CICLOS GIP SC </v>
      </c>
      <c r="U455" s="447" t="str">
        <f>OBRA!V455</f>
        <v>ING. JUAN MANUEL GARCIA ESCOTO</v>
      </c>
      <c r="V455" s="1281"/>
      <c r="W455" s="20" t="str">
        <f>OBRA!L455</f>
        <v>C.P.S.P. DOP 001/2020</v>
      </c>
      <c r="X455" s="13"/>
      <c r="Y455" s="13"/>
      <c r="Z455" s="448" t="str">
        <f>OBRA!K455</f>
        <v>CUENTA CORRIENTE</v>
      </c>
      <c r="AA455" s="13"/>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428">
        <f>OBRA!S455</f>
        <v>43879</v>
      </c>
      <c r="AH455" s="54"/>
      <c r="AI455" s="231"/>
      <c r="AJ455" s="267"/>
      <c r="AK455" s="267"/>
      <c r="AL455" s="432"/>
      <c r="AM455" s="573" t="str">
        <f>GRAL!B457</f>
        <v>2018-2021</v>
      </c>
      <c r="AN455" s="448"/>
      <c r="AO455" s="13"/>
    </row>
    <row r="456" spans="1:41" ht="30" hidden="1" customHeight="1">
      <c r="A456" s="166">
        <f>OBRA!I456</f>
        <v>2020</v>
      </c>
      <c r="B456" s="2036"/>
      <c r="C456" s="433"/>
      <c r="D456" s="154"/>
      <c r="E456" s="156"/>
      <c r="F456" s="156"/>
      <c r="G456" s="436"/>
      <c r="H456" s="442" t="str">
        <f>OBRA!AD456</f>
        <v>-</v>
      </c>
      <c r="I456" s="438"/>
      <c r="J456" s="444" t="str">
        <f>OBRA!AE456</f>
        <v>-</v>
      </c>
      <c r="K456" s="439"/>
      <c r="L456" s="442" t="str">
        <f>OBRA!AF456</f>
        <v>-</v>
      </c>
      <c r="M456" s="440"/>
      <c r="N456" s="442" t="str">
        <f>OBRA!AG456</f>
        <v>-</v>
      </c>
      <c r="O456" s="152"/>
      <c r="P456" s="152"/>
      <c r="Q456" s="441"/>
      <c r="R456" s="445" t="str">
        <f>OBRA!AH456</f>
        <v>-</v>
      </c>
      <c r="S456" s="349"/>
      <c r="T456" s="446" t="str">
        <f>OBRA!U456</f>
        <v>AJG INGENIERIA, SA DE CV</v>
      </c>
      <c r="U456" s="447" t="str">
        <f>OBRA!V456</f>
        <v>ING. JUAN MANUEL GARCIA ESCOTO</v>
      </c>
      <c r="V456" s="1281"/>
      <c r="W456" s="20" t="str">
        <f>OBRA!L456</f>
        <v>C.P.S.P. DOP 002/2020</v>
      </c>
      <c r="X456" s="13"/>
      <c r="Y456" s="13"/>
      <c r="Z456" s="448" t="str">
        <f>OBRA!K456</f>
        <v>CUENTA CORRIENTE</v>
      </c>
      <c r="AA456" s="13"/>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428">
        <f>OBRA!S456</f>
        <v>44289</v>
      </c>
      <c r="AH456" s="54"/>
      <c r="AI456" s="231"/>
      <c r="AJ456" s="267"/>
      <c r="AK456" s="267"/>
      <c r="AL456" s="432"/>
      <c r="AM456" s="573" t="str">
        <f>GRAL!B458</f>
        <v>2018-2021</v>
      </c>
      <c r="AN456" s="448"/>
      <c r="AO456" s="13"/>
    </row>
    <row r="457" spans="1:41" ht="30" hidden="1" customHeight="1">
      <c r="A457" s="166">
        <f>OBRA!I457</f>
        <v>2020</v>
      </c>
      <c r="B457" s="2036"/>
      <c r="C457" s="433"/>
      <c r="D457" s="154"/>
      <c r="E457" s="156"/>
      <c r="F457" s="156"/>
      <c r="G457" s="436"/>
      <c r="H457" s="442">
        <f>OBRA!AD457</f>
        <v>0</v>
      </c>
      <c r="I457" s="438"/>
      <c r="J457" s="444">
        <f>OBRA!AE457</f>
        <v>0</v>
      </c>
      <c r="K457" s="439"/>
      <c r="L457" s="442">
        <f>OBRA!AF457</f>
        <v>0</v>
      </c>
      <c r="M457" s="440"/>
      <c r="N457" s="442">
        <f>OBRA!AG457</f>
        <v>0</v>
      </c>
      <c r="O457" s="152"/>
      <c r="P457" s="152"/>
      <c r="Q457" s="441"/>
      <c r="R457" s="445">
        <f>OBRA!AH457</f>
        <v>0</v>
      </c>
      <c r="S457" s="349"/>
      <c r="T457" s="446">
        <f>OBRA!U457</f>
        <v>0</v>
      </c>
      <c r="U457" s="447">
        <f>OBRA!V457</f>
        <v>0</v>
      </c>
      <c r="V457" s="1281"/>
      <c r="W457" s="20" t="str">
        <f>OBRA!L457</f>
        <v>C.P.S.P. DOP 003/2020</v>
      </c>
      <c r="X457" s="13"/>
      <c r="Y457" s="13"/>
      <c r="Z457" s="448">
        <f>OBRA!K457</f>
        <v>0</v>
      </c>
      <c r="AA457" s="13"/>
      <c r="AB457" s="2" t="str">
        <f>OBRA!M457</f>
        <v>CANCELADA</v>
      </c>
      <c r="AC457" s="3" t="str">
        <f>OBRA!N457</f>
        <v>CONTRATO CANCELADO</v>
      </c>
      <c r="AD457" s="4">
        <f>OBRA!P457</f>
        <v>0</v>
      </c>
      <c r="AE457" s="6">
        <f>OBRA!Q457</f>
        <v>0</v>
      </c>
      <c r="AF457" s="5">
        <f>OBRA!R457</f>
        <v>0</v>
      </c>
      <c r="AG457" s="428">
        <f>OBRA!S457</f>
        <v>0</v>
      </c>
      <c r="AH457" s="54"/>
      <c r="AI457" s="231"/>
      <c r="AJ457" s="267"/>
      <c r="AK457" s="267"/>
      <c r="AL457" s="432"/>
      <c r="AM457" s="573" t="str">
        <f>GRAL!B459</f>
        <v>2018-2021</v>
      </c>
      <c r="AN457" s="448"/>
      <c r="AO457" s="13"/>
    </row>
    <row r="458" spans="1:41" ht="30" hidden="1" customHeight="1">
      <c r="A458" s="166">
        <f>OBRA!I458</f>
        <v>2020</v>
      </c>
      <c r="B458" s="2036"/>
      <c r="C458" s="433"/>
      <c r="D458" s="154"/>
      <c r="E458" s="156"/>
      <c r="F458" s="156"/>
      <c r="G458" s="436"/>
      <c r="H458" s="442" t="str">
        <f>OBRA!AD458</f>
        <v>-</v>
      </c>
      <c r="I458" s="438"/>
      <c r="J458" s="444" t="str">
        <f>OBRA!AE458</f>
        <v>-</v>
      </c>
      <c r="K458" s="439"/>
      <c r="L458" s="442" t="str">
        <f>OBRA!AF458</f>
        <v>-</v>
      </c>
      <c r="M458" s="440"/>
      <c r="N458" s="442" t="str">
        <f>OBRA!AG458</f>
        <v>-</v>
      </c>
      <c r="O458" s="152"/>
      <c r="P458" s="152"/>
      <c r="Q458" s="441"/>
      <c r="R458" s="445" t="str">
        <f>OBRA!AH458</f>
        <v>-</v>
      </c>
      <c r="S458" s="349"/>
      <c r="T458" s="446" t="str">
        <f>OBRA!U458</f>
        <v>SUPERVISIÓN PROYECTOS Y LABORATORIO PARA LA CONSTRUCCIÓN</v>
      </c>
      <c r="U458" s="447" t="str">
        <f>OBRA!V458</f>
        <v>ING. HECTOR JESUS HERNANDEZ</v>
      </c>
      <c r="V458" s="1281"/>
      <c r="W458" s="20" t="str">
        <f>OBRA!L458</f>
        <v>C.P.S.P. DOP 004/2020</v>
      </c>
      <c r="X458" s="13"/>
      <c r="Y458" s="13"/>
      <c r="Z458" s="448" t="str">
        <f>OBRA!K458</f>
        <v>CUENTA CORRIENTE</v>
      </c>
      <c r="AA458" s="13"/>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428" t="str">
        <f>OBRA!S458</f>
        <v>NO APLICA</v>
      </c>
      <c r="AH458" s="54"/>
      <c r="AI458" s="231"/>
      <c r="AJ458" s="267"/>
      <c r="AK458" s="267"/>
      <c r="AL458" s="432"/>
      <c r="AM458" s="573" t="str">
        <f>GRAL!B461</f>
        <v>2018-2021</v>
      </c>
      <c r="AN458" s="448"/>
      <c r="AO458" s="13"/>
    </row>
    <row r="459" spans="1:41" ht="30" hidden="1" customHeight="1">
      <c r="A459" s="166">
        <f>OBRA!I459</f>
        <v>2020</v>
      </c>
      <c r="B459" s="2036"/>
      <c r="C459" s="433"/>
      <c r="D459" s="154"/>
      <c r="E459" s="156"/>
      <c r="F459" s="156"/>
      <c r="G459" s="436"/>
      <c r="H459" s="442" t="str">
        <f>OBRA!AD459</f>
        <v>-</v>
      </c>
      <c r="I459" s="438"/>
      <c r="J459" s="444" t="str">
        <f>OBRA!AE459</f>
        <v>-</v>
      </c>
      <c r="K459" s="439"/>
      <c r="L459" s="442" t="str">
        <f>OBRA!AF459</f>
        <v>-</v>
      </c>
      <c r="M459" s="440"/>
      <c r="N459" s="442" t="str">
        <f>OBRA!AG459</f>
        <v>-</v>
      </c>
      <c r="O459" s="152"/>
      <c r="P459" s="152"/>
      <c r="Q459" s="441"/>
      <c r="R459" s="445" t="str">
        <f>OBRA!AH459</f>
        <v>-</v>
      </c>
      <c r="S459" s="349"/>
      <c r="T459" s="446" t="str">
        <f>OBRA!U459</f>
        <v>SUPERVISIÓN PROYECTOS Y LABORATORIO PARA LA CONSTRUCCIÓN</v>
      </c>
      <c r="U459" s="447" t="str">
        <f>OBRA!V459</f>
        <v>ING. HECTOR JESUS HERNANDEZ</v>
      </c>
      <c r="V459" s="1281"/>
      <c r="W459" s="20" t="str">
        <f>OBRA!L459</f>
        <v>C.P.S.P. DOP 005/2020</v>
      </c>
      <c r="X459" s="13"/>
      <c r="Y459" s="13"/>
      <c r="Z459" s="448" t="str">
        <f>OBRA!K459</f>
        <v>CUENTA CORRIENTE</v>
      </c>
      <c r="AA459" s="13"/>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428" t="str">
        <f>OBRA!S459</f>
        <v>NO APLICA</v>
      </c>
      <c r="AH459" s="54"/>
      <c r="AI459" s="231"/>
      <c r="AJ459" s="267"/>
      <c r="AK459" s="267"/>
      <c r="AL459" s="432"/>
      <c r="AM459" s="573" t="str">
        <f>GRAL!B462</f>
        <v>2018-2021</v>
      </c>
      <c r="AN459" s="448"/>
      <c r="AO459" s="13"/>
    </row>
    <row r="460" spans="1:41" ht="30" hidden="1" customHeight="1">
      <c r="A460" s="166">
        <f>OBRA!I460</f>
        <v>2020</v>
      </c>
      <c r="B460" s="2036"/>
      <c r="C460" s="433"/>
      <c r="D460" s="154"/>
      <c r="E460" s="156"/>
      <c r="F460" s="156"/>
      <c r="G460" s="436"/>
      <c r="H460" s="442" t="str">
        <f>OBRA!AD460</f>
        <v>-</v>
      </c>
      <c r="I460" s="438"/>
      <c r="J460" s="444" t="str">
        <f>OBRA!AE460</f>
        <v>-</v>
      </c>
      <c r="K460" s="439"/>
      <c r="L460" s="442" t="str">
        <f>OBRA!AF460</f>
        <v>-</v>
      </c>
      <c r="M460" s="440"/>
      <c r="N460" s="442" t="str">
        <f>OBRA!AG460</f>
        <v>-</v>
      </c>
      <c r="O460" s="152"/>
      <c r="P460" s="152"/>
      <c r="Q460" s="441"/>
      <c r="R460" s="445" t="str">
        <f>OBRA!AH460</f>
        <v>-</v>
      </c>
      <c r="S460" s="349"/>
      <c r="T460" s="446" t="str">
        <f>OBRA!U460</f>
        <v>SUPERVISIÓN PROYECTOS Y LABORATORIO PARA LA CONSTRUCCIÓN</v>
      </c>
      <c r="U460" s="447" t="str">
        <f>OBRA!V460</f>
        <v>ING. HECTOR JESUS HERNANDEZ</v>
      </c>
      <c r="V460" s="1281"/>
      <c r="W460" s="20" t="str">
        <f>OBRA!L460</f>
        <v>C.P.S.P. DOP 006/2020</v>
      </c>
      <c r="X460" s="13"/>
      <c r="Y460" s="13"/>
      <c r="Z460" s="448" t="str">
        <f>OBRA!K460</f>
        <v>CUENTA CORRIENTE</v>
      </c>
      <c r="AA460" s="13"/>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428" t="str">
        <f>OBRA!S460</f>
        <v>NO APLICA</v>
      </c>
      <c r="AH460" s="54"/>
      <c r="AI460" s="231"/>
      <c r="AJ460" s="267"/>
      <c r="AK460" s="267"/>
      <c r="AL460" s="432"/>
      <c r="AM460" s="573" t="str">
        <f>GRAL!B463</f>
        <v>2018-2021</v>
      </c>
      <c r="AN460" s="448"/>
      <c r="AO460" s="13"/>
    </row>
    <row r="461" spans="1:41" ht="30" hidden="1" customHeight="1">
      <c r="A461" s="166">
        <f>OBRA!I461</f>
        <v>2020</v>
      </c>
      <c r="B461" s="2036"/>
      <c r="C461" s="433"/>
      <c r="D461" s="154"/>
      <c r="E461" s="156"/>
      <c r="F461" s="156"/>
      <c r="G461" s="436"/>
      <c r="H461" s="442" t="str">
        <f>OBRA!AD461</f>
        <v>-</v>
      </c>
      <c r="I461" s="438"/>
      <c r="J461" s="444" t="str">
        <f>OBRA!AE461</f>
        <v>-</v>
      </c>
      <c r="K461" s="439"/>
      <c r="L461" s="442" t="str">
        <f>OBRA!AF461</f>
        <v>-</v>
      </c>
      <c r="M461" s="440"/>
      <c r="N461" s="442" t="str">
        <f>OBRA!AG461</f>
        <v>-</v>
      </c>
      <c r="O461" s="152"/>
      <c r="P461" s="152"/>
      <c r="Q461" s="441"/>
      <c r="R461" s="445" t="str">
        <f>OBRA!AH461</f>
        <v>-</v>
      </c>
      <c r="S461" s="349"/>
      <c r="T461" s="446" t="str">
        <f>OBRA!U461</f>
        <v>SUPERVISIÓN PROYECTOS Y LABORATORIO PARA LA CONSTRUCCIÓN</v>
      </c>
      <c r="U461" s="447" t="str">
        <f>OBRA!V461</f>
        <v>ING. HECTOR JESUS HERNANDEZ</v>
      </c>
      <c r="V461" s="1281"/>
      <c r="W461" s="20" t="str">
        <f>OBRA!L461</f>
        <v>C.P.S.P. DOP 007/2020</v>
      </c>
      <c r="X461" s="13"/>
      <c r="Y461" s="13"/>
      <c r="Z461" s="448" t="str">
        <f>OBRA!K461</f>
        <v>CUENTA CORRIENTE</v>
      </c>
      <c r="AA461" s="13"/>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428" t="str">
        <f>OBRA!S461</f>
        <v>NO APLICA</v>
      </c>
      <c r="AH461" s="54"/>
      <c r="AI461" s="231"/>
      <c r="AJ461" s="267"/>
      <c r="AK461" s="267"/>
      <c r="AL461" s="432"/>
      <c r="AM461" s="573" t="str">
        <f>GRAL!B464</f>
        <v>2018-2021</v>
      </c>
      <c r="AN461" s="448"/>
      <c r="AO461" s="13"/>
    </row>
    <row r="462" spans="1:41" ht="30" hidden="1" customHeight="1">
      <c r="A462" s="166">
        <f>OBRA!I462</f>
        <v>2020</v>
      </c>
      <c r="B462" s="2036"/>
      <c r="C462" s="433"/>
      <c r="D462" s="154"/>
      <c r="E462" s="156"/>
      <c r="F462" s="156"/>
      <c r="G462" s="436"/>
      <c r="H462" s="442" t="str">
        <f>OBRA!AD462</f>
        <v>-</v>
      </c>
      <c r="I462" s="438"/>
      <c r="J462" s="444" t="str">
        <f>OBRA!AE462</f>
        <v>-</v>
      </c>
      <c r="K462" s="439"/>
      <c r="L462" s="442" t="str">
        <f>OBRA!AF462</f>
        <v>-</v>
      </c>
      <c r="M462" s="440"/>
      <c r="N462" s="442" t="str">
        <f>OBRA!AG462</f>
        <v>-</v>
      </c>
      <c r="O462" s="152"/>
      <c r="P462" s="152"/>
      <c r="Q462" s="441"/>
      <c r="R462" s="445" t="str">
        <f>OBRA!AH462</f>
        <v>-</v>
      </c>
      <c r="S462" s="349"/>
      <c r="T462" s="446" t="str">
        <f>OBRA!U462</f>
        <v>SUPERVISIÓN PROYECTOS Y LABORATORIO PARA LA CONSTRUCCIÓN</v>
      </c>
      <c r="U462" s="447" t="str">
        <f>OBRA!V462</f>
        <v>ING. HECTOR JESUS HERNANDEZ</v>
      </c>
      <c r="V462" s="1281"/>
      <c r="W462" s="20" t="str">
        <f>OBRA!L462</f>
        <v>C.P.S.P. DOP 008/2020</v>
      </c>
      <c r="X462" s="13"/>
      <c r="Y462" s="13"/>
      <c r="Z462" s="448" t="str">
        <f>OBRA!K462</f>
        <v>CUENTA CORRIENTE</v>
      </c>
      <c r="AA462" s="13"/>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428" t="str">
        <f>OBRA!S462</f>
        <v>NO APLICA</v>
      </c>
      <c r="AH462" s="54"/>
      <c r="AI462" s="231"/>
      <c r="AJ462" s="267"/>
      <c r="AK462" s="267"/>
      <c r="AL462" s="432"/>
      <c r="AM462" s="573" t="str">
        <f>GRAL!B465</f>
        <v>2018-2021</v>
      </c>
      <c r="AN462" s="448"/>
      <c r="AO462" s="13"/>
    </row>
    <row r="463" spans="1:41" ht="30" hidden="1" customHeight="1">
      <c r="A463" s="166">
        <f>OBRA!I463</f>
        <v>2020</v>
      </c>
      <c r="B463" s="2036"/>
      <c r="C463" s="433"/>
      <c r="D463" s="154"/>
      <c r="E463" s="156"/>
      <c r="F463" s="156"/>
      <c r="G463" s="436"/>
      <c r="H463" s="442" t="str">
        <f>OBRA!AD463</f>
        <v>-</v>
      </c>
      <c r="I463" s="438"/>
      <c r="J463" s="444" t="str">
        <f>OBRA!AE463</f>
        <v>-</v>
      </c>
      <c r="K463" s="439"/>
      <c r="L463" s="442" t="str">
        <f>OBRA!AF463</f>
        <v>-</v>
      </c>
      <c r="M463" s="440"/>
      <c r="N463" s="442" t="str">
        <f>OBRA!AG463</f>
        <v>-</v>
      </c>
      <c r="O463" s="152"/>
      <c r="P463" s="152"/>
      <c r="Q463" s="441"/>
      <c r="R463" s="445" t="str">
        <f>OBRA!AH463</f>
        <v>-</v>
      </c>
      <c r="S463" s="349"/>
      <c r="T463" s="446" t="str">
        <f>OBRA!U463</f>
        <v xml:space="preserve">CICLOS GIP SC </v>
      </c>
      <c r="U463" s="447" t="str">
        <f>OBRA!V463</f>
        <v>ING. HECTOR JESUS HERNANDEZ</v>
      </c>
      <c r="V463" s="1281"/>
      <c r="W463" s="20" t="str">
        <f>OBRA!L463</f>
        <v>C.P.S.P. DOP 009/2020</v>
      </c>
      <c r="X463" s="13"/>
      <c r="Y463" s="13"/>
      <c r="Z463" s="448" t="str">
        <f>OBRA!K463</f>
        <v>CUENTA CORRIENTE</v>
      </c>
      <c r="AA463" s="13"/>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428">
        <f>OBRA!S463</f>
        <v>44055</v>
      </c>
      <c r="AH463" s="54"/>
      <c r="AI463" s="231"/>
      <c r="AJ463" s="267"/>
      <c r="AK463" s="267"/>
      <c r="AL463" s="432"/>
      <c r="AM463" s="573" t="str">
        <f>GRAL!B466</f>
        <v>2018-2021</v>
      </c>
      <c r="AN463" s="448"/>
      <c r="AO463" s="13"/>
    </row>
    <row r="464" spans="1:41" ht="30" hidden="1" customHeight="1">
      <c r="A464" s="166">
        <f>OBRA!I464</f>
        <v>2020</v>
      </c>
      <c r="B464" s="2036"/>
      <c r="C464" s="433"/>
      <c r="D464" s="154"/>
      <c r="E464" s="156"/>
      <c r="F464" s="156"/>
      <c r="G464" s="436"/>
      <c r="H464" s="442" t="str">
        <f>OBRA!AD464</f>
        <v>-</v>
      </c>
      <c r="I464" s="438"/>
      <c r="J464" s="444" t="str">
        <f>OBRA!AE464</f>
        <v>-</v>
      </c>
      <c r="K464" s="439"/>
      <c r="L464" s="442" t="str">
        <f>OBRA!AF464</f>
        <v>-</v>
      </c>
      <c r="M464" s="440"/>
      <c r="N464" s="442" t="str">
        <f>OBRA!AG464</f>
        <v>-</v>
      </c>
      <c r="O464" s="152"/>
      <c r="P464" s="152"/>
      <c r="Q464" s="441"/>
      <c r="R464" s="445" t="str">
        <f>OBRA!AH464</f>
        <v>-</v>
      </c>
      <c r="S464" s="349"/>
      <c r="T464" s="446" t="str">
        <f>OBRA!U464</f>
        <v>SUPERVISIÓN PROYECTOS Y LABORATORIO PARA LA CONSTRUCCIÓN</v>
      </c>
      <c r="U464" s="447" t="str">
        <f>OBRA!V464</f>
        <v>ARQ. EDUARDO ROMERO CARRILLO</v>
      </c>
      <c r="V464" s="1281"/>
      <c r="W464" s="20" t="str">
        <f>OBRA!L464</f>
        <v>C.P.S.P. DOP 010/2020</v>
      </c>
      <c r="X464" s="13"/>
      <c r="Y464" s="13"/>
      <c r="Z464" s="448" t="str">
        <f>OBRA!K464</f>
        <v>CUENTA CORRIENTE</v>
      </c>
      <c r="AA464" s="13"/>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428" t="str">
        <f>OBRA!S464</f>
        <v>NO APLICA</v>
      </c>
      <c r="AH464" s="54"/>
      <c r="AI464" s="231"/>
      <c r="AJ464" s="267"/>
      <c r="AK464" s="267"/>
      <c r="AL464" s="432"/>
      <c r="AM464" s="573" t="str">
        <f>GRAL!B467</f>
        <v>2018-2021</v>
      </c>
      <c r="AN464" s="448"/>
      <c r="AO464" s="13"/>
    </row>
    <row r="465" spans="1:41" ht="30" hidden="1" customHeight="1">
      <c r="A465" s="166">
        <f>OBRA!I465</f>
        <v>2020</v>
      </c>
      <c r="B465" s="2036"/>
      <c r="C465" s="433"/>
      <c r="D465" s="154"/>
      <c r="E465" s="156"/>
      <c r="F465" s="156"/>
      <c r="G465" s="436"/>
      <c r="H465" s="442" t="str">
        <f>OBRA!AD465</f>
        <v>-</v>
      </c>
      <c r="I465" s="438"/>
      <c r="J465" s="444" t="str">
        <f>OBRA!AE465</f>
        <v>-</v>
      </c>
      <c r="K465" s="439"/>
      <c r="L465" s="442" t="str">
        <f>OBRA!AF465</f>
        <v>-</v>
      </c>
      <c r="M465" s="440"/>
      <c r="N465" s="442" t="str">
        <f>OBRA!AG465</f>
        <v>-</v>
      </c>
      <c r="O465" s="152"/>
      <c r="P465" s="152"/>
      <c r="Q465" s="441"/>
      <c r="R465" s="445" t="str">
        <f>OBRA!AH465</f>
        <v>-</v>
      </c>
      <c r="S465" s="349"/>
      <c r="T465" s="446" t="str">
        <f>OBRA!U465</f>
        <v>JUAN MANUEL GARCIA ESCOTO</v>
      </c>
      <c r="U465" s="447" t="str">
        <f>OBRA!V465</f>
        <v>ING. HECTOR JESUS HERNANDEZ</v>
      </c>
      <c r="V465" s="1281"/>
      <c r="W465" s="20" t="str">
        <f>OBRA!L465</f>
        <v>C.P.S.P. DOP 011/2020</v>
      </c>
      <c r="X465" s="13"/>
      <c r="Y465" s="13"/>
      <c r="Z465" s="448" t="str">
        <f>OBRA!K465</f>
        <v>CUENTA CORRIENTE</v>
      </c>
      <c r="AA465" s="13"/>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428" t="str">
        <f>OBRA!S465</f>
        <v>NO APLICA</v>
      </c>
      <c r="AH465" s="54"/>
      <c r="AI465" s="231"/>
      <c r="AJ465" s="267"/>
      <c r="AK465" s="267"/>
      <c r="AL465" s="432"/>
      <c r="AM465" s="573" t="str">
        <f>GRAL!B468</f>
        <v>2018-2021</v>
      </c>
      <c r="AN465" s="448"/>
      <c r="AO465" s="13"/>
    </row>
    <row r="466" spans="1:41" ht="30" hidden="1" customHeight="1">
      <c r="A466" s="166">
        <f>OBRA!I466</f>
        <v>2020</v>
      </c>
      <c r="B466" s="2036"/>
      <c r="C466" s="433"/>
      <c r="D466" s="154"/>
      <c r="E466" s="156"/>
      <c r="F466" s="156"/>
      <c r="G466" s="436"/>
      <c r="H466" s="442" t="str">
        <f>OBRA!AD466</f>
        <v>-</v>
      </c>
      <c r="I466" s="438"/>
      <c r="J466" s="444" t="str">
        <f>OBRA!AE466</f>
        <v>-</v>
      </c>
      <c r="K466" s="439"/>
      <c r="L466" s="442" t="str">
        <f>OBRA!AF466</f>
        <v>-</v>
      </c>
      <c r="M466" s="440"/>
      <c r="N466" s="442" t="str">
        <f>OBRA!AG466</f>
        <v>-</v>
      </c>
      <c r="O466" s="152"/>
      <c r="P466" s="152"/>
      <c r="Q466" s="441"/>
      <c r="R466" s="445" t="str">
        <f>OBRA!AH466</f>
        <v>-</v>
      </c>
      <c r="S466" s="349"/>
      <c r="T466" s="446" t="str">
        <f>OBRA!U466</f>
        <v>AJG INGENIERIA, SA DE CV</v>
      </c>
      <c r="U466" s="447" t="str">
        <f>OBRA!V466</f>
        <v>ING. HECTOR JESUS HERNANDEZ</v>
      </c>
      <c r="V466" s="1281"/>
      <c r="W466" s="20" t="str">
        <f>OBRA!L466</f>
        <v>C.P.S.P. DOP 012/2020</v>
      </c>
      <c r="X466" s="13"/>
      <c r="Y466" s="13"/>
      <c r="Z466" s="448" t="str">
        <f>OBRA!K466</f>
        <v>CUENTA CORRIENTE</v>
      </c>
      <c r="AA466" s="13"/>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428">
        <f>OBRA!S466</f>
        <v>44094</v>
      </c>
      <c r="AH466" s="54"/>
      <c r="AI466" s="231"/>
      <c r="AJ466" s="267"/>
      <c r="AK466" s="267"/>
      <c r="AL466" s="432"/>
      <c r="AM466" s="573" t="str">
        <f>GRAL!B469</f>
        <v>2018-2021</v>
      </c>
      <c r="AN466" s="448"/>
      <c r="AO466" s="13"/>
    </row>
    <row r="467" spans="1:41" ht="30" hidden="1" customHeight="1">
      <c r="A467" s="166">
        <f>OBRA!I467</f>
        <v>2020</v>
      </c>
      <c r="B467" s="2036"/>
      <c r="C467" s="433"/>
      <c r="D467" s="154"/>
      <c r="E467" s="156"/>
      <c r="F467" s="156"/>
      <c r="G467" s="436"/>
      <c r="H467" s="442" t="str">
        <f>OBRA!AD467</f>
        <v>-</v>
      </c>
      <c r="I467" s="438"/>
      <c r="J467" s="444" t="str">
        <f>OBRA!AE467</f>
        <v>-</v>
      </c>
      <c r="K467" s="439"/>
      <c r="L467" s="442" t="str">
        <f>OBRA!AF467</f>
        <v>-</v>
      </c>
      <c r="M467" s="440"/>
      <c r="N467" s="442" t="str">
        <f>OBRA!AG467</f>
        <v>-</v>
      </c>
      <c r="O467" s="152"/>
      <c r="P467" s="152"/>
      <c r="Q467" s="441"/>
      <c r="R467" s="445" t="str">
        <f>OBRA!AH467</f>
        <v>-</v>
      </c>
      <c r="S467" s="349"/>
      <c r="T467" s="446" t="str">
        <f>OBRA!U467</f>
        <v>AJG INGENIERIA, SA DE CV</v>
      </c>
      <c r="U467" s="447" t="str">
        <f>OBRA!V467</f>
        <v>ING. HECTOR JESUS HERNANDEZ</v>
      </c>
      <c r="V467" s="1281"/>
      <c r="W467" s="20" t="str">
        <f>OBRA!L467</f>
        <v>C.P.S.P. DOP 013/2020</v>
      </c>
      <c r="X467" s="13"/>
      <c r="Y467" s="13"/>
      <c r="Z467" s="448" t="str">
        <f>OBRA!K467</f>
        <v>CUENTA CORRIENTE</v>
      </c>
      <c r="AA467" s="13"/>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428">
        <f>OBRA!S467</f>
        <v>44086</v>
      </c>
      <c r="AH467" s="54"/>
      <c r="AI467" s="231"/>
      <c r="AJ467" s="267"/>
      <c r="AK467" s="267"/>
      <c r="AL467" s="432"/>
      <c r="AM467" s="573" t="str">
        <f>GRAL!B470</f>
        <v>2018-2021</v>
      </c>
      <c r="AN467" s="448"/>
      <c r="AO467" s="13"/>
    </row>
    <row r="468" spans="1:41" ht="30" hidden="1" customHeight="1">
      <c r="A468" s="166">
        <f>OBRA!I468</f>
        <v>2020</v>
      </c>
      <c r="B468" s="2036"/>
      <c r="C468" s="433"/>
      <c r="D468" s="154"/>
      <c r="E468" s="156"/>
      <c r="F468" s="156"/>
      <c r="G468" s="436"/>
      <c r="H468" s="442" t="str">
        <f>OBRA!AD468</f>
        <v>-</v>
      </c>
      <c r="I468" s="438"/>
      <c r="J468" s="444" t="str">
        <f>OBRA!AE468</f>
        <v>-</v>
      </c>
      <c r="K468" s="439"/>
      <c r="L468" s="442" t="str">
        <f>OBRA!AF468</f>
        <v>-</v>
      </c>
      <c r="M468" s="440"/>
      <c r="N468" s="442" t="str">
        <f>OBRA!AG468</f>
        <v>-</v>
      </c>
      <c r="O468" s="152"/>
      <c r="P468" s="152"/>
      <c r="Q468" s="441"/>
      <c r="R468" s="445" t="str">
        <f>OBRA!AH468</f>
        <v>-</v>
      </c>
      <c r="S468" s="349"/>
      <c r="T468" s="446" t="str">
        <f>OBRA!U468</f>
        <v>SUPERVISIÓN PROYECTOS Y LABORATORIO PARA LA CONSTRUCCIÓN</v>
      </c>
      <c r="U468" s="447" t="str">
        <f>OBRA!V468</f>
        <v>LIC. SALVADOR CONTRERAS OLGUÍN</v>
      </c>
      <c r="V468" s="1281"/>
      <c r="W468" s="20" t="str">
        <f>OBRA!L468</f>
        <v>C.P.S.P. DOP 014/2020</v>
      </c>
      <c r="X468" s="13"/>
      <c r="Y468" s="13"/>
      <c r="Z468" s="448" t="str">
        <f>OBRA!K468</f>
        <v>CUENTA CORRIENTE</v>
      </c>
      <c r="AA468" s="13"/>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428" t="str">
        <f>OBRA!S468</f>
        <v>NO APLICA</v>
      </c>
      <c r="AH468" s="54"/>
      <c r="AI468" s="231"/>
      <c r="AJ468" s="267"/>
      <c r="AK468" s="267"/>
      <c r="AL468" s="432"/>
      <c r="AM468" s="573" t="str">
        <f>GRAL!B471</f>
        <v>2018-2021</v>
      </c>
      <c r="AN468" s="448"/>
      <c r="AO468" s="13"/>
    </row>
    <row r="469" spans="1:41" ht="30" hidden="1" customHeight="1">
      <c r="A469" s="166">
        <f>OBRA!I469</f>
        <v>2020</v>
      </c>
      <c r="B469" s="2036"/>
      <c r="C469" s="433"/>
      <c r="D469" s="154"/>
      <c r="E469" s="156"/>
      <c r="F469" s="156"/>
      <c r="G469" s="436"/>
      <c r="H469" s="442" t="str">
        <f>OBRA!AD469</f>
        <v>-</v>
      </c>
      <c r="I469" s="438"/>
      <c r="J469" s="444" t="str">
        <f>OBRA!AE469</f>
        <v>-</v>
      </c>
      <c r="K469" s="439"/>
      <c r="L469" s="442" t="str">
        <f>OBRA!AF469</f>
        <v>-</v>
      </c>
      <c r="M469" s="440"/>
      <c r="N469" s="442" t="str">
        <f>OBRA!AG469</f>
        <v>-</v>
      </c>
      <c r="O469" s="152"/>
      <c r="P469" s="152"/>
      <c r="Q469" s="441"/>
      <c r="R469" s="445" t="str">
        <f>OBRA!AH469</f>
        <v>-</v>
      </c>
      <c r="S469" s="349"/>
      <c r="T469" s="446" t="str">
        <f>OBRA!U469</f>
        <v>SUPERVISIÓN PROYECTOS Y LABORATORIO PARA LA CONSTRUCCIÓN</v>
      </c>
      <c r="U469" s="447" t="str">
        <f>OBRA!V469</f>
        <v>ARQ. JAIME CONDE GOMEZ</v>
      </c>
      <c r="V469" s="1281"/>
      <c r="W469" s="20" t="str">
        <f>OBRA!L469</f>
        <v>C.P.S.P. DOP 015/2020</v>
      </c>
      <c r="X469" s="13"/>
      <c r="Y469" s="13"/>
      <c r="Z469" s="448" t="str">
        <f>OBRA!K469</f>
        <v>CUENTA CORRIENTE</v>
      </c>
      <c r="AA469" s="13"/>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428" t="str">
        <f>OBRA!S469</f>
        <v>NO APLICA</v>
      </c>
      <c r="AH469" s="54"/>
      <c r="AI469" s="231"/>
      <c r="AJ469" s="267"/>
      <c r="AK469" s="267"/>
      <c r="AL469" s="432"/>
      <c r="AM469" s="573" t="str">
        <f>GRAL!B472</f>
        <v>2018-2021</v>
      </c>
      <c r="AN469" s="448"/>
      <c r="AO469" s="13"/>
    </row>
    <row r="470" spans="1:41" ht="30" hidden="1" customHeight="1">
      <c r="A470" s="166">
        <f>OBRA!I470</f>
        <v>2020</v>
      </c>
      <c r="B470" s="2036"/>
      <c r="C470" s="433"/>
      <c r="D470" s="154"/>
      <c r="E470" s="156"/>
      <c r="F470" s="156"/>
      <c r="G470" s="436"/>
      <c r="H470" s="442" t="str">
        <f>OBRA!AD470</f>
        <v>-</v>
      </c>
      <c r="I470" s="438"/>
      <c r="J470" s="444" t="str">
        <f>OBRA!AE470</f>
        <v>-</v>
      </c>
      <c r="K470" s="439"/>
      <c r="L470" s="442" t="str">
        <f>OBRA!AF470</f>
        <v>-</v>
      </c>
      <c r="M470" s="440"/>
      <c r="N470" s="442" t="str">
        <f>OBRA!AG470</f>
        <v>-</v>
      </c>
      <c r="O470" s="152"/>
      <c r="P470" s="152"/>
      <c r="Q470" s="441"/>
      <c r="R470" s="445" t="str">
        <f>OBRA!AH470</f>
        <v>-</v>
      </c>
      <c r="S470" s="349"/>
      <c r="T470" s="446" t="str">
        <f>OBRA!U470</f>
        <v>SUPERVISIÓN PROYECTOS Y LABORATORIO PARA LA CONSTRUCCIÓN</v>
      </c>
      <c r="U470" s="447" t="str">
        <f>OBRA!V470</f>
        <v>ING. J. GUADALUPE IBARRA RAMIREZ</v>
      </c>
      <c r="V470" s="1281"/>
      <c r="W470" s="20" t="str">
        <f>OBRA!L470</f>
        <v>C.P.S.P. DOP 016/2020</v>
      </c>
      <c r="X470" s="13"/>
      <c r="Y470" s="13"/>
      <c r="Z470" s="448" t="str">
        <f>OBRA!K470</f>
        <v>CUENTA CORRIENTE</v>
      </c>
      <c r="AA470" s="13"/>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428" t="str">
        <f>OBRA!S470</f>
        <v>NO APLICA</v>
      </c>
      <c r="AH470" s="54"/>
      <c r="AI470" s="231"/>
      <c r="AJ470" s="267"/>
      <c r="AK470" s="267"/>
      <c r="AL470" s="432"/>
      <c r="AM470" s="573" t="str">
        <f>GRAL!B473</f>
        <v>2018-2021</v>
      </c>
      <c r="AN470" s="448"/>
      <c r="AO470" s="13"/>
    </row>
    <row r="471" spans="1:41" ht="30" hidden="1" customHeight="1">
      <c r="A471" s="166">
        <f>OBRA!I471</f>
        <v>2020</v>
      </c>
      <c r="B471" s="2036"/>
      <c r="C471" s="433"/>
      <c r="D471" s="154"/>
      <c r="E471" s="156"/>
      <c r="F471" s="156"/>
      <c r="G471" s="436"/>
      <c r="H471" s="442" t="str">
        <f>OBRA!AD471</f>
        <v>-</v>
      </c>
      <c r="I471" s="438"/>
      <c r="J471" s="444" t="str">
        <f>OBRA!AE471</f>
        <v>-</v>
      </c>
      <c r="K471" s="439"/>
      <c r="L471" s="442" t="str">
        <f>OBRA!AF471</f>
        <v>-</v>
      </c>
      <c r="M471" s="440"/>
      <c r="N471" s="442" t="str">
        <f>OBRA!AG471</f>
        <v>-</v>
      </c>
      <c r="O471" s="152"/>
      <c r="P471" s="152"/>
      <c r="Q471" s="441"/>
      <c r="R471" s="445" t="str">
        <f>OBRA!AH471</f>
        <v>-</v>
      </c>
      <c r="S471" s="349"/>
      <c r="T471" s="446" t="str">
        <f>OBRA!U471</f>
        <v>ING. JUAN MANUEL GARCÍA ESCOTO</v>
      </c>
      <c r="U471" s="447" t="str">
        <f>OBRA!V471</f>
        <v>ING. HECTOR JESUS HERNANDEZ</v>
      </c>
      <c r="V471" s="1281"/>
      <c r="W471" s="20" t="str">
        <f>OBRA!L471</f>
        <v>C.P.S.P. DOP 017/2020</v>
      </c>
      <c r="X471" s="13"/>
      <c r="Y471" s="13"/>
      <c r="Z471" s="448" t="str">
        <f>OBRA!K471</f>
        <v>CUENTA CORRIENTE</v>
      </c>
      <c r="AA471" s="13"/>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428" t="str">
        <f>OBRA!S471</f>
        <v>-</v>
      </c>
      <c r="AH471" s="54"/>
      <c r="AI471" s="231"/>
      <c r="AJ471" s="267"/>
      <c r="AK471" s="267"/>
      <c r="AL471" s="432"/>
      <c r="AM471" s="573" t="str">
        <f>GRAL!B474</f>
        <v>2018-2021</v>
      </c>
      <c r="AN471" s="448"/>
      <c r="AO471" s="13"/>
    </row>
    <row r="472" spans="1:41" ht="30" hidden="1" customHeight="1">
      <c r="A472" s="166">
        <f>OBRA!I472</f>
        <v>2020</v>
      </c>
      <c r="B472" s="2036"/>
      <c r="C472" s="433"/>
      <c r="D472" s="154"/>
      <c r="E472" s="156"/>
      <c r="F472" s="156"/>
      <c r="G472" s="436"/>
      <c r="H472" s="442" t="str">
        <f>OBRA!AD472</f>
        <v>-</v>
      </c>
      <c r="I472" s="438"/>
      <c r="J472" s="444" t="str">
        <f>OBRA!AE472</f>
        <v>-</v>
      </c>
      <c r="K472" s="439"/>
      <c r="L472" s="442" t="str">
        <f>OBRA!AF472</f>
        <v>-</v>
      </c>
      <c r="M472" s="440"/>
      <c r="N472" s="442" t="str">
        <f>OBRA!AG472</f>
        <v>-</v>
      </c>
      <c r="O472" s="152"/>
      <c r="P472" s="152"/>
      <c r="Q472" s="441"/>
      <c r="R472" s="445" t="str">
        <f>OBRA!AH472</f>
        <v>-</v>
      </c>
      <c r="S472" s="349"/>
      <c r="T472" s="446" t="str">
        <f>OBRA!U472</f>
        <v>ING. JUAN MANUEL GARCÍA ESCOTO</v>
      </c>
      <c r="U472" s="447" t="str">
        <f>OBRA!V472</f>
        <v>ING. HECTOR JESUS HERNANDEZ</v>
      </c>
      <c r="V472" s="1281"/>
      <c r="W472" s="20" t="str">
        <f>OBRA!L472</f>
        <v>C.P.S.P. DOP 018/2020</v>
      </c>
      <c r="X472" s="13"/>
      <c r="Y472" s="13"/>
      <c r="Z472" s="448" t="str">
        <f>OBRA!K472</f>
        <v>CUENTA CORRIENTE</v>
      </c>
      <c r="AA472" s="13"/>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428" t="str">
        <f>OBRA!S472</f>
        <v>-</v>
      </c>
      <c r="AH472" s="54"/>
      <c r="AI472" s="231"/>
      <c r="AJ472" s="267"/>
      <c r="AK472" s="267"/>
      <c r="AL472" s="432"/>
      <c r="AM472" s="573" t="str">
        <f>GRAL!B475</f>
        <v>2018-2021</v>
      </c>
      <c r="AN472" s="448"/>
      <c r="AO472" s="13"/>
    </row>
    <row r="473" spans="1:41" ht="30" hidden="1" customHeight="1">
      <c r="A473" s="166">
        <f>OBRA!I473</f>
        <v>2020</v>
      </c>
      <c r="B473" s="2036"/>
      <c r="C473" s="433"/>
      <c r="D473" s="154"/>
      <c r="E473" s="156"/>
      <c r="F473" s="156"/>
      <c r="G473" s="436"/>
      <c r="H473" s="442" t="str">
        <f>OBRA!AD473</f>
        <v>-</v>
      </c>
      <c r="I473" s="438"/>
      <c r="J473" s="444" t="str">
        <f>OBRA!AE473</f>
        <v>-</v>
      </c>
      <c r="K473" s="439"/>
      <c r="L473" s="442" t="str">
        <f>OBRA!AF473</f>
        <v>-</v>
      </c>
      <c r="M473" s="440"/>
      <c r="N473" s="442" t="str">
        <f>OBRA!AG473</f>
        <v>-</v>
      </c>
      <c r="O473" s="152"/>
      <c r="P473" s="152"/>
      <c r="Q473" s="441"/>
      <c r="R473" s="445" t="str">
        <f>OBRA!AH473</f>
        <v>-</v>
      </c>
      <c r="S473" s="349"/>
      <c r="T473" s="446" t="str">
        <f>OBRA!U473</f>
        <v>ING. JUAN MANUEL GARCÍA ESCOTO</v>
      </c>
      <c r="U473" s="447" t="str">
        <f>OBRA!V473</f>
        <v>ING. HECTOR JESUS HERNANDEZ</v>
      </c>
      <c r="V473" s="1281"/>
      <c r="W473" s="20" t="str">
        <f>OBRA!L473</f>
        <v>C.P.S.P. DOP 019/2020</v>
      </c>
      <c r="X473" s="13"/>
      <c r="Y473" s="13"/>
      <c r="Z473" s="448" t="str">
        <f>OBRA!K473</f>
        <v>CUENTA CORRIENTE</v>
      </c>
      <c r="AA473" s="13"/>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428" t="str">
        <f>OBRA!S473</f>
        <v>-</v>
      </c>
      <c r="AH473" s="54"/>
      <c r="AI473" s="231"/>
      <c r="AJ473" s="267"/>
      <c r="AK473" s="267"/>
      <c r="AL473" s="432"/>
      <c r="AM473" s="573" t="str">
        <f>GRAL!B476</f>
        <v>2018-2021</v>
      </c>
      <c r="AN473" s="448"/>
      <c r="AO473" s="13"/>
    </row>
    <row r="474" spans="1:41" ht="30" hidden="1" customHeight="1">
      <c r="A474" s="166">
        <f>OBRA!I474</f>
        <v>2020</v>
      </c>
      <c r="B474" s="2036"/>
      <c r="C474" s="433"/>
      <c r="D474" s="154"/>
      <c r="E474" s="156"/>
      <c r="F474" s="156"/>
      <c r="G474" s="436"/>
      <c r="H474" s="442" t="str">
        <f>OBRA!AD474</f>
        <v>-</v>
      </c>
      <c r="I474" s="438"/>
      <c r="J474" s="444" t="str">
        <f>OBRA!AE474</f>
        <v>-</v>
      </c>
      <c r="K474" s="439"/>
      <c r="L474" s="442" t="str">
        <f>OBRA!AF474</f>
        <v>-</v>
      </c>
      <c r="M474" s="440"/>
      <c r="N474" s="442" t="str">
        <f>OBRA!AG474</f>
        <v>-</v>
      </c>
      <c r="O474" s="152"/>
      <c r="P474" s="152"/>
      <c r="Q474" s="441"/>
      <c r="R474" s="445" t="str">
        <f>OBRA!AH474</f>
        <v>-</v>
      </c>
      <c r="S474" s="349"/>
      <c r="T474" s="446" t="str">
        <f>OBRA!U474</f>
        <v>ING. JUAN MANUEL GARCÍA ESCOTO</v>
      </c>
      <c r="U474" s="447" t="str">
        <f>OBRA!V474</f>
        <v>ING. HECTOR JESUS HERNANDEZ</v>
      </c>
      <c r="V474" s="1281"/>
      <c r="W474" s="20" t="str">
        <f>OBRA!L474</f>
        <v>C.P.S.P. DOP 020/2020</v>
      </c>
      <c r="X474" s="13"/>
      <c r="Y474" s="13"/>
      <c r="Z474" s="448" t="str">
        <f>OBRA!K474</f>
        <v>CUENTA CORRIENTE</v>
      </c>
      <c r="AA474" s="13"/>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428" t="str">
        <f>OBRA!S474</f>
        <v>-</v>
      </c>
      <c r="AH474" s="54"/>
      <c r="AI474" s="231"/>
      <c r="AJ474" s="267"/>
      <c r="AK474" s="267"/>
      <c r="AL474" s="432"/>
      <c r="AM474" s="573" t="str">
        <f>GRAL!B477</f>
        <v>2018-2021</v>
      </c>
      <c r="AN474" s="448"/>
      <c r="AO474" s="13"/>
    </row>
    <row r="475" spans="1:41" ht="30" hidden="1" customHeight="1">
      <c r="A475" s="166">
        <f>OBRA!I475</f>
        <v>2020</v>
      </c>
      <c r="B475" s="2036"/>
      <c r="C475" s="433"/>
      <c r="D475" s="154"/>
      <c r="E475" s="156"/>
      <c r="F475" s="156"/>
      <c r="G475" s="436"/>
      <c r="H475" s="442" t="str">
        <f>OBRA!AD475</f>
        <v>-</v>
      </c>
      <c r="I475" s="438"/>
      <c r="J475" s="444" t="str">
        <f>OBRA!AE475</f>
        <v>-</v>
      </c>
      <c r="K475" s="439"/>
      <c r="L475" s="442" t="str">
        <f>OBRA!AF475</f>
        <v>-</v>
      </c>
      <c r="M475" s="440"/>
      <c r="N475" s="442" t="str">
        <f>OBRA!AG475</f>
        <v>-</v>
      </c>
      <c r="O475" s="152"/>
      <c r="P475" s="152"/>
      <c r="Q475" s="441"/>
      <c r="R475" s="445" t="str">
        <f>OBRA!AH475</f>
        <v>-</v>
      </c>
      <c r="S475" s="349"/>
      <c r="T475" s="446" t="str">
        <f>OBRA!U475</f>
        <v>ING. JUAN MANUEL GARCÍA ESCOTO</v>
      </c>
      <c r="U475" s="447" t="str">
        <f>OBRA!V475</f>
        <v>ING. HECTOR JESUS HERNANDEZ</v>
      </c>
      <c r="V475" s="1281"/>
      <c r="W475" s="20" t="str">
        <f>OBRA!L475</f>
        <v>C.P.S.P. DOP 021/2020</v>
      </c>
      <c r="X475" s="13"/>
      <c r="Y475" s="13"/>
      <c r="Z475" s="448" t="str">
        <f>OBRA!K475</f>
        <v>CUENTA CORRIENTE</v>
      </c>
      <c r="AA475" s="13"/>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428" t="str">
        <f>OBRA!S475</f>
        <v>-</v>
      </c>
      <c r="AH475" s="54"/>
      <c r="AI475" s="231"/>
      <c r="AJ475" s="267"/>
      <c r="AK475" s="267"/>
      <c r="AL475" s="432"/>
      <c r="AM475" s="573" t="str">
        <f>GRAL!B478</f>
        <v>2018-2021</v>
      </c>
      <c r="AN475" s="448"/>
      <c r="AO475" s="13"/>
    </row>
    <row r="476" spans="1:41" ht="30" hidden="1" customHeight="1">
      <c r="A476" s="166">
        <f>OBRA!I476</f>
        <v>2020</v>
      </c>
      <c r="B476" s="2036"/>
      <c r="C476" s="433"/>
      <c r="D476" s="154"/>
      <c r="E476" s="156"/>
      <c r="F476" s="156"/>
      <c r="G476" s="436"/>
      <c r="H476" s="442" t="str">
        <f>OBRA!AD476</f>
        <v>-</v>
      </c>
      <c r="I476" s="438"/>
      <c r="J476" s="444" t="str">
        <f>OBRA!AE476</f>
        <v>-</v>
      </c>
      <c r="K476" s="439"/>
      <c r="L476" s="442" t="str">
        <f>OBRA!AF476</f>
        <v>-</v>
      </c>
      <c r="M476" s="440"/>
      <c r="N476" s="442" t="str">
        <f>OBRA!AG476</f>
        <v>-</v>
      </c>
      <c r="O476" s="152"/>
      <c r="P476" s="152"/>
      <c r="Q476" s="441"/>
      <c r="R476" s="445" t="str">
        <f>OBRA!AH476</f>
        <v>-</v>
      </c>
      <c r="S476" s="349"/>
      <c r="T476" s="446" t="str">
        <f>OBRA!U476</f>
        <v>ING. JUAN MANUEL GARCÍA ESCOTO</v>
      </c>
      <c r="U476" s="447" t="str">
        <f>OBRA!V476</f>
        <v>ING. HECTOR JESUS HERNANDEZ</v>
      </c>
      <c r="V476" s="1281"/>
      <c r="W476" s="20" t="str">
        <f>OBRA!L476</f>
        <v>C.P.S.P. DOP 022/2020</v>
      </c>
      <c r="X476" s="13"/>
      <c r="Y476" s="13"/>
      <c r="Z476" s="448" t="str">
        <f>OBRA!K476</f>
        <v>CUENTA CORRIENTE</v>
      </c>
      <c r="AA476" s="13"/>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428" t="str">
        <f>OBRA!S476</f>
        <v>-</v>
      </c>
      <c r="AH476" s="54"/>
      <c r="AI476" s="231"/>
      <c r="AJ476" s="267"/>
      <c r="AK476" s="267"/>
      <c r="AL476" s="432"/>
      <c r="AM476" s="573" t="str">
        <f>GRAL!B479</f>
        <v>2018-2021</v>
      </c>
      <c r="AN476" s="448"/>
      <c r="AO476" s="13"/>
    </row>
    <row r="477" spans="1:41" ht="30" hidden="1" customHeight="1">
      <c r="A477" s="166">
        <f>OBRA!I477</f>
        <v>2020</v>
      </c>
      <c r="B477" s="2036"/>
      <c r="C477" s="433"/>
      <c r="D477" s="154"/>
      <c r="E477" s="156"/>
      <c r="F477" s="156"/>
      <c r="G477" s="436"/>
      <c r="H477" s="442" t="str">
        <f>OBRA!AD477</f>
        <v>-</v>
      </c>
      <c r="I477" s="438"/>
      <c r="J477" s="444" t="str">
        <f>OBRA!AE477</f>
        <v>-</v>
      </c>
      <c r="K477" s="439"/>
      <c r="L477" s="442" t="str">
        <f>OBRA!AF477</f>
        <v>-</v>
      </c>
      <c r="M477" s="440"/>
      <c r="N477" s="442" t="str">
        <f>OBRA!AG477</f>
        <v>-</v>
      </c>
      <c r="O477" s="152"/>
      <c r="P477" s="152"/>
      <c r="Q477" s="441"/>
      <c r="R477" s="445" t="str">
        <f>OBRA!AH477</f>
        <v>-</v>
      </c>
      <c r="S477" s="349"/>
      <c r="T477" s="446" t="str">
        <f>OBRA!U477</f>
        <v>ING. JUAN MANUEL GARCÍA ESCOTO</v>
      </c>
      <c r="U477" s="447" t="str">
        <f>OBRA!V477</f>
        <v>ING. HECTOR JESUS HERNANDEZ</v>
      </c>
      <c r="V477" s="1281"/>
      <c r="W477" s="20" t="str">
        <f>OBRA!L477</f>
        <v>C.P.S.P. DOP 023/2020</v>
      </c>
      <c r="X477" s="13"/>
      <c r="Y477" s="13"/>
      <c r="Z477" s="448" t="str">
        <f>OBRA!K477</f>
        <v>CUENTA CORRIENTE</v>
      </c>
      <c r="AA477" s="13"/>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428" t="str">
        <f>OBRA!S477</f>
        <v>-</v>
      </c>
      <c r="AH477" s="54"/>
      <c r="AI477" s="231"/>
      <c r="AJ477" s="267"/>
      <c r="AK477" s="267"/>
      <c r="AL477" s="432"/>
      <c r="AM477" s="573" t="str">
        <f>GRAL!B480</f>
        <v>2018-2021</v>
      </c>
      <c r="AN477" s="448"/>
      <c r="AO477" s="13"/>
    </row>
    <row r="478" spans="1:41" ht="30" hidden="1" customHeight="1">
      <c r="A478" s="166">
        <f>OBRA!I478</f>
        <v>2020</v>
      </c>
      <c r="B478" s="2036"/>
      <c r="C478" s="433"/>
      <c r="D478" s="154"/>
      <c r="E478" s="156"/>
      <c r="F478" s="156"/>
      <c r="G478" s="436"/>
      <c r="H478" s="442" t="str">
        <f>OBRA!AD478</f>
        <v>-</v>
      </c>
      <c r="I478" s="438"/>
      <c r="J478" s="444" t="str">
        <f>OBRA!AE478</f>
        <v>-</v>
      </c>
      <c r="K478" s="439"/>
      <c r="L478" s="442" t="str">
        <f>OBRA!AF478</f>
        <v>-</v>
      </c>
      <c r="M478" s="440"/>
      <c r="N478" s="442" t="str">
        <f>OBRA!AG478</f>
        <v>-</v>
      </c>
      <c r="O478" s="152"/>
      <c r="P478" s="152"/>
      <c r="Q478" s="441"/>
      <c r="R478" s="445" t="str">
        <f>OBRA!AH478</f>
        <v>-</v>
      </c>
      <c r="S478" s="349"/>
      <c r="T478" s="446" t="str">
        <f>OBRA!U478</f>
        <v>ING. JUAN MANUEL GARCÍA ESCOTO</v>
      </c>
      <c r="U478" s="447" t="str">
        <f>OBRA!V478</f>
        <v>ING. HECTOR JESUS HERNANDEZ</v>
      </c>
      <c r="V478" s="1281"/>
      <c r="W478" s="20" t="str">
        <f>OBRA!L478</f>
        <v>C.P.S.P. DOP 024/2020</v>
      </c>
      <c r="X478" s="13"/>
      <c r="Y478" s="13"/>
      <c r="Z478" s="448" t="str">
        <f>OBRA!K478</f>
        <v>CUENTA CORRIENTE</v>
      </c>
      <c r="AA478" s="13"/>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428" t="str">
        <f>OBRA!S478</f>
        <v>-</v>
      </c>
      <c r="AH478" s="54"/>
      <c r="AI478" s="231"/>
      <c r="AJ478" s="267"/>
      <c r="AK478" s="267"/>
      <c r="AL478" s="432"/>
      <c r="AM478" s="573" t="str">
        <f>GRAL!B481</f>
        <v>2018-2021</v>
      </c>
      <c r="AN478" s="448"/>
      <c r="AO478" s="13"/>
    </row>
    <row r="479" spans="1:41" ht="30" hidden="1" customHeight="1">
      <c r="A479" s="166">
        <f>OBRA!I479</f>
        <v>2020</v>
      </c>
      <c r="B479" s="2036"/>
      <c r="C479" s="433"/>
      <c r="D479" s="154"/>
      <c r="E479" s="156"/>
      <c r="F479" s="156"/>
      <c r="G479" s="436"/>
      <c r="H479" s="442" t="str">
        <f>OBRA!AD479</f>
        <v>-</v>
      </c>
      <c r="I479" s="438"/>
      <c r="J479" s="444" t="str">
        <f>OBRA!AE479</f>
        <v>-</v>
      </c>
      <c r="K479" s="439"/>
      <c r="L479" s="442" t="str">
        <f>OBRA!AF479</f>
        <v>-</v>
      </c>
      <c r="M479" s="440"/>
      <c r="N479" s="442" t="str">
        <f>OBRA!AG479</f>
        <v>-</v>
      </c>
      <c r="O479" s="152"/>
      <c r="P479" s="152"/>
      <c r="Q479" s="441"/>
      <c r="R479" s="445" t="str">
        <f>OBRA!AH479</f>
        <v>-</v>
      </c>
      <c r="S479" s="349"/>
      <c r="T479" s="446" t="str">
        <f>OBRA!U479</f>
        <v>ING. JUAN MANUEL GARCÍA ESCOTO</v>
      </c>
      <c r="U479" s="447" t="str">
        <f>OBRA!V479</f>
        <v>ING. HECTOR JESUS HERNANDEZ</v>
      </c>
      <c r="V479" s="1281"/>
      <c r="W479" s="20" t="str">
        <f>OBRA!L479</f>
        <v>C.P.S.P. DOP 025/2020</v>
      </c>
      <c r="X479" s="13"/>
      <c r="Y479" s="13"/>
      <c r="Z479" s="448" t="str">
        <f>OBRA!K479</f>
        <v>CUENTA CORRIENTE</v>
      </c>
      <c r="AA479" s="13"/>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428" t="str">
        <f>OBRA!S479</f>
        <v>-</v>
      </c>
      <c r="AH479" s="54"/>
      <c r="AI479" s="231"/>
      <c r="AJ479" s="267"/>
      <c r="AK479" s="267"/>
      <c r="AL479" s="432"/>
      <c r="AM479" s="573" t="str">
        <f>GRAL!B482</f>
        <v>2018-2021</v>
      </c>
      <c r="AN479" s="448"/>
      <c r="AO479" s="13"/>
    </row>
    <row r="480" spans="1:41" ht="30" hidden="1" customHeight="1">
      <c r="A480" s="166">
        <f>OBRA!I480</f>
        <v>2020</v>
      </c>
      <c r="B480" s="2036"/>
      <c r="C480" s="433"/>
      <c r="D480" s="154"/>
      <c r="E480" s="156"/>
      <c r="F480" s="156"/>
      <c r="G480" s="436"/>
      <c r="H480" s="442" t="str">
        <f>OBRA!AD480</f>
        <v>-</v>
      </c>
      <c r="I480" s="438"/>
      <c r="J480" s="444" t="str">
        <f>OBRA!AE480</f>
        <v>-</v>
      </c>
      <c r="K480" s="439"/>
      <c r="L480" s="442" t="str">
        <f>OBRA!AF480</f>
        <v>-</v>
      </c>
      <c r="M480" s="440"/>
      <c r="N480" s="442" t="str">
        <f>OBRA!AG480</f>
        <v>-</v>
      </c>
      <c r="O480" s="152"/>
      <c r="P480" s="152"/>
      <c r="Q480" s="441"/>
      <c r="R480" s="445" t="str">
        <f>OBRA!AH480</f>
        <v>-</v>
      </c>
      <c r="S480" s="349"/>
      <c r="T480" s="446" t="str">
        <f>OBRA!U480</f>
        <v>ING. JUAN MANUEL GARCÍA ESCOTO</v>
      </c>
      <c r="U480" s="447" t="str">
        <f>OBRA!V480</f>
        <v>ING. HECTOR JESUS HERNANDEZ</v>
      </c>
      <c r="V480" s="1281"/>
      <c r="W480" s="20" t="str">
        <f>OBRA!L480</f>
        <v>C.P.S.P. DOP 026/2020</v>
      </c>
      <c r="X480" s="13"/>
      <c r="Y480" s="13"/>
      <c r="Z480" s="448" t="str">
        <f>OBRA!K480</f>
        <v>CUENTA CORRIENTE</v>
      </c>
      <c r="AA480" s="13"/>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428" t="str">
        <f>OBRA!S480</f>
        <v>-</v>
      </c>
      <c r="AH480" s="54"/>
      <c r="AI480" s="231"/>
      <c r="AJ480" s="267"/>
      <c r="AK480" s="267"/>
      <c r="AL480" s="432"/>
      <c r="AM480" s="573" t="str">
        <f>GRAL!B483</f>
        <v>2018-2021</v>
      </c>
      <c r="AN480" s="448"/>
      <c r="AO480" s="13"/>
    </row>
    <row r="481" spans="1:41" ht="30" hidden="1" customHeight="1">
      <c r="A481" s="166">
        <f>OBRA!I481</f>
        <v>2020</v>
      </c>
      <c r="B481" s="2036"/>
      <c r="C481" s="433"/>
      <c r="D481" s="154"/>
      <c r="E481" s="156"/>
      <c r="F481" s="156"/>
      <c r="G481" s="436"/>
      <c r="H481" s="442" t="str">
        <f>OBRA!AD481</f>
        <v>-</v>
      </c>
      <c r="I481" s="438"/>
      <c r="J481" s="444" t="str">
        <f>OBRA!AE481</f>
        <v>-</v>
      </c>
      <c r="K481" s="439"/>
      <c r="L481" s="442" t="str">
        <f>OBRA!AF481</f>
        <v>-</v>
      </c>
      <c r="M481" s="440"/>
      <c r="N481" s="442" t="str">
        <f>OBRA!AG481</f>
        <v>-</v>
      </c>
      <c r="O481" s="152"/>
      <c r="P481" s="152"/>
      <c r="Q481" s="441"/>
      <c r="R481" s="445" t="str">
        <f>OBRA!AH481</f>
        <v>-</v>
      </c>
      <c r="S481" s="349"/>
      <c r="T481" s="446" t="str">
        <f>OBRA!U481</f>
        <v>ING. JUAN MANUEL GARCÍA ESCOTO</v>
      </c>
      <c r="U481" s="447" t="str">
        <f>OBRA!V481</f>
        <v>ING. HECTOR JESUS HERNANDEZ</v>
      </c>
      <c r="V481" s="1281"/>
      <c r="W481" s="20" t="str">
        <f>OBRA!L481</f>
        <v>C.P.S.P. DOP 027/2020</v>
      </c>
      <c r="X481" s="13"/>
      <c r="Y481" s="13"/>
      <c r="Z481" s="448" t="str">
        <f>OBRA!K481</f>
        <v>CUENTA CORRIENTE</v>
      </c>
      <c r="AA481" s="13"/>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428" t="str">
        <f>OBRA!S481</f>
        <v>-</v>
      </c>
      <c r="AH481" s="54"/>
      <c r="AI481" s="231"/>
      <c r="AJ481" s="267"/>
      <c r="AK481" s="267"/>
      <c r="AL481" s="432"/>
      <c r="AM481" s="573" t="str">
        <f>GRAL!B484</f>
        <v>2018-2021</v>
      </c>
      <c r="AN481" s="448"/>
      <c r="AO481" s="13"/>
    </row>
    <row r="482" spans="1:41" ht="30" hidden="1" customHeight="1">
      <c r="A482" s="166">
        <f>OBRA!I482</f>
        <v>2020</v>
      </c>
      <c r="B482" s="2036"/>
      <c r="C482" s="433"/>
      <c r="D482" s="154"/>
      <c r="E482" s="156"/>
      <c r="F482" s="156"/>
      <c r="G482" s="436"/>
      <c r="H482" s="442" t="str">
        <f>OBRA!AD482</f>
        <v>-</v>
      </c>
      <c r="I482" s="438"/>
      <c r="J482" s="444" t="str">
        <f>OBRA!AE482</f>
        <v>-</v>
      </c>
      <c r="K482" s="439"/>
      <c r="L482" s="442" t="str">
        <f>OBRA!AF482</f>
        <v>-</v>
      </c>
      <c r="M482" s="440"/>
      <c r="N482" s="442" t="str">
        <f>OBRA!AG482</f>
        <v>-</v>
      </c>
      <c r="O482" s="152"/>
      <c r="P482" s="152"/>
      <c r="Q482" s="441"/>
      <c r="R482" s="445" t="str">
        <f>OBRA!AH482</f>
        <v>-</v>
      </c>
      <c r="S482" s="349"/>
      <c r="T482" s="446" t="str">
        <f>OBRA!U482</f>
        <v>ING. JUAN MANUEL GARCÍA ESCOTO</v>
      </c>
      <c r="U482" s="447" t="str">
        <f>OBRA!V482</f>
        <v>ING. HECTOR JESUS HERNANDEZ</v>
      </c>
      <c r="V482" s="1281"/>
      <c r="W482" s="20" t="str">
        <f>OBRA!L482</f>
        <v>C.P.S.P. DOP 028/2020</v>
      </c>
      <c r="X482" s="13"/>
      <c r="Y482" s="13"/>
      <c r="Z482" s="448" t="str">
        <f>OBRA!K482</f>
        <v>CUENTA CORRIENTE</v>
      </c>
      <c r="AA482" s="13"/>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428" t="str">
        <f>OBRA!S482</f>
        <v>-</v>
      </c>
      <c r="AH482" s="54"/>
      <c r="AI482" s="231"/>
      <c r="AJ482" s="267"/>
      <c r="AK482" s="267"/>
      <c r="AL482" s="432"/>
      <c r="AM482" s="573" t="str">
        <f>GRAL!B485</f>
        <v>2018-2021</v>
      </c>
      <c r="AN482" s="448"/>
      <c r="AO482" s="13"/>
    </row>
    <row r="483" spans="1:41" ht="30" hidden="1" customHeight="1">
      <c r="A483" s="166">
        <f>OBRA!I483</f>
        <v>2020</v>
      </c>
      <c r="B483" s="2036"/>
      <c r="C483" s="433"/>
      <c r="D483" s="154"/>
      <c r="E483" s="156"/>
      <c r="F483" s="156"/>
      <c r="G483" s="436"/>
      <c r="H483" s="442" t="str">
        <f>OBRA!AD483</f>
        <v>-</v>
      </c>
      <c r="I483" s="438"/>
      <c r="J483" s="444" t="str">
        <f>OBRA!AE483</f>
        <v>-</v>
      </c>
      <c r="K483" s="439"/>
      <c r="L483" s="442" t="str">
        <f>OBRA!AF483</f>
        <v>-</v>
      </c>
      <c r="M483" s="440"/>
      <c r="N483" s="442" t="str">
        <f>OBRA!AG483</f>
        <v>-</v>
      </c>
      <c r="O483" s="152"/>
      <c r="P483" s="152"/>
      <c r="Q483" s="441"/>
      <c r="R483" s="445" t="str">
        <f>OBRA!AH483</f>
        <v>-</v>
      </c>
      <c r="S483" s="349"/>
      <c r="T483" s="446" t="str">
        <f>OBRA!U483</f>
        <v>ING. JUAN MANUEL GARCÍA ESCOTO</v>
      </c>
      <c r="U483" s="447">
        <f>OBRA!V483</f>
        <v>0</v>
      </c>
      <c r="V483" s="1281"/>
      <c r="W483" s="20" t="str">
        <f>OBRA!L483</f>
        <v>C.P.S.P. DOP 029/2020</v>
      </c>
      <c r="X483" s="13"/>
      <c r="Y483" s="13"/>
      <c r="Z483" s="448" t="str">
        <f>OBRA!K483</f>
        <v>CUENTA CORRIENTE</v>
      </c>
      <c r="AA483" s="13"/>
      <c r="AB483" s="2" t="str">
        <f>OBRA!M483</f>
        <v>CANCELADA</v>
      </c>
      <c r="AC483" s="3" t="str">
        <f>OBRA!N483</f>
        <v>CONTRATO CANCELADO</v>
      </c>
      <c r="AD483" s="4">
        <f>OBRA!P483</f>
        <v>0</v>
      </c>
      <c r="AE483" s="6">
        <f>OBRA!Q483</f>
        <v>0</v>
      </c>
      <c r="AF483" s="5" t="str">
        <f>OBRA!R483</f>
        <v>-</v>
      </c>
      <c r="AG483" s="428" t="str">
        <f>OBRA!S483</f>
        <v>-</v>
      </c>
      <c r="AH483" s="54"/>
      <c r="AI483" s="231"/>
      <c r="AJ483" s="267"/>
      <c r="AK483" s="267"/>
      <c r="AL483" s="432"/>
      <c r="AM483" s="573" t="str">
        <f>GRAL!B486</f>
        <v>2018-2021</v>
      </c>
      <c r="AN483" s="448"/>
      <c r="AO483" s="13"/>
    </row>
    <row r="484" spans="1:41" ht="30" hidden="1" customHeight="1">
      <c r="A484" s="166">
        <f>OBRA!I484</f>
        <v>2020</v>
      </c>
      <c r="B484" s="2036"/>
      <c r="C484" s="433"/>
      <c r="D484" s="154"/>
      <c r="E484" s="156"/>
      <c r="F484" s="156"/>
      <c r="G484" s="436"/>
      <c r="H484" s="442" t="str">
        <f>OBRA!AD484</f>
        <v>-</v>
      </c>
      <c r="I484" s="438"/>
      <c r="J484" s="444" t="str">
        <f>OBRA!AE484</f>
        <v>-</v>
      </c>
      <c r="K484" s="439"/>
      <c r="L484" s="442" t="str">
        <f>OBRA!AF484</f>
        <v>-</v>
      </c>
      <c r="M484" s="440"/>
      <c r="N484" s="442" t="str">
        <f>OBRA!AG484</f>
        <v>-</v>
      </c>
      <c r="O484" s="152"/>
      <c r="P484" s="152"/>
      <c r="Q484" s="441"/>
      <c r="R484" s="445" t="str">
        <f>OBRA!AH484</f>
        <v>-</v>
      </c>
      <c r="S484" s="349"/>
      <c r="T484" s="446" t="str">
        <f>OBRA!U484</f>
        <v>ING. JUAN MANUEL GARCÍA ESCOTO</v>
      </c>
      <c r="U484" s="447" t="str">
        <f>OBRA!V484</f>
        <v>ING. HECTOR JESUS HERNANDEZ</v>
      </c>
      <c r="V484" s="1281"/>
      <c r="W484" s="20" t="str">
        <f>OBRA!L484</f>
        <v>C.P.S.P. DOP 030/2020</v>
      </c>
      <c r="X484" s="13"/>
      <c r="Y484" s="13"/>
      <c r="Z484" s="448" t="str">
        <f>OBRA!K484</f>
        <v>CUENTA CORRIENTE</v>
      </c>
      <c r="AA484" s="13"/>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428" t="str">
        <f>OBRA!S484</f>
        <v>-</v>
      </c>
      <c r="AH484" s="54"/>
      <c r="AI484" s="231"/>
      <c r="AJ484" s="267"/>
      <c r="AK484" s="267"/>
      <c r="AL484" s="432"/>
      <c r="AM484" s="573" t="str">
        <f>GRAL!B487</f>
        <v>2018-2021</v>
      </c>
      <c r="AN484" s="448"/>
      <c r="AO484" s="13"/>
    </row>
    <row r="485" spans="1:41" ht="30" hidden="1" customHeight="1">
      <c r="A485" s="166">
        <f>OBRA!I485</f>
        <v>2020</v>
      </c>
      <c r="B485" s="2036"/>
      <c r="C485" s="433"/>
      <c r="D485" s="154"/>
      <c r="E485" s="156"/>
      <c r="F485" s="156"/>
      <c r="G485" s="436"/>
      <c r="H485" s="442" t="str">
        <f>OBRA!AD485</f>
        <v>-</v>
      </c>
      <c r="I485" s="438"/>
      <c r="J485" s="444" t="str">
        <f>OBRA!AE485</f>
        <v>-</v>
      </c>
      <c r="K485" s="439"/>
      <c r="L485" s="442" t="str">
        <f>OBRA!AF485</f>
        <v>-</v>
      </c>
      <c r="M485" s="440"/>
      <c r="N485" s="442" t="str">
        <f>OBRA!AG485</f>
        <v>-</v>
      </c>
      <c r="O485" s="152"/>
      <c r="P485" s="152"/>
      <c r="Q485" s="441"/>
      <c r="R485" s="445" t="str">
        <f>OBRA!AH485</f>
        <v>-</v>
      </c>
      <c r="S485" s="349"/>
      <c r="T485" s="446" t="str">
        <f>OBRA!U485</f>
        <v>ING. JUAN MANUEL GARCÍA ESCOTO</v>
      </c>
      <c r="U485" s="447" t="str">
        <f>OBRA!V485</f>
        <v>ING. HECTOR JESUS HERNANDEZ</v>
      </c>
      <c r="V485" s="1281"/>
      <c r="W485" s="20" t="str">
        <f>OBRA!L485</f>
        <v>C.P.S.P. DOP 031/2020</v>
      </c>
      <c r="X485" s="13"/>
      <c r="Y485" s="13"/>
      <c r="Z485" s="448" t="str">
        <f>OBRA!K485</f>
        <v>CUENTA CORRIENTE</v>
      </c>
      <c r="AA485" s="13"/>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428" t="str">
        <f>OBRA!S485</f>
        <v>-</v>
      </c>
      <c r="AH485" s="54"/>
      <c r="AI485" s="231"/>
      <c r="AJ485" s="267"/>
      <c r="AK485" s="267"/>
      <c r="AL485" s="432"/>
      <c r="AM485" s="573" t="str">
        <f>GRAL!B488</f>
        <v>2018-2021</v>
      </c>
      <c r="AN485" s="448"/>
      <c r="AO485" s="13"/>
    </row>
    <row r="486" spans="1:41" ht="30" hidden="1" customHeight="1">
      <c r="A486" s="166">
        <f>OBRA!I486</f>
        <v>2020</v>
      </c>
      <c r="B486" s="2036"/>
      <c r="C486" s="433"/>
      <c r="D486" s="154"/>
      <c r="E486" s="156"/>
      <c r="F486" s="156"/>
      <c r="G486" s="436"/>
      <c r="H486" s="442" t="str">
        <f>OBRA!AD486</f>
        <v>-</v>
      </c>
      <c r="I486" s="438"/>
      <c r="J486" s="444" t="str">
        <f>OBRA!AE486</f>
        <v>-</v>
      </c>
      <c r="K486" s="439"/>
      <c r="L486" s="442" t="str">
        <f>OBRA!AF486</f>
        <v>-</v>
      </c>
      <c r="M486" s="440"/>
      <c r="N486" s="442" t="str">
        <f>OBRA!AG486</f>
        <v>-</v>
      </c>
      <c r="O486" s="152"/>
      <c r="P486" s="152"/>
      <c r="Q486" s="441"/>
      <c r="R486" s="445" t="str">
        <f>OBRA!AH486</f>
        <v>-</v>
      </c>
      <c r="S486" s="349"/>
      <c r="T486" s="446" t="str">
        <f>OBRA!U486</f>
        <v>ING. JUAN MANUEL GARCÍA ESCOTO</v>
      </c>
      <c r="U486" s="447" t="str">
        <f>OBRA!V486</f>
        <v>ING. HECTOR JESUS HERNANDEZ</v>
      </c>
      <c r="V486" s="1281"/>
      <c r="W486" s="20" t="str">
        <f>OBRA!L486</f>
        <v>C.P.S.P. DOP 032/2020</v>
      </c>
      <c r="X486" s="13"/>
      <c r="Y486" s="13"/>
      <c r="Z486" s="448" t="str">
        <f>OBRA!K486</f>
        <v>CUENTA CORRIENTE</v>
      </c>
      <c r="AA486" s="13"/>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428" t="str">
        <f>OBRA!S486</f>
        <v>-</v>
      </c>
      <c r="AH486" s="54"/>
      <c r="AI486" s="231"/>
      <c r="AJ486" s="267"/>
      <c r="AK486" s="267"/>
      <c r="AL486" s="432"/>
      <c r="AM486" s="573" t="str">
        <f>GRAL!B489</f>
        <v>2018-2021</v>
      </c>
      <c r="AN486" s="448"/>
      <c r="AO486" s="13"/>
    </row>
    <row r="487" spans="1:41" ht="30" hidden="1" customHeight="1">
      <c r="A487" s="166">
        <f>OBRA!I487</f>
        <v>2020</v>
      </c>
      <c r="B487" s="2036"/>
      <c r="C487" s="433"/>
      <c r="D487" s="154"/>
      <c r="E487" s="156"/>
      <c r="F487" s="156"/>
      <c r="G487" s="436"/>
      <c r="H487" s="442" t="str">
        <f>OBRA!AD487</f>
        <v>-</v>
      </c>
      <c r="I487" s="438"/>
      <c r="J487" s="444" t="str">
        <f>OBRA!AE487</f>
        <v>-</v>
      </c>
      <c r="K487" s="439"/>
      <c r="L487" s="442" t="str">
        <f>OBRA!AF487</f>
        <v>-</v>
      </c>
      <c r="M487" s="440"/>
      <c r="N487" s="442" t="str">
        <f>OBRA!AG487</f>
        <v>-</v>
      </c>
      <c r="O487" s="152"/>
      <c r="P487" s="152"/>
      <c r="Q487" s="441"/>
      <c r="R487" s="445" t="str">
        <f>OBRA!AH487</f>
        <v>-</v>
      </c>
      <c r="S487" s="349"/>
      <c r="T487" s="446" t="str">
        <f>OBRA!U487</f>
        <v>ING. JUAN MANUEL GARCÍA ESCOTO</v>
      </c>
      <c r="U487" s="447" t="str">
        <f>OBRA!V487</f>
        <v>ING. HECTOR JESUS HERNANDEZ</v>
      </c>
      <c r="V487" s="1281"/>
      <c r="W487" s="20" t="str">
        <f>OBRA!L487</f>
        <v>C.P.S.P. DOP 033/2020</v>
      </c>
      <c r="X487" s="13"/>
      <c r="Y487" s="13"/>
      <c r="Z487" s="448" t="str">
        <f>OBRA!K487</f>
        <v>CUENTA CORRIENTE</v>
      </c>
      <c r="AA487" s="13"/>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428" t="str">
        <f>OBRA!S487</f>
        <v>-</v>
      </c>
      <c r="AH487" s="54"/>
      <c r="AI487" s="231"/>
      <c r="AJ487" s="267"/>
      <c r="AK487" s="267"/>
      <c r="AL487" s="432"/>
      <c r="AM487" s="573" t="str">
        <f>GRAL!B490</f>
        <v>2018-2021</v>
      </c>
      <c r="AN487" s="448"/>
      <c r="AO487" s="13"/>
    </row>
    <row r="488" spans="1:41" ht="30" hidden="1" customHeight="1">
      <c r="A488" s="166">
        <f>OBRA!I488</f>
        <v>2020</v>
      </c>
      <c r="B488" s="2036"/>
      <c r="C488" s="433"/>
      <c r="D488" s="154"/>
      <c r="E488" s="156"/>
      <c r="F488" s="156"/>
      <c r="G488" s="436"/>
      <c r="H488" s="442" t="str">
        <f>OBRA!AD488</f>
        <v>-</v>
      </c>
      <c r="I488" s="438"/>
      <c r="J488" s="444" t="str">
        <f>OBRA!AE488</f>
        <v>-</v>
      </c>
      <c r="K488" s="439"/>
      <c r="L488" s="442" t="str">
        <f>OBRA!AF488</f>
        <v>-</v>
      </c>
      <c r="M488" s="440"/>
      <c r="N488" s="442" t="str">
        <f>OBRA!AG488</f>
        <v>-</v>
      </c>
      <c r="O488" s="152"/>
      <c r="P488" s="152"/>
      <c r="Q488" s="441"/>
      <c r="R488" s="445" t="str">
        <f>OBRA!AH488</f>
        <v>-</v>
      </c>
      <c r="S488" s="349"/>
      <c r="T488" s="446" t="str">
        <f>OBRA!U488</f>
        <v xml:space="preserve">GRUPO CONSTRUCTORA PAVIMAQ, S.A. DE C.V. </v>
      </c>
      <c r="U488" s="447" t="str">
        <f>OBRA!V488</f>
        <v>ARQ. CESAR ANTONIO ALONSO JIMENEZ</v>
      </c>
      <c r="V488" s="1281"/>
      <c r="W488" s="20" t="str">
        <f>OBRA!L488</f>
        <v>GMJ 001C- OP/2020</v>
      </c>
      <c r="X488" s="13"/>
      <c r="Y488" s="13"/>
      <c r="Z488" s="448" t="str">
        <f>OBRA!K488</f>
        <v>CUENTA CORRIENTE</v>
      </c>
      <c r="AA488" s="13"/>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428">
        <f>OBRA!S488</f>
        <v>43960</v>
      </c>
      <c r="AH488" s="54"/>
      <c r="AI488" s="231"/>
      <c r="AJ488" s="267"/>
      <c r="AK488" s="267"/>
      <c r="AL488" s="432"/>
      <c r="AM488" s="573" t="str">
        <f>GRAL!B491</f>
        <v>2018-2021</v>
      </c>
      <c r="AN488" s="448"/>
      <c r="AO488" s="13"/>
    </row>
    <row r="489" spans="1:41" ht="30" hidden="1" customHeight="1">
      <c r="A489" s="166">
        <f>OBRA!I489</f>
        <v>2020</v>
      </c>
      <c r="B489" s="2036"/>
      <c r="C489" s="433"/>
      <c r="D489" s="154"/>
      <c r="E489" s="156"/>
      <c r="F489" s="156"/>
      <c r="G489" s="436"/>
      <c r="H489" s="442" t="str">
        <f>OBRA!AD489</f>
        <v>-</v>
      </c>
      <c r="I489" s="438"/>
      <c r="J489" s="444" t="str">
        <f>OBRA!AE489</f>
        <v>-</v>
      </c>
      <c r="K489" s="439"/>
      <c r="L489" s="442" t="str">
        <f>OBRA!AF489</f>
        <v>-</v>
      </c>
      <c r="M489" s="440"/>
      <c r="N489" s="442" t="str">
        <f>OBRA!AG489</f>
        <v>-</v>
      </c>
      <c r="O489" s="152"/>
      <c r="P489" s="152"/>
      <c r="Q489" s="441"/>
      <c r="R489" s="445" t="str">
        <f>OBRA!AH489</f>
        <v>-</v>
      </c>
      <c r="S489" s="349"/>
      <c r="T489" s="446" t="str">
        <f>OBRA!U489</f>
        <v>ING. OCTAVIO AUGUSTO GONZALEZ TREJO</v>
      </c>
      <c r="U489" s="447" t="str">
        <f>OBRA!V489</f>
        <v>LIC. SALVADOR CONTRERAS OLGUÍN</v>
      </c>
      <c r="V489" s="1281"/>
      <c r="W489" s="20" t="str">
        <f>OBRA!L489</f>
        <v>GMJ 002C- OP/2020</v>
      </c>
      <c r="X489" s="13"/>
      <c r="Y489" s="13"/>
      <c r="Z489" s="448" t="str">
        <f>OBRA!K489</f>
        <v>RAMO 33</v>
      </c>
      <c r="AA489" s="13"/>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428">
        <f>OBRA!S489</f>
        <v>43958</v>
      </c>
      <c r="AH489" s="54"/>
      <c r="AI489" s="231"/>
      <c r="AJ489" s="267"/>
      <c r="AK489" s="267"/>
      <c r="AL489" s="432"/>
      <c r="AM489" s="573" t="str">
        <f>GRAL!B492</f>
        <v>2018-2021</v>
      </c>
      <c r="AN489" s="448"/>
      <c r="AO489" s="13"/>
    </row>
    <row r="490" spans="1:41" ht="30" hidden="1" customHeight="1">
      <c r="A490" s="166">
        <f>OBRA!I490</f>
        <v>2020</v>
      </c>
      <c r="B490" s="2036"/>
      <c r="C490" s="433"/>
      <c r="D490" s="154"/>
      <c r="E490" s="156"/>
      <c r="F490" s="156"/>
      <c r="G490" s="436"/>
      <c r="H490" s="442" t="str">
        <f>OBRA!AD490</f>
        <v>-</v>
      </c>
      <c r="I490" s="438"/>
      <c r="J490" s="444" t="str">
        <f>OBRA!AE490</f>
        <v>-</v>
      </c>
      <c r="K490" s="439"/>
      <c r="L490" s="442" t="str">
        <f>OBRA!AF490</f>
        <v>-</v>
      </c>
      <c r="M490" s="440"/>
      <c r="N490" s="442" t="str">
        <f>OBRA!AG490</f>
        <v>-</v>
      </c>
      <c r="O490" s="152"/>
      <c r="P490" s="152"/>
      <c r="Q490" s="441"/>
      <c r="R490" s="445" t="str">
        <f>OBRA!AH490</f>
        <v>-</v>
      </c>
      <c r="S490" s="349"/>
      <c r="T490" s="446" t="str">
        <f>OBRA!U490</f>
        <v>GRUPO CONSTRUCTOR EDVI S.A. DE C.V.</v>
      </c>
      <c r="U490" s="447" t="str">
        <f>OBRA!V490</f>
        <v>ARQ. CESAR ANTONIO ALONSO JIMENEZ</v>
      </c>
      <c r="V490" s="1281"/>
      <c r="W490" s="20" t="str">
        <f>OBRA!L490</f>
        <v>GMJ 003C- OP/2020</v>
      </c>
      <c r="X490" s="13"/>
      <c r="Y490" s="13"/>
      <c r="Z490" s="448" t="str">
        <f>OBRA!K490</f>
        <v>RAMO 33</v>
      </c>
      <c r="AA490" s="13"/>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428">
        <f>OBRA!S490</f>
        <v>43980</v>
      </c>
      <c r="AH490" s="54"/>
      <c r="AI490" s="231"/>
      <c r="AJ490" s="267"/>
      <c r="AK490" s="267"/>
      <c r="AL490" s="432"/>
      <c r="AM490" s="573" t="str">
        <f>GRAL!B493</f>
        <v>2018-2021</v>
      </c>
      <c r="AN490" s="448"/>
      <c r="AO490" s="13"/>
    </row>
    <row r="491" spans="1:41" ht="30" hidden="1" customHeight="1">
      <c r="A491" s="166">
        <f>OBRA!I491</f>
        <v>2020</v>
      </c>
      <c r="B491" s="2036"/>
      <c r="C491" s="433"/>
      <c r="D491" s="154"/>
      <c r="E491" s="156"/>
      <c r="F491" s="156"/>
      <c r="G491" s="436"/>
      <c r="H491" s="442" t="str">
        <f>OBRA!AD491</f>
        <v>-</v>
      </c>
      <c r="I491" s="438"/>
      <c r="J491" s="444" t="str">
        <f>OBRA!AE491</f>
        <v>-</v>
      </c>
      <c r="K491" s="439"/>
      <c r="L491" s="442" t="str">
        <f>OBRA!AF491</f>
        <v>-</v>
      </c>
      <c r="M491" s="440"/>
      <c r="N491" s="442" t="str">
        <f>OBRA!AG491</f>
        <v>-</v>
      </c>
      <c r="O491" s="152"/>
      <c r="P491" s="152"/>
      <c r="Q491" s="441"/>
      <c r="R491" s="445" t="str">
        <f>OBRA!AH491</f>
        <v>-</v>
      </c>
      <c r="S491" s="349"/>
      <c r="T491" s="446" t="str">
        <f>OBRA!U491</f>
        <v>SERVICIO Y CONSTRUCCIÓN NATENIO S.A. DE C.V.</v>
      </c>
      <c r="U491" s="447" t="str">
        <f>OBRA!V491</f>
        <v>ARQ. JAIME CONDE GOMEZ</v>
      </c>
      <c r="V491" s="1281"/>
      <c r="W491" s="20" t="str">
        <f>OBRA!L491</f>
        <v>GMJ 004C- OP/2020</v>
      </c>
      <c r="X491" s="13"/>
      <c r="Y491" s="13"/>
      <c r="Z491" s="448" t="str">
        <f>OBRA!K491</f>
        <v>RAMO 33</v>
      </c>
      <c r="AA491" s="13"/>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428">
        <f>OBRA!S491</f>
        <v>44054</v>
      </c>
      <c r="AH491" s="54"/>
      <c r="AI491" s="231"/>
      <c r="AJ491" s="267"/>
      <c r="AK491" s="267"/>
      <c r="AL491" s="432"/>
      <c r="AM491" s="573" t="str">
        <f>GRAL!B494</f>
        <v>2018-2021</v>
      </c>
      <c r="AN491" s="448"/>
      <c r="AO491" s="13"/>
    </row>
    <row r="492" spans="1:41" ht="30" hidden="1" customHeight="1">
      <c r="A492" s="166">
        <f>OBRA!I492</f>
        <v>2020</v>
      </c>
      <c r="B492" s="2036"/>
      <c r="C492" s="433"/>
      <c r="D492" s="154"/>
      <c r="E492" s="156"/>
      <c r="F492" s="156"/>
      <c r="G492" s="436"/>
      <c r="H492" s="442" t="str">
        <f>OBRA!AD492</f>
        <v>-</v>
      </c>
      <c r="I492" s="438"/>
      <c r="J492" s="444" t="str">
        <f>OBRA!AE492</f>
        <v>-</v>
      </c>
      <c r="K492" s="439"/>
      <c r="L492" s="442" t="str">
        <f>OBRA!AF492</f>
        <v>-</v>
      </c>
      <c r="M492" s="440"/>
      <c r="N492" s="442" t="str">
        <f>OBRA!AG492</f>
        <v>-</v>
      </c>
      <c r="O492" s="152"/>
      <c r="P492" s="152"/>
      <c r="Q492" s="441"/>
      <c r="R492" s="445" t="str">
        <f>OBRA!AH492</f>
        <v>-</v>
      </c>
      <c r="S492" s="349"/>
      <c r="T492" s="446" t="str">
        <f>OBRA!U492</f>
        <v>GRUPO CONSTRUCTOR EDVI SA DE CV</v>
      </c>
      <c r="U492" s="447" t="str">
        <f>OBRA!V492</f>
        <v>ARQ. CESAR ANTONIO ALONSO JIMENEZ</v>
      </c>
      <c r="V492" s="1281"/>
      <c r="W492" s="20" t="str">
        <f>OBRA!L492</f>
        <v>GMJ 005C- OP/2020</v>
      </c>
      <c r="X492" s="13"/>
      <c r="Y492" s="13"/>
      <c r="Z492" s="448" t="str">
        <f>OBRA!K492</f>
        <v>RAMO 33</v>
      </c>
      <c r="AA492" s="13"/>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428">
        <f>OBRA!S492</f>
        <v>43980</v>
      </c>
      <c r="AH492" s="54"/>
      <c r="AI492" s="231"/>
      <c r="AJ492" s="267"/>
      <c r="AK492" s="267"/>
      <c r="AL492" s="432"/>
      <c r="AM492" s="573" t="str">
        <f>GRAL!B495</f>
        <v>2018-2021</v>
      </c>
      <c r="AN492" s="448"/>
      <c r="AO492" s="13"/>
    </row>
    <row r="493" spans="1:41" ht="30" hidden="1" customHeight="1">
      <c r="A493" s="166">
        <f>OBRA!I493</f>
        <v>2020</v>
      </c>
      <c r="B493" s="2036"/>
      <c r="C493" s="433"/>
      <c r="D493" s="154"/>
      <c r="E493" s="156"/>
      <c r="F493" s="156"/>
      <c r="G493" s="436"/>
      <c r="H493" s="442" t="str">
        <f>OBRA!AD493</f>
        <v>-</v>
      </c>
      <c r="I493" s="438"/>
      <c r="J493" s="444" t="str">
        <f>OBRA!AE493</f>
        <v>-</v>
      </c>
      <c r="K493" s="439"/>
      <c r="L493" s="442" t="str">
        <f>OBRA!AF493</f>
        <v>-</v>
      </c>
      <c r="M493" s="440"/>
      <c r="N493" s="442" t="str">
        <f>OBRA!AG493</f>
        <v>-</v>
      </c>
      <c r="O493" s="152"/>
      <c r="P493" s="152"/>
      <c r="Q493" s="441"/>
      <c r="R493" s="445" t="str">
        <f>OBRA!AH493</f>
        <v>-</v>
      </c>
      <c r="S493" s="349"/>
      <c r="T493" s="446" t="str">
        <f>OBRA!U493</f>
        <v>SONAYBER INGENIERIA Y CONSTRUCCIONES S.A. DE C.V.</v>
      </c>
      <c r="U493" s="447" t="str">
        <f>OBRA!V493</f>
        <v>ING. J. GUADALUPE IBARRA RAMIREZ</v>
      </c>
      <c r="V493" s="1281"/>
      <c r="W493" s="20" t="str">
        <f>OBRA!L493</f>
        <v>GMJ 006C- OP/2020</v>
      </c>
      <c r="X493" s="13"/>
      <c r="Y493" s="13"/>
      <c r="Z493" s="448" t="str">
        <f>OBRA!K493</f>
        <v>RAMO 33</v>
      </c>
      <c r="AA493" s="13"/>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428">
        <f>OBRA!S493</f>
        <v>44040</v>
      </c>
      <c r="AH493" s="54"/>
      <c r="AI493" s="231"/>
      <c r="AJ493" s="267"/>
      <c r="AK493" s="267"/>
      <c r="AL493" s="432"/>
      <c r="AM493" s="573" t="str">
        <f>GRAL!B496</f>
        <v>2018-2021</v>
      </c>
      <c r="AN493" s="448"/>
      <c r="AO493" s="13"/>
    </row>
    <row r="494" spans="1:41" ht="30" hidden="1" customHeight="1">
      <c r="A494" s="166">
        <f>OBRA!I494</f>
        <v>2020</v>
      </c>
      <c r="B494" s="2036"/>
      <c r="C494" s="433"/>
      <c r="D494" s="154"/>
      <c r="E494" s="156"/>
      <c r="F494" s="156"/>
      <c r="G494" s="436"/>
      <c r="H494" s="442" t="str">
        <f>OBRA!AD494</f>
        <v>-</v>
      </c>
      <c r="I494" s="438"/>
      <c r="J494" s="444" t="str">
        <f>OBRA!AE494</f>
        <v>-</v>
      </c>
      <c r="K494" s="439"/>
      <c r="L494" s="442" t="str">
        <f>OBRA!AF494</f>
        <v>-</v>
      </c>
      <c r="M494" s="440"/>
      <c r="N494" s="442" t="str">
        <f>OBRA!AG494</f>
        <v>-</v>
      </c>
      <c r="O494" s="152"/>
      <c r="P494" s="152"/>
      <c r="Q494" s="441"/>
      <c r="R494" s="445" t="str">
        <f>OBRA!AH494</f>
        <v>-</v>
      </c>
      <c r="S494" s="349"/>
      <c r="T494" s="446" t="str">
        <f>OBRA!U494</f>
        <v>SONAYBER INGENIERIA Y CONSTRUCCIONES S.A. DE C.V.</v>
      </c>
      <c r="U494" s="447" t="str">
        <f>OBRA!V494</f>
        <v>ING. J. GUADALUPE IBARRA RAMIREZ</v>
      </c>
      <c r="V494" s="1281"/>
      <c r="W494" s="20" t="str">
        <f>OBRA!L494</f>
        <v>GMJ 007C- OP/2020</v>
      </c>
      <c r="X494" s="13"/>
      <c r="Y494" s="13"/>
      <c r="Z494" s="448" t="str">
        <f>OBRA!K494</f>
        <v>RAMO 33</v>
      </c>
      <c r="AA494" s="13"/>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428">
        <f>OBRA!S494</f>
        <v>44040</v>
      </c>
      <c r="AH494" s="54"/>
      <c r="AI494" s="231"/>
      <c r="AJ494" s="267"/>
      <c r="AK494" s="267"/>
      <c r="AL494" s="432"/>
      <c r="AM494" s="573" t="str">
        <f>GRAL!B497</f>
        <v>2018-2021</v>
      </c>
      <c r="AN494" s="448"/>
      <c r="AO494" s="13"/>
    </row>
    <row r="495" spans="1:41" ht="30" hidden="1" customHeight="1">
      <c r="A495" s="166">
        <f>OBRA!I495</f>
        <v>2020</v>
      </c>
      <c r="B495" s="2036"/>
      <c r="C495" s="433"/>
      <c r="D495" s="154"/>
      <c r="E495" s="156"/>
      <c r="F495" s="156"/>
      <c r="G495" s="436"/>
      <c r="H495" s="442" t="str">
        <f>OBRA!AD495</f>
        <v>-</v>
      </c>
      <c r="I495" s="438"/>
      <c r="J495" s="444" t="str">
        <f>OBRA!AE495</f>
        <v>-</v>
      </c>
      <c r="K495" s="439"/>
      <c r="L495" s="442" t="str">
        <f>OBRA!AF495</f>
        <v>-</v>
      </c>
      <c r="M495" s="440"/>
      <c r="N495" s="442" t="str">
        <f>OBRA!AG495</f>
        <v>-</v>
      </c>
      <c r="O495" s="152"/>
      <c r="P495" s="152"/>
      <c r="Q495" s="441"/>
      <c r="R495" s="445" t="str">
        <f>OBRA!AH495</f>
        <v>-</v>
      </c>
      <c r="S495" s="349"/>
      <c r="T495" s="446" t="str">
        <f>OBRA!U495</f>
        <v>CONSTRUCCIÓN Y SUPERVISIÓN COMA S.A. DE C.V.</v>
      </c>
      <c r="U495" s="447" t="str">
        <f>OBRA!V495</f>
        <v>LIC. SALVADOR CONTRERAS OLGUÍN</v>
      </c>
      <c r="V495" s="1281"/>
      <c r="W495" s="20" t="str">
        <f>OBRA!L495</f>
        <v>GMJ 008C- OP/2020</v>
      </c>
      <c r="X495" s="13"/>
      <c r="Y495" s="13"/>
      <c r="Z495" s="448" t="str">
        <f>OBRA!K495</f>
        <v>RAMO 33</v>
      </c>
      <c r="AA495" s="13"/>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428">
        <f>OBRA!S495</f>
        <v>44037</v>
      </c>
      <c r="AH495" s="54"/>
      <c r="AI495" s="231"/>
      <c r="AJ495" s="267"/>
      <c r="AK495" s="267"/>
      <c r="AL495" s="432"/>
      <c r="AM495" s="573" t="str">
        <f>GRAL!B498</f>
        <v>2018-2021</v>
      </c>
      <c r="AN495" s="448"/>
      <c r="AO495" s="13"/>
    </row>
    <row r="496" spans="1:41" ht="30" hidden="1" customHeight="1">
      <c r="A496" s="166">
        <f>OBRA!I496</f>
        <v>2020</v>
      </c>
      <c r="B496" s="2036"/>
      <c r="C496" s="433"/>
      <c r="D496" s="154"/>
      <c r="E496" s="156"/>
      <c r="F496" s="156"/>
      <c r="G496" s="436"/>
      <c r="H496" s="442" t="str">
        <f>OBRA!AD496</f>
        <v>-</v>
      </c>
      <c r="I496" s="438"/>
      <c r="J496" s="444" t="str">
        <f>OBRA!AE496</f>
        <v>-</v>
      </c>
      <c r="K496" s="439"/>
      <c r="L496" s="442" t="str">
        <f>OBRA!AF496</f>
        <v>-</v>
      </c>
      <c r="M496" s="440"/>
      <c r="N496" s="442" t="str">
        <f>OBRA!AG496</f>
        <v>-</v>
      </c>
      <c r="O496" s="152"/>
      <c r="P496" s="152"/>
      <c r="Q496" s="441"/>
      <c r="R496" s="445" t="str">
        <f>OBRA!AH496</f>
        <v>-</v>
      </c>
      <c r="S496" s="349"/>
      <c r="T496" s="446" t="str">
        <f>OBRA!U496</f>
        <v>GRUPO ARANGE, S.A. DE C.V.</v>
      </c>
      <c r="U496" s="447" t="str">
        <f>OBRA!V496</f>
        <v>ING. LUIS RIGOBERTO OLMEDO NAVARRO</v>
      </c>
      <c r="V496" s="1281"/>
      <c r="W496" s="20" t="str">
        <f>OBRA!L496</f>
        <v>GMJ 009C- OP/2020</v>
      </c>
      <c r="X496" s="13"/>
      <c r="Y496" s="13"/>
      <c r="Z496" s="448" t="str">
        <f>OBRA!K496</f>
        <v>RAMO 33</v>
      </c>
      <c r="AA496" s="13"/>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428">
        <f>OBRA!S496</f>
        <v>44063</v>
      </c>
      <c r="AH496" s="54"/>
      <c r="AI496" s="231"/>
      <c r="AJ496" s="267"/>
      <c r="AK496" s="267"/>
      <c r="AL496" s="432"/>
      <c r="AM496" s="573" t="str">
        <f>GRAL!B499</f>
        <v>2018-2021</v>
      </c>
      <c r="AN496" s="448"/>
      <c r="AO496" s="13"/>
    </row>
    <row r="497" spans="1:41" ht="30" hidden="1" customHeight="1">
      <c r="A497" s="166">
        <f>OBRA!I497</f>
        <v>2020</v>
      </c>
      <c r="B497" s="2036"/>
      <c r="C497" s="433"/>
      <c r="D497" s="154"/>
      <c r="E497" s="156"/>
      <c r="F497" s="156"/>
      <c r="G497" s="436"/>
      <c r="H497" s="442" t="str">
        <f>OBRA!AD497</f>
        <v>-</v>
      </c>
      <c r="I497" s="438"/>
      <c r="J497" s="444" t="str">
        <f>OBRA!AE497</f>
        <v>-</v>
      </c>
      <c r="K497" s="439"/>
      <c r="L497" s="442" t="str">
        <f>OBRA!AF497</f>
        <v>-</v>
      </c>
      <c r="M497" s="440"/>
      <c r="N497" s="442" t="str">
        <f>OBRA!AG497</f>
        <v>-</v>
      </c>
      <c r="O497" s="152"/>
      <c r="P497" s="152"/>
      <c r="Q497" s="441"/>
      <c r="R497" s="445" t="str">
        <f>OBRA!AH497</f>
        <v>-</v>
      </c>
      <c r="S497" s="349"/>
      <c r="T497" s="446" t="str">
        <f>OBRA!U497</f>
        <v>ING. OCTAVIO AUGUSTO GONZALEZ TREJO</v>
      </c>
      <c r="U497" s="447" t="str">
        <f>OBRA!V497</f>
        <v>LIC. SALVADOR CONTRERAS OLGUÍN</v>
      </c>
      <c r="V497" s="1281"/>
      <c r="W497" s="20" t="str">
        <f>OBRA!L497</f>
        <v>GMJ 010C- OP/2020</v>
      </c>
      <c r="X497" s="13"/>
      <c r="Y497" s="13"/>
      <c r="Z497" s="448" t="str">
        <f>OBRA!K497</f>
        <v>RAMO 33</v>
      </c>
      <c r="AA497" s="13"/>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428">
        <f>OBRA!S497</f>
        <v>43983</v>
      </c>
      <c r="AH497" s="54"/>
      <c r="AI497" s="231"/>
      <c r="AJ497" s="267"/>
      <c r="AK497" s="267"/>
      <c r="AL497" s="432"/>
      <c r="AM497" s="573" t="str">
        <f>GRAL!B500</f>
        <v>2018-2021</v>
      </c>
      <c r="AN497" s="448"/>
      <c r="AO497" s="13"/>
    </row>
    <row r="498" spans="1:41" ht="30" hidden="1" customHeight="1">
      <c r="A498" s="166">
        <f>OBRA!I498</f>
        <v>2020</v>
      </c>
      <c r="B498" s="2036"/>
      <c r="C498" s="433"/>
      <c r="D498" s="154"/>
      <c r="E498" s="156"/>
      <c r="F498" s="156"/>
      <c r="G498" s="436"/>
      <c r="H498" s="442" t="str">
        <f>OBRA!AD498</f>
        <v>-</v>
      </c>
      <c r="I498" s="438"/>
      <c r="J498" s="444" t="str">
        <f>OBRA!AE498</f>
        <v>-</v>
      </c>
      <c r="K498" s="439"/>
      <c r="L498" s="442" t="str">
        <f>OBRA!AF498</f>
        <v>-</v>
      </c>
      <c r="M498" s="440"/>
      <c r="N498" s="442" t="str">
        <f>OBRA!AG498</f>
        <v>-</v>
      </c>
      <c r="O498" s="152"/>
      <c r="P498" s="152"/>
      <c r="Q498" s="441"/>
      <c r="R498" s="445" t="str">
        <f>OBRA!AH498</f>
        <v>-</v>
      </c>
      <c r="S498" s="349"/>
      <c r="T498" s="446" t="str">
        <f>OBRA!U498</f>
        <v>ING. OCTAVIO AUGUSTO GONZALEZ TREJO</v>
      </c>
      <c r="U498" s="447" t="str">
        <f>OBRA!V498</f>
        <v>LIC. SALVADOR CONTRERAS OLGUÍN</v>
      </c>
      <c r="V498" s="1281"/>
      <c r="W498" s="20" t="str">
        <f>OBRA!L498</f>
        <v>GMJ 011C- OP/2020</v>
      </c>
      <c r="X498" s="13"/>
      <c r="Y498" s="13"/>
      <c r="Z498" s="448" t="str">
        <f>OBRA!K498</f>
        <v>CUENTA CORRIENTE</v>
      </c>
      <c r="AA498" s="13"/>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428">
        <f>OBRA!S498</f>
        <v>43987</v>
      </c>
      <c r="AH498" s="54"/>
      <c r="AI498" s="231"/>
      <c r="AJ498" s="267"/>
      <c r="AK498" s="267"/>
      <c r="AL498" s="432"/>
      <c r="AM498" s="573" t="str">
        <f>GRAL!B501</f>
        <v>2018-2021</v>
      </c>
      <c r="AN498" s="448"/>
      <c r="AO498" s="13"/>
    </row>
    <row r="499" spans="1:41" ht="30" hidden="1" customHeight="1">
      <c r="A499" s="166">
        <f>OBRA!I499</f>
        <v>2020</v>
      </c>
      <c r="B499" s="2036"/>
      <c r="C499" s="433"/>
      <c r="D499" s="154"/>
      <c r="E499" s="156"/>
      <c r="F499" s="156"/>
      <c r="G499" s="436"/>
      <c r="H499" s="442" t="str">
        <f>OBRA!AD499</f>
        <v>-</v>
      </c>
      <c r="I499" s="438"/>
      <c r="J499" s="444" t="str">
        <f>OBRA!AE499</f>
        <v>-</v>
      </c>
      <c r="K499" s="439"/>
      <c r="L499" s="442" t="str">
        <f>OBRA!AF499</f>
        <v>-</v>
      </c>
      <c r="M499" s="440"/>
      <c r="N499" s="442" t="str">
        <f>OBRA!AG499</f>
        <v>-</v>
      </c>
      <c r="O499" s="152"/>
      <c r="P499" s="152"/>
      <c r="Q499" s="441"/>
      <c r="R499" s="445" t="str">
        <f>OBRA!AH499</f>
        <v>-</v>
      </c>
      <c r="S499" s="349"/>
      <c r="T499" s="446" t="str">
        <f>OBRA!U499</f>
        <v xml:space="preserve">INFRAESTRUCTURA Y EDIFICACIONES OROZCO S.A. DE C.V. </v>
      </c>
      <c r="U499" s="447" t="str">
        <f>OBRA!V499</f>
        <v>ING. J. GUADALUPE IBARRA RAMIREZ</v>
      </c>
      <c r="V499" s="1281"/>
      <c r="W499" s="20" t="str">
        <f>OBRA!L499</f>
        <v>GMJ 012C- OP/2020</v>
      </c>
      <c r="X499" s="13"/>
      <c r="Y499" s="13"/>
      <c r="Z499" s="448" t="str">
        <f>OBRA!K499</f>
        <v>RAMO 33</v>
      </c>
      <c r="AA499" s="13"/>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428">
        <f>OBRA!S499</f>
        <v>44057</v>
      </c>
      <c r="AH499" s="54"/>
      <c r="AI499" s="231"/>
      <c r="AJ499" s="267"/>
      <c r="AK499" s="267"/>
      <c r="AL499" s="432"/>
      <c r="AM499" s="573" t="str">
        <f>GRAL!B502</f>
        <v>2018-2021</v>
      </c>
      <c r="AN499" s="448"/>
      <c r="AO499" s="13"/>
    </row>
    <row r="500" spans="1:41" ht="30" hidden="1" customHeight="1">
      <c r="A500" s="166">
        <f>OBRA!I500</f>
        <v>2020</v>
      </c>
      <c r="B500" s="2036"/>
      <c r="C500" s="433"/>
      <c r="D500" s="154"/>
      <c r="E500" s="156"/>
      <c r="F500" s="156"/>
      <c r="G500" s="436"/>
      <c r="H500" s="442" t="str">
        <f>OBRA!AD500</f>
        <v>-</v>
      </c>
      <c r="I500" s="438"/>
      <c r="J500" s="444" t="str">
        <f>OBRA!AE500</f>
        <v>-</v>
      </c>
      <c r="K500" s="439"/>
      <c r="L500" s="442" t="str">
        <f>OBRA!AF500</f>
        <v>-</v>
      </c>
      <c r="M500" s="440"/>
      <c r="N500" s="442" t="str">
        <f>OBRA!AG500</f>
        <v>-</v>
      </c>
      <c r="O500" s="152"/>
      <c r="P500" s="152"/>
      <c r="Q500" s="441"/>
      <c r="R500" s="445" t="str">
        <f>OBRA!AH500</f>
        <v>-</v>
      </c>
      <c r="S500" s="349"/>
      <c r="T500" s="446" t="str">
        <f>OBRA!U500</f>
        <v>GRUPO CONSTRUCTOR EDVI SA DE CV</v>
      </c>
      <c r="U500" s="447" t="str">
        <f>OBRA!V500</f>
        <v>ING. LUIS RIGOBERTO OLMEDO NAVARRO</v>
      </c>
      <c r="V500" s="1281"/>
      <c r="W500" s="20" t="str">
        <f>OBRA!L500</f>
        <v>GMJ 013C- OP/2020</v>
      </c>
      <c r="X500" s="13"/>
      <c r="Y500" s="13"/>
      <c r="Z500" s="448" t="str">
        <f>OBRA!K500</f>
        <v>RAMO 33</v>
      </c>
      <c r="AA500" s="13"/>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428">
        <f>OBRA!S500</f>
        <v>44011</v>
      </c>
      <c r="AH500" s="54"/>
      <c r="AI500" s="231"/>
      <c r="AJ500" s="267"/>
      <c r="AK500" s="267"/>
      <c r="AL500" s="432"/>
      <c r="AM500" s="573" t="str">
        <f>GRAL!B503</f>
        <v>2018-2021</v>
      </c>
      <c r="AN500" s="448"/>
      <c r="AO500" s="13"/>
    </row>
    <row r="501" spans="1:41" ht="30" hidden="1" customHeight="1">
      <c r="A501" s="166">
        <f>OBRA!I501</f>
        <v>2020</v>
      </c>
      <c r="B501" s="2036"/>
      <c r="C501" s="433"/>
      <c r="D501" s="154"/>
      <c r="E501" s="156"/>
      <c r="F501" s="156"/>
      <c r="G501" s="436"/>
      <c r="H501" s="442" t="str">
        <f>OBRA!AD501</f>
        <v>-</v>
      </c>
      <c r="I501" s="438"/>
      <c r="J501" s="444" t="str">
        <f>OBRA!AE501</f>
        <v>-</v>
      </c>
      <c r="K501" s="439"/>
      <c r="L501" s="442" t="str">
        <f>OBRA!AF501</f>
        <v>-</v>
      </c>
      <c r="M501" s="440"/>
      <c r="N501" s="442" t="str">
        <f>OBRA!AG501</f>
        <v>-</v>
      </c>
      <c r="O501" s="152"/>
      <c r="P501" s="152"/>
      <c r="Q501" s="441"/>
      <c r="R501" s="445" t="str">
        <f>OBRA!AH501</f>
        <v>-</v>
      </c>
      <c r="S501" s="349"/>
      <c r="T501" s="446" t="str">
        <f>OBRA!U501</f>
        <v>GRUPO ARANGE, S.A. DE C.V.</v>
      </c>
      <c r="U501" s="447" t="str">
        <f>OBRA!V501</f>
        <v>LIC. SALVADOR CONTRERAS OLGUÍN</v>
      </c>
      <c r="V501" s="1281"/>
      <c r="W501" s="20" t="str">
        <f>OBRA!L501</f>
        <v>GMJ 014C- OP/2020</v>
      </c>
      <c r="X501" s="13"/>
      <c r="Y501" s="13"/>
      <c r="Z501" s="448" t="str">
        <f>OBRA!K501</f>
        <v>RAMO 33</v>
      </c>
      <c r="AA501" s="13"/>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428">
        <f>OBRA!S501</f>
        <v>44030</v>
      </c>
      <c r="AH501" s="54"/>
      <c r="AI501" s="231"/>
      <c r="AJ501" s="267"/>
      <c r="AK501" s="267"/>
      <c r="AL501" s="432"/>
      <c r="AM501" s="573" t="str">
        <f>GRAL!B504</f>
        <v>2018-2021</v>
      </c>
      <c r="AN501" s="448"/>
      <c r="AO501" s="13"/>
    </row>
    <row r="502" spans="1:41" ht="30" hidden="1" customHeight="1">
      <c r="A502" s="166">
        <f>OBRA!I502</f>
        <v>2020</v>
      </c>
      <c r="B502" s="2036"/>
      <c r="C502" s="433"/>
      <c r="D502" s="154"/>
      <c r="E502" s="156"/>
      <c r="F502" s="156"/>
      <c r="G502" s="436"/>
      <c r="H502" s="442" t="str">
        <f>OBRA!AD502</f>
        <v>-</v>
      </c>
      <c r="I502" s="438"/>
      <c r="J502" s="444" t="str">
        <f>OBRA!AE502</f>
        <v>-</v>
      </c>
      <c r="K502" s="439"/>
      <c r="L502" s="442" t="str">
        <f>OBRA!AF502</f>
        <v>-</v>
      </c>
      <c r="M502" s="440"/>
      <c r="N502" s="442" t="str">
        <f>OBRA!AG502</f>
        <v>-</v>
      </c>
      <c r="O502" s="152"/>
      <c r="P502" s="152"/>
      <c r="Q502" s="441"/>
      <c r="R502" s="445" t="str">
        <f>OBRA!AH502</f>
        <v>-</v>
      </c>
      <c r="S502" s="349"/>
      <c r="T502" s="446" t="str">
        <f>OBRA!U502</f>
        <v>GRUPO CONSTRUCOR PAVIMAQ, S.A. DE C.V.</v>
      </c>
      <c r="U502" s="447" t="str">
        <f>OBRA!V502</f>
        <v>ARQ. CESAR ANTONIO ALONSO JIMENEZ</v>
      </c>
      <c r="V502" s="1281"/>
      <c r="W502" s="20" t="str">
        <f>OBRA!L502</f>
        <v>GMJ 015C- OP/2020</v>
      </c>
      <c r="X502" s="13"/>
      <c r="Y502" s="13"/>
      <c r="Z502" s="448" t="str">
        <f>OBRA!K502</f>
        <v>CUENTA CORRIENTE</v>
      </c>
      <c r="AA502" s="13"/>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428">
        <f>OBRA!S502</f>
        <v>44099</v>
      </c>
      <c r="AH502" s="54"/>
      <c r="AI502" s="231"/>
      <c r="AJ502" s="267"/>
      <c r="AK502" s="267"/>
      <c r="AL502" s="432"/>
      <c r="AM502" s="573" t="str">
        <f>GRAL!B505</f>
        <v>2018-2021</v>
      </c>
      <c r="AN502" s="448"/>
      <c r="AO502" s="13"/>
    </row>
    <row r="503" spans="1:41" ht="30" hidden="1" customHeight="1">
      <c r="A503" s="166">
        <f>OBRA!I503</f>
        <v>2020</v>
      </c>
      <c r="B503" s="2036"/>
      <c r="C503" s="433"/>
      <c r="D503" s="154"/>
      <c r="E503" s="156"/>
      <c r="F503" s="156"/>
      <c r="G503" s="436"/>
      <c r="H503" s="442" t="str">
        <f>OBRA!AD503</f>
        <v>-</v>
      </c>
      <c r="I503" s="438"/>
      <c r="J503" s="444" t="str">
        <f>OBRA!AE503</f>
        <v>-</v>
      </c>
      <c r="K503" s="439"/>
      <c r="L503" s="442" t="str">
        <f>OBRA!AF503</f>
        <v>-</v>
      </c>
      <c r="M503" s="440"/>
      <c r="N503" s="442" t="str">
        <f>OBRA!AG503</f>
        <v>-</v>
      </c>
      <c r="O503" s="152"/>
      <c r="P503" s="152"/>
      <c r="Q503" s="441"/>
      <c r="R503" s="445" t="str">
        <f>OBRA!AH503</f>
        <v>-</v>
      </c>
      <c r="S503" s="349"/>
      <c r="T503" s="446" t="str">
        <f>OBRA!U503</f>
        <v>SERVICIO Y CONSTRUCCIÓN NATENIO S.A. DE C.V.</v>
      </c>
      <c r="U503" s="447" t="str">
        <f>OBRA!V503</f>
        <v>ING. J. GUADALUPE IBARRA RAMIREZ</v>
      </c>
      <c r="V503" s="1281"/>
      <c r="W503" s="20" t="str">
        <f>OBRA!L503</f>
        <v>GMJ 016C- OP/2020</v>
      </c>
      <c r="X503" s="13"/>
      <c r="Y503" s="13"/>
      <c r="Z503" s="448" t="str">
        <f>OBRA!K503</f>
        <v>CUENTA CORRIENTE</v>
      </c>
      <c r="AA503" s="13"/>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428">
        <f>OBRA!S503</f>
        <v>44074</v>
      </c>
      <c r="AH503" s="54"/>
      <c r="AI503" s="231"/>
      <c r="AJ503" s="267"/>
      <c r="AK503" s="267"/>
      <c r="AL503" s="432"/>
      <c r="AM503" s="573" t="str">
        <f>GRAL!B506</f>
        <v>2018-2021</v>
      </c>
      <c r="AN503" s="448"/>
      <c r="AO503" s="13"/>
    </row>
    <row r="504" spans="1:41" ht="30" hidden="1" customHeight="1">
      <c r="A504" s="166">
        <f>OBRA!I504</f>
        <v>2020</v>
      </c>
      <c r="B504" s="2036"/>
      <c r="C504" s="433"/>
      <c r="D504" s="154"/>
      <c r="E504" s="156"/>
      <c r="F504" s="156"/>
      <c r="G504" s="436"/>
      <c r="H504" s="442" t="str">
        <f>OBRA!AD504</f>
        <v>-</v>
      </c>
      <c r="I504" s="438"/>
      <c r="J504" s="444" t="str">
        <f>OBRA!AE504</f>
        <v>-</v>
      </c>
      <c r="K504" s="439"/>
      <c r="L504" s="442" t="str">
        <f>OBRA!AF504</f>
        <v>-</v>
      </c>
      <c r="M504" s="440"/>
      <c r="N504" s="442" t="str">
        <f>OBRA!AG504</f>
        <v>-</v>
      </c>
      <c r="O504" s="152"/>
      <c r="P504" s="152"/>
      <c r="Q504" s="441"/>
      <c r="R504" s="445" t="str">
        <f>OBRA!AH504</f>
        <v>-</v>
      </c>
      <c r="S504" s="349"/>
      <c r="T504" s="446" t="str">
        <f>OBRA!U504</f>
        <v>SERVICIO Y CONSTRUCCIÓN NATENIO S.A. DE C.V.</v>
      </c>
      <c r="U504" s="447" t="str">
        <f>OBRA!V504</f>
        <v>ING. J. GUADALUPE IBARRA RAMIREZ</v>
      </c>
      <c r="V504" s="1281"/>
      <c r="W504" s="20" t="str">
        <f>OBRA!L504</f>
        <v>GMJ 017C- OP/2020</v>
      </c>
      <c r="X504" s="13"/>
      <c r="Y504" s="13"/>
      <c r="Z504" s="448" t="str">
        <f>OBRA!K504</f>
        <v>CUENTA CORRIENTE</v>
      </c>
      <c r="AA504" s="13"/>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428">
        <f>OBRA!S504</f>
        <v>44104</v>
      </c>
      <c r="AH504" s="54"/>
      <c r="AI504" s="231"/>
      <c r="AJ504" s="267"/>
      <c r="AK504" s="267"/>
      <c r="AL504" s="432"/>
      <c r="AM504" s="573" t="str">
        <f>GRAL!B507</f>
        <v>2018-2021</v>
      </c>
      <c r="AN504" s="448"/>
      <c r="AO504" s="13"/>
    </row>
    <row r="505" spans="1:41" ht="30" hidden="1" customHeight="1">
      <c r="A505" s="166">
        <f>OBRA!I505</f>
        <v>2020</v>
      </c>
      <c r="B505" s="2036"/>
      <c r="C505" s="433"/>
      <c r="D505" s="154"/>
      <c r="E505" s="156"/>
      <c r="F505" s="156"/>
      <c r="G505" s="436"/>
      <c r="H505" s="442" t="str">
        <f>OBRA!AD505</f>
        <v>-</v>
      </c>
      <c r="I505" s="438"/>
      <c r="J505" s="444" t="str">
        <f>OBRA!AE505</f>
        <v>-</v>
      </c>
      <c r="K505" s="439"/>
      <c r="L505" s="442" t="str">
        <f>OBRA!AF505</f>
        <v>-</v>
      </c>
      <c r="M505" s="440"/>
      <c r="N505" s="442" t="str">
        <f>OBRA!AG505</f>
        <v>-</v>
      </c>
      <c r="O505" s="152"/>
      <c r="P505" s="152"/>
      <c r="Q505" s="441"/>
      <c r="R505" s="445" t="str">
        <f>OBRA!AH505</f>
        <v>-</v>
      </c>
      <c r="S505" s="349"/>
      <c r="T505" s="446" t="str">
        <f>OBRA!U505</f>
        <v>JESSICA MONSERRAT RIVERA TORRES</v>
      </c>
      <c r="U505" s="447" t="str">
        <f>OBRA!V505</f>
        <v>ING. RIGOBERTO OLMEDO RAMOS</v>
      </c>
      <c r="V505" s="1281"/>
      <c r="W505" s="20" t="str">
        <f>OBRA!L505</f>
        <v>GMJ 018C- OP/2020</v>
      </c>
      <c r="X505" s="13"/>
      <c r="Y505" s="13"/>
      <c r="Z505" s="448" t="str">
        <f>OBRA!K505</f>
        <v>RAMO 33</v>
      </c>
      <c r="AA505" s="13"/>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428">
        <f>OBRA!S505</f>
        <v>44051</v>
      </c>
      <c r="AH505" s="54"/>
      <c r="AI505" s="231"/>
      <c r="AJ505" s="267"/>
      <c r="AK505" s="267"/>
      <c r="AL505" s="432"/>
      <c r="AM505" s="573" t="str">
        <f>GRAL!B508</f>
        <v>2018-2021</v>
      </c>
      <c r="AN505" s="448"/>
      <c r="AO505" s="13"/>
    </row>
    <row r="506" spans="1:41" ht="30" hidden="1" customHeight="1">
      <c r="A506" s="166">
        <f>OBRA!I506</f>
        <v>2020</v>
      </c>
      <c r="B506" s="2036"/>
      <c r="C506" s="433"/>
      <c r="D506" s="154"/>
      <c r="E506" s="156"/>
      <c r="F506" s="156"/>
      <c r="G506" s="436"/>
      <c r="H506" s="442" t="str">
        <f>OBRA!AD506</f>
        <v>-</v>
      </c>
      <c r="I506" s="438"/>
      <c r="J506" s="444" t="str">
        <f>OBRA!AE506</f>
        <v>-</v>
      </c>
      <c r="K506" s="439"/>
      <c r="L506" s="442" t="str">
        <f>OBRA!AF506</f>
        <v>-</v>
      </c>
      <c r="M506" s="440"/>
      <c r="N506" s="442" t="str">
        <f>OBRA!AG506</f>
        <v>-</v>
      </c>
      <c r="O506" s="152"/>
      <c r="P506" s="152"/>
      <c r="Q506" s="441"/>
      <c r="R506" s="445" t="str">
        <f>OBRA!AH506</f>
        <v>-</v>
      </c>
      <c r="S506" s="349"/>
      <c r="T506" s="446" t="str">
        <f>OBRA!U506</f>
        <v>JESSICA MONSERRAT RIVERA TORRES</v>
      </c>
      <c r="U506" s="447" t="str">
        <f>OBRA!V506</f>
        <v>ING. RIGOBERTO OLMEDO RAMOS</v>
      </c>
      <c r="V506" s="1281"/>
      <c r="W506" s="20" t="str">
        <f>OBRA!L506</f>
        <v>GMJ 019C- OP/2020</v>
      </c>
      <c r="X506" s="13"/>
      <c r="Y506" s="13"/>
      <c r="Z506" s="448" t="str">
        <f>OBRA!K506</f>
        <v>RAMO 33</v>
      </c>
      <c r="AA506" s="13"/>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428">
        <f>OBRA!S506</f>
        <v>44051</v>
      </c>
      <c r="AH506" s="54"/>
      <c r="AI506" s="231"/>
      <c r="AJ506" s="267"/>
      <c r="AK506" s="267"/>
      <c r="AL506" s="432"/>
      <c r="AM506" s="573" t="str">
        <f>GRAL!B509</f>
        <v>2018-2021</v>
      </c>
      <c r="AN506" s="448"/>
      <c r="AO506" s="13"/>
    </row>
    <row r="507" spans="1:41" ht="30" hidden="1" customHeight="1">
      <c r="A507" s="166">
        <f>OBRA!I507</f>
        <v>2020</v>
      </c>
      <c r="B507" s="2036"/>
      <c r="C507" s="433"/>
      <c r="D507" s="154"/>
      <c r="E507" s="156"/>
      <c r="F507" s="156"/>
      <c r="G507" s="436"/>
      <c r="H507" s="442" t="str">
        <f>OBRA!AD507</f>
        <v>-</v>
      </c>
      <c r="I507" s="438"/>
      <c r="J507" s="444" t="str">
        <f>OBRA!AE507</f>
        <v>-</v>
      </c>
      <c r="K507" s="439"/>
      <c r="L507" s="442" t="str">
        <f>OBRA!AF507</f>
        <v>-</v>
      </c>
      <c r="M507" s="440"/>
      <c r="N507" s="442" t="str">
        <f>OBRA!AG507</f>
        <v>-</v>
      </c>
      <c r="O507" s="152"/>
      <c r="P507" s="152"/>
      <c r="Q507" s="441"/>
      <c r="R507" s="445" t="str">
        <f>OBRA!AH507</f>
        <v>-</v>
      </c>
      <c r="S507" s="349"/>
      <c r="T507" s="446">
        <f>OBRA!U507</f>
        <v>0</v>
      </c>
      <c r="U507" s="447">
        <f>OBRA!V507</f>
        <v>0</v>
      </c>
      <c r="V507" s="1281"/>
      <c r="W507" s="20" t="str">
        <f>OBRA!L507</f>
        <v>GMJ 020C- OP/2020</v>
      </c>
      <c r="X507" s="13"/>
      <c r="Y507" s="13"/>
      <c r="Z507" s="448">
        <f>OBRA!K507</f>
        <v>0</v>
      </c>
      <c r="AA507" s="13"/>
      <c r="AB507" s="2" t="str">
        <f>OBRA!M507</f>
        <v>CANCELADA</v>
      </c>
      <c r="AC507" s="3" t="str">
        <f>OBRA!N507</f>
        <v>CONTRATO CANCELADO</v>
      </c>
      <c r="AD507" s="4">
        <f>OBRA!P507</f>
        <v>0</v>
      </c>
      <c r="AE507" s="6">
        <f>OBRA!Q507</f>
        <v>0</v>
      </c>
      <c r="AF507" s="5">
        <f>OBRA!R507</f>
        <v>0</v>
      </c>
      <c r="AG507" s="428">
        <f>OBRA!S507</f>
        <v>0</v>
      </c>
      <c r="AH507" s="54"/>
      <c r="AI507" s="231"/>
      <c r="AJ507" s="267"/>
      <c r="AK507" s="267"/>
      <c r="AL507" s="432"/>
      <c r="AM507" s="573" t="str">
        <f>GRAL!B510</f>
        <v>2018-2021</v>
      </c>
      <c r="AN507" s="448"/>
      <c r="AO507" s="13"/>
    </row>
    <row r="508" spans="1:41" ht="30" hidden="1" customHeight="1">
      <c r="A508" s="166">
        <f>OBRA!I508</f>
        <v>2020</v>
      </c>
      <c r="B508" s="2036"/>
      <c r="C508" s="433"/>
      <c r="D508" s="154"/>
      <c r="E508" s="156"/>
      <c r="F508" s="156"/>
      <c r="G508" s="436"/>
      <c r="H508" s="442" t="str">
        <f>OBRA!AD508</f>
        <v>-</v>
      </c>
      <c r="I508" s="438"/>
      <c r="J508" s="444" t="str">
        <f>OBRA!AE508</f>
        <v>-</v>
      </c>
      <c r="K508" s="439"/>
      <c r="L508" s="442" t="str">
        <f>OBRA!AF508</f>
        <v>-</v>
      </c>
      <c r="M508" s="440"/>
      <c r="N508" s="442" t="str">
        <f>OBRA!AG508</f>
        <v>-</v>
      </c>
      <c r="O508" s="152"/>
      <c r="P508" s="152"/>
      <c r="Q508" s="441"/>
      <c r="R508" s="445" t="str">
        <f>OBRA!AH508</f>
        <v>-</v>
      </c>
      <c r="S508" s="349"/>
      <c r="T508" s="446" t="str">
        <f>OBRA!U508</f>
        <v xml:space="preserve">DESARROLLO DAP S.A. DE C.V. </v>
      </c>
      <c r="U508" s="447" t="str">
        <f>OBRA!V508</f>
        <v>ARQ. JAIME CONDE GOMEZ</v>
      </c>
      <c r="V508" s="1281"/>
      <c r="W508" s="20" t="str">
        <f>OBRA!L508</f>
        <v>GMJ 021C- OP/2020</v>
      </c>
      <c r="X508" s="13"/>
      <c r="Y508" s="13"/>
      <c r="Z508" s="448" t="str">
        <f>OBRA!K508</f>
        <v>RAMO 33</v>
      </c>
      <c r="AA508" s="13"/>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428">
        <f>OBRA!S508</f>
        <v>44077</v>
      </c>
      <c r="AH508" s="54"/>
      <c r="AI508" s="231"/>
      <c r="AJ508" s="267"/>
      <c r="AK508" s="267"/>
      <c r="AL508" s="432"/>
      <c r="AM508" s="573" t="str">
        <f>GRAL!B511</f>
        <v>2018-2021</v>
      </c>
      <c r="AN508" s="448"/>
      <c r="AO508" s="13"/>
    </row>
    <row r="509" spans="1:41" ht="30" hidden="1" customHeight="1">
      <c r="A509" s="166">
        <f>OBRA!I509</f>
        <v>2020</v>
      </c>
      <c r="B509" s="2036"/>
      <c r="C509" s="433"/>
      <c r="D509" s="154"/>
      <c r="E509" s="156"/>
      <c r="F509" s="156"/>
      <c r="G509" s="436"/>
      <c r="H509" s="442" t="str">
        <f>OBRA!AD509</f>
        <v>-</v>
      </c>
      <c r="I509" s="438"/>
      <c r="J509" s="444" t="str">
        <f>OBRA!AE509</f>
        <v>-</v>
      </c>
      <c r="K509" s="439"/>
      <c r="L509" s="442" t="str">
        <f>OBRA!AF509</f>
        <v>-</v>
      </c>
      <c r="M509" s="440"/>
      <c r="N509" s="442" t="str">
        <f>OBRA!AG509</f>
        <v>-</v>
      </c>
      <c r="O509" s="152"/>
      <c r="P509" s="152"/>
      <c r="Q509" s="441"/>
      <c r="R509" s="445" t="str">
        <f>OBRA!AH509</f>
        <v>-</v>
      </c>
      <c r="S509" s="349"/>
      <c r="T509" s="446" t="str">
        <f>OBRA!U509</f>
        <v xml:space="preserve">BAUEN INGENIERÍA Y MAQUINARIA S.A. DE C.V. </v>
      </c>
      <c r="U509" s="447" t="str">
        <f>OBRA!V509</f>
        <v>ARQ. JAIME CONDE GOMEZ</v>
      </c>
      <c r="V509" s="1281"/>
      <c r="W509" s="20" t="str">
        <f>OBRA!L509</f>
        <v>GMJ 022C- OP/2020</v>
      </c>
      <c r="X509" s="13"/>
      <c r="Y509" s="13"/>
      <c r="Z509" s="448" t="str">
        <f>OBRA!K509</f>
        <v>RAMO 33</v>
      </c>
      <c r="AA509" s="13"/>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428">
        <f>OBRA!S509</f>
        <v>44088</v>
      </c>
      <c r="AH509" s="54"/>
      <c r="AI509" s="231"/>
      <c r="AJ509" s="267"/>
      <c r="AK509" s="267"/>
      <c r="AL509" s="432"/>
      <c r="AM509" s="573" t="str">
        <f>GRAL!B512</f>
        <v>2018-2021</v>
      </c>
      <c r="AN509" s="448"/>
      <c r="AO509" s="13"/>
    </row>
    <row r="510" spans="1:41" ht="30" hidden="1" customHeight="1">
      <c r="A510" s="166">
        <f>OBRA!I510</f>
        <v>2020</v>
      </c>
      <c r="B510" s="2036"/>
      <c r="C510" s="433"/>
      <c r="D510" s="154"/>
      <c r="E510" s="156"/>
      <c r="F510" s="156"/>
      <c r="G510" s="436"/>
      <c r="H510" s="442" t="str">
        <f>OBRA!AD510</f>
        <v>-</v>
      </c>
      <c r="I510" s="438"/>
      <c r="J510" s="444" t="str">
        <f>OBRA!AE510</f>
        <v>-</v>
      </c>
      <c r="K510" s="439"/>
      <c r="L510" s="442" t="str">
        <f>OBRA!AF510</f>
        <v>-</v>
      </c>
      <c r="M510" s="440"/>
      <c r="N510" s="442" t="str">
        <f>OBRA!AG510</f>
        <v>-</v>
      </c>
      <c r="O510" s="152"/>
      <c r="P510" s="152"/>
      <c r="Q510" s="441"/>
      <c r="R510" s="445" t="str">
        <f>OBRA!AH510</f>
        <v>-</v>
      </c>
      <c r="S510" s="349"/>
      <c r="T510" s="446" t="str">
        <f>OBRA!U510</f>
        <v>JESSICA MONSERRAT RIVERA TORRES</v>
      </c>
      <c r="U510" s="447" t="str">
        <f>OBRA!V510</f>
        <v>ING. RIGOBERTO OLMEDO RAMOS</v>
      </c>
      <c r="V510" s="1281"/>
      <c r="W510" s="20" t="str">
        <f>OBRA!L510</f>
        <v>GMJ 023C- OP/2020</v>
      </c>
      <c r="X510" s="13"/>
      <c r="Y510" s="13"/>
      <c r="Z510" s="448" t="str">
        <f>OBRA!K510</f>
        <v>RAMO 33</v>
      </c>
      <c r="AA510" s="13"/>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428">
        <f>OBRA!S510</f>
        <v>44051</v>
      </c>
      <c r="AH510" s="54"/>
      <c r="AI510" s="231"/>
      <c r="AJ510" s="267"/>
      <c r="AK510" s="267"/>
      <c r="AL510" s="432"/>
      <c r="AM510" s="573" t="str">
        <f>GRAL!B513</f>
        <v>2018-2021</v>
      </c>
      <c r="AN510" s="448"/>
      <c r="AO510" s="13"/>
    </row>
    <row r="511" spans="1:41" ht="30" hidden="1" customHeight="1">
      <c r="A511" s="166">
        <f>OBRA!I511</f>
        <v>2020</v>
      </c>
      <c r="B511" s="2036"/>
      <c r="C511" s="433"/>
      <c r="D511" s="154"/>
      <c r="E511" s="156"/>
      <c r="F511" s="156"/>
      <c r="G511" s="436"/>
      <c r="H511" s="442" t="str">
        <f>OBRA!AD511</f>
        <v>-</v>
      </c>
      <c r="I511" s="438"/>
      <c r="J511" s="444" t="str">
        <f>OBRA!AE511</f>
        <v>-</v>
      </c>
      <c r="K511" s="439"/>
      <c r="L511" s="442" t="str">
        <f>OBRA!AF511</f>
        <v>-</v>
      </c>
      <c r="M511" s="440"/>
      <c r="N511" s="442" t="str">
        <f>OBRA!AG511</f>
        <v>-</v>
      </c>
      <c r="O511" s="152"/>
      <c r="P511" s="152"/>
      <c r="Q511" s="441"/>
      <c r="R511" s="445" t="str">
        <f>OBRA!AH511</f>
        <v>-</v>
      </c>
      <c r="S511" s="349"/>
      <c r="T511" s="446" t="str">
        <f>OBRA!U511</f>
        <v>ING. SERGIO CABRERA</v>
      </c>
      <c r="U511" s="447" t="str">
        <f>OBRA!V511</f>
        <v>ING. LUIS RIGOBERTO OLMEDO NAVARRO</v>
      </c>
      <c r="V511" s="1281"/>
      <c r="W511" s="20" t="str">
        <f>OBRA!L511</f>
        <v>GMJ 024C- OP/2020</v>
      </c>
      <c r="X511" s="13"/>
      <c r="Y511" s="13"/>
      <c r="Z511" s="448" t="str">
        <f>OBRA!K511</f>
        <v>RAMO 33</v>
      </c>
      <c r="AA511" s="13"/>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428">
        <f>OBRA!S511</f>
        <v>44089</v>
      </c>
      <c r="AH511" s="54"/>
      <c r="AI511" s="231"/>
      <c r="AJ511" s="267"/>
      <c r="AK511" s="267"/>
      <c r="AL511" s="432"/>
      <c r="AM511" s="573" t="str">
        <f>GRAL!B514</f>
        <v>2018-2021</v>
      </c>
      <c r="AN511" s="448"/>
      <c r="AO511" s="13"/>
    </row>
    <row r="512" spans="1:41" ht="30" hidden="1" customHeight="1">
      <c r="A512" s="166">
        <f>OBRA!I512</f>
        <v>2020</v>
      </c>
      <c r="B512" s="2036"/>
      <c r="C512" s="433"/>
      <c r="D512" s="154"/>
      <c r="E512" s="156"/>
      <c r="F512" s="156"/>
      <c r="G512" s="436"/>
      <c r="H512" s="442" t="str">
        <f>OBRA!AD512</f>
        <v>-</v>
      </c>
      <c r="I512" s="438"/>
      <c r="J512" s="444" t="str">
        <f>OBRA!AE512</f>
        <v>-</v>
      </c>
      <c r="K512" s="439"/>
      <c r="L512" s="442" t="str">
        <f>OBRA!AF512</f>
        <v>-</v>
      </c>
      <c r="M512" s="440"/>
      <c r="N512" s="442" t="str">
        <f>OBRA!AG512</f>
        <v>-</v>
      </c>
      <c r="O512" s="152"/>
      <c r="P512" s="152"/>
      <c r="Q512" s="441"/>
      <c r="R512" s="445" t="str">
        <f>OBRA!AH512</f>
        <v>-</v>
      </c>
      <c r="S512" s="349"/>
      <c r="T512" s="446" t="str">
        <f>OBRA!U512</f>
        <v>ING. SERGIO CABRERA</v>
      </c>
      <c r="U512" s="447" t="str">
        <f>OBRA!V512</f>
        <v>ING. LUIS RIGOBERTO OLMEDO NAVARRO</v>
      </c>
      <c r="V512" s="1281"/>
      <c r="W512" s="20" t="str">
        <f>OBRA!L512</f>
        <v>GMJ 025C- OP/2020</v>
      </c>
      <c r="X512" s="13"/>
      <c r="Y512" s="13"/>
      <c r="Z512" s="448" t="str">
        <f>OBRA!K512</f>
        <v>RAMO 33</v>
      </c>
      <c r="AA512" s="13"/>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428">
        <f>OBRA!S512</f>
        <v>44089</v>
      </c>
      <c r="AH512" s="54"/>
      <c r="AI512" s="231"/>
      <c r="AJ512" s="267"/>
      <c r="AK512" s="267"/>
      <c r="AL512" s="432"/>
      <c r="AM512" s="573" t="str">
        <f>GRAL!B515</f>
        <v>2018-2021</v>
      </c>
      <c r="AN512" s="448"/>
      <c r="AO512" s="13"/>
    </row>
    <row r="513" spans="1:41" ht="30" hidden="1" customHeight="1">
      <c r="A513" s="166">
        <f>OBRA!I513</f>
        <v>2020</v>
      </c>
      <c r="B513" s="2036"/>
      <c r="C513" s="433"/>
      <c r="D513" s="154"/>
      <c r="E513" s="156"/>
      <c r="F513" s="156"/>
      <c r="G513" s="436"/>
      <c r="H513" s="442" t="str">
        <f>OBRA!AD513</f>
        <v>-</v>
      </c>
      <c r="I513" s="438"/>
      <c r="J513" s="444" t="str">
        <f>OBRA!AE513</f>
        <v>-</v>
      </c>
      <c r="K513" s="439"/>
      <c r="L513" s="442" t="str">
        <f>OBRA!AF513</f>
        <v>-</v>
      </c>
      <c r="M513" s="440"/>
      <c r="N513" s="442" t="str">
        <f>OBRA!AG513</f>
        <v>-</v>
      </c>
      <c r="O513" s="152"/>
      <c r="P513" s="152"/>
      <c r="Q513" s="441"/>
      <c r="R513" s="445" t="str">
        <f>OBRA!AH513</f>
        <v>-</v>
      </c>
      <c r="S513" s="349"/>
      <c r="T513" s="446" t="str">
        <f>OBRA!U513</f>
        <v>ALSERCON SA DE CV</v>
      </c>
      <c r="U513" s="447" t="str">
        <f>OBRA!V513</f>
        <v>ARQ. CESAR ANTONIO ALONSO JIMENEZ</v>
      </c>
      <c r="V513" s="1281"/>
      <c r="W513" s="20" t="str">
        <f>OBRA!L513</f>
        <v>GMJ 026C- OP/2020</v>
      </c>
      <c r="X513" s="13"/>
      <c r="Y513" s="13"/>
      <c r="Z513" s="448" t="str">
        <f>OBRA!K513</f>
        <v>RAMO 33</v>
      </c>
      <c r="AA513" s="13"/>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428">
        <f>OBRA!S513</f>
        <v>44142</v>
      </c>
      <c r="AH513" s="54"/>
      <c r="AI513" s="231"/>
      <c r="AJ513" s="267"/>
      <c r="AK513" s="267"/>
      <c r="AL513" s="432"/>
      <c r="AM513" s="573" t="str">
        <f>GRAL!B516</f>
        <v>2018-2021</v>
      </c>
      <c r="AN513" s="448"/>
      <c r="AO513" s="13"/>
    </row>
    <row r="514" spans="1:41" ht="181.5" hidden="1" customHeight="1" thickTop="1">
      <c r="A514" s="166">
        <f>OBRA!I514</f>
        <v>2020</v>
      </c>
      <c r="B514" s="2038" t="str">
        <f>W514</f>
        <v>GMJ 027C- OP/2020</v>
      </c>
      <c r="C514" s="1497" t="s">
        <v>4672</v>
      </c>
      <c r="D514" s="1927" t="s">
        <v>4675</v>
      </c>
      <c r="E514" s="178" t="s">
        <v>4674</v>
      </c>
      <c r="F514" s="1585" t="s">
        <v>3853</v>
      </c>
      <c r="G514" s="553" t="s">
        <v>4672</v>
      </c>
      <c r="H514" s="176">
        <f>OBRA!AD514</f>
        <v>43983</v>
      </c>
      <c r="I514" s="552" t="s">
        <v>4672</v>
      </c>
      <c r="J514" s="1925">
        <f>OBRA!AE514</f>
        <v>43990</v>
      </c>
      <c r="K514" s="1926" t="s">
        <v>4672</v>
      </c>
      <c r="L514" s="176">
        <f>OBRA!AF514</f>
        <v>43990</v>
      </c>
      <c r="M514" s="603" t="s">
        <v>4672</v>
      </c>
      <c r="N514" s="176">
        <f>OBRA!AG514</f>
        <v>44000</v>
      </c>
      <c r="O514" s="1902" t="s">
        <v>4644</v>
      </c>
      <c r="P514" s="604">
        <v>0.5</v>
      </c>
      <c r="Q514" s="580" t="s">
        <v>4672</v>
      </c>
      <c r="R514" s="642">
        <f>OBRA!AH514</f>
        <v>44007</v>
      </c>
      <c r="S514" s="1579" t="s">
        <v>4673</v>
      </c>
      <c r="T514" s="446" t="str">
        <f>OBRA!U514</f>
        <v>CONVADI, S.A. DE C.V.</v>
      </c>
      <c r="U514" s="447" t="str">
        <f>OBRA!V514</f>
        <v>ING. J. GUADALUPE IBARRA RAMIREZ</v>
      </c>
      <c r="V514" s="1730"/>
      <c r="W514" s="35" t="str">
        <f>OBRA!L514</f>
        <v>GMJ 027C- OP/2020</v>
      </c>
      <c r="X514" s="1567" t="s">
        <v>4067</v>
      </c>
      <c r="Y514" s="13" t="s">
        <v>3375</v>
      </c>
      <c r="Z514" s="448" t="str">
        <f>OBRA!K514</f>
        <v>RAMO 33</v>
      </c>
      <c r="AA514" s="13"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600">
        <f>OBRA!S514</f>
        <v>44099</v>
      </c>
      <c r="AH514" s="1602" t="s">
        <v>3860</v>
      </c>
      <c r="AI514" s="231" t="s">
        <v>2344</v>
      </c>
      <c r="AJ514" s="545" t="s">
        <v>4672</v>
      </c>
      <c r="AK514" s="545" t="s">
        <v>4672</v>
      </c>
      <c r="AL514" s="806" t="s">
        <v>4672</v>
      </c>
      <c r="AM514" s="1455" t="str">
        <f>GRAL!B517</f>
        <v>2018-2021</v>
      </c>
      <c r="AN514" s="448" t="s">
        <v>551</v>
      </c>
      <c r="AO514" s="13"/>
    </row>
    <row r="515" spans="1:41" ht="207.75" hidden="1" customHeight="1">
      <c r="A515" s="166">
        <f>OBRA!I515</f>
        <v>2020</v>
      </c>
      <c r="B515" s="2038" t="str">
        <f t="shared" ref="B515:B518" si="0">W515</f>
        <v>FOCOCI-OP-CSS-028/2020</v>
      </c>
      <c r="C515" s="1497" t="s">
        <v>3838</v>
      </c>
      <c r="D515" s="1927" t="s">
        <v>5992</v>
      </c>
      <c r="E515" s="1584" t="s">
        <v>3855</v>
      </c>
      <c r="F515" s="1583" t="s">
        <v>3854</v>
      </c>
      <c r="G515" s="553" t="s">
        <v>3838</v>
      </c>
      <c r="H515" s="643">
        <f>OBRA!AD515</f>
        <v>44099</v>
      </c>
      <c r="I515" s="1453" t="s">
        <v>3580</v>
      </c>
      <c r="J515" s="644">
        <f>OBRA!AE515</f>
        <v>44102</v>
      </c>
      <c r="K515" s="580" t="s">
        <v>3580</v>
      </c>
      <c r="L515" s="1556">
        <f>OBRA!AF515</f>
        <v>44103</v>
      </c>
      <c r="M515" s="552" t="s">
        <v>3580</v>
      </c>
      <c r="N515" s="643">
        <f>OBRA!AG515</f>
        <v>44109</v>
      </c>
      <c r="O515" s="1902" t="s">
        <v>4644</v>
      </c>
      <c r="P515" s="604">
        <v>0.5</v>
      </c>
      <c r="Q515" s="1453" t="s">
        <v>3580</v>
      </c>
      <c r="R515" s="642">
        <f>OBRA!AH515</f>
        <v>44113</v>
      </c>
      <c r="S515" s="1503" t="s">
        <v>3677</v>
      </c>
      <c r="T515" s="446" t="str">
        <f>OBRA!U515</f>
        <v>ING. SERGIO CABRERA</v>
      </c>
      <c r="U515" s="447" t="str">
        <f>OBRA!V515</f>
        <v>ARQ. EDUARDO ROMERO CARRILLO</v>
      </c>
      <c r="V515" s="1730" t="s">
        <v>4066</v>
      </c>
      <c r="W515" s="35" t="str">
        <f>OBRA!L515</f>
        <v>FOCOCI-OP-CSS-028/2020</v>
      </c>
      <c r="X515" s="453" t="s">
        <v>3545</v>
      </c>
      <c r="Y515" s="1412" t="s">
        <v>3669</v>
      </c>
      <c r="Z515" s="448" t="str">
        <f>OBRA!K515</f>
        <v>FOCOCI</v>
      </c>
      <c r="AA515" s="448"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600">
        <f>OBRA!S515</f>
        <v>44176</v>
      </c>
      <c r="AH515" s="1602" t="s">
        <v>3860</v>
      </c>
      <c r="AI515" s="231" t="s">
        <v>2344</v>
      </c>
      <c r="AJ515" s="580" t="s">
        <v>3850</v>
      </c>
      <c r="AK515" s="580" t="s">
        <v>3838</v>
      </c>
      <c r="AL515" s="691" t="s">
        <v>3580</v>
      </c>
      <c r="AM515" s="1454" t="str">
        <f>GRAL!B520</f>
        <v>2018-2021</v>
      </c>
      <c r="AN515" s="448" t="s">
        <v>551</v>
      </c>
      <c r="AO515" s="13"/>
    </row>
    <row r="516" spans="1:41" ht="204.75" hidden="1" customHeight="1">
      <c r="A516" s="166">
        <f>OBRA!I516</f>
        <v>2020</v>
      </c>
      <c r="B516" s="2038" t="str">
        <f t="shared" si="0"/>
        <v>FOCOCI-OP-CSS-029/2020</v>
      </c>
      <c r="C516" s="1497" t="s">
        <v>3837</v>
      </c>
      <c r="D516" s="1927" t="s">
        <v>5992</v>
      </c>
      <c r="E516" s="1584" t="s">
        <v>3855</v>
      </c>
      <c r="F516" s="1583" t="s">
        <v>3854</v>
      </c>
      <c r="G516" s="553" t="s">
        <v>3837</v>
      </c>
      <c r="H516" s="643">
        <f>OBRA!AD516</f>
        <v>44099</v>
      </c>
      <c r="I516" s="1453" t="s">
        <v>3581</v>
      </c>
      <c r="J516" s="644">
        <f>OBRA!AE516</f>
        <v>44102</v>
      </c>
      <c r="K516" s="580" t="s">
        <v>3581</v>
      </c>
      <c r="L516" s="1556">
        <f>OBRA!AF516</f>
        <v>44103</v>
      </c>
      <c r="M516" s="552" t="s">
        <v>3581</v>
      </c>
      <c r="N516" s="643">
        <f>OBRA!AG516</f>
        <v>44109</v>
      </c>
      <c r="O516" s="1902" t="s">
        <v>4644</v>
      </c>
      <c r="P516" s="604">
        <v>0.54166666666666663</v>
      </c>
      <c r="Q516" s="1453" t="s">
        <v>3581</v>
      </c>
      <c r="R516" s="642">
        <f>OBRA!AH516</f>
        <v>44113</v>
      </c>
      <c r="S516" s="1504" t="s">
        <v>3678</v>
      </c>
      <c r="T516" s="446" t="str">
        <f>OBRA!U516</f>
        <v xml:space="preserve">SOJO SERVICIOS DE INGENIERIA Y OBRAS, S.A. DE C.V. </v>
      </c>
      <c r="U516" s="718" t="str">
        <f>OBRA!V516</f>
        <v>ARQ. EDUARDO ROMERO CARRILLO</v>
      </c>
      <c r="V516" s="1730" t="s">
        <v>4066</v>
      </c>
      <c r="W516" s="35" t="str">
        <f>OBRA!L516</f>
        <v>FOCOCI-OP-CSS-029/2020</v>
      </c>
      <c r="X516" s="453" t="s">
        <v>3545</v>
      </c>
      <c r="Y516" s="1412" t="s">
        <v>3406</v>
      </c>
      <c r="Z516" s="448" t="str">
        <f>OBRA!K516</f>
        <v>FOCOCI</v>
      </c>
      <c r="AA516" s="448"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600">
        <f>OBRA!S516</f>
        <v>44196</v>
      </c>
      <c r="AH516" s="1602" t="s">
        <v>3860</v>
      </c>
      <c r="AI516" s="231" t="s">
        <v>2344</v>
      </c>
      <c r="AJ516" s="580" t="s">
        <v>3836</v>
      </c>
      <c r="AK516" s="580" t="s">
        <v>3837</v>
      </c>
      <c r="AL516" s="691" t="s">
        <v>3581</v>
      </c>
      <c r="AM516" s="1455" t="str">
        <f>GRAL!B521</f>
        <v>2018-2021</v>
      </c>
      <c r="AN516" s="448" t="s">
        <v>551</v>
      </c>
      <c r="AO516" s="13"/>
    </row>
    <row r="517" spans="1:41" ht="207" hidden="1" customHeight="1">
      <c r="A517" s="166">
        <f>OBRA!I517</f>
        <v>2020</v>
      </c>
      <c r="B517" s="2038" t="str">
        <f t="shared" si="0"/>
        <v>FOCOCI-OP-CSS-030/2020</v>
      </c>
      <c r="C517" s="1497" t="s">
        <v>3667</v>
      </c>
      <c r="D517" s="1927" t="s">
        <v>5992</v>
      </c>
      <c r="E517" s="1586" t="s">
        <v>3855</v>
      </c>
      <c r="F517" s="1585" t="s">
        <v>3853</v>
      </c>
      <c r="G517" s="553" t="s">
        <v>3667</v>
      </c>
      <c r="H517" s="643">
        <f>OBRA!AD517</f>
        <v>44099</v>
      </c>
      <c r="I517" s="552" t="s">
        <v>3667</v>
      </c>
      <c r="J517" s="644">
        <f>OBRA!AE517</f>
        <v>44102</v>
      </c>
      <c r="K517" s="580" t="s">
        <v>3667</v>
      </c>
      <c r="L517" s="1556">
        <f>OBRA!AF517</f>
        <v>44103</v>
      </c>
      <c r="M517" s="552" t="s">
        <v>3667</v>
      </c>
      <c r="N517" s="643">
        <f>OBRA!AG517</f>
        <v>44109</v>
      </c>
      <c r="O517" s="1902" t="s">
        <v>4644</v>
      </c>
      <c r="P517" s="604">
        <v>0.70833333333333337</v>
      </c>
      <c r="Q517" s="552" t="s">
        <v>3667</v>
      </c>
      <c r="R517" s="642">
        <f>OBRA!AH517</f>
        <v>44109</v>
      </c>
      <c r="S517" s="1504" t="s">
        <v>3679</v>
      </c>
      <c r="T517" s="446" t="str">
        <f>OBRA!U517</f>
        <v xml:space="preserve">DESARROLLO DAP S.A. DE C.V. </v>
      </c>
      <c r="U517" s="447" t="str">
        <f>OBRA!V517</f>
        <v>LIC. SALVADOR CONTRERAS OLGUÍN</v>
      </c>
      <c r="V517" s="1730" t="s">
        <v>4066</v>
      </c>
      <c r="W517" s="35" t="str">
        <f>OBRA!L517</f>
        <v>FOCOCI-OP-CSS-030/2020</v>
      </c>
      <c r="X517" s="453" t="s">
        <v>3545</v>
      </c>
      <c r="Y517" s="1412" t="s">
        <v>3405</v>
      </c>
      <c r="Z517" s="448" t="str">
        <f>OBRA!K517</f>
        <v>FOCOCI</v>
      </c>
      <c r="AA517" s="448"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600">
        <f>OBRA!S517</f>
        <v>44196</v>
      </c>
      <c r="AH517" s="1602" t="s">
        <v>3860</v>
      </c>
      <c r="AI517" s="231" t="s">
        <v>2344</v>
      </c>
      <c r="AJ517" s="580" t="s">
        <v>3851</v>
      </c>
      <c r="AK517" s="580" t="s">
        <v>3851</v>
      </c>
      <c r="AL517" s="691" t="s">
        <v>3851</v>
      </c>
      <c r="AM517" s="695" t="str">
        <f>OBRA!BY517</f>
        <v>2018-2021</v>
      </c>
      <c r="AN517" s="448" t="s">
        <v>551</v>
      </c>
      <c r="AO517" s="13"/>
    </row>
    <row r="518" spans="1:41" ht="204" hidden="1" customHeight="1">
      <c r="A518" s="166">
        <f>OBRA!I518</f>
        <v>2020</v>
      </c>
      <c r="B518" s="2038" t="str">
        <f t="shared" si="0"/>
        <v>FOCOCI-OP-CSS-031/2020</v>
      </c>
      <c r="C518" s="1497" t="s">
        <v>3668</v>
      </c>
      <c r="D518" s="1927" t="s">
        <v>5992</v>
      </c>
      <c r="E518" s="1584" t="s">
        <v>3855</v>
      </c>
      <c r="F518" s="1585" t="s">
        <v>3853</v>
      </c>
      <c r="G518" s="553" t="s">
        <v>3668</v>
      </c>
      <c r="H518" s="643">
        <f>OBRA!AD518</f>
        <v>44099</v>
      </c>
      <c r="I518" s="552" t="s">
        <v>3852</v>
      </c>
      <c r="J518" s="644">
        <f>OBRA!AE518</f>
        <v>44467</v>
      </c>
      <c r="K518" s="580" t="s">
        <v>3668</v>
      </c>
      <c r="L518" s="1556">
        <f>OBRA!AF518</f>
        <v>44103</v>
      </c>
      <c r="M518" s="552" t="s">
        <v>3668</v>
      </c>
      <c r="N518" s="643">
        <f>OBRA!AG518</f>
        <v>44109</v>
      </c>
      <c r="O518" s="1902" t="s">
        <v>4644</v>
      </c>
      <c r="P518" s="604">
        <v>0.75</v>
      </c>
      <c r="Q518" s="552" t="s">
        <v>3668</v>
      </c>
      <c r="R518" s="642">
        <f>OBRA!AH518</f>
        <v>44113</v>
      </c>
      <c r="S518" s="1504" t="s">
        <v>3679</v>
      </c>
      <c r="T518" s="446" t="str">
        <f>OBRA!U518</f>
        <v xml:space="preserve">JUAN PABLO BALLESTEROS ARREOLA </v>
      </c>
      <c r="U518" s="447" t="str">
        <f>OBRA!V518</f>
        <v>LIC. SALVADOR CONTRERAS OLGUÍN</v>
      </c>
      <c r="V518" s="1730" t="s">
        <v>4066</v>
      </c>
      <c r="W518" s="35" t="str">
        <f>OBRA!L518</f>
        <v>FOCOCI-OP-CSS-031/2020</v>
      </c>
      <c r="X518" s="453" t="s">
        <v>3545</v>
      </c>
      <c r="Y518" s="1412" t="s">
        <v>3405</v>
      </c>
      <c r="Z518" s="448" t="str">
        <f>OBRA!K518</f>
        <v>FOCOCI</v>
      </c>
      <c r="AA518" s="448"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600">
        <f>OBRA!S518</f>
        <v>44185</v>
      </c>
      <c r="AH518" s="1602" t="s">
        <v>3860</v>
      </c>
      <c r="AI518" s="231" t="s">
        <v>2344</v>
      </c>
      <c r="AJ518" s="580" t="s">
        <v>3852</v>
      </c>
      <c r="AK518" s="580" t="s">
        <v>3852</v>
      </c>
      <c r="AL518" s="691" t="s">
        <v>3852</v>
      </c>
      <c r="AM518" s="695" t="str">
        <f>OBRA!BY518</f>
        <v>2018-2021</v>
      </c>
      <c r="AN518" s="448" t="s">
        <v>551</v>
      </c>
      <c r="AO518" s="13"/>
    </row>
    <row r="519" spans="1:41" ht="30" hidden="1" customHeight="1">
      <c r="A519" s="166">
        <f>OBRA!I519</f>
        <v>2020</v>
      </c>
      <c r="B519" s="2036"/>
      <c r="C519" s="433"/>
      <c r="D519" s="154"/>
      <c r="E519" s="156"/>
      <c r="F519" s="156"/>
      <c r="G519" s="436"/>
      <c r="H519" s="442" t="str">
        <f>OBRA!AD519</f>
        <v>-</v>
      </c>
      <c r="I519" s="438"/>
      <c r="J519" s="444" t="str">
        <f>OBRA!AE519</f>
        <v>-</v>
      </c>
      <c r="K519" s="440"/>
      <c r="L519" s="442" t="str">
        <f>OBRA!AF519</f>
        <v>-</v>
      </c>
      <c r="M519" s="440"/>
      <c r="N519" s="442" t="str">
        <f>OBRA!AG519</f>
        <v>-</v>
      </c>
      <c r="O519" s="152"/>
      <c r="P519" s="152"/>
      <c r="Q519" s="441"/>
      <c r="R519" s="445" t="str">
        <f>OBRA!AH519</f>
        <v>-</v>
      </c>
      <c r="S519" s="349"/>
      <c r="T519" s="446" t="str">
        <f>OBRA!U519</f>
        <v>SERVICIO Y CONSTRUCCIÓN NATENIO S.A. DE C.V.</v>
      </c>
      <c r="U519" s="447" t="str">
        <f>OBRA!V519</f>
        <v>LIC. SALVADOR CONTRERAS OLGUÍN</v>
      </c>
      <c r="V519" s="1281"/>
      <c r="W519" s="20" t="str">
        <f>OBRA!L519</f>
        <v>GMJ 032C- OP/2020</v>
      </c>
      <c r="X519" s="13"/>
      <c r="Y519" s="13"/>
      <c r="Z519" s="448" t="str">
        <f>OBRA!K519</f>
        <v>RAMO 33</v>
      </c>
      <c r="AA519" s="13"/>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428">
        <f>OBRA!S519</f>
        <v>44180</v>
      </c>
      <c r="AH519" s="54"/>
      <c r="AI519" s="231"/>
      <c r="AJ519" s="267"/>
      <c r="AK519" s="267"/>
      <c r="AL519" s="432"/>
      <c r="AM519" s="573" t="str">
        <f>GRAL!B522</f>
        <v>2018-2021</v>
      </c>
      <c r="AN519" s="448"/>
      <c r="AO519" s="13"/>
    </row>
    <row r="520" spans="1:41" ht="30" hidden="1" customHeight="1">
      <c r="A520" s="166">
        <f>OBRA!I520</f>
        <v>2020</v>
      </c>
      <c r="B520" s="2036"/>
      <c r="C520" s="433"/>
      <c r="D520" s="154"/>
      <c r="E520" s="156"/>
      <c r="F520" s="156"/>
      <c r="G520" s="436"/>
      <c r="H520" s="442" t="str">
        <f>OBRA!AD520</f>
        <v>-</v>
      </c>
      <c r="I520" s="438"/>
      <c r="J520" s="444" t="str">
        <f>OBRA!AE520</f>
        <v>-</v>
      </c>
      <c r="K520" s="439"/>
      <c r="L520" s="442" t="str">
        <f>OBRA!AF520</f>
        <v>-</v>
      </c>
      <c r="M520" s="440"/>
      <c r="N520" s="442" t="str">
        <f>OBRA!AG520</f>
        <v>-</v>
      </c>
      <c r="O520" s="152"/>
      <c r="P520" s="152"/>
      <c r="Q520" s="441"/>
      <c r="R520" s="445" t="str">
        <f>OBRA!AH520</f>
        <v>-</v>
      </c>
      <c r="S520" s="349"/>
      <c r="T520" s="446" t="str">
        <f>OBRA!U520</f>
        <v>CONSTRUCCIONES ADMAYAL, S.A. DE C.V</v>
      </c>
      <c r="U520" s="447" t="str">
        <f>OBRA!V520</f>
        <v>ING. LUIS RIGOBERTO OLMEDO NAVARRO</v>
      </c>
      <c r="V520" s="1281"/>
      <c r="W520" s="20" t="str">
        <f>OBRA!L520</f>
        <v>GMJ 033C- OP/2020</v>
      </c>
      <c r="X520" s="13"/>
      <c r="Y520" s="13"/>
      <c r="Z520" s="448" t="str">
        <f>OBRA!K520</f>
        <v>RESCATE AL PATRIMONIO</v>
      </c>
      <c r="AA520" s="13"/>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428">
        <f>OBRA!S520</f>
        <v>44189</v>
      </c>
      <c r="AH520" s="54"/>
      <c r="AI520" s="231"/>
      <c r="AJ520" s="267"/>
      <c r="AK520" s="267"/>
      <c r="AL520" s="432"/>
      <c r="AM520" s="573" t="str">
        <f>GRAL!B523</f>
        <v>2018-2021</v>
      </c>
      <c r="AN520" s="448"/>
      <c r="AO520" s="13"/>
    </row>
    <row r="521" spans="1:41" ht="30" hidden="1" customHeight="1">
      <c r="A521" s="166">
        <f>OBRA!I521</f>
        <v>2020</v>
      </c>
      <c r="B521" s="2036"/>
      <c r="C521" s="433"/>
      <c r="D521" s="154"/>
      <c r="E521" s="156"/>
      <c r="F521" s="156"/>
      <c r="G521" s="436"/>
      <c r="H521" s="442" t="str">
        <f>OBRA!AD521</f>
        <v>-</v>
      </c>
      <c r="I521" s="438"/>
      <c r="J521" s="444" t="str">
        <f>OBRA!AE521</f>
        <v>-</v>
      </c>
      <c r="K521" s="439"/>
      <c r="L521" s="442" t="str">
        <f>OBRA!AF521</f>
        <v>-</v>
      </c>
      <c r="M521" s="440"/>
      <c r="N521" s="442" t="str">
        <f>OBRA!AG521</f>
        <v>-</v>
      </c>
      <c r="O521" s="152"/>
      <c r="P521" s="152"/>
      <c r="Q521" s="441"/>
      <c r="R521" s="445" t="str">
        <f>OBRA!AH521</f>
        <v>-</v>
      </c>
      <c r="S521" s="349"/>
      <c r="T521" s="446" t="str">
        <f>OBRA!U521</f>
        <v>CONSTRUCCIÓN Y SUPERVISIÓN COMA S.A. DE C.V.</v>
      </c>
      <c r="U521" s="447" t="str">
        <f>OBRA!V521</f>
        <v>ARQ. CESAR ANTONIO ALONSO JIMENEZ</v>
      </c>
      <c r="V521" s="1281"/>
      <c r="W521" s="20" t="str">
        <f>OBRA!L521</f>
        <v>GMJ 034C- OP/2020</v>
      </c>
      <c r="X521" s="13"/>
      <c r="Y521" s="13"/>
      <c r="Z521" s="448" t="str">
        <f>OBRA!K521</f>
        <v>RAMO 33</v>
      </c>
      <c r="AA521" s="13"/>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428">
        <f>OBRA!S521</f>
        <v>44180</v>
      </c>
      <c r="AH521" s="54"/>
      <c r="AI521" s="231"/>
      <c r="AJ521" s="267"/>
      <c r="AK521" s="267"/>
      <c r="AL521" s="432"/>
      <c r="AM521" s="695" t="str">
        <f>OBRA!BY521</f>
        <v>2018-2021</v>
      </c>
      <c r="AN521" s="448"/>
      <c r="AO521" s="13"/>
    </row>
    <row r="522" spans="1:41" ht="60.75" hidden="1" thickTop="1">
      <c r="A522" s="166">
        <f>OBRA!I522</f>
        <v>2020</v>
      </c>
      <c r="B522" s="2036"/>
      <c r="C522" s="433"/>
      <c r="D522" s="154"/>
      <c r="E522" s="156"/>
      <c r="F522" s="156"/>
      <c r="G522" s="436"/>
      <c r="H522" s="442" t="str">
        <f>OBRA!AD522</f>
        <v>-</v>
      </c>
      <c r="I522" s="438"/>
      <c r="J522" s="444" t="str">
        <f>OBRA!AE522</f>
        <v>-</v>
      </c>
      <c r="K522" s="439"/>
      <c r="L522" s="442" t="str">
        <f>OBRA!AF522</f>
        <v>-</v>
      </c>
      <c r="M522" s="440"/>
      <c r="N522" s="442" t="str">
        <f>OBRA!AG522</f>
        <v>-</v>
      </c>
      <c r="O522" s="152"/>
      <c r="P522" s="152"/>
      <c r="Q522" s="441"/>
      <c r="R522" s="445" t="str">
        <f>OBRA!AH522</f>
        <v>-</v>
      </c>
      <c r="S522" s="349"/>
      <c r="T522" s="446" t="str">
        <f>OBRA!U522</f>
        <v>ALSERCON SA DE CV</v>
      </c>
      <c r="U522" s="447" t="str">
        <f>OBRA!V522</f>
        <v>ARQ. JAIME CONDE GOMEZ</v>
      </c>
      <c r="V522" s="1281"/>
      <c r="W522" s="20" t="str">
        <f>OBRA!L522</f>
        <v>GMJ 035C- OP/2020</v>
      </c>
      <c r="X522" s="13"/>
      <c r="Y522" s="13"/>
      <c r="Z522" s="448" t="str">
        <f>OBRA!K522</f>
        <v>RASTRO DIGNO</v>
      </c>
      <c r="AA522" s="13"/>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428">
        <f>OBRA!S522</f>
        <v>44227</v>
      </c>
      <c r="AH522" s="54"/>
      <c r="AI522" s="231"/>
      <c r="AJ522" s="267"/>
      <c r="AK522" s="267"/>
      <c r="AL522" s="432"/>
      <c r="AM522" s="573" t="str">
        <f>GRAL!B524</f>
        <v>2018-2021</v>
      </c>
      <c r="AN522" s="448"/>
      <c r="AO522" s="13"/>
    </row>
    <row r="523" spans="1:41" ht="27" hidden="1" thickTop="1">
      <c r="A523" s="166">
        <f>OBRA!I523</f>
        <v>2020</v>
      </c>
      <c r="B523" s="2036"/>
      <c r="C523" s="433"/>
      <c r="D523" s="154"/>
      <c r="E523" s="156"/>
      <c r="F523" s="156"/>
      <c r="G523" s="436"/>
      <c r="H523" s="442">
        <f>OBRA!AD523</f>
        <v>0</v>
      </c>
      <c r="I523" s="438"/>
      <c r="J523" s="444">
        <f>OBRA!AE523</f>
        <v>0</v>
      </c>
      <c r="K523" s="439"/>
      <c r="L523" s="442">
        <f>OBRA!AF523</f>
        <v>0</v>
      </c>
      <c r="M523" s="440"/>
      <c r="N523" s="442">
        <f>OBRA!AG523</f>
        <v>0</v>
      </c>
      <c r="O523" s="152"/>
      <c r="P523" s="152"/>
      <c r="Q523" s="441"/>
      <c r="R523" s="445">
        <f>OBRA!AH523</f>
        <v>0</v>
      </c>
      <c r="S523" s="349"/>
      <c r="T523" s="446">
        <f>OBRA!U523</f>
        <v>0</v>
      </c>
      <c r="U523" s="447">
        <f>OBRA!V523</f>
        <v>0</v>
      </c>
      <c r="V523" s="1281"/>
      <c r="W523" s="20" t="str">
        <f>OBRA!L523</f>
        <v>GMJ 036C- OP/2020</v>
      </c>
      <c r="X523" s="13"/>
      <c r="Y523" s="13"/>
      <c r="Z523" s="448">
        <f>OBRA!K523</f>
        <v>0</v>
      </c>
      <c r="AA523" s="13"/>
      <c r="AB523" s="2" t="str">
        <f>OBRA!M523</f>
        <v>CANCELADA</v>
      </c>
      <c r="AC523" s="3" t="str">
        <f>OBRA!N523</f>
        <v>CONTRATO CANCELADO</v>
      </c>
      <c r="AD523" s="4">
        <f>OBRA!P523</f>
        <v>0</v>
      </c>
      <c r="AE523" s="6">
        <f>OBRA!Q523</f>
        <v>0</v>
      </c>
      <c r="AF523" s="5">
        <f>OBRA!R523</f>
        <v>0</v>
      </c>
      <c r="AG523" s="428">
        <f>OBRA!S523</f>
        <v>0</v>
      </c>
      <c r="AH523" s="54"/>
      <c r="AI523" s="231"/>
      <c r="AJ523" s="267"/>
      <c r="AK523" s="267"/>
      <c r="AL523" s="432"/>
      <c r="AM523" s="573" t="str">
        <f>GRAL!B525</f>
        <v>2018-2021</v>
      </c>
      <c r="AN523" s="448"/>
      <c r="AO523" s="13"/>
    </row>
    <row r="524" spans="1:41" ht="30" hidden="1" customHeight="1">
      <c r="A524" s="166">
        <f>OBRA!I524</f>
        <v>2020</v>
      </c>
      <c r="B524" s="2036"/>
      <c r="C524" s="433"/>
      <c r="D524" s="154"/>
      <c r="E524" s="156"/>
      <c r="F524" s="156"/>
      <c r="G524" s="436"/>
      <c r="H524" s="442" t="str">
        <f>OBRA!AD524</f>
        <v>-</v>
      </c>
      <c r="I524" s="438"/>
      <c r="J524" s="444" t="str">
        <f>OBRA!AE524</f>
        <v>-</v>
      </c>
      <c r="K524" s="439"/>
      <c r="L524" s="442" t="str">
        <f>OBRA!AF524</f>
        <v>-</v>
      </c>
      <c r="M524" s="440"/>
      <c r="N524" s="442" t="str">
        <f>OBRA!AG524</f>
        <v>-</v>
      </c>
      <c r="O524" s="152"/>
      <c r="P524" s="152"/>
      <c r="Q524" s="441"/>
      <c r="R524" s="445" t="str">
        <f>OBRA!AH524</f>
        <v>-</v>
      </c>
      <c r="S524" s="349"/>
      <c r="T524" s="446" t="str">
        <f>OBRA!U524</f>
        <v>PLANOS Y OBRAS LODEIRO S.A. DE C.V.</v>
      </c>
      <c r="U524" s="447" t="str">
        <f>OBRA!V524</f>
        <v>ING. RIGOBERTO OR / ARQ. JAIME CONDE</v>
      </c>
      <c r="V524" s="1281"/>
      <c r="W524" s="20" t="str">
        <f>OBRA!L524</f>
        <v>GMJ 037C- OP/2020</v>
      </c>
      <c r="X524" s="13"/>
      <c r="Y524" s="13"/>
      <c r="Z524" s="448" t="str">
        <f>OBRA!K524</f>
        <v>RAMO 33</v>
      </c>
      <c r="AA524" s="13"/>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428">
        <f>OBRA!S524</f>
        <v>44184</v>
      </c>
      <c r="AH524" s="54"/>
      <c r="AI524" s="231"/>
      <c r="AJ524" s="267"/>
      <c r="AK524" s="267"/>
      <c r="AL524" s="432"/>
      <c r="AM524" s="573" t="str">
        <f>GRAL!B526</f>
        <v>2018-2021</v>
      </c>
      <c r="AN524" s="448"/>
      <c r="AO524" s="13"/>
    </row>
    <row r="525" spans="1:41" ht="30" hidden="1" customHeight="1">
      <c r="A525" s="166">
        <f>OBRA!I525</f>
        <v>2020</v>
      </c>
      <c r="B525" s="2036"/>
      <c r="C525" s="433"/>
      <c r="D525" s="154"/>
      <c r="E525" s="156"/>
      <c r="F525" s="156"/>
      <c r="G525" s="436"/>
      <c r="H525" s="442">
        <f>OBRA!AD525</f>
        <v>0</v>
      </c>
      <c r="I525" s="438"/>
      <c r="J525" s="444">
        <f>OBRA!AE525</f>
        <v>0</v>
      </c>
      <c r="K525" s="439"/>
      <c r="L525" s="442">
        <f>OBRA!AF525</f>
        <v>0</v>
      </c>
      <c r="M525" s="440"/>
      <c r="N525" s="442">
        <f>OBRA!AG525</f>
        <v>0</v>
      </c>
      <c r="O525" s="152"/>
      <c r="P525" s="152"/>
      <c r="Q525" s="441"/>
      <c r="R525" s="445">
        <f>OBRA!AH525</f>
        <v>0</v>
      </c>
      <c r="S525" s="349"/>
      <c r="T525" s="446" t="str">
        <f>OBRA!U525</f>
        <v>ALSERCON SA DE CV</v>
      </c>
      <c r="U525" s="447" t="str">
        <f>OBRA!V525</f>
        <v>ARQ. JAIME CONDE GOMEZ</v>
      </c>
      <c r="V525" s="1281"/>
      <c r="W525" s="20" t="str">
        <f>OBRA!L525</f>
        <v>GMJ 038C- OP/2020</v>
      </c>
      <c r="X525" s="13"/>
      <c r="Y525" s="13"/>
      <c r="Z525" s="448" t="str">
        <f>OBRA!K525</f>
        <v>CUENTA CORRIENTE</v>
      </c>
      <c r="AA525" s="13"/>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428">
        <f>OBRA!S525</f>
        <v>44284</v>
      </c>
      <c r="AH525" s="54"/>
      <c r="AI525" s="231"/>
      <c r="AJ525" s="267"/>
      <c r="AK525" s="267"/>
      <c r="AL525" s="432"/>
      <c r="AM525" s="573" t="str">
        <f>GRAL!B527</f>
        <v>2018-2021</v>
      </c>
      <c r="AN525" s="448"/>
      <c r="AO525" s="13"/>
    </row>
    <row r="526" spans="1:41" ht="30" hidden="1" customHeight="1">
      <c r="A526" s="166">
        <f>OBRA!I526</f>
        <v>2021</v>
      </c>
      <c r="B526" s="2036"/>
      <c r="C526" s="433"/>
      <c r="D526" s="154"/>
      <c r="E526" s="156"/>
      <c r="F526" s="156"/>
      <c r="G526" s="436"/>
      <c r="H526" s="442">
        <f>OBRA!AD526</f>
        <v>0</v>
      </c>
      <c r="I526" s="438"/>
      <c r="J526" s="444">
        <f>OBRA!AE526</f>
        <v>0</v>
      </c>
      <c r="K526" s="439"/>
      <c r="L526" s="442">
        <f>OBRA!AF526</f>
        <v>0</v>
      </c>
      <c r="M526" s="440"/>
      <c r="N526" s="442">
        <f>OBRA!AG526</f>
        <v>0</v>
      </c>
      <c r="O526" s="152"/>
      <c r="P526" s="152"/>
      <c r="Q526" s="441"/>
      <c r="R526" s="445">
        <f>OBRA!AH526</f>
        <v>0</v>
      </c>
      <c r="S526" s="349"/>
      <c r="T526" s="446" t="str">
        <f>OBRA!U526</f>
        <v>N/A</v>
      </c>
      <c r="U526" s="447" t="str">
        <f>OBRA!V526</f>
        <v>N/A</v>
      </c>
      <c r="V526" s="1281"/>
      <c r="W526" s="20" t="str">
        <f>OBRA!L526</f>
        <v>CONV/FOCOCI/004-2021</v>
      </c>
      <c r="X526" s="13"/>
      <c r="Y526" s="13"/>
      <c r="Z526" s="448" t="str">
        <f>OBRA!K526</f>
        <v>FOCOCI</v>
      </c>
      <c r="AA526" s="13"/>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428">
        <f>OBRA!S526</f>
        <v>44469</v>
      </c>
      <c r="AH526" s="54"/>
      <c r="AI526" s="231"/>
      <c r="AJ526" s="267"/>
      <c r="AK526" s="267"/>
      <c r="AL526" s="432"/>
      <c r="AM526" s="695" t="str">
        <f>OBRA!BY526</f>
        <v>2018-2021</v>
      </c>
      <c r="AN526" s="448"/>
      <c r="AO526" s="13"/>
    </row>
    <row r="527" spans="1:41" ht="30" hidden="1" customHeight="1">
      <c r="A527" s="166">
        <f>OBRA!I527</f>
        <v>2021</v>
      </c>
      <c r="B527" s="2036"/>
      <c r="C527" s="433"/>
      <c r="D527" s="154"/>
      <c r="E527" s="156"/>
      <c r="F527" s="156"/>
      <c r="G527" s="436"/>
      <c r="H527" s="442" t="str">
        <f>OBRA!AD527</f>
        <v>-</v>
      </c>
      <c r="I527" s="438"/>
      <c r="J527" s="444" t="str">
        <f>OBRA!AE527</f>
        <v>-</v>
      </c>
      <c r="K527" s="439"/>
      <c r="L527" s="442" t="str">
        <f>OBRA!AF527</f>
        <v>-</v>
      </c>
      <c r="M527" s="440"/>
      <c r="N527" s="442" t="str">
        <f>OBRA!AG527</f>
        <v>-</v>
      </c>
      <c r="O527" s="152"/>
      <c r="P527" s="152"/>
      <c r="Q527" s="441"/>
      <c r="R527" s="445" t="str">
        <f>OBRA!AH527</f>
        <v>-</v>
      </c>
      <c r="S527" s="349"/>
      <c r="T527" s="446" t="str">
        <f>OBRA!U527</f>
        <v>N/A</v>
      </c>
      <c r="U527" s="447" t="str">
        <f>OBRA!V527</f>
        <v>ING. LUIS RIGOBERTO OLMEDO NAVARRO</v>
      </c>
      <c r="V527" s="1281"/>
      <c r="W527" s="20" t="str">
        <f>OBRA!L527</f>
        <v>DOP/AD/001/2021</v>
      </c>
      <c r="X527" s="13"/>
      <c r="Y527" s="13"/>
      <c r="Z527" s="448" t="str">
        <f>OBRA!K527</f>
        <v>CUENTA CORRIENTE</v>
      </c>
      <c r="AA527" s="13"/>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428">
        <f>OBRA!S527</f>
        <v>44377</v>
      </c>
      <c r="AH527" s="54"/>
      <c r="AI527" s="231"/>
      <c r="AJ527" s="267"/>
      <c r="AK527" s="267"/>
      <c r="AL527" s="432"/>
      <c r="AM527" s="573" t="str">
        <f>GRAL!B529</f>
        <v>2018-2021</v>
      </c>
      <c r="AN527" s="448"/>
      <c r="AO527" s="13"/>
    </row>
    <row r="528" spans="1:41" ht="30" hidden="1" customHeight="1">
      <c r="A528" s="166">
        <f>OBRA!I528</f>
        <v>2021</v>
      </c>
      <c r="B528" s="2036"/>
      <c r="C528" s="433"/>
      <c r="D528" s="154"/>
      <c r="E528" s="156"/>
      <c r="F528" s="156"/>
      <c r="G528" s="436"/>
      <c r="H528" s="442" t="str">
        <f>OBRA!AD528</f>
        <v>-</v>
      </c>
      <c r="I528" s="438"/>
      <c r="J528" s="444" t="str">
        <f>OBRA!AE528</f>
        <v>-</v>
      </c>
      <c r="K528" s="439"/>
      <c r="L528" s="442" t="str">
        <f>OBRA!AF528</f>
        <v>-</v>
      </c>
      <c r="M528" s="440"/>
      <c r="N528" s="442" t="str">
        <f>OBRA!AG528</f>
        <v>-</v>
      </c>
      <c r="O528" s="152"/>
      <c r="P528" s="152"/>
      <c r="Q528" s="441"/>
      <c r="R528" s="445" t="str">
        <f>OBRA!AH528</f>
        <v>-</v>
      </c>
      <c r="S528" s="349"/>
      <c r="T528" s="446" t="str">
        <f>OBRA!U528</f>
        <v>N/A</v>
      </c>
      <c r="U528" s="447" t="str">
        <f>OBRA!V528</f>
        <v xml:space="preserve">ING. ENRIQUE ENRÍQUEZ VÁZQUEZ </v>
      </c>
      <c r="V528" s="1281"/>
      <c r="W528" s="20" t="str">
        <f>OBRA!L528</f>
        <v>DOP/AD/002/2021</v>
      </c>
      <c r="X528" s="13"/>
      <c r="Y528" s="13"/>
      <c r="Z528" s="448" t="str">
        <f>OBRA!K528</f>
        <v>CUENTA CORRIENTE</v>
      </c>
      <c r="AA528" s="13"/>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428">
        <f>OBRA!S528</f>
        <v>44377</v>
      </c>
      <c r="AH528" s="54"/>
      <c r="AI528" s="231"/>
      <c r="AJ528" s="267"/>
      <c r="AK528" s="267"/>
      <c r="AL528" s="432"/>
      <c r="AM528" s="573" t="str">
        <f>GRAL!B530</f>
        <v>2018-2021</v>
      </c>
      <c r="AN528" s="448"/>
      <c r="AO528" s="13"/>
    </row>
    <row r="529" spans="1:41" ht="30" hidden="1" customHeight="1">
      <c r="A529" s="166">
        <f>OBRA!I529</f>
        <v>2021</v>
      </c>
      <c r="B529" s="2036"/>
      <c r="C529" s="433"/>
      <c r="D529" s="154"/>
      <c r="E529" s="156"/>
      <c r="F529" s="156"/>
      <c r="G529" s="436"/>
      <c r="H529" s="442" t="str">
        <f>OBRA!AD529</f>
        <v>-</v>
      </c>
      <c r="I529" s="438"/>
      <c r="J529" s="444" t="str">
        <f>OBRA!AE529</f>
        <v>-</v>
      </c>
      <c r="K529" s="439"/>
      <c r="L529" s="442" t="str">
        <f>OBRA!AF529</f>
        <v>-</v>
      </c>
      <c r="M529" s="440"/>
      <c r="N529" s="442" t="str">
        <f>OBRA!AG529</f>
        <v>-</v>
      </c>
      <c r="O529" s="152"/>
      <c r="P529" s="152"/>
      <c r="Q529" s="441"/>
      <c r="R529" s="445" t="str">
        <f>OBRA!AH529</f>
        <v>-</v>
      </c>
      <c r="S529" s="349"/>
      <c r="T529" s="446" t="str">
        <f>OBRA!U529</f>
        <v>N/A</v>
      </c>
      <c r="U529" s="447" t="str">
        <f>OBRA!V529</f>
        <v>ING. J. GUADALUPE IBARRA RAMIREZ</v>
      </c>
      <c r="V529" s="1281"/>
      <c r="W529" s="20" t="str">
        <f>OBRA!L529</f>
        <v>DOP/AD/003/2021</v>
      </c>
      <c r="X529" s="13"/>
      <c r="Y529" s="13"/>
      <c r="Z529" s="448" t="str">
        <f>OBRA!K529</f>
        <v>RAMO 33</v>
      </c>
      <c r="AA529" s="13"/>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428">
        <f>OBRA!S529</f>
        <v>44455</v>
      </c>
      <c r="AH529" s="54"/>
      <c r="AI529" s="231"/>
      <c r="AJ529" s="267"/>
      <c r="AK529" s="267"/>
      <c r="AL529" s="432"/>
      <c r="AM529" s="573" t="str">
        <f>GRAL!B531</f>
        <v>2018-2021</v>
      </c>
      <c r="AN529" s="448"/>
      <c r="AO529" s="13"/>
    </row>
    <row r="530" spans="1:41" ht="30" hidden="1" customHeight="1">
      <c r="A530" s="166">
        <f>OBRA!I530</f>
        <v>2021</v>
      </c>
      <c r="B530" s="2036"/>
      <c r="C530" s="433"/>
      <c r="D530" s="154"/>
      <c r="E530" s="156"/>
      <c r="F530" s="156"/>
      <c r="G530" s="436"/>
      <c r="H530" s="442" t="str">
        <f>OBRA!AD530</f>
        <v>-</v>
      </c>
      <c r="I530" s="438"/>
      <c r="J530" s="444" t="str">
        <f>OBRA!AE530</f>
        <v>-</v>
      </c>
      <c r="K530" s="439"/>
      <c r="L530" s="442" t="str">
        <f>OBRA!AF530</f>
        <v>-</v>
      </c>
      <c r="M530" s="440"/>
      <c r="N530" s="442" t="str">
        <f>OBRA!AG530</f>
        <v>-</v>
      </c>
      <c r="O530" s="152"/>
      <c r="P530" s="152"/>
      <c r="Q530" s="441"/>
      <c r="R530" s="445" t="str">
        <f>OBRA!AH530</f>
        <v>-</v>
      </c>
      <c r="S530" s="349"/>
      <c r="T530" s="446" t="str">
        <f>OBRA!U530</f>
        <v>N/A</v>
      </c>
      <c r="U530" s="447" t="str">
        <f>OBRA!V530</f>
        <v>LIC. SALVADOR CONTRERAS OLGUÍN</v>
      </c>
      <c r="V530" s="1281"/>
      <c r="W530" s="20" t="str">
        <f>OBRA!L530</f>
        <v>DOP/AD/004/2021</v>
      </c>
      <c r="X530" s="13"/>
      <c r="Y530" s="13"/>
      <c r="Z530" s="448" t="str">
        <f>OBRA!K530</f>
        <v>CUENTA CORRIENTE</v>
      </c>
      <c r="AA530" s="13"/>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428">
        <f>OBRA!S530</f>
        <v>44250</v>
      </c>
      <c r="AH530" s="54"/>
      <c r="AI530" s="231"/>
      <c r="AJ530" s="267"/>
      <c r="AK530" s="267"/>
      <c r="AL530" s="432"/>
      <c r="AM530" s="573" t="str">
        <f>GRAL!B532</f>
        <v>2018-2021</v>
      </c>
      <c r="AN530" s="448"/>
      <c r="AO530" s="13"/>
    </row>
    <row r="531" spans="1:41" ht="30" hidden="1" customHeight="1">
      <c r="A531" s="166">
        <f>OBRA!I531</f>
        <v>2021</v>
      </c>
      <c r="B531" s="2036"/>
      <c r="C531" s="433"/>
      <c r="D531" s="154"/>
      <c r="E531" s="156"/>
      <c r="F531" s="156"/>
      <c r="G531" s="436"/>
      <c r="H531" s="442" t="str">
        <f>OBRA!AD531</f>
        <v>-</v>
      </c>
      <c r="I531" s="438"/>
      <c r="J531" s="444" t="str">
        <f>OBRA!AE531</f>
        <v>-</v>
      </c>
      <c r="K531" s="439"/>
      <c r="L531" s="442" t="str">
        <f>OBRA!AF531</f>
        <v>-</v>
      </c>
      <c r="M531" s="440"/>
      <c r="N531" s="442" t="str">
        <f>OBRA!AG531</f>
        <v>-</v>
      </c>
      <c r="O531" s="152"/>
      <c r="P531" s="152"/>
      <c r="Q531" s="441"/>
      <c r="R531" s="445" t="str">
        <f>OBRA!AH531</f>
        <v>-</v>
      </c>
      <c r="S531" s="349"/>
      <c r="T531" s="446" t="str">
        <f>OBRA!U531</f>
        <v>N/A</v>
      </c>
      <c r="U531" s="447" t="str">
        <f>OBRA!V531</f>
        <v>ING. LUIS RIGOBERTO OLMEDO NAVARRO</v>
      </c>
      <c r="V531" s="1281"/>
      <c r="W531" s="20" t="str">
        <f>OBRA!L531</f>
        <v>DOP/AD/005/2021</v>
      </c>
      <c r="X531" s="13"/>
      <c r="Y531" s="13"/>
      <c r="Z531" s="448" t="str">
        <f>OBRA!K531</f>
        <v>CUENTA CORRIENTE</v>
      </c>
      <c r="AA531" s="13"/>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428">
        <f>OBRA!S531</f>
        <v>44281</v>
      </c>
      <c r="AH531" s="54"/>
      <c r="AI531" s="231"/>
      <c r="AJ531" s="267"/>
      <c r="AK531" s="267"/>
      <c r="AL531" s="432"/>
      <c r="AM531" s="573" t="str">
        <f>GRAL!B533</f>
        <v>2018-2021</v>
      </c>
      <c r="AN531" s="448"/>
      <c r="AO531" s="13"/>
    </row>
    <row r="532" spans="1:41" ht="30" hidden="1" customHeight="1">
      <c r="A532" s="166">
        <f>OBRA!I532</f>
        <v>2021</v>
      </c>
      <c r="B532" s="2036"/>
      <c r="C532" s="433"/>
      <c r="D532" s="154"/>
      <c r="E532" s="156"/>
      <c r="F532" s="156"/>
      <c r="G532" s="436"/>
      <c r="H532" s="442" t="str">
        <f>OBRA!AD532</f>
        <v>-</v>
      </c>
      <c r="I532" s="438"/>
      <c r="J532" s="444" t="str">
        <f>OBRA!AE532</f>
        <v>-</v>
      </c>
      <c r="K532" s="439"/>
      <c r="L532" s="442" t="str">
        <f>OBRA!AF532</f>
        <v>-</v>
      </c>
      <c r="M532" s="440"/>
      <c r="N532" s="442" t="str">
        <f>OBRA!AG532</f>
        <v>-</v>
      </c>
      <c r="O532" s="152"/>
      <c r="P532" s="152"/>
      <c r="Q532" s="441"/>
      <c r="R532" s="445" t="str">
        <f>OBRA!AH532</f>
        <v>-</v>
      </c>
      <c r="S532" s="349"/>
      <c r="T532" s="446" t="str">
        <f>OBRA!U532</f>
        <v>N/A</v>
      </c>
      <c r="U532" s="447" t="str">
        <f>OBRA!V532</f>
        <v>DANIEL RODRIGUEZ</v>
      </c>
      <c r="V532" s="1281"/>
      <c r="W532" s="20" t="str">
        <f>OBRA!L532</f>
        <v>DOP/AD/006/2021</v>
      </c>
      <c r="X532" s="13"/>
      <c r="Y532" s="13"/>
      <c r="Z532" s="448">
        <f>OBRA!K532</f>
        <v>0</v>
      </c>
      <c r="AA532" s="13"/>
      <c r="AB532" s="2" t="str">
        <f>OBRA!M532</f>
        <v>CANCELADA</v>
      </c>
      <c r="AC532" s="3">
        <f>OBRA!N532</f>
        <v>0</v>
      </c>
      <c r="AD532" s="4">
        <f>OBRA!P532</f>
        <v>0</v>
      </c>
      <c r="AE532" s="6">
        <f>OBRA!Q532</f>
        <v>0</v>
      </c>
      <c r="AF532" s="5">
        <f>OBRA!R532</f>
        <v>0</v>
      </c>
      <c r="AG532" s="428">
        <f>OBRA!S532</f>
        <v>0</v>
      </c>
      <c r="AH532" s="54"/>
      <c r="AI532" s="231"/>
      <c r="AJ532" s="267"/>
      <c r="AK532" s="267"/>
      <c r="AL532" s="432"/>
      <c r="AM532" s="573" t="str">
        <f>GRAL!B534</f>
        <v>2018-2021</v>
      </c>
      <c r="AN532" s="448"/>
      <c r="AO532" s="13"/>
    </row>
    <row r="533" spans="1:41" ht="30" hidden="1" customHeight="1">
      <c r="A533" s="166">
        <f>OBRA!I533</f>
        <v>2021</v>
      </c>
      <c r="B533" s="2036"/>
      <c r="C533" s="433"/>
      <c r="D533" s="154"/>
      <c r="E533" s="156"/>
      <c r="F533" s="156"/>
      <c r="G533" s="436"/>
      <c r="H533" s="442" t="str">
        <f>OBRA!AD533</f>
        <v>-</v>
      </c>
      <c r="I533" s="438"/>
      <c r="J533" s="444" t="str">
        <f>OBRA!AE533</f>
        <v>-</v>
      </c>
      <c r="K533" s="439"/>
      <c r="L533" s="442" t="str">
        <f>OBRA!AF533</f>
        <v>-</v>
      </c>
      <c r="M533" s="440"/>
      <c r="N533" s="442" t="str">
        <f>OBRA!AG533</f>
        <v>-</v>
      </c>
      <c r="O533" s="152"/>
      <c r="P533" s="152"/>
      <c r="Q533" s="441"/>
      <c r="R533" s="445" t="str">
        <f>OBRA!AH533</f>
        <v>-</v>
      </c>
      <c r="S533" s="349"/>
      <c r="T533" s="446" t="str">
        <f>OBRA!U533</f>
        <v>N/A</v>
      </c>
      <c r="U533" s="447">
        <f>OBRA!V533</f>
        <v>0</v>
      </c>
      <c r="V533" s="1281"/>
      <c r="W533" s="20" t="str">
        <f>OBRA!L533</f>
        <v>DOP/AD/007/2021</v>
      </c>
      <c r="X533" s="13"/>
      <c r="Y533" s="13"/>
      <c r="Z533" s="448" t="str">
        <f>OBRA!K533</f>
        <v>CUENTA CORRIENTE</v>
      </c>
      <c r="AA533" s="13"/>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428">
        <f>OBRA!S533</f>
        <v>44281</v>
      </c>
      <c r="AH533" s="54"/>
      <c r="AI533" s="231"/>
      <c r="AJ533" s="267"/>
      <c r="AK533" s="267"/>
      <c r="AL533" s="432"/>
      <c r="AM533" s="573" t="str">
        <f>GRAL!B535</f>
        <v>2018-2021</v>
      </c>
      <c r="AN533" s="448"/>
      <c r="AO533" s="13"/>
    </row>
    <row r="534" spans="1:41" ht="30" hidden="1" customHeight="1">
      <c r="A534" s="166">
        <f>OBRA!I534</f>
        <v>2021</v>
      </c>
      <c r="B534" s="2036"/>
      <c r="C534" s="433"/>
      <c r="D534" s="154"/>
      <c r="E534" s="156"/>
      <c r="F534" s="156"/>
      <c r="G534" s="436"/>
      <c r="H534" s="442" t="str">
        <f>OBRA!AD534</f>
        <v>-</v>
      </c>
      <c r="I534" s="438"/>
      <c r="J534" s="444" t="str">
        <f>OBRA!AE534</f>
        <v>-</v>
      </c>
      <c r="K534" s="439"/>
      <c r="L534" s="442" t="str">
        <f>OBRA!AF534</f>
        <v>-</v>
      </c>
      <c r="M534" s="440"/>
      <c r="N534" s="442" t="str">
        <f>OBRA!AG534</f>
        <v>-</v>
      </c>
      <c r="O534" s="152"/>
      <c r="P534" s="152"/>
      <c r="Q534" s="441"/>
      <c r="R534" s="445" t="str">
        <f>OBRA!AH534</f>
        <v>-</v>
      </c>
      <c r="S534" s="349"/>
      <c r="T534" s="446" t="str">
        <f>OBRA!U534</f>
        <v>N/A</v>
      </c>
      <c r="U534" s="447" t="str">
        <f>OBRA!V534</f>
        <v>DANIEL RODRIGUEZ</v>
      </c>
      <c r="V534" s="1281"/>
      <c r="W534" s="20" t="str">
        <f>OBRA!L534</f>
        <v>DOP/AD/008/2021</v>
      </c>
      <c r="X534" s="13"/>
      <c r="Y534" s="13"/>
      <c r="Z534" s="448" t="str">
        <f>OBRA!K534</f>
        <v>RAMO 33</v>
      </c>
      <c r="AA534" s="13"/>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428">
        <f>OBRA!S534</f>
        <v>44379</v>
      </c>
      <c r="AH534" s="54"/>
      <c r="AI534" s="231"/>
      <c r="AJ534" s="267"/>
      <c r="AK534" s="267"/>
      <c r="AL534" s="432"/>
      <c r="AM534" s="573" t="str">
        <f>GRAL!B536</f>
        <v>2018-2021</v>
      </c>
      <c r="AN534" s="448"/>
      <c r="AO534" s="13"/>
    </row>
    <row r="535" spans="1:41" ht="30" hidden="1" customHeight="1">
      <c r="A535" s="166">
        <f>OBRA!I535</f>
        <v>2021</v>
      </c>
      <c r="B535" s="2036"/>
      <c r="C535" s="433"/>
      <c r="D535" s="154"/>
      <c r="E535" s="156"/>
      <c r="F535" s="156"/>
      <c r="G535" s="436"/>
      <c r="H535" s="442" t="str">
        <f>OBRA!AD535</f>
        <v>-</v>
      </c>
      <c r="I535" s="438"/>
      <c r="J535" s="444" t="str">
        <f>OBRA!AE535</f>
        <v>-</v>
      </c>
      <c r="K535" s="439"/>
      <c r="L535" s="442" t="str">
        <f>OBRA!AF535</f>
        <v>-</v>
      </c>
      <c r="M535" s="440"/>
      <c r="N535" s="442" t="str">
        <f>OBRA!AG535</f>
        <v>-</v>
      </c>
      <c r="O535" s="152"/>
      <c r="P535" s="152"/>
      <c r="Q535" s="441"/>
      <c r="R535" s="445" t="str">
        <f>OBRA!AH535</f>
        <v>-</v>
      </c>
      <c r="S535" s="349"/>
      <c r="T535" s="446" t="str">
        <f>OBRA!U535</f>
        <v>N/A</v>
      </c>
      <c r="U535" s="447" t="str">
        <f>OBRA!V535</f>
        <v>DANIEL RODRIGUEZ</v>
      </c>
      <c r="V535" s="1281"/>
      <c r="W535" s="20" t="str">
        <f>OBRA!L535</f>
        <v>DOP/AD/009/2021</v>
      </c>
      <c r="X535" s="13"/>
      <c r="Y535" s="13"/>
      <c r="Z535" s="448" t="str">
        <f>OBRA!K535</f>
        <v>CUENTA CORRIENTE</v>
      </c>
      <c r="AA535" s="13"/>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428">
        <f>OBRA!S535</f>
        <v>44383</v>
      </c>
      <c r="AH535" s="54"/>
      <c r="AI535" s="231"/>
      <c r="AJ535" s="267"/>
      <c r="AK535" s="267"/>
      <c r="AL535" s="432"/>
      <c r="AM535" s="573" t="str">
        <f>GRAL!B537</f>
        <v>2018-2021</v>
      </c>
      <c r="AN535" s="448"/>
      <c r="AO535" s="13"/>
    </row>
    <row r="536" spans="1:41" ht="30" hidden="1" customHeight="1">
      <c r="A536" s="166">
        <f>OBRA!I537</f>
        <v>2021</v>
      </c>
      <c r="B536" s="2036"/>
      <c r="C536" s="433"/>
      <c r="D536" s="154"/>
      <c r="E536" s="156"/>
      <c r="F536" s="156"/>
      <c r="G536" s="436"/>
      <c r="H536" s="442" t="str">
        <f>OBRA!AD537</f>
        <v>-</v>
      </c>
      <c r="I536" s="438"/>
      <c r="J536" s="444" t="str">
        <f>OBRA!AE537</f>
        <v>-</v>
      </c>
      <c r="K536" s="439"/>
      <c r="L536" s="442" t="str">
        <f>OBRA!AF537</f>
        <v>-</v>
      </c>
      <c r="M536" s="440"/>
      <c r="N536" s="442" t="str">
        <f>OBRA!AG537</f>
        <v>-</v>
      </c>
      <c r="O536" s="152"/>
      <c r="P536" s="152"/>
      <c r="Q536" s="441"/>
      <c r="R536" s="445" t="str">
        <f>OBRA!AH537</f>
        <v>-</v>
      </c>
      <c r="S536" s="349"/>
      <c r="T536" s="446" t="str">
        <f>OBRA!U537</f>
        <v>N/A</v>
      </c>
      <c r="U536" s="447" t="str">
        <f>OBRA!V537</f>
        <v>ING. LUIS RIGOBERTO OLMEDO NAVARRO</v>
      </c>
      <c r="V536" s="1281"/>
      <c r="W536" s="20" t="str">
        <f>OBRA!L537</f>
        <v>DOP/AD/011/2021</v>
      </c>
      <c r="X536" s="13"/>
      <c r="Y536" s="13"/>
      <c r="Z536" s="448" t="str">
        <f>OBRA!K537</f>
        <v>CUENTA CORRIENTE</v>
      </c>
      <c r="AA536" s="13"/>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428">
        <f>OBRA!S537</f>
        <v>44257</v>
      </c>
      <c r="AH536" s="54"/>
      <c r="AI536" s="231"/>
      <c r="AJ536" s="267"/>
      <c r="AK536" s="267"/>
      <c r="AL536" s="432"/>
      <c r="AM536" s="573" t="str">
        <f>GRAL!B539</f>
        <v>2018-2021</v>
      </c>
      <c r="AN536" s="448"/>
      <c r="AO536" s="13"/>
    </row>
    <row r="537" spans="1:41" ht="30" hidden="1" customHeight="1">
      <c r="A537" s="166">
        <f>OBRA!I538</f>
        <v>2021</v>
      </c>
      <c r="B537" s="2036"/>
      <c r="C537" s="433"/>
      <c r="D537" s="154"/>
      <c r="E537" s="156"/>
      <c r="F537" s="156"/>
      <c r="G537" s="436"/>
      <c r="H537" s="442" t="str">
        <f>OBRA!AD538</f>
        <v>-</v>
      </c>
      <c r="I537" s="438"/>
      <c r="J537" s="444" t="str">
        <f>OBRA!AE538</f>
        <v>-</v>
      </c>
      <c r="K537" s="439"/>
      <c r="L537" s="442" t="str">
        <f>OBRA!AF538</f>
        <v>-</v>
      </c>
      <c r="M537" s="440"/>
      <c r="N537" s="442" t="str">
        <f>OBRA!AG538</f>
        <v>-</v>
      </c>
      <c r="O537" s="152"/>
      <c r="P537" s="152"/>
      <c r="Q537" s="441"/>
      <c r="R537" s="445" t="str">
        <f>OBRA!AH538</f>
        <v>-</v>
      </c>
      <c r="S537" s="349"/>
      <c r="T537" s="446" t="str">
        <f>OBRA!U538</f>
        <v>-</v>
      </c>
      <c r="U537" s="447" t="str">
        <f>OBRA!V538</f>
        <v>ARQ. JAIME CONDE GOMEZ</v>
      </c>
      <c r="V537" s="1281"/>
      <c r="W537" s="20" t="str">
        <f>OBRA!L538</f>
        <v>DOP/AD/012/2021</v>
      </c>
      <c r="X537" s="13"/>
      <c r="Y537" s="13"/>
      <c r="Z537" s="448" t="str">
        <f>OBRA!K538</f>
        <v>RASTRO DIGNO 2020</v>
      </c>
      <c r="AA537" s="13"/>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428">
        <f>OBRA!S538</f>
        <v>44463</v>
      </c>
      <c r="AH537" s="54"/>
      <c r="AI537" s="231"/>
      <c r="AJ537" s="267"/>
      <c r="AK537" s="267"/>
      <c r="AL537" s="432"/>
      <c r="AM537" s="573" t="str">
        <f>GRAL!B540</f>
        <v>2018-2021</v>
      </c>
      <c r="AN537" s="448"/>
      <c r="AO537" s="13"/>
    </row>
    <row r="538" spans="1:41" ht="30" hidden="1" customHeight="1">
      <c r="A538" s="166">
        <f>OBRA!I539</f>
        <v>2021</v>
      </c>
      <c r="B538" s="2036"/>
      <c r="C538" s="433"/>
      <c r="D538" s="154"/>
      <c r="E538" s="156"/>
      <c r="F538" s="156"/>
      <c r="G538" s="436"/>
      <c r="H538" s="442" t="str">
        <f>OBRA!AD539</f>
        <v>-</v>
      </c>
      <c r="I538" s="438"/>
      <c r="J538" s="444" t="str">
        <f>OBRA!AE539</f>
        <v>-</v>
      </c>
      <c r="K538" s="439"/>
      <c r="L538" s="442" t="str">
        <f>OBRA!AF539</f>
        <v>-</v>
      </c>
      <c r="M538" s="440"/>
      <c r="N538" s="442" t="str">
        <f>OBRA!AG539</f>
        <v>-</v>
      </c>
      <c r="O538" s="152"/>
      <c r="P538" s="152"/>
      <c r="Q538" s="441"/>
      <c r="R538" s="445" t="str">
        <f>OBRA!AH539</f>
        <v>-</v>
      </c>
      <c r="S538" s="349"/>
      <c r="T538" s="446" t="str">
        <f>OBRA!U539</f>
        <v>N/A</v>
      </c>
      <c r="U538" s="447" t="str">
        <f>OBRA!V539</f>
        <v>ING. J. GUADALUPE IBARRA RAMIREZ</v>
      </c>
      <c r="V538" s="1281"/>
      <c r="W538" s="20" t="str">
        <f>OBRA!L539</f>
        <v>DOP/AD/013/2021</v>
      </c>
      <c r="X538" s="13"/>
      <c r="Y538" s="13"/>
      <c r="Z538" s="448" t="str">
        <f>OBRA!K539</f>
        <v>CUENTA CORRIENTE</v>
      </c>
      <c r="AA538" s="13"/>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428">
        <f>OBRA!S539</f>
        <v>44469</v>
      </c>
      <c r="AH538" s="54"/>
      <c r="AI538" s="231"/>
      <c r="AJ538" s="267"/>
      <c r="AK538" s="267"/>
      <c r="AL538" s="432"/>
      <c r="AM538" s="573" t="str">
        <f>GRAL!B541</f>
        <v>2018-2021</v>
      </c>
      <c r="AN538" s="448"/>
      <c r="AO538" s="13"/>
    </row>
    <row r="539" spans="1:41" ht="30" hidden="1" customHeight="1">
      <c r="A539" s="166">
        <f>OBRA!I540</f>
        <v>2021</v>
      </c>
      <c r="B539" s="2036"/>
      <c r="C539" s="433"/>
      <c r="D539" s="154"/>
      <c r="E539" s="156"/>
      <c r="F539" s="156"/>
      <c r="G539" s="436"/>
      <c r="H539" s="442">
        <f>OBRA!AD540</f>
        <v>0</v>
      </c>
      <c r="I539" s="438"/>
      <c r="J539" s="444">
        <f>OBRA!AE540</f>
        <v>0</v>
      </c>
      <c r="K539" s="439"/>
      <c r="L539" s="442">
        <f>OBRA!AF540</f>
        <v>0</v>
      </c>
      <c r="M539" s="440"/>
      <c r="N539" s="442">
        <f>OBRA!AG540</f>
        <v>0</v>
      </c>
      <c r="O539" s="152"/>
      <c r="P539" s="152"/>
      <c r="Q539" s="441"/>
      <c r="R539" s="445">
        <f>OBRA!AH540</f>
        <v>0</v>
      </c>
      <c r="S539" s="349"/>
      <c r="T539" s="446" t="str">
        <f>OBRA!U540</f>
        <v>N/A</v>
      </c>
      <c r="U539" s="447" t="str">
        <f>OBRA!V540</f>
        <v>DANIEL RODRIGUEZ</v>
      </c>
      <c r="V539" s="1281"/>
      <c r="W539" s="20" t="str">
        <f>OBRA!L540</f>
        <v>DOP/AD/014/2021</v>
      </c>
      <c r="X539" s="13"/>
      <c r="Y539" s="13"/>
      <c r="Z539" s="448" t="str">
        <f>OBRA!K540</f>
        <v>EMP P/LA REACTIVACIÓN ECONÓMICA EN MPIOS</v>
      </c>
      <c r="AA539" s="13"/>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428">
        <f>OBRA!S540</f>
        <v>44464</v>
      </c>
      <c r="AH539" s="54"/>
      <c r="AI539" s="231"/>
      <c r="AJ539" s="267"/>
      <c r="AK539" s="267"/>
      <c r="AL539" s="432"/>
      <c r="AM539" s="573" t="str">
        <f>GRAL!B542</f>
        <v>2018-2021</v>
      </c>
      <c r="AN539" s="448"/>
      <c r="AO539" s="13"/>
    </row>
    <row r="540" spans="1:41" ht="30" hidden="1" customHeight="1">
      <c r="A540" s="166">
        <f>OBRA!I541</f>
        <v>2021</v>
      </c>
      <c r="B540" s="2036"/>
      <c r="C540" s="433"/>
      <c r="D540" s="154"/>
      <c r="E540" s="156"/>
      <c r="F540" s="156"/>
      <c r="G540" s="436"/>
      <c r="H540" s="442">
        <f>OBRA!AD541</f>
        <v>0</v>
      </c>
      <c r="I540" s="438"/>
      <c r="J540" s="444">
        <f>OBRA!AE541</f>
        <v>0</v>
      </c>
      <c r="K540" s="439"/>
      <c r="L540" s="442">
        <f>OBRA!AF541</f>
        <v>0</v>
      </c>
      <c r="M540" s="440"/>
      <c r="N540" s="442">
        <f>OBRA!AG541</f>
        <v>0</v>
      </c>
      <c r="O540" s="152"/>
      <c r="P540" s="152"/>
      <c r="Q540" s="441"/>
      <c r="R540" s="445">
        <f>OBRA!AH541</f>
        <v>0</v>
      </c>
      <c r="S540" s="349"/>
      <c r="T540" s="446" t="str">
        <f>OBRA!U541</f>
        <v>N/A</v>
      </c>
      <c r="U540" s="447" t="str">
        <f>OBRA!V541</f>
        <v>DANIEL RODRIGUEZ</v>
      </c>
      <c r="V540" s="1281"/>
      <c r="W540" s="20" t="str">
        <f>OBRA!L541</f>
        <v>DOP/AD/015/2021</v>
      </c>
      <c r="X540" s="13"/>
      <c r="Y540" s="13"/>
      <c r="Z540" s="448" t="str">
        <f>OBRA!K541</f>
        <v>EMP P/LA REACTIVACIÓN ECONÓMICA EN MPIOS</v>
      </c>
      <c r="AA540" s="13"/>
      <c r="AB540" s="2" t="str">
        <f>OBRA!M541</f>
        <v>ADMINISTRACIÓN DIRECTA</v>
      </c>
      <c r="AC540" s="3" t="str">
        <f>OBRA!N541</f>
        <v>CONSTRUCCIÓN DE EMPEDRADO ZAMPEADO EN LA LOCALIDAD DE LA LOMA</v>
      </c>
      <c r="AD540" s="4">
        <f>OBRA!P541</f>
        <v>966321.38</v>
      </c>
      <c r="AE540" s="6">
        <f>OBRA!Q541</f>
        <v>44378</v>
      </c>
      <c r="AF540" s="5">
        <f>OBRA!R541</f>
        <v>44438</v>
      </c>
      <c r="AG540" s="428">
        <f>OBRA!S541</f>
        <v>44452</v>
      </c>
      <c r="AH540" s="54"/>
      <c r="AI540" s="231"/>
      <c r="AJ540" s="267"/>
      <c r="AK540" s="267"/>
      <c r="AL540" s="432"/>
      <c r="AM540" s="573" t="str">
        <f>GRAL!B543</f>
        <v>2018-2021</v>
      </c>
      <c r="AN540" s="448"/>
      <c r="AO540" s="13"/>
    </row>
    <row r="541" spans="1:41" ht="30" hidden="1" customHeight="1">
      <c r="A541" s="166">
        <f>OBRA!I542</f>
        <v>2021</v>
      </c>
      <c r="B541" s="2036"/>
      <c r="C541" s="433"/>
      <c r="D541" s="154"/>
      <c r="E541" s="156"/>
      <c r="F541" s="156"/>
      <c r="G541" s="436"/>
      <c r="H541" s="442">
        <f>OBRA!AD542</f>
        <v>0</v>
      </c>
      <c r="I541" s="438"/>
      <c r="J541" s="444">
        <f>OBRA!AE542</f>
        <v>0</v>
      </c>
      <c r="K541" s="439"/>
      <c r="L541" s="442">
        <f>OBRA!AF542</f>
        <v>0</v>
      </c>
      <c r="M541" s="440"/>
      <c r="N541" s="442">
        <f>OBRA!AG542</f>
        <v>0</v>
      </c>
      <c r="O541" s="152"/>
      <c r="P541" s="152"/>
      <c r="Q541" s="441"/>
      <c r="R541" s="445">
        <f>OBRA!AH542</f>
        <v>0</v>
      </c>
      <c r="S541" s="349"/>
      <c r="T541" s="446" t="str">
        <f>OBRA!U542</f>
        <v>N/A</v>
      </c>
      <c r="U541" s="447" t="str">
        <f>OBRA!V542</f>
        <v>DANIEL RODRIGUEZ</v>
      </c>
      <c r="V541" s="1281"/>
      <c r="W541" s="20" t="str">
        <f>OBRA!L542</f>
        <v>DOP/AD/016/2021</v>
      </c>
      <c r="X541" s="13"/>
      <c r="Y541" s="13"/>
      <c r="Z541" s="448" t="str">
        <f>OBRA!K542</f>
        <v>EMP P/LA REACTIVACIÓN ECONÓMICA EN MPIOS</v>
      </c>
      <c r="AA541" s="13"/>
      <c r="AB541" s="2" t="str">
        <f>OBRA!M542</f>
        <v>ADMINISTRACIÓN DIRECTA</v>
      </c>
      <c r="AC541" s="3" t="str">
        <f>OBRA!N542</f>
        <v>CONSTRUCCIÓN DE EMPEDRADO ZAMPEADO EN LA LOCALIDAD DE LA SAN JUAN COSALA</v>
      </c>
      <c r="AD541" s="4">
        <f>OBRA!P542</f>
        <v>831652.39</v>
      </c>
      <c r="AE541" s="6">
        <f>OBRA!Q542</f>
        <v>44378</v>
      </c>
      <c r="AF541" s="5">
        <f>OBRA!R542</f>
        <v>44466</v>
      </c>
      <c r="AG541" s="428">
        <f>OBRA!S542</f>
        <v>44541</v>
      </c>
      <c r="AH541" s="54"/>
      <c r="AI541" s="231"/>
      <c r="AJ541" s="267"/>
      <c r="AK541" s="267"/>
      <c r="AL541" s="432"/>
      <c r="AM541" s="573" t="str">
        <f>GRAL!B544</f>
        <v>2018-2021</v>
      </c>
      <c r="AN541" s="448"/>
      <c r="AO541" s="13"/>
    </row>
    <row r="542" spans="1:41" ht="30" hidden="1" customHeight="1">
      <c r="A542" s="166">
        <f>OBRA!I543</f>
        <v>2021</v>
      </c>
      <c r="B542" s="2036"/>
      <c r="C542" s="433"/>
      <c r="D542" s="154"/>
      <c r="E542" s="156"/>
      <c r="F542" s="156"/>
      <c r="G542" s="436"/>
      <c r="H542" s="442">
        <f>OBRA!AD543</f>
        <v>0</v>
      </c>
      <c r="I542" s="438"/>
      <c r="J542" s="444">
        <f>OBRA!AE543</f>
        <v>0</v>
      </c>
      <c r="K542" s="439"/>
      <c r="L542" s="442">
        <f>OBRA!AF543</f>
        <v>0</v>
      </c>
      <c r="M542" s="440"/>
      <c r="N542" s="442">
        <f>OBRA!AG543</f>
        <v>0</v>
      </c>
      <c r="O542" s="152"/>
      <c r="P542" s="152"/>
      <c r="Q542" s="441"/>
      <c r="R542" s="445">
        <f>OBRA!AH543</f>
        <v>0</v>
      </c>
      <c r="S542" s="349"/>
      <c r="T542" s="446" t="str">
        <f>OBRA!U543</f>
        <v>N/A</v>
      </c>
      <c r="U542" s="447" t="str">
        <f>OBRA!V543</f>
        <v>DANIEL RODRIGUEZ</v>
      </c>
      <c r="V542" s="1281"/>
      <c r="W542" s="20" t="str">
        <f>OBRA!L543</f>
        <v>DOP/AD/017/2021</v>
      </c>
      <c r="X542" s="13"/>
      <c r="Y542" s="13"/>
      <c r="Z542" s="448" t="str">
        <f>OBRA!K543</f>
        <v>EMP P/LA REACTIVACIÓN ECONÓMICA EN MPIOS</v>
      </c>
      <c r="AA542" s="13"/>
      <c r="AB542" s="2" t="str">
        <f>OBRA!M543</f>
        <v>ADMINISTRACIÓN DIRECTA</v>
      </c>
      <c r="AC542" s="3" t="str">
        <f>OBRA!N543</f>
        <v>CONSTRUCCIÓN DE EMPEDRADO ZAMPEADO EN LA LOCALIDAD DE LA NEXTIPAC</v>
      </c>
      <c r="AD542" s="4">
        <f>OBRA!P543</f>
        <v>1965177.84</v>
      </c>
      <c r="AE542" s="6">
        <f>OBRA!Q543</f>
        <v>44378</v>
      </c>
      <c r="AF542" s="5">
        <f>OBRA!R543</f>
        <v>44438</v>
      </c>
      <c r="AG542" s="428">
        <f>OBRA!S543</f>
        <v>44492</v>
      </c>
      <c r="AH542" s="54"/>
      <c r="AI542" s="231"/>
      <c r="AJ542" s="267"/>
      <c r="AK542" s="267"/>
      <c r="AL542" s="432"/>
      <c r="AM542" s="573" t="str">
        <f>GRAL!B545</f>
        <v>2018-2021</v>
      </c>
      <c r="AN542" s="448"/>
      <c r="AO542" s="13"/>
    </row>
    <row r="543" spans="1:41" ht="30" hidden="1" customHeight="1">
      <c r="A543" s="166">
        <f>OBRA!I544</f>
        <v>2021</v>
      </c>
      <c r="B543" s="2036"/>
      <c r="C543" s="433"/>
      <c r="D543" s="154"/>
      <c r="E543" s="156"/>
      <c r="F543" s="156"/>
      <c r="G543" s="436"/>
      <c r="H543" s="442">
        <f>OBRA!AD544</f>
        <v>0</v>
      </c>
      <c r="I543" s="438"/>
      <c r="J543" s="444">
        <f>OBRA!AE544</f>
        <v>0</v>
      </c>
      <c r="K543" s="439"/>
      <c r="L543" s="442">
        <f>OBRA!AF544</f>
        <v>0</v>
      </c>
      <c r="M543" s="440"/>
      <c r="N543" s="442">
        <f>OBRA!AG544</f>
        <v>0</v>
      </c>
      <c r="O543" s="152"/>
      <c r="P543" s="152"/>
      <c r="Q543" s="441"/>
      <c r="R543" s="445">
        <f>OBRA!AH544</f>
        <v>0</v>
      </c>
      <c r="S543" s="349"/>
      <c r="T543" s="446" t="str">
        <f>OBRA!U544</f>
        <v>N/A</v>
      </c>
      <c r="U543" s="447" t="str">
        <f>OBRA!V544</f>
        <v>DANIEL RODRIGUEZ</v>
      </c>
      <c r="V543" s="1281"/>
      <c r="W543" s="20" t="str">
        <f>OBRA!L544</f>
        <v>DOP/AD/018/2021</v>
      </c>
      <c r="X543" s="13"/>
      <c r="Y543" s="13"/>
      <c r="Z543" s="448" t="str">
        <f>OBRA!K544</f>
        <v>EMP P/LA REACTIVACIÓN ECONÓMICA EN MPIOS</v>
      </c>
      <c r="AA543" s="13"/>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428">
        <f>OBRA!S544</f>
        <v>44541</v>
      </c>
      <c r="AH543" s="54"/>
      <c r="AI543" s="231"/>
      <c r="AJ543" s="267"/>
      <c r="AK543" s="267"/>
      <c r="AL543" s="432"/>
      <c r="AM543" s="573" t="str">
        <f>GRAL!B546</f>
        <v>2018-2021</v>
      </c>
      <c r="AN543" s="448"/>
      <c r="AO543" s="13"/>
    </row>
    <row r="544" spans="1:41" ht="30" hidden="1" customHeight="1">
      <c r="A544" s="166">
        <f>OBRA!I545</f>
        <v>2021</v>
      </c>
      <c r="B544" s="2036"/>
      <c r="C544" s="433"/>
      <c r="D544" s="154"/>
      <c r="E544" s="156"/>
      <c r="F544" s="156"/>
      <c r="G544" s="436"/>
      <c r="H544" s="442">
        <f>OBRA!AD545</f>
        <v>0</v>
      </c>
      <c r="I544" s="438"/>
      <c r="J544" s="444">
        <f>OBRA!AE545</f>
        <v>0</v>
      </c>
      <c r="K544" s="439"/>
      <c r="L544" s="442">
        <f>OBRA!AF545</f>
        <v>0</v>
      </c>
      <c r="M544" s="440"/>
      <c r="N544" s="442">
        <f>OBRA!AG545</f>
        <v>0</v>
      </c>
      <c r="O544" s="152"/>
      <c r="P544" s="152"/>
      <c r="Q544" s="441"/>
      <c r="R544" s="445">
        <f>OBRA!AH545</f>
        <v>0</v>
      </c>
      <c r="S544" s="349"/>
      <c r="T544" s="446" t="str">
        <f>OBRA!U545</f>
        <v>N/A</v>
      </c>
      <c r="U544" s="447" t="str">
        <f>OBRA!V545</f>
        <v>DANIEL RODRIGUEZ</v>
      </c>
      <c r="V544" s="1281"/>
      <c r="W544" s="20" t="str">
        <f>OBRA!L545</f>
        <v>DOP/AD/019/2021</v>
      </c>
      <c r="X544" s="13"/>
      <c r="Y544" s="13"/>
      <c r="Z544" s="448" t="str">
        <f>OBRA!K545</f>
        <v>EMP P/LA REACTIVACIÓN ECONÓMICA EN MPIOS</v>
      </c>
      <c r="AA544" s="13"/>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428">
        <f>OBRA!S545</f>
        <v>44541</v>
      </c>
      <c r="AH544" s="54"/>
      <c r="AI544" s="231"/>
      <c r="AJ544" s="267"/>
      <c r="AK544" s="267"/>
      <c r="AL544" s="432"/>
      <c r="AM544" s="573" t="str">
        <f>GRAL!B547</f>
        <v>2018-2021</v>
      </c>
      <c r="AN544" s="448"/>
      <c r="AO544" s="13"/>
    </row>
    <row r="545" spans="1:41" ht="30" hidden="1" customHeight="1">
      <c r="A545" s="166">
        <f>OBRA!I546</f>
        <v>2021</v>
      </c>
      <c r="B545" s="2036"/>
      <c r="C545" s="433"/>
      <c r="D545" s="154"/>
      <c r="E545" s="156"/>
      <c r="F545" s="156"/>
      <c r="G545" s="436"/>
      <c r="H545" s="442">
        <f>OBRA!AD546</f>
        <v>0</v>
      </c>
      <c r="I545" s="438"/>
      <c r="J545" s="444">
        <f>OBRA!AE546</f>
        <v>0</v>
      </c>
      <c r="K545" s="439"/>
      <c r="L545" s="442">
        <f>OBRA!AF546</f>
        <v>0</v>
      </c>
      <c r="M545" s="440"/>
      <c r="N545" s="442">
        <f>OBRA!AG546</f>
        <v>0</v>
      </c>
      <c r="O545" s="152"/>
      <c r="P545" s="152"/>
      <c r="Q545" s="441"/>
      <c r="R545" s="445">
        <f>OBRA!AH546</f>
        <v>0</v>
      </c>
      <c r="S545" s="349"/>
      <c r="T545" s="446">
        <f>OBRA!U546</f>
        <v>0</v>
      </c>
      <c r="U545" s="447">
        <f>OBRA!V546</f>
        <v>0</v>
      </c>
      <c r="V545" s="1281"/>
      <c r="W545" s="20" t="str">
        <f>OBRA!L546</f>
        <v>DOP/AD/020/2021</v>
      </c>
      <c r="X545" s="13"/>
      <c r="Y545" s="13"/>
      <c r="Z545" s="448">
        <f>OBRA!K546</f>
        <v>0</v>
      </c>
      <c r="AA545" s="13"/>
      <c r="AB545" s="2" t="str">
        <f>OBRA!M546</f>
        <v>CANCELADA</v>
      </c>
      <c r="AC545" s="3">
        <f>OBRA!N546</f>
        <v>0</v>
      </c>
      <c r="AD545" s="4">
        <f>OBRA!P546</f>
        <v>0</v>
      </c>
      <c r="AE545" s="6">
        <f>OBRA!Q546</f>
        <v>0</v>
      </c>
      <c r="AF545" s="5">
        <f>OBRA!R546</f>
        <v>0</v>
      </c>
      <c r="AG545" s="428">
        <f>OBRA!S546</f>
        <v>0</v>
      </c>
      <c r="AH545" s="54"/>
      <c r="AI545" s="231"/>
      <c r="AJ545" s="267"/>
      <c r="AK545" s="267"/>
      <c r="AL545" s="432"/>
      <c r="AM545" s="573" t="str">
        <f>GRAL!B548</f>
        <v>2018-2021</v>
      </c>
      <c r="AN545" s="448"/>
      <c r="AO545" s="13"/>
    </row>
    <row r="546" spans="1:41" ht="30" hidden="1" customHeight="1">
      <c r="A546" s="166">
        <f>OBRA!I547</f>
        <v>2021</v>
      </c>
      <c r="B546" s="2036"/>
      <c r="C546" s="433"/>
      <c r="D546" s="154"/>
      <c r="E546" s="156"/>
      <c r="F546" s="156"/>
      <c r="G546" s="436"/>
      <c r="H546" s="442" t="str">
        <f>OBRA!AD547</f>
        <v>-</v>
      </c>
      <c r="I546" s="438"/>
      <c r="J546" s="444" t="str">
        <f>OBRA!AE547</f>
        <v>-</v>
      </c>
      <c r="K546" s="439"/>
      <c r="L546" s="442" t="str">
        <f>OBRA!AF547</f>
        <v>-</v>
      </c>
      <c r="M546" s="440"/>
      <c r="N546" s="442" t="str">
        <f>OBRA!AG547</f>
        <v>-</v>
      </c>
      <c r="O546" s="152"/>
      <c r="P546" s="152"/>
      <c r="Q546" s="441"/>
      <c r="R546" s="445" t="str">
        <f>OBRA!AH547</f>
        <v>-</v>
      </c>
      <c r="S546" s="349"/>
      <c r="T546" s="446" t="str">
        <f>OBRA!U547</f>
        <v>URIEL PALOS CUEVAS</v>
      </c>
      <c r="U546" s="447" t="str">
        <f>OBRA!V547</f>
        <v>DANIEL RODRIGUEZ</v>
      </c>
      <c r="V546" s="1281"/>
      <c r="W546" s="20" t="str">
        <f>OBRA!L547</f>
        <v>C- OP 001/2021</v>
      </c>
      <c r="X546" s="13"/>
      <c r="Y546" s="13"/>
      <c r="Z546" s="448" t="str">
        <f>OBRA!K547</f>
        <v>CUENTA CORRIENTE</v>
      </c>
      <c r="AA546" s="13"/>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428">
        <f>OBRA!S547</f>
        <v>44298</v>
      </c>
      <c r="AH546" s="54"/>
      <c r="AI546" s="231"/>
      <c r="AJ546" s="267"/>
      <c r="AK546" s="267"/>
      <c r="AL546" s="432"/>
      <c r="AM546" s="573" t="str">
        <f>GRAL!B549</f>
        <v>2018-2021</v>
      </c>
      <c r="AN546" s="448"/>
      <c r="AO546" s="13"/>
    </row>
    <row r="547" spans="1:41" ht="30" hidden="1" customHeight="1">
      <c r="A547" s="166">
        <f>OBRA!I548</f>
        <v>2021</v>
      </c>
      <c r="B547" s="2036"/>
      <c r="C547" s="433"/>
      <c r="D547" s="154"/>
      <c r="E547" s="156"/>
      <c r="F547" s="156"/>
      <c r="G547" s="436"/>
      <c r="H547" s="442" t="str">
        <f>OBRA!AD548</f>
        <v>-</v>
      </c>
      <c r="I547" s="438"/>
      <c r="J547" s="444" t="str">
        <f>OBRA!AE548</f>
        <v>-</v>
      </c>
      <c r="K547" s="439"/>
      <c r="L547" s="442" t="str">
        <f>OBRA!AF548</f>
        <v>-</v>
      </c>
      <c r="M547" s="440"/>
      <c r="N547" s="442" t="str">
        <f>OBRA!AG548</f>
        <v>-</v>
      </c>
      <c r="O547" s="152"/>
      <c r="P547" s="152"/>
      <c r="Q547" s="441"/>
      <c r="R547" s="445" t="str">
        <f>OBRA!AH548</f>
        <v>-</v>
      </c>
      <c r="S547" s="349"/>
      <c r="T547" s="446" t="str">
        <f>OBRA!U548</f>
        <v>GRUPO ARANGE, S.A. DE C.V.</v>
      </c>
      <c r="U547" s="447" t="str">
        <f>OBRA!V548</f>
        <v>DANIEL RODRIGUEZ</v>
      </c>
      <c r="V547" s="1281"/>
      <c r="W547" s="20" t="str">
        <f>OBRA!L548</f>
        <v>C- OP 002/2021</v>
      </c>
      <c r="X547" s="13"/>
      <c r="Y547" s="13"/>
      <c r="Z547" s="448" t="str">
        <f>OBRA!K548</f>
        <v>CUENTA CORRIENTE</v>
      </c>
      <c r="AA547" s="13"/>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428">
        <f>OBRA!S548</f>
        <v>44255</v>
      </c>
      <c r="AH547" s="54"/>
      <c r="AI547" s="231"/>
      <c r="AJ547" s="267"/>
      <c r="AK547" s="267"/>
      <c r="AL547" s="432"/>
      <c r="AM547" s="573" t="str">
        <f>GRAL!B550</f>
        <v>2018-2021</v>
      </c>
      <c r="AN547" s="448"/>
      <c r="AO547" s="13"/>
    </row>
    <row r="548" spans="1:41" ht="30" hidden="1" customHeight="1">
      <c r="A548" s="166">
        <f>OBRA!I549</f>
        <v>2021</v>
      </c>
      <c r="B548" s="2036"/>
      <c r="C548" s="433"/>
      <c r="D548" s="154"/>
      <c r="E548" s="156"/>
      <c r="F548" s="156"/>
      <c r="G548" s="436"/>
      <c r="H548" s="442" t="str">
        <f>OBRA!AD549</f>
        <v>-</v>
      </c>
      <c r="I548" s="438"/>
      <c r="J548" s="444" t="str">
        <f>OBRA!AE549</f>
        <v>-</v>
      </c>
      <c r="K548" s="439"/>
      <c r="L548" s="442" t="str">
        <f>OBRA!AF549</f>
        <v>-</v>
      </c>
      <c r="M548" s="440"/>
      <c r="N548" s="442" t="str">
        <f>OBRA!AG549</f>
        <v>-</v>
      </c>
      <c r="O548" s="152"/>
      <c r="P548" s="152"/>
      <c r="Q548" s="441"/>
      <c r="R548" s="445" t="str">
        <f>OBRA!AH549</f>
        <v>-</v>
      </c>
      <c r="S548" s="349"/>
      <c r="T548" s="446">
        <f>OBRA!U549</f>
        <v>0</v>
      </c>
      <c r="U548" s="447">
        <f>OBRA!V549</f>
        <v>0</v>
      </c>
      <c r="V548" s="1281"/>
      <c r="W548" s="20" t="str">
        <f>OBRA!L549</f>
        <v>C- OP 003/2021</v>
      </c>
      <c r="X548" s="13"/>
      <c r="Y548" s="13"/>
      <c r="Z548" s="448" t="str">
        <f>OBRA!K549</f>
        <v>CUENTA CORRIENTE</v>
      </c>
      <c r="AA548" s="13"/>
      <c r="AB548" s="2" t="str">
        <f>OBRA!M549</f>
        <v>ARRENDAMIENTO (CANCELADO)</v>
      </c>
      <c r="AC548" s="3">
        <f>OBRA!N549</f>
        <v>0</v>
      </c>
      <c r="AD548" s="4">
        <f>OBRA!P549</f>
        <v>0</v>
      </c>
      <c r="AE548" s="6">
        <f>OBRA!Q549</f>
        <v>0</v>
      </c>
      <c r="AF548" s="5">
        <f>OBRA!R549</f>
        <v>0</v>
      </c>
      <c r="AG548" s="428">
        <f>OBRA!S549</f>
        <v>0</v>
      </c>
      <c r="AH548" s="54"/>
      <c r="AI548" s="231"/>
      <c r="AJ548" s="267"/>
      <c r="AK548" s="267"/>
      <c r="AL548" s="432"/>
      <c r="AM548" s="573" t="str">
        <f>GRAL!B551</f>
        <v>2018-2021</v>
      </c>
      <c r="AN548" s="448"/>
      <c r="AO548" s="13"/>
    </row>
    <row r="549" spans="1:41" ht="30" hidden="1" customHeight="1">
      <c r="A549" s="166">
        <f>OBRA!I550</f>
        <v>2021</v>
      </c>
      <c r="B549" s="2036"/>
      <c r="C549" s="433"/>
      <c r="D549" s="154"/>
      <c r="E549" s="156"/>
      <c r="F549" s="156"/>
      <c r="G549" s="436"/>
      <c r="H549" s="442" t="str">
        <f>OBRA!AD550</f>
        <v>-</v>
      </c>
      <c r="I549" s="438"/>
      <c r="J549" s="444" t="str">
        <f>OBRA!AE550</f>
        <v>-</v>
      </c>
      <c r="K549" s="439"/>
      <c r="L549" s="442" t="str">
        <f>OBRA!AF550</f>
        <v>-</v>
      </c>
      <c r="M549" s="440"/>
      <c r="N549" s="442" t="str">
        <f>OBRA!AG550</f>
        <v>-</v>
      </c>
      <c r="O549" s="152"/>
      <c r="P549" s="152"/>
      <c r="Q549" s="441"/>
      <c r="R549" s="445" t="str">
        <f>OBRA!AH550</f>
        <v>-</v>
      </c>
      <c r="S549" s="349"/>
      <c r="T549" s="446" t="str">
        <f>OBRA!U550</f>
        <v>ING. SERGIO CABRERA</v>
      </c>
      <c r="U549" s="447" t="str">
        <f>OBRA!V550</f>
        <v>LIC. SALVADOR CONTRERAS OLGUÍN</v>
      </c>
      <c r="V549" s="1281"/>
      <c r="W549" s="20" t="str">
        <f>OBRA!L550</f>
        <v>C- OP 004/2021</v>
      </c>
      <c r="X549" s="13"/>
      <c r="Y549" s="13"/>
      <c r="Z549" s="448" t="str">
        <f>OBRA!K550</f>
        <v>CUENTA CORRIENTE</v>
      </c>
      <c r="AA549" s="13"/>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428" t="str">
        <f>OBRA!S550</f>
        <v>-</v>
      </c>
      <c r="AH549" s="54"/>
      <c r="AI549" s="231"/>
      <c r="AJ549" s="267"/>
      <c r="AK549" s="267"/>
      <c r="AL549" s="432"/>
      <c r="AM549" s="573" t="str">
        <f>GRAL!B552</f>
        <v>2018-2021</v>
      </c>
      <c r="AN549" s="448"/>
      <c r="AO549" s="13"/>
    </row>
    <row r="550" spans="1:41" ht="30" hidden="1" customHeight="1">
      <c r="A550" s="166">
        <f>OBRA!I551</f>
        <v>2021</v>
      </c>
      <c r="B550" s="2036"/>
      <c r="C550" s="433"/>
      <c r="D550" s="154"/>
      <c r="E550" s="156"/>
      <c r="F550" s="156"/>
      <c r="G550" s="436"/>
      <c r="H550" s="442" t="str">
        <f>OBRA!AD551</f>
        <v>-</v>
      </c>
      <c r="I550" s="438"/>
      <c r="J550" s="444" t="str">
        <f>OBRA!AE551</f>
        <v>-</v>
      </c>
      <c r="K550" s="439"/>
      <c r="L550" s="442" t="str">
        <f>OBRA!AF551</f>
        <v>-</v>
      </c>
      <c r="M550" s="440"/>
      <c r="N550" s="442" t="str">
        <f>OBRA!AG551</f>
        <v>-</v>
      </c>
      <c r="O550" s="152"/>
      <c r="P550" s="152"/>
      <c r="Q550" s="441"/>
      <c r="R550" s="445" t="str">
        <f>OBRA!AH551</f>
        <v>-</v>
      </c>
      <c r="S550" s="349"/>
      <c r="T550" s="446" t="str">
        <f>OBRA!U551</f>
        <v>ING. SERGIO CABRERA</v>
      </c>
      <c r="U550" s="447" t="str">
        <f>OBRA!V551</f>
        <v>LIC. SALVADOR CONTRERAS OLGUÍN</v>
      </c>
      <c r="V550" s="1281"/>
      <c r="W550" s="20" t="str">
        <f>OBRA!L551</f>
        <v>C- OP 005/2021</v>
      </c>
      <c r="X550" s="13"/>
      <c r="Y550" s="13"/>
      <c r="Z550" s="448" t="str">
        <f>OBRA!K551</f>
        <v>CUENTA CORRIENTE</v>
      </c>
      <c r="AA550" s="13"/>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428" t="str">
        <f>OBRA!S551</f>
        <v>-</v>
      </c>
      <c r="AH550" s="54"/>
      <c r="AI550" s="231"/>
      <c r="AJ550" s="267"/>
      <c r="AK550" s="267"/>
      <c r="AL550" s="432"/>
      <c r="AM550" s="573" t="str">
        <f>GRAL!B553</f>
        <v>2018-2021</v>
      </c>
      <c r="AN550" s="448"/>
      <c r="AO550" s="13"/>
    </row>
    <row r="551" spans="1:41" ht="30" hidden="1" customHeight="1">
      <c r="A551" s="166">
        <f>OBRA!I552</f>
        <v>2021</v>
      </c>
      <c r="B551" s="2036"/>
      <c r="C551" s="433"/>
      <c r="D551" s="154"/>
      <c r="E551" s="156"/>
      <c r="F551" s="156"/>
      <c r="G551" s="436"/>
      <c r="H551" s="442" t="str">
        <f>OBRA!AD552</f>
        <v>-</v>
      </c>
      <c r="I551" s="438"/>
      <c r="J551" s="444" t="str">
        <f>OBRA!AE552</f>
        <v>-</v>
      </c>
      <c r="K551" s="439"/>
      <c r="L551" s="442" t="str">
        <f>OBRA!AF552</f>
        <v>-</v>
      </c>
      <c r="M551" s="440"/>
      <c r="N551" s="442" t="str">
        <f>OBRA!AG552</f>
        <v>-</v>
      </c>
      <c r="O551" s="152"/>
      <c r="P551" s="152"/>
      <c r="Q551" s="441"/>
      <c r="R551" s="445" t="str">
        <f>OBRA!AH552</f>
        <v>-</v>
      </c>
      <c r="S551" s="349"/>
      <c r="T551" s="446" t="str">
        <f>OBRA!U552</f>
        <v xml:space="preserve">SEBASTIAN MARQUEZ RAMOS </v>
      </c>
      <c r="U551" s="447" t="str">
        <f>OBRA!V552</f>
        <v>DANIEL RODRIGUEZ</v>
      </c>
      <c r="V551" s="1281"/>
      <c r="W551" s="20" t="str">
        <f>OBRA!L552</f>
        <v>C- OP 006/2021</v>
      </c>
      <c r="X551" s="13"/>
      <c r="Y551" s="13"/>
      <c r="Z551" s="448" t="str">
        <f>OBRA!K552</f>
        <v>CUENTA CORRIENTE</v>
      </c>
      <c r="AA551" s="13"/>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428" t="str">
        <f>OBRA!S552</f>
        <v>-</v>
      </c>
      <c r="AH551" s="54"/>
      <c r="AI551" s="231"/>
      <c r="AJ551" s="267"/>
      <c r="AK551" s="267"/>
      <c r="AL551" s="432"/>
      <c r="AM551" s="573" t="str">
        <f>GRAL!B554</f>
        <v>2018-2021</v>
      </c>
      <c r="AN551" s="448"/>
      <c r="AO551" s="13"/>
    </row>
    <row r="552" spans="1:41" ht="30" hidden="1" customHeight="1">
      <c r="A552" s="166">
        <f>OBRA!I553</f>
        <v>2021</v>
      </c>
      <c r="B552" s="2036"/>
      <c r="C552" s="433"/>
      <c r="D552" s="154"/>
      <c r="E552" s="156"/>
      <c r="F552" s="156"/>
      <c r="G552" s="436"/>
      <c r="H552" s="442" t="str">
        <f>OBRA!AD553</f>
        <v>-</v>
      </c>
      <c r="I552" s="438"/>
      <c r="J552" s="444" t="str">
        <f>OBRA!AE553</f>
        <v>-</v>
      </c>
      <c r="K552" s="439"/>
      <c r="L552" s="442" t="str">
        <f>OBRA!AF553</f>
        <v>-</v>
      </c>
      <c r="M552" s="440"/>
      <c r="N552" s="442" t="str">
        <f>OBRA!AG553</f>
        <v>-</v>
      </c>
      <c r="O552" s="152"/>
      <c r="P552" s="152"/>
      <c r="Q552" s="441"/>
      <c r="R552" s="445" t="str">
        <f>OBRA!AH553</f>
        <v>-</v>
      </c>
      <c r="S552" s="349"/>
      <c r="T552" s="446" t="str">
        <f>OBRA!U553</f>
        <v>GRUPO ARANGE, S.A. DE C.V.</v>
      </c>
      <c r="U552" s="447" t="str">
        <f>OBRA!V553</f>
        <v>DANIEL RODRIGUEZ</v>
      </c>
      <c r="V552" s="1281"/>
      <c r="W552" s="20" t="str">
        <f>OBRA!L553</f>
        <v>C- OP 007/2021</v>
      </c>
      <c r="X552" s="13"/>
      <c r="Y552" s="13"/>
      <c r="Z552" s="448" t="str">
        <f>OBRA!K553</f>
        <v>CUENTA CORRIENTE</v>
      </c>
      <c r="AA552" s="13"/>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428" t="str">
        <f>OBRA!S553</f>
        <v>-</v>
      </c>
      <c r="AH552" s="54"/>
      <c r="AI552" s="231"/>
      <c r="AJ552" s="267"/>
      <c r="AK552" s="267"/>
      <c r="AL552" s="432"/>
      <c r="AM552" s="573" t="str">
        <f>GRAL!B555</f>
        <v>2018-2021</v>
      </c>
      <c r="AN552" s="448"/>
      <c r="AO552" s="13"/>
    </row>
    <row r="553" spans="1:41" ht="30" hidden="1" customHeight="1">
      <c r="A553" s="166">
        <f>OBRA!I554</f>
        <v>2021</v>
      </c>
      <c r="B553" s="2036"/>
      <c r="C553" s="433"/>
      <c r="D553" s="154"/>
      <c r="E553" s="156"/>
      <c r="F553" s="156"/>
      <c r="G553" s="436"/>
      <c r="H553" s="442" t="str">
        <f>OBRA!AD554</f>
        <v>-</v>
      </c>
      <c r="I553" s="438"/>
      <c r="J553" s="444" t="str">
        <f>OBRA!AE554</f>
        <v>-</v>
      </c>
      <c r="K553" s="439"/>
      <c r="L553" s="442" t="str">
        <f>OBRA!AF554</f>
        <v>-</v>
      </c>
      <c r="M553" s="440"/>
      <c r="N553" s="442" t="str">
        <f>OBRA!AG554</f>
        <v>-</v>
      </c>
      <c r="O553" s="152"/>
      <c r="P553" s="152"/>
      <c r="Q553" s="441"/>
      <c r="R553" s="445" t="str">
        <f>OBRA!AH554</f>
        <v>-</v>
      </c>
      <c r="S553" s="349"/>
      <c r="T553" s="446" t="str">
        <f>OBRA!U554</f>
        <v>INDUSTRIAS UNIDAS BOGDAN, S.A. DE C.V.</v>
      </c>
      <c r="U553" s="447" t="str">
        <f>OBRA!V554</f>
        <v>DANIEL RODRIGUEZ</v>
      </c>
      <c r="V553" s="1281"/>
      <c r="W553" s="20" t="str">
        <f>OBRA!L554</f>
        <v>C- OP 008/2021</v>
      </c>
      <c r="X553" s="13"/>
      <c r="Y553" s="13"/>
      <c r="Z553" s="448" t="str">
        <f>OBRA!K554</f>
        <v>CUENTA CORRIENTE</v>
      </c>
      <c r="AA553" s="13"/>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428" t="str">
        <f>OBRA!S554</f>
        <v>-</v>
      </c>
      <c r="AH553" s="54"/>
      <c r="AI553" s="231"/>
      <c r="AJ553" s="267"/>
      <c r="AK553" s="267"/>
      <c r="AL553" s="432"/>
      <c r="AM553" s="573" t="str">
        <f>GRAL!B556</f>
        <v>2018-2021</v>
      </c>
      <c r="AN553" s="448"/>
      <c r="AO553" s="13"/>
    </row>
    <row r="554" spans="1:41" ht="30" hidden="1" customHeight="1">
      <c r="A554" s="166">
        <f>OBRA!I555</f>
        <v>2021</v>
      </c>
      <c r="B554" s="2036"/>
      <c r="C554" s="433"/>
      <c r="D554" s="154"/>
      <c r="E554" s="156"/>
      <c r="F554" s="156"/>
      <c r="G554" s="436"/>
      <c r="H554" s="442" t="str">
        <f>OBRA!AD555</f>
        <v>-</v>
      </c>
      <c r="I554" s="438"/>
      <c r="J554" s="444" t="str">
        <f>OBRA!AE555</f>
        <v>-</v>
      </c>
      <c r="K554" s="439"/>
      <c r="L554" s="442" t="str">
        <f>OBRA!AF555</f>
        <v>-</v>
      </c>
      <c r="M554" s="440"/>
      <c r="N554" s="442" t="str">
        <f>OBRA!AG555</f>
        <v>-</v>
      </c>
      <c r="O554" s="152"/>
      <c r="P554" s="152"/>
      <c r="Q554" s="441"/>
      <c r="R554" s="445" t="str">
        <f>OBRA!AH555</f>
        <v>-</v>
      </c>
      <c r="S554" s="349"/>
      <c r="T554" s="446" t="str">
        <f>OBRA!U555</f>
        <v>INDUSTRIAS UNIDAS BOGDAN, S.A. DE C.V.</v>
      </c>
      <c r="U554" s="447" t="str">
        <f>OBRA!V555</f>
        <v>DANIEL RODRIGUEZ</v>
      </c>
      <c r="V554" s="1281"/>
      <c r="W554" s="20" t="str">
        <f>OBRA!L555</f>
        <v>C- OP 009/2021</v>
      </c>
      <c r="X554" s="13"/>
      <c r="Y554" s="13"/>
      <c r="Z554" s="448" t="str">
        <f>OBRA!K555</f>
        <v>CUENTA CORRIENTE</v>
      </c>
      <c r="AA554" s="13"/>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428" t="str">
        <f>OBRA!S555</f>
        <v>-</v>
      </c>
      <c r="AH554" s="54"/>
      <c r="AI554" s="231"/>
      <c r="AJ554" s="267"/>
      <c r="AK554" s="267"/>
      <c r="AL554" s="432"/>
      <c r="AM554" s="573" t="str">
        <f>GRAL!B557</f>
        <v>2018-2021</v>
      </c>
      <c r="AN554" s="448"/>
      <c r="AO554" s="13"/>
    </row>
    <row r="555" spans="1:41" ht="30" hidden="1" customHeight="1">
      <c r="A555" s="166">
        <f>OBRA!I556</f>
        <v>2021</v>
      </c>
      <c r="B555" s="2036"/>
      <c r="C555" s="433"/>
      <c r="D555" s="154"/>
      <c r="E555" s="156"/>
      <c r="F555" s="156"/>
      <c r="G555" s="436"/>
      <c r="H555" s="442" t="str">
        <f>OBRA!AD556</f>
        <v>-</v>
      </c>
      <c r="I555" s="438"/>
      <c r="J555" s="444" t="str">
        <f>OBRA!AE556</f>
        <v>-</v>
      </c>
      <c r="K555" s="439"/>
      <c r="L555" s="442" t="str">
        <f>OBRA!AF556</f>
        <v>-</v>
      </c>
      <c r="M555" s="440"/>
      <c r="N555" s="442" t="str">
        <f>OBRA!AG556</f>
        <v>-</v>
      </c>
      <c r="O555" s="152"/>
      <c r="P555" s="152"/>
      <c r="Q555" s="441"/>
      <c r="R555" s="445" t="str">
        <f>OBRA!AH556</f>
        <v>-</v>
      </c>
      <c r="S555" s="349"/>
      <c r="T555" s="446" t="str">
        <f>OBRA!U556</f>
        <v>J. TRINIDAD NÚÑEZ BRITO</v>
      </c>
      <c r="U555" s="447" t="str">
        <f>OBRA!V556</f>
        <v>ING. MIGUEL MACHUCA HERNÁNDEZ</v>
      </c>
      <c r="V555" s="1281"/>
      <c r="W555" s="20" t="str">
        <f>OBRA!L556</f>
        <v>C.P.S.P. D.O.P. 001/2021</v>
      </c>
      <c r="X555" s="13"/>
      <c r="Y555" s="13"/>
      <c r="Z555" s="448" t="str">
        <f>OBRA!K556</f>
        <v>CUENTA CORRIENTE</v>
      </c>
      <c r="AA555" s="13"/>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428">
        <f>OBRA!S556</f>
        <v>44214</v>
      </c>
      <c r="AH555" s="54"/>
      <c r="AI555" s="231"/>
      <c r="AJ555" s="267"/>
      <c r="AK555" s="267"/>
      <c r="AL555" s="432"/>
      <c r="AM555" s="573" t="str">
        <f>GRAL!B558</f>
        <v>2018-2021</v>
      </c>
      <c r="AN555" s="448"/>
      <c r="AO555" s="13"/>
    </row>
    <row r="556" spans="1:41" ht="30" hidden="1" customHeight="1">
      <c r="A556" s="166">
        <f>OBRA!I557</f>
        <v>2021</v>
      </c>
      <c r="B556" s="2036"/>
      <c r="C556" s="433"/>
      <c r="D556" s="154"/>
      <c r="E556" s="156"/>
      <c r="F556" s="156"/>
      <c r="G556" s="436"/>
      <c r="H556" s="442" t="str">
        <f>OBRA!AD557</f>
        <v>-</v>
      </c>
      <c r="I556" s="438"/>
      <c r="J556" s="444" t="str">
        <f>OBRA!AE557</f>
        <v>-</v>
      </c>
      <c r="K556" s="439"/>
      <c r="L556" s="442" t="str">
        <f>OBRA!AF557</f>
        <v>-</v>
      </c>
      <c r="M556" s="440"/>
      <c r="N556" s="442" t="str">
        <f>OBRA!AG557</f>
        <v>-</v>
      </c>
      <c r="O556" s="152"/>
      <c r="P556" s="152"/>
      <c r="Q556" s="441"/>
      <c r="R556" s="445" t="str">
        <f>OBRA!AH557</f>
        <v>-</v>
      </c>
      <c r="S556" s="349"/>
      <c r="T556" s="446">
        <f>OBRA!U557</f>
        <v>0</v>
      </c>
      <c r="U556" s="447">
        <f>OBRA!V557</f>
        <v>0</v>
      </c>
      <c r="V556" s="1281"/>
      <c r="W556" s="20" t="str">
        <f>OBRA!L557</f>
        <v>C.P.S.P. D.O.P. 002/2021</v>
      </c>
      <c r="X556" s="13"/>
      <c r="Y556" s="13"/>
      <c r="Z556" s="448" t="str">
        <f>OBRA!K557</f>
        <v>CUENTA CORRIENTE</v>
      </c>
      <c r="AA556" s="13"/>
      <c r="AB556" s="2" t="str">
        <f>OBRA!M557</f>
        <v>SERVICIOS (CANCELADO)</v>
      </c>
      <c r="AC556" s="3">
        <f>OBRA!N557</f>
        <v>0</v>
      </c>
      <c r="AD556" s="4">
        <f>OBRA!P557</f>
        <v>0</v>
      </c>
      <c r="AE556" s="6">
        <f>OBRA!Q557</f>
        <v>0</v>
      </c>
      <c r="AF556" s="5">
        <f>OBRA!R557</f>
        <v>0</v>
      </c>
      <c r="AG556" s="428">
        <f>OBRA!S557</f>
        <v>0</v>
      </c>
      <c r="AH556" s="54"/>
      <c r="AI556" s="231"/>
      <c r="AJ556" s="267"/>
      <c r="AK556" s="267"/>
      <c r="AL556" s="432"/>
      <c r="AM556" s="573" t="str">
        <f>GRAL!B559</f>
        <v>2018-2021</v>
      </c>
      <c r="AN556" s="448"/>
      <c r="AO556" s="13"/>
    </row>
    <row r="557" spans="1:41" ht="30" hidden="1" customHeight="1">
      <c r="A557" s="166">
        <f>OBRA!I558</f>
        <v>2021</v>
      </c>
      <c r="B557" s="2036"/>
      <c r="C557" s="433"/>
      <c r="D557" s="154"/>
      <c r="E557" s="156"/>
      <c r="F557" s="156"/>
      <c r="G557" s="436"/>
      <c r="H557" s="442" t="str">
        <f>OBRA!AD558</f>
        <v>-</v>
      </c>
      <c r="I557" s="438"/>
      <c r="J557" s="444" t="str">
        <f>OBRA!AE558</f>
        <v>-</v>
      </c>
      <c r="K557" s="439"/>
      <c r="L557" s="442" t="str">
        <f>OBRA!AF558</f>
        <v>-</v>
      </c>
      <c r="M557" s="440"/>
      <c r="N557" s="442" t="str">
        <f>OBRA!AG558</f>
        <v>-</v>
      </c>
      <c r="O557" s="152"/>
      <c r="P557" s="152"/>
      <c r="Q557" s="441"/>
      <c r="R557" s="445" t="str">
        <f>OBRA!AH558</f>
        <v>-</v>
      </c>
      <c r="S557" s="349"/>
      <c r="T557" s="446" t="str">
        <f>OBRA!U558</f>
        <v>ARGUELLES ARQUITECTOS, S.A. DE C.V.</v>
      </c>
      <c r="U557" s="447" t="str">
        <f>OBRA!V558</f>
        <v>ARQ. FRANCISCO SALAZAR</v>
      </c>
      <c r="V557" s="1281"/>
      <c r="W557" s="20" t="str">
        <f>OBRA!L558</f>
        <v>C.P.S.P. D.O.P. 003/2021</v>
      </c>
      <c r="X557" s="13"/>
      <c r="Y557" s="13"/>
      <c r="Z557" s="448" t="str">
        <f>OBRA!K558</f>
        <v>CUENTA CORRIENTE</v>
      </c>
      <c r="AA557" s="13"/>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428" t="str">
        <f>OBRA!S558</f>
        <v>-</v>
      </c>
      <c r="AH557" s="54"/>
      <c r="AI557" s="231"/>
      <c r="AJ557" s="267"/>
      <c r="AK557" s="267"/>
      <c r="AL557" s="432"/>
      <c r="AM557" s="573" t="str">
        <f>GRAL!B560</f>
        <v>2018-2021</v>
      </c>
      <c r="AN557" s="448"/>
      <c r="AO557" s="13"/>
    </row>
    <row r="558" spans="1:41" ht="30" hidden="1" customHeight="1">
      <c r="A558" s="166">
        <f>OBRA!I559</f>
        <v>2021</v>
      </c>
      <c r="B558" s="2036"/>
      <c r="C558" s="433"/>
      <c r="D558" s="154"/>
      <c r="E558" s="156"/>
      <c r="F558" s="156"/>
      <c r="G558" s="436"/>
      <c r="H558" s="442" t="str">
        <f>OBRA!AD559</f>
        <v>-</v>
      </c>
      <c r="I558" s="438"/>
      <c r="J558" s="444" t="str">
        <f>OBRA!AE559</f>
        <v>-</v>
      </c>
      <c r="K558" s="439"/>
      <c r="L558" s="442" t="str">
        <f>OBRA!AF559</f>
        <v>-</v>
      </c>
      <c r="M558" s="440"/>
      <c r="N558" s="442" t="str">
        <f>OBRA!AG559</f>
        <v>-</v>
      </c>
      <c r="O558" s="152"/>
      <c r="P558" s="152"/>
      <c r="Q558" s="441"/>
      <c r="R558" s="445" t="str">
        <f>OBRA!AH559</f>
        <v>-</v>
      </c>
      <c r="S558" s="349"/>
      <c r="T558" s="446">
        <f>OBRA!U559</f>
        <v>0</v>
      </c>
      <c r="U558" s="447">
        <f>OBRA!V559</f>
        <v>0</v>
      </c>
      <c r="V558" s="1281"/>
      <c r="W558" s="20" t="str">
        <f>OBRA!L559</f>
        <v>C.P.S.P. D.O.P. 004/2021</v>
      </c>
      <c r="X558" s="13"/>
      <c r="Y558" s="13"/>
      <c r="Z558" s="448" t="str">
        <f>OBRA!K559</f>
        <v>CUENTA CORRIENTE</v>
      </c>
      <c r="AA558" s="13"/>
      <c r="AB558" s="2" t="str">
        <f>OBRA!M559</f>
        <v>SERVICIOS (CANCELADO)</v>
      </c>
      <c r="AC558" s="3">
        <f>OBRA!N559</f>
        <v>0</v>
      </c>
      <c r="AD558" s="4">
        <f>OBRA!P559</f>
        <v>0</v>
      </c>
      <c r="AE558" s="6">
        <f>OBRA!Q559</f>
        <v>0</v>
      </c>
      <c r="AF558" s="5">
        <f>OBRA!R559</f>
        <v>0</v>
      </c>
      <c r="AG558" s="428">
        <f>OBRA!S559</f>
        <v>0</v>
      </c>
      <c r="AH558" s="54"/>
      <c r="AI558" s="231"/>
      <c r="AJ558" s="267"/>
      <c r="AK558" s="267"/>
      <c r="AL558" s="432"/>
      <c r="AM558" s="573" t="str">
        <f>GRAL!B561</f>
        <v>2018-2021</v>
      </c>
      <c r="AN558" s="448"/>
      <c r="AO558" s="13"/>
    </row>
    <row r="559" spans="1:41" ht="30" hidden="1" customHeight="1">
      <c r="A559" s="166">
        <f>OBRA!I560</f>
        <v>2021</v>
      </c>
      <c r="B559" s="2036"/>
      <c r="C559" s="433"/>
      <c r="D559" s="154"/>
      <c r="E559" s="156"/>
      <c r="F559" s="156"/>
      <c r="G559" s="436"/>
      <c r="H559" s="442" t="str">
        <f>OBRA!AD560</f>
        <v>-</v>
      </c>
      <c r="I559" s="438"/>
      <c r="J559" s="444" t="str">
        <f>OBRA!AE560</f>
        <v>-</v>
      </c>
      <c r="K559" s="439"/>
      <c r="L559" s="442" t="str">
        <f>OBRA!AF560</f>
        <v>-</v>
      </c>
      <c r="M559" s="440"/>
      <c r="N559" s="442" t="str">
        <f>OBRA!AG560</f>
        <v>-</v>
      </c>
      <c r="O559" s="152"/>
      <c r="P559" s="152"/>
      <c r="Q559" s="441"/>
      <c r="R559" s="445" t="str">
        <f>OBRA!AH560</f>
        <v>-</v>
      </c>
      <c r="S559" s="349"/>
      <c r="T559" s="446" t="str">
        <f>OBRA!U560</f>
        <v>ING. JUAN IGNACIO NAVARRO BALTAZAR</v>
      </c>
      <c r="U559" s="447">
        <f>OBRA!V560</f>
        <v>0</v>
      </c>
      <c r="V559" s="1281"/>
      <c r="W559" s="20" t="str">
        <f>OBRA!L560</f>
        <v>C.P.S.P. D.O.P. 005/2021</v>
      </c>
      <c r="X559" s="13"/>
      <c r="Y559" s="13"/>
      <c r="Z559" s="448" t="str">
        <f>OBRA!K560</f>
        <v>CUENTA CORRIENTE</v>
      </c>
      <c r="AA559" s="13"/>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428">
        <f>OBRA!S560</f>
        <v>0</v>
      </c>
      <c r="AH559" s="54"/>
      <c r="AI559" s="231"/>
      <c r="AJ559" s="267"/>
      <c r="AK559" s="267"/>
      <c r="AL559" s="432"/>
      <c r="AM559" s="573" t="str">
        <f>GRAL!B562</f>
        <v>2018-2021</v>
      </c>
      <c r="AN559" s="448"/>
      <c r="AO559" s="13"/>
    </row>
    <row r="560" spans="1:41" ht="30" hidden="1" customHeight="1">
      <c r="A560" s="166">
        <f>OBRA!I561</f>
        <v>2021</v>
      </c>
      <c r="B560" s="2036"/>
      <c r="C560" s="433"/>
      <c r="D560" s="154"/>
      <c r="E560" s="156"/>
      <c r="F560" s="156"/>
      <c r="G560" s="436"/>
      <c r="H560" s="442" t="str">
        <f>OBRA!AD561</f>
        <v>-</v>
      </c>
      <c r="I560" s="438"/>
      <c r="J560" s="444" t="str">
        <f>OBRA!AE561</f>
        <v>-</v>
      </c>
      <c r="K560" s="439"/>
      <c r="L560" s="442" t="str">
        <f>OBRA!AF561</f>
        <v>-</v>
      </c>
      <c r="M560" s="440"/>
      <c r="N560" s="442" t="str">
        <f>OBRA!AG561</f>
        <v>-</v>
      </c>
      <c r="O560" s="152"/>
      <c r="P560" s="152"/>
      <c r="Q560" s="441"/>
      <c r="R560" s="445" t="str">
        <f>OBRA!AH561</f>
        <v>-</v>
      </c>
      <c r="S560" s="349"/>
      <c r="T560" s="446">
        <f>OBRA!U561</f>
        <v>0</v>
      </c>
      <c r="U560" s="447">
        <f>OBRA!V561</f>
        <v>0</v>
      </c>
      <c r="V560" s="1281"/>
      <c r="W560" s="20" t="str">
        <f>OBRA!L561</f>
        <v>C.P.S.P. D.O.P. 006/2021</v>
      </c>
      <c r="X560" s="13"/>
      <c r="Y560" s="13"/>
      <c r="Z560" s="448" t="str">
        <f>OBRA!K561</f>
        <v>CUENTA CORRIENTE</v>
      </c>
      <c r="AA560" s="13"/>
      <c r="AB560" s="2" t="str">
        <f>OBRA!M561</f>
        <v>SERVICIOS (CANCELADO)</v>
      </c>
      <c r="AC560" s="3">
        <f>OBRA!N561</f>
        <v>0</v>
      </c>
      <c r="AD560" s="4">
        <f>OBRA!P561</f>
        <v>0</v>
      </c>
      <c r="AE560" s="6">
        <f>OBRA!Q561</f>
        <v>0</v>
      </c>
      <c r="AF560" s="5">
        <f>OBRA!R561</f>
        <v>0</v>
      </c>
      <c r="AG560" s="428">
        <f>OBRA!S561</f>
        <v>0</v>
      </c>
      <c r="AH560" s="54"/>
      <c r="AI560" s="231"/>
      <c r="AJ560" s="267"/>
      <c r="AK560" s="267"/>
      <c r="AL560" s="432"/>
      <c r="AM560" s="573" t="str">
        <f>GRAL!B563</f>
        <v>2018-2021</v>
      </c>
      <c r="AN560" s="448"/>
      <c r="AO560" s="13"/>
    </row>
    <row r="561" spans="1:41" ht="30" hidden="1" customHeight="1">
      <c r="A561" s="166">
        <f>OBRA!I562</f>
        <v>2021</v>
      </c>
      <c r="B561" s="2036"/>
      <c r="C561" s="433"/>
      <c r="D561" s="154"/>
      <c r="E561" s="156"/>
      <c r="F561" s="156"/>
      <c r="G561" s="436"/>
      <c r="H561" s="442" t="str">
        <f>OBRA!AD562</f>
        <v>-</v>
      </c>
      <c r="I561" s="438"/>
      <c r="J561" s="444" t="str">
        <f>OBRA!AE562</f>
        <v>-</v>
      </c>
      <c r="K561" s="439"/>
      <c r="L561" s="442" t="str">
        <f>OBRA!AF562</f>
        <v>-</v>
      </c>
      <c r="M561" s="440"/>
      <c r="N561" s="442" t="str">
        <f>OBRA!AG562</f>
        <v>-</v>
      </c>
      <c r="O561" s="152"/>
      <c r="P561" s="152"/>
      <c r="Q561" s="441"/>
      <c r="R561" s="445" t="str">
        <f>OBRA!AH562</f>
        <v>-</v>
      </c>
      <c r="S561" s="349"/>
      <c r="T561" s="446" t="str">
        <f>OBRA!U562</f>
        <v>ECCOC DE GUADALAJARA, S.A. DE C.V.</v>
      </c>
      <c r="U561" s="447">
        <f>OBRA!V562</f>
        <v>0</v>
      </c>
      <c r="V561" s="1281"/>
      <c r="W561" s="20" t="str">
        <f>OBRA!L562</f>
        <v>C.P.S.P. D.O.P. 007/2021</v>
      </c>
      <c r="X561" s="13"/>
      <c r="Y561" s="13"/>
      <c r="Z561" s="448" t="str">
        <f>OBRA!K562</f>
        <v>CUENTA CORRIENTE</v>
      </c>
      <c r="AA561" s="13"/>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428" t="str">
        <f>OBRA!S562</f>
        <v>-</v>
      </c>
      <c r="AH561" s="54"/>
      <c r="AI561" s="231"/>
      <c r="AJ561" s="267"/>
      <c r="AK561" s="267"/>
      <c r="AL561" s="432"/>
      <c r="AM561" s="573" t="str">
        <f>GRAL!B564</f>
        <v>2018-2021</v>
      </c>
      <c r="AN561" s="448"/>
      <c r="AO561" s="13"/>
    </row>
    <row r="562" spans="1:41" ht="30" hidden="1" customHeight="1">
      <c r="A562" s="166">
        <f>OBRA!I563</f>
        <v>2021</v>
      </c>
      <c r="B562" s="2036"/>
      <c r="C562" s="433"/>
      <c r="D562" s="154"/>
      <c r="E562" s="156"/>
      <c r="F562" s="156"/>
      <c r="G562" s="436"/>
      <c r="H562" s="442" t="str">
        <f>OBRA!AD563</f>
        <v>-</v>
      </c>
      <c r="I562" s="438"/>
      <c r="J562" s="444" t="str">
        <f>OBRA!AE563</f>
        <v>-</v>
      </c>
      <c r="K562" s="439"/>
      <c r="L562" s="442" t="str">
        <f>OBRA!AF563</f>
        <v>-</v>
      </c>
      <c r="M562" s="440"/>
      <c r="N562" s="442" t="str">
        <f>OBRA!AG563</f>
        <v>-</v>
      </c>
      <c r="O562" s="152"/>
      <c r="P562" s="152"/>
      <c r="Q562" s="441"/>
      <c r="R562" s="445" t="str">
        <f>OBRA!AH563</f>
        <v>-</v>
      </c>
      <c r="S562" s="349"/>
      <c r="T562" s="446" t="str">
        <f>OBRA!U563</f>
        <v>ING. MARCO ANTONIO PAREDES RODRÍGUEZ</v>
      </c>
      <c r="U562" s="447">
        <f>OBRA!V563</f>
        <v>0</v>
      </c>
      <c r="V562" s="1281"/>
      <c r="W562" s="20" t="str">
        <f>OBRA!L563</f>
        <v>C.P.S.P. D.O.P. 008/2021</v>
      </c>
      <c r="X562" s="13"/>
      <c r="Y562" s="13"/>
      <c r="Z562" s="448" t="str">
        <f>OBRA!K563</f>
        <v>CUENTA CORRIENTE</v>
      </c>
      <c r="AA562" s="13"/>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428" t="str">
        <f>OBRA!S563</f>
        <v>-</v>
      </c>
      <c r="AH562" s="54"/>
      <c r="AI562" s="231"/>
      <c r="AJ562" s="267"/>
      <c r="AK562" s="267"/>
      <c r="AL562" s="432"/>
      <c r="AM562" s="573" t="str">
        <f>GRAL!B565</f>
        <v>2018-2021</v>
      </c>
      <c r="AN562" s="448"/>
      <c r="AO562" s="13"/>
    </row>
    <row r="563" spans="1:41" ht="30" hidden="1" customHeight="1">
      <c r="A563" s="166">
        <f>OBRA!I564</f>
        <v>2021</v>
      </c>
      <c r="B563" s="2036"/>
      <c r="C563" s="433"/>
      <c r="D563" s="154"/>
      <c r="E563" s="156"/>
      <c r="F563" s="156"/>
      <c r="G563" s="436"/>
      <c r="H563" s="442" t="str">
        <f>OBRA!AD564</f>
        <v>-</v>
      </c>
      <c r="I563" s="438"/>
      <c r="J563" s="444" t="str">
        <f>OBRA!AE564</f>
        <v>-</v>
      </c>
      <c r="K563" s="439"/>
      <c r="L563" s="442" t="str">
        <f>OBRA!AF564</f>
        <v>-</v>
      </c>
      <c r="M563" s="440"/>
      <c r="N563" s="442" t="str">
        <f>OBRA!AG564</f>
        <v>-</v>
      </c>
      <c r="O563" s="152"/>
      <c r="P563" s="152"/>
      <c r="Q563" s="441"/>
      <c r="R563" s="445" t="str">
        <f>OBRA!AH564</f>
        <v>-</v>
      </c>
      <c r="S563" s="349"/>
      <c r="T563" s="446" t="str">
        <f>OBRA!U564</f>
        <v>KRISPOD CONSTRUCTORA, DISEÑO Y CONSTRUCCIÓN S.A. DE C.V.</v>
      </c>
      <c r="U563" s="447">
        <f>OBRA!V564</f>
        <v>0</v>
      </c>
      <c r="V563" s="1281"/>
      <c r="W563" s="20" t="str">
        <f>OBRA!L564</f>
        <v>C.P.S.P. D.O.P. 009/2021</v>
      </c>
      <c r="X563" s="13"/>
      <c r="Y563" s="13"/>
      <c r="Z563" s="448" t="str">
        <f>OBRA!K564</f>
        <v>CUENTA CORRIENTE</v>
      </c>
      <c r="AA563" s="13"/>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428" t="str">
        <f>OBRA!S564</f>
        <v>-</v>
      </c>
      <c r="AH563" s="54"/>
      <c r="AI563" s="231"/>
      <c r="AJ563" s="267"/>
      <c r="AK563" s="267"/>
      <c r="AL563" s="432"/>
      <c r="AM563" s="573" t="str">
        <f>GRAL!B566</f>
        <v>2018-2021</v>
      </c>
      <c r="AN563" s="448"/>
      <c r="AO563" s="13"/>
    </row>
    <row r="564" spans="1:41" ht="30" hidden="1" customHeight="1">
      <c r="A564" s="166">
        <f>OBRA!I565</f>
        <v>2021</v>
      </c>
      <c r="B564" s="2036"/>
      <c r="C564" s="433"/>
      <c r="D564" s="154"/>
      <c r="E564" s="156"/>
      <c r="F564" s="156"/>
      <c r="G564" s="436"/>
      <c r="H564" s="442" t="str">
        <f>OBRA!AD565</f>
        <v>-</v>
      </c>
      <c r="I564" s="438"/>
      <c r="J564" s="444" t="str">
        <f>OBRA!AE565</f>
        <v>-</v>
      </c>
      <c r="K564" s="439"/>
      <c r="L564" s="442" t="str">
        <f>OBRA!AF565</f>
        <v>-</v>
      </c>
      <c r="M564" s="440"/>
      <c r="N564" s="442" t="str">
        <f>OBRA!AG565</f>
        <v>-</v>
      </c>
      <c r="O564" s="152"/>
      <c r="P564" s="152"/>
      <c r="Q564" s="441"/>
      <c r="R564" s="445" t="str">
        <f>OBRA!AH565</f>
        <v>-</v>
      </c>
      <c r="S564" s="349"/>
      <c r="T564" s="446" t="str">
        <f>OBRA!U565</f>
        <v>JESSICA MONSERRAT RIVERA TORRES</v>
      </c>
      <c r="U564" s="447" t="str">
        <f>OBRA!V565</f>
        <v>ING. MIGUEL MACHUCA HERNÁNDEZ / ING. LUIS RIGOBERTO OLMEDO NAVARRO</v>
      </c>
      <c r="V564" s="1281"/>
      <c r="W564" s="20" t="str">
        <f>OBRA!L565</f>
        <v>GMJ 001C- OP/2021</v>
      </c>
      <c r="X564" s="13"/>
      <c r="Y564" s="13"/>
      <c r="Z564" s="448" t="str">
        <f>OBRA!K565</f>
        <v>CUENTA CORRIENTE</v>
      </c>
      <c r="AA564" s="13"/>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428">
        <f>OBRA!S565</f>
        <v>44377</v>
      </c>
      <c r="AH564" s="54"/>
      <c r="AI564" s="231"/>
      <c r="AJ564" s="267"/>
      <c r="AK564" s="267"/>
      <c r="AL564" s="432"/>
      <c r="AM564" s="573" t="str">
        <f>GRAL!B567</f>
        <v>2018-2021</v>
      </c>
      <c r="AN564" s="448"/>
      <c r="AO564" s="13"/>
    </row>
    <row r="565" spans="1:41" ht="198" hidden="1" customHeight="1">
      <c r="A565" s="166">
        <f>OBRA!I566</f>
        <v>2021</v>
      </c>
      <c r="B565" s="2038" t="str">
        <f>W565</f>
        <v>GMJ 002C- OP/2021</v>
      </c>
      <c r="C565" s="1497" t="s">
        <v>3845</v>
      </c>
      <c r="D565" s="1927" t="s">
        <v>5992</v>
      </c>
      <c r="E565" s="1586" t="s">
        <v>3855</v>
      </c>
      <c r="F565" s="1585" t="s">
        <v>3853</v>
      </c>
      <c r="G565" s="553" t="s">
        <v>3845</v>
      </c>
      <c r="H565" s="643">
        <f>OBRA!AD566</f>
        <v>44198</v>
      </c>
      <c r="I565" s="553" t="s">
        <v>3845</v>
      </c>
      <c r="J565" s="1556">
        <f>OBRA!AE566</f>
        <v>44200</v>
      </c>
      <c r="K565" s="580" t="s">
        <v>3845</v>
      </c>
      <c r="L565" s="1556">
        <f>OBRA!AF566</f>
        <v>44198</v>
      </c>
      <c r="M565" s="552" t="s">
        <v>3845</v>
      </c>
      <c r="N565" s="643">
        <f>OBRA!AG566</f>
        <v>44203</v>
      </c>
      <c r="O565" s="1902" t="s">
        <v>4644</v>
      </c>
      <c r="P565" s="604">
        <v>0.5</v>
      </c>
      <c r="Q565" s="552" t="s">
        <v>3845</v>
      </c>
      <c r="R565" s="643">
        <f>OBRA!AH566</f>
        <v>44209</v>
      </c>
      <c r="S565" s="1579" t="s">
        <v>3846</v>
      </c>
      <c r="T565" s="446" t="str">
        <f>OBRA!U566</f>
        <v>CONCRETOS, ASFALTOS Y CIMENTACIONES EDIR, S.A. DE C.V.</v>
      </c>
      <c r="U565" s="718" t="str">
        <f>OBRA!V566</f>
        <v xml:space="preserve">ING. ENRIQUE ENRÍQUEZ VÁZQUEZ </v>
      </c>
      <c r="V565" s="1729"/>
      <c r="W565" s="35" t="str">
        <f>OBRA!L566</f>
        <v>GMJ 002C- OP/2021</v>
      </c>
      <c r="X565" s="1567" t="s">
        <v>3842</v>
      </c>
      <c r="Y565" s="451" t="str">
        <f>GRAL!X568</f>
        <v>6241-2-25.1-050-304 / 6231-2-25.1-050-303 / 6151-2-25.1-050-305</v>
      </c>
      <c r="Z565" s="449" t="str">
        <f>OBRA!K566</f>
        <v>RAMO 33</v>
      </c>
      <c r="AA565" s="13"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600">
        <f>OBRA!S566</f>
        <v>44270</v>
      </c>
      <c r="AH565" s="1602" t="s">
        <v>3860</v>
      </c>
      <c r="AI565" s="231" t="s">
        <v>2344</v>
      </c>
      <c r="AJ565" s="71" t="s">
        <v>1431</v>
      </c>
      <c r="AK565" s="1567" t="s">
        <v>3845</v>
      </c>
      <c r="AL565" s="1567" t="s">
        <v>3845</v>
      </c>
      <c r="AM565" s="1455" t="str">
        <f>GRAL!B568</f>
        <v>2018-2021</v>
      </c>
      <c r="AN565" s="448" t="s">
        <v>551</v>
      </c>
      <c r="AO565" s="13"/>
    </row>
    <row r="566" spans="1:41" ht="30" hidden="1" customHeight="1">
      <c r="A566" s="166">
        <f>OBRA!I567</f>
        <v>2021</v>
      </c>
      <c r="B566" s="2036"/>
      <c r="C566" s="433"/>
      <c r="D566" s="154"/>
      <c r="E566" s="156"/>
      <c r="F566" s="156"/>
      <c r="G566" s="436"/>
      <c r="H566" s="442" t="str">
        <f>OBRA!AD567</f>
        <v>-</v>
      </c>
      <c r="I566" s="438"/>
      <c r="J566" s="444" t="str">
        <f>OBRA!AE567</f>
        <v>-</v>
      </c>
      <c r="K566" s="439"/>
      <c r="L566" s="442" t="str">
        <f>OBRA!AF567</f>
        <v>-</v>
      </c>
      <c r="M566" s="440"/>
      <c r="N566" s="442" t="str">
        <f>OBRA!AG567</f>
        <v>-</v>
      </c>
      <c r="O566" s="152"/>
      <c r="P566" s="152"/>
      <c r="Q566" s="441"/>
      <c r="R566" s="445" t="str">
        <f>OBRA!AH567</f>
        <v>-</v>
      </c>
      <c r="S566" s="349"/>
      <c r="T566" s="446" t="str">
        <f>OBRA!U567</f>
        <v>C. SERGIO CABRERA</v>
      </c>
      <c r="U566" s="447" t="str">
        <f>OBRA!V567</f>
        <v xml:space="preserve">ING. ENRIQUE ENRÍQUEZ VÁZQUEZ </v>
      </c>
      <c r="V566" s="1281"/>
      <c r="W566" s="20" t="str">
        <f>OBRA!L567</f>
        <v>GMJ 003C- OP/2021</v>
      </c>
      <c r="X566" s="13"/>
      <c r="Y566" s="13"/>
      <c r="Z566" s="448" t="str">
        <f>OBRA!K567</f>
        <v>CUENTA CORRIENTE</v>
      </c>
      <c r="AA566" s="13"/>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428">
        <f>OBRA!S567</f>
        <v>44270</v>
      </c>
      <c r="AH566" s="54"/>
      <c r="AI566" s="231"/>
      <c r="AJ566" s="267"/>
      <c r="AK566" s="267"/>
      <c r="AL566" s="432"/>
      <c r="AM566" s="573" t="str">
        <f>GRAL!B569</f>
        <v>2018-2021</v>
      </c>
      <c r="AN566" s="448"/>
      <c r="AO566" s="13"/>
    </row>
    <row r="567" spans="1:41" ht="219" hidden="1" customHeight="1" thickTop="1">
      <c r="A567" s="1868">
        <f>OBRA!I568</f>
        <v>2021</v>
      </c>
      <c r="B567" s="2038" t="str">
        <f>W567</f>
        <v>GMJ 004C- OP/2021</v>
      </c>
      <c r="C567" s="1497" t="s">
        <v>3841</v>
      </c>
      <c r="D567" s="1927" t="s">
        <v>5992</v>
      </c>
      <c r="E567" s="1586" t="s">
        <v>3855</v>
      </c>
      <c r="F567" s="1585" t="s">
        <v>3853</v>
      </c>
      <c r="G567" s="553" t="s">
        <v>5994</v>
      </c>
      <c r="H567" s="643">
        <f>OBRA!AD568</f>
        <v>44198</v>
      </c>
      <c r="I567" s="552" t="s">
        <v>3841</v>
      </c>
      <c r="J567" s="644">
        <f>OBRA!AE568</f>
        <v>44200</v>
      </c>
      <c r="K567" s="580" t="s">
        <v>3841</v>
      </c>
      <c r="L567" s="643">
        <f>OBRA!AF568</f>
        <v>44200</v>
      </c>
      <c r="M567" s="1398"/>
      <c r="N567" s="1577" t="str">
        <f>OBRA!AG568</f>
        <v>FALTA</v>
      </c>
      <c r="O567" s="1395"/>
      <c r="P567" s="1395"/>
      <c r="Q567" s="1397"/>
      <c r="R567" s="1578" t="str">
        <f>OBRA!AH568</f>
        <v>FALTA</v>
      </c>
      <c r="S567" s="1574" t="s">
        <v>3843</v>
      </c>
      <c r="T567" s="446" t="str">
        <f>OBRA!U568</f>
        <v>TERRACERÍAS Y PAVIMENTOS DE LA RIBERA, S.A. DE C.V.</v>
      </c>
      <c r="U567" s="718" t="str">
        <f>OBRA!V568</f>
        <v xml:space="preserve">ING. ENRIQUE ENRÍQUEZ VÁZQUEZ </v>
      </c>
      <c r="V567" s="1729"/>
      <c r="W567" s="35" t="str">
        <f>OBRA!L568</f>
        <v>GMJ 004C- OP/2021</v>
      </c>
      <c r="X567" s="1567" t="s">
        <v>3842</v>
      </c>
      <c r="Y567" s="633" t="str">
        <f>GRAL!X570</f>
        <v>6241-2-25.1-050-304 / 6231-2-235.1-050-303 / 6151-2-25.1-050-305</v>
      </c>
      <c r="Z567" s="448" t="str">
        <f>OBRA!K568</f>
        <v>RAMO 33</v>
      </c>
      <c r="AA567" s="13"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600">
        <f>OBRA!S568</f>
        <v>44266</v>
      </c>
      <c r="AH567" s="1602" t="s">
        <v>3860</v>
      </c>
      <c r="AI567" s="231" t="s">
        <v>2344</v>
      </c>
      <c r="AJ567" s="71" t="s">
        <v>1431</v>
      </c>
      <c r="AK567" s="1567" t="s">
        <v>3841</v>
      </c>
      <c r="AL567" s="1567" t="s">
        <v>3841</v>
      </c>
      <c r="AM567" s="1455" t="str">
        <f>GRAL!B570</f>
        <v>2018-2021</v>
      </c>
      <c r="AN567" s="448"/>
      <c r="AO567" s="13"/>
    </row>
    <row r="568" spans="1:41" ht="30" hidden="1" customHeight="1">
      <c r="A568" s="166">
        <f>OBRA!I569</f>
        <v>2021</v>
      </c>
      <c r="B568" s="2036"/>
      <c r="C568" s="433"/>
      <c r="D568" s="154"/>
      <c r="E568" s="156"/>
      <c r="F568" s="156"/>
      <c r="G568" s="436"/>
      <c r="H568" s="442" t="str">
        <f>OBRA!AD569</f>
        <v>-</v>
      </c>
      <c r="I568" s="438"/>
      <c r="J568" s="444" t="str">
        <f>OBRA!AE569</f>
        <v>-</v>
      </c>
      <c r="K568" s="439"/>
      <c r="L568" s="442" t="str">
        <f>OBRA!AF569</f>
        <v>-</v>
      </c>
      <c r="M568" s="440"/>
      <c r="N568" s="442" t="str">
        <f>OBRA!AG569</f>
        <v>-</v>
      </c>
      <c r="O568" s="152"/>
      <c r="P568" s="152"/>
      <c r="Q568" s="441"/>
      <c r="R568" s="445" t="str">
        <f>OBRA!AH569</f>
        <v>-</v>
      </c>
      <c r="S568" s="349"/>
      <c r="T568" s="446" t="str">
        <f>OBRA!U569</f>
        <v>TERRACERÍAS Y PAVIMENTOS DE LA RIBERA, S.A. DE C.V.</v>
      </c>
      <c r="U568" s="447" t="str">
        <f>OBRA!V569</f>
        <v xml:space="preserve">ING. ENRIQUE ENRÍQUEZ VÁZQUEZ </v>
      </c>
      <c r="V568" s="1281"/>
      <c r="W568" s="20" t="str">
        <f>OBRA!L569</f>
        <v>GMJ 005C- OP/2021</v>
      </c>
      <c r="X568" s="13"/>
      <c r="Y568" s="13"/>
      <c r="Z568" s="448" t="str">
        <f>OBRA!K569</f>
        <v>CUENTA CORRIENTE</v>
      </c>
      <c r="AA568" s="13"/>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428">
        <f>OBRA!S569</f>
        <v>44275</v>
      </c>
      <c r="AH568" s="54"/>
      <c r="AI568" s="231"/>
      <c r="AJ568" s="267"/>
      <c r="AK568" s="267"/>
      <c r="AL568" s="432"/>
      <c r="AM568" s="573" t="str">
        <f>GRAL!B571</f>
        <v>2018-2021</v>
      </c>
      <c r="AN568" s="448"/>
      <c r="AO568" s="13"/>
    </row>
    <row r="569" spans="1:41" ht="30" hidden="1" customHeight="1">
      <c r="A569" s="166">
        <f>OBRA!I570</f>
        <v>2021</v>
      </c>
      <c r="B569" s="2036"/>
      <c r="C569" s="433"/>
      <c r="D569" s="154"/>
      <c r="E569" s="156"/>
      <c r="F569" s="156"/>
      <c r="G569" s="436"/>
      <c r="H569" s="442" t="str">
        <f>OBRA!AD570</f>
        <v>-</v>
      </c>
      <c r="I569" s="438"/>
      <c r="J569" s="444" t="str">
        <f>OBRA!AE570</f>
        <v>-</v>
      </c>
      <c r="K569" s="439"/>
      <c r="L569" s="442" t="str">
        <f>OBRA!AF570</f>
        <v>-</v>
      </c>
      <c r="M569" s="440"/>
      <c r="N569" s="442" t="str">
        <f>OBRA!AG570</f>
        <v>-</v>
      </c>
      <c r="O569" s="152"/>
      <c r="P569" s="152"/>
      <c r="Q569" s="441"/>
      <c r="R569" s="445" t="str">
        <f>OBRA!AH570</f>
        <v>-</v>
      </c>
      <c r="S569" s="349"/>
      <c r="T569" s="446" t="str">
        <f>OBRA!U570</f>
        <v xml:space="preserve">SERVICIOS Y CONSTRUCCIONES NATENIO, S.A. DE C.V. </v>
      </c>
      <c r="U569" s="447" t="str">
        <f>OBRA!V570</f>
        <v>ING. VICTOR MANUEL PACHECO AZCONA</v>
      </c>
      <c r="V569" s="1281"/>
      <c r="W569" s="20" t="str">
        <f>OBRA!L570</f>
        <v>GMJ 006C- OP/2021</v>
      </c>
      <c r="X569" s="13"/>
      <c r="Y569" s="13"/>
      <c r="Z569" s="448" t="str">
        <f>OBRA!K570</f>
        <v>RAMO 33</v>
      </c>
      <c r="AA569" s="13"/>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428">
        <f>OBRA!S570</f>
        <v>44256</v>
      </c>
      <c r="AH569" s="54"/>
      <c r="AI569" s="231"/>
      <c r="AJ569" s="267"/>
      <c r="AK569" s="267"/>
      <c r="AL569" s="432"/>
      <c r="AM569" s="573" t="str">
        <f>GRAL!B572</f>
        <v>2018-2021</v>
      </c>
      <c r="AN569" s="448"/>
      <c r="AO569" s="13"/>
    </row>
    <row r="570" spans="1:41" ht="30" hidden="1" customHeight="1">
      <c r="A570" s="166">
        <f>OBRA!I571</f>
        <v>2021</v>
      </c>
      <c r="B570" s="2036"/>
      <c r="C570" s="433"/>
      <c r="D570" s="154"/>
      <c r="E570" s="156"/>
      <c r="F570" s="156"/>
      <c r="G570" s="436"/>
      <c r="H570" s="442" t="str">
        <f>OBRA!AD571</f>
        <v>-</v>
      </c>
      <c r="I570" s="438"/>
      <c r="J570" s="444" t="str">
        <f>OBRA!AE571</f>
        <v>-</v>
      </c>
      <c r="K570" s="439"/>
      <c r="L570" s="442" t="str">
        <f>OBRA!AF571</f>
        <v>-</v>
      </c>
      <c r="M570" s="440"/>
      <c r="N570" s="442" t="str">
        <f>OBRA!AG571</f>
        <v>-</v>
      </c>
      <c r="O570" s="152"/>
      <c r="P570" s="152"/>
      <c r="Q570" s="441"/>
      <c r="R570" s="445" t="str">
        <f>OBRA!AH571</f>
        <v>-</v>
      </c>
      <c r="S570" s="349"/>
      <c r="T570" s="446" t="str">
        <f>OBRA!U571</f>
        <v xml:space="preserve">SERVICIOS Y CONSTRUCCIONES NATENIO, S.A. DE C.V. </v>
      </c>
      <c r="U570" s="447" t="str">
        <f>OBRA!V571</f>
        <v>ING. VICTOR MANUEL PACHECO AZCONA</v>
      </c>
      <c r="V570" s="1281"/>
      <c r="W570" s="20" t="str">
        <f>OBRA!L571</f>
        <v>GMJ 007C- OP/2021</v>
      </c>
      <c r="X570" s="13"/>
      <c r="Y570" s="13"/>
      <c r="Z570" s="448" t="str">
        <f>OBRA!K571</f>
        <v>CUENTA CORRIENTE</v>
      </c>
      <c r="AA570" s="13"/>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428">
        <f>OBRA!S571</f>
        <v>44275</v>
      </c>
      <c r="AH570" s="54"/>
      <c r="AI570" s="231"/>
      <c r="AJ570" s="267"/>
      <c r="AK570" s="267"/>
      <c r="AL570" s="432"/>
      <c r="AM570" s="573" t="str">
        <f>GRAL!B573</f>
        <v>2018-2021</v>
      </c>
      <c r="AN570" s="448"/>
      <c r="AO570" s="13"/>
    </row>
    <row r="571" spans="1:41" ht="30" hidden="1" customHeight="1">
      <c r="A571" s="166">
        <f>OBRA!I572</f>
        <v>2021</v>
      </c>
      <c r="B571" s="2036"/>
      <c r="C571" s="433"/>
      <c r="D571" s="154"/>
      <c r="E571" s="156"/>
      <c r="F571" s="156"/>
      <c r="G571" s="436"/>
      <c r="H571" s="442" t="str">
        <f>OBRA!AD572</f>
        <v>-</v>
      </c>
      <c r="I571" s="438"/>
      <c r="J571" s="444" t="str">
        <f>OBRA!AE572</f>
        <v>-</v>
      </c>
      <c r="K571" s="439"/>
      <c r="L571" s="442" t="str">
        <f>OBRA!AF572</f>
        <v>-</v>
      </c>
      <c r="M571" s="440"/>
      <c r="N571" s="442" t="str">
        <f>OBRA!AG572</f>
        <v>-</v>
      </c>
      <c r="O571" s="152"/>
      <c r="P571" s="152"/>
      <c r="Q571" s="441"/>
      <c r="R571" s="445" t="str">
        <f>OBRA!AH572</f>
        <v>-</v>
      </c>
      <c r="S571" s="349"/>
      <c r="T571" s="446" t="str">
        <f>OBRA!U572</f>
        <v xml:space="preserve">DESARROLLO DAP S.A. DE C.V. </v>
      </c>
      <c r="U571" s="447" t="str">
        <f>OBRA!V572</f>
        <v>ING. VICTOR MANUEL PACHECO AZCONA</v>
      </c>
      <c r="V571" s="1281"/>
      <c r="W571" s="20" t="str">
        <f>OBRA!L572</f>
        <v>GMJ 008C- OP/2021</v>
      </c>
      <c r="X571" s="13"/>
      <c r="Y571" s="13"/>
      <c r="Z571" s="448" t="str">
        <f>OBRA!K572</f>
        <v>RAMO 33</v>
      </c>
      <c r="AA571" s="13"/>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428">
        <f>OBRA!S572</f>
        <v>44270</v>
      </c>
      <c r="AH571" s="54"/>
      <c r="AI571" s="231"/>
      <c r="AJ571" s="267"/>
      <c r="AK571" s="267"/>
      <c r="AL571" s="432"/>
      <c r="AM571" s="573" t="str">
        <f>GRAL!B574</f>
        <v>2018-2021</v>
      </c>
      <c r="AN571" s="448"/>
      <c r="AO571" s="13"/>
    </row>
    <row r="572" spans="1:41" ht="216.75" hidden="1" thickTop="1">
      <c r="A572" s="166">
        <f>OBRA!I573</f>
        <v>2021</v>
      </c>
      <c r="B572" s="2038" t="str">
        <f t="shared" ref="B572:B574" si="1">W572</f>
        <v>GMJ 009C- OP/2021</v>
      </c>
      <c r="C572" s="1497" t="s">
        <v>4505</v>
      </c>
      <c r="D572" s="1927" t="s">
        <v>5992</v>
      </c>
      <c r="E572" s="1586" t="s">
        <v>3855</v>
      </c>
      <c r="F572" s="1585" t="s">
        <v>3853</v>
      </c>
      <c r="G572" s="552" t="s">
        <v>4505</v>
      </c>
      <c r="H572" s="1923">
        <f>OBRA!AD573</f>
        <v>44198</v>
      </c>
      <c r="I572" s="552" t="s">
        <v>4505</v>
      </c>
      <c r="J572" s="192">
        <f>OBRA!AE573</f>
        <v>44200</v>
      </c>
      <c r="K572" s="580" t="s">
        <v>4505</v>
      </c>
      <c r="L572" s="192">
        <f>OBRA!AF573</f>
        <v>44200</v>
      </c>
      <c r="M572" s="580" t="s">
        <v>4505</v>
      </c>
      <c r="N572" s="192">
        <f>OBRA!AG573</f>
        <v>44203</v>
      </c>
      <c r="O572" s="1902" t="s">
        <v>4644</v>
      </c>
      <c r="P572" s="604">
        <v>0.5</v>
      </c>
      <c r="Q572" s="580" t="s">
        <v>4505</v>
      </c>
      <c r="R572" s="782">
        <f>OBRA!AH573</f>
        <v>44203</v>
      </c>
      <c r="S572" s="1579" t="s">
        <v>4506</v>
      </c>
      <c r="T572" s="446" t="str">
        <f>OBRA!U573</f>
        <v xml:space="preserve">DESARROLLO DAP S.A. DE C.V. </v>
      </c>
      <c r="U572" s="718" t="str">
        <f>OBRA!V573</f>
        <v>ING. VICTOR MANUEL PACHECO AZCONA</v>
      </c>
      <c r="V572" s="1729"/>
      <c r="W572" s="35" t="str">
        <f>OBRA!L573</f>
        <v>GMJ 009C- OP/2021</v>
      </c>
      <c r="X572" s="1567" t="s">
        <v>3842</v>
      </c>
      <c r="Y572" s="451" t="str">
        <f>GRAL!X575</f>
        <v>6151-2-11-050-307 / 6121-2-11-050-308</v>
      </c>
      <c r="Z572" s="449" t="str">
        <f>OBRA!K573</f>
        <v>CUENTA CORRIENTE</v>
      </c>
      <c r="AA572" s="13"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600">
        <f>OBRA!S573</f>
        <v>44270</v>
      </c>
      <c r="AH572" s="58" t="s">
        <v>3859</v>
      </c>
      <c r="AI572" s="231" t="s">
        <v>2344</v>
      </c>
      <c r="AJ572" s="71" t="s">
        <v>1431</v>
      </c>
      <c r="AK572" s="580" t="s">
        <v>4505</v>
      </c>
      <c r="AL572" s="580" t="s">
        <v>4505</v>
      </c>
      <c r="AM572" s="1455" t="str">
        <f>GRAL!B575</f>
        <v>2018-2021</v>
      </c>
      <c r="AN572" s="448" t="s">
        <v>551</v>
      </c>
      <c r="AO572" s="13"/>
    </row>
    <row r="573" spans="1:41" ht="213.75" hidden="1" customHeight="1">
      <c r="A573" s="166">
        <f>OBRA!I574</f>
        <v>2021</v>
      </c>
      <c r="B573" s="2038" t="str">
        <f t="shared" si="1"/>
        <v>FOCOCI-OP-CSS-010/2021</v>
      </c>
      <c r="C573" s="1497" t="s">
        <v>3886</v>
      </c>
      <c r="D573" s="1927" t="s">
        <v>5992</v>
      </c>
      <c r="E573" s="1586" t="s">
        <v>3855</v>
      </c>
      <c r="F573" s="1585" t="s">
        <v>3853</v>
      </c>
      <c r="G573" s="603" t="s">
        <v>3886</v>
      </c>
      <c r="H573" s="1923">
        <f>OBRA!AD574</f>
        <v>44225</v>
      </c>
      <c r="I573" s="1581"/>
      <c r="J573" s="1576" t="str">
        <f>OBRA!AE574</f>
        <v>FALTA</v>
      </c>
      <c r="K573" s="603" t="s">
        <v>3886</v>
      </c>
      <c r="L573" s="1923">
        <f>OBRA!AF574</f>
        <v>44229</v>
      </c>
      <c r="M573" s="603" t="s">
        <v>3886</v>
      </c>
      <c r="N573" s="1923">
        <f>OBRA!AG574</f>
        <v>44235</v>
      </c>
      <c r="O573" s="1902" t="s">
        <v>4644</v>
      </c>
      <c r="P573" s="604">
        <v>0.45833333333333331</v>
      </c>
      <c r="Q573" s="603" t="s">
        <v>3886</v>
      </c>
      <c r="R573" s="1924">
        <f>OBRA!AH574</f>
        <v>44237</v>
      </c>
      <c r="S573" s="349" t="s">
        <v>5995</v>
      </c>
      <c r="T573" s="446" t="str">
        <f>OBRA!U574</f>
        <v>ALSERCON SA DE CV</v>
      </c>
      <c r="U573" s="718" t="str">
        <f>OBRA!V574</f>
        <v>ARQ. JAIME CONDE GOMEZ</v>
      </c>
      <c r="V573" s="1729"/>
      <c r="W573" s="35" t="str">
        <f>OBRA!L574</f>
        <v>FOCOCI-OP-CSS-010/2021</v>
      </c>
      <c r="X573" s="1567" t="s">
        <v>3842</v>
      </c>
      <c r="Y573" s="633" t="str">
        <f>GRAL!X576</f>
        <v>6151-2-26.3-050-311</v>
      </c>
      <c r="Z573" s="448" t="str">
        <f>OBRA!K574</f>
        <v>FOCOCI</v>
      </c>
      <c r="AA573" s="13"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600">
        <f>OBRA!S574</f>
        <v>44331</v>
      </c>
      <c r="AH573" s="1602" t="s">
        <v>3860</v>
      </c>
      <c r="AI573" s="231" t="s">
        <v>2344</v>
      </c>
      <c r="AJ573" s="545" t="s">
        <v>3886</v>
      </c>
      <c r="AK573" s="545" t="s">
        <v>3886</v>
      </c>
      <c r="AL573" s="806" t="s">
        <v>3886</v>
      </c>
      <c r="AM573" s="1455" t="str">
        <f>GRAL!B576</f>
        <v>2018-2021</v>
      </c>
      <c r="AN573" s="448"/>
      <c r="AO573" s="13"/>
    </row>
    <row r="574" spans="1:41" ht="216.75" hidden="1" thickTop="1">
      <c r="A574" s="166">
        <f>OBRA!I575</f>
        <v>2021</v>
      </c>
      <c r="B574" s="2038" t="str">
        <f t="shared" si="1"/>
        <v>FOCOCI-OP-CSS-011/2021</v>
      </c>
      <c r="C574" s="1497" t="s">
        <v>4509</v>
      </c>
      <c r="D574" s="1927" t="s">
        <v>5992</v>
      </c>
      <c r="E574" s="1586" t="s">
        <v>3855</v>
      </c>
      <c r="F574" s="1585" t="s">
        <v>3853</v>
      </c>
      <c r="G574" s="553" t="s">
        <v>4509</v>
      </c>
      <c r="H574" s="1923">
        <f>OBRA!AD575</f>
        <v>44225</v>
      </c>
      <c r="I574" s="580" t="s">
        <v>4509</v>
      </c>
      <c r="J574" s="782">
        <f>OBRA!AE575</f>
        <v>44229</v>
      </c>
      <c r="K574" s="580" t="s">
        <v>4509</v>
      </c>
      <c r="L574" s="1923">
        <f>OBRA!AF575</f>
        <v>44229</v>
      </c>
      <c r="M574" s="1582"/>
      <c r="N574" s="1577" t="str">
        <f>OBRA!AG575</f>
        <v>FALTA</v>
      </c>
      <c r="O574" s="1395"/>
      <c r="P574" s="1395"/>
      <c r="Q574" s="580" t="s">
        <v>4509</v>
      </c>
      <c r="R574" s="1924">
        <f>OBRA!AH575</f>
        <v>44235</v>
      </c>
      <c r="S574" s="349" t="s">
        <v>5996</v>
      </c>
      <c r="T574" s="652" t="str">
        <f>OBRA!U575</f>
        <v>COREGO CONSTRUCCIONES, S.A. DE C.V.</v>
      </c>
      <c r="U574" s="718" t="str">
        <f>OBRA!V575</f>
        <v xml:space="preserve">ING. ENRIQUE ENRÍQUEZ VÁZQUEZ </v>
      </c>
      <c r="V574" s="1729"/>
      <c r="W574" s="35" t="str">
        <f>OBRA!L575</f>
        <v>FOCOCI-OP-CSS-011/2021</v>
      </c>
      <c r="X574" s="1567" t="s">
        <v>3672</v>
      </c>
      <c r="Y574" s="451" t="str">
        <f>GRAL!X577</f>
        <v>6231-2-11-050-309</v>
      </c>
      <c r="Z574" s="448" t="str">
        <f>OBRA!K575</f>
        <v>FOCOCI</v>
      </c>
      <c r="AA574" s="13" t="s">
        <v>2473</v>
      </c>
      <c r="AB574" s="2" t="str">
        <f>OBRA!M575</f>
        <v>CONCURSO SIMPLIFICADO SUMARIO</v>
      </c>
      <c r="AC574" s="328" t="str">
        <f>OBRA!N575</f>
        <v>"REHABILITACIÓN DE INGRESO A ZAPOTITÁN DE HIDALGO DE LA CARRETERA FEDERAL AL PUENTE EN EL MUNICIPIO DE JOCOTEPEC, JALISCO".</v>
      </c>
      <c r="AD574" s="85">
        <f>OBRA!P575</f>
        <v>3973863.2</v>
      </c>
      <c r="AE574" s="6">
        <f>OBRA!Q575</f>
        <v>44278</v>
      </c>
      <c r="AF574" s="5">
        <f>OBRA!R575</f>
        <v>44280</v>
      </c>
      <c r="AG574" s="1600">
        <f>OBRA!S575</f>
        <v>44347</v>
      </c>
      <c r="AH574" s="1602" t="s">
        <v>3860</v>
      </c>
      <c r="AI574" s="2079" t="s">
        <v>3849</v>
      </c>
      <c r="AJ574" s="545" t="s">
        <v>4509</v>
      </c>
      <c r="AK574" s="545" t="s">
        <v>4509</v>
      </c>
      <c r="AL574" s="806" t="s">
        <v>4509</v>
      </c>
      <c r="AM574" s="1455" t="str">
        <f>GRAL!B577</f>
        <v>2018-2021</v>
      </c>
      <c r="AN574" s="448"/>
      <c r="AO574" s="13"/>
    </row>
    <row r="575" spans="1:41" ht="30" hidden="1" customHeight="1">
      <c r="A575" s="166">
        <f>OBRA!I576</f>
        <v>2021</v>
      </c>
      <c r="B575" s="2036"/>
      <c r="C575" s="433"/>
      <c r="D575" s="154"/>
      <c r="E575" s="156"/>
      <c r="F575" s="156"/>
      <c r="G575" s="436"/>
      <c r="H575" s="442" t="str">
        <f>OBRA!AD576</f>
        <v>-</v>
      </c>
      <c r="I575" s="438"/>
      <c r="J575" s="444" t="str">
        <f>OBRA!AE576</f>
        <v>-</v>
      </c>
      <c r="K575" s="439"/>
      <c r="L575" s="442" t="str">
        <f>OBRA!AF576</f>
        <v>-</v>
      </c>
      <c r="M575" s="440"/>
      <c r="N575" s="442" t="str">
        <f>OBRA!AG576</f>
        <v>-</v>
      </c>
      <c r="O575" s="152"/>
      <c r="P575" s="152"/>
      <c r="Q575" s="441"/>
      <c r="R575" s="445" t="str">
        <f>OBRA!AH576</f>
        <v>-</v>
      </c>
      <c r="S575" s="349"/>
      <c r="T575" s="446" t="str">
        <f>OBRA!U576</f>
        <v>JESSICA MONSERRAT RIVERA TORRES</v>
      </c>
      <c r="U575" s="447">
        <f>OBRA!V576</f>
        <v>0</v>
      </c>
      <c r="V575" s="1281"/>
      <c r="W575" s="20" t="str">
        <f>OBRA!L576</f>
        <v>GMJ 012C- OP/2021</v>
      </c>
      <c r="X575" s="13"/>
      <c r="Y575" s="13"/>
      <c r="Z575" s="448" t="str">
        <f>OBRA!K576</f>
        <v>CUENTA CORRIENTE</v>
      </c>
      <c r="AA575" s="13"/>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428">
        <f>OBRA!S576</f>
        <v>44255</v>
      </c>
      <c r="AH575" s="54"/>
      <c r="AI575" s="231"/>
      <c r="AJ575" s="267"/>
      <c r="AK575" s="267"/>
      <c r="AL575" s="432"/>
      <c r="AM575" s="573" t="str">
        <f>GRAL!B578</f>
        <v>2018-2021</v>
      </c>
      <c r="AN575" s="448"/>
      <c r="AO575" s="13"/>
    </row>
    <row r="576" spans="1:41" ht="30" hidden="1" customHeight="1">
      <c r="A576" s="166">
        <f>OBRA!I577</f>
        <v>2021</v>
      </c>
      <c r="B576" s="2036"/>
      <c r="C576" s="433"/>
      <c r="D576" s="154"/>
      <c r="E576" s="156"/>
      <c r="F576" s="156"/>
      <c r="G576" s="436"/>
      <c r="H576" s="442" t="str">
        <f>OBRA!AD577</f>
        <v>-</v>
      </c>
      <c r="I576" s="438"/>
      <c r="J576" s="444" t="str">
        <f>OBRA!AE577</f>
        <v>-</v>
      </c>
      <c r="K576" s="439"/>
      <c r="L576" s="442" t="str">
        <f>OBRA!AF577</f>
        <v>-</v>
      </c>
      <c r="M576" s="440"/>
      <c r="N576" s="442" t="str">
        <f>OBRA!AG577</f>
        <v>-</v>
      </c>
      <c r="O576" s="152"/>
      <c r="P576" s="152"/>
      <c r="Q576" s="441"/>
      <c r="R576" s="445" t="str">
        <f>OBRA!AH577</f>
        <v>-</v>
      </c>
      <c r="S576" s="349"/>
      <c r="T576" s="446" t="str">
        <f>OBRA!U577</f>
        <v xml:space="preserve">INFRAESTRUCTURA Y EDIFICACIONES OROZCO S.A. DE C.V. </v>
      </c>
      <c r="U576" s="447" t="str">
        <f>OBRA!V577</f>
        <v xml:space="preserve">ING. ENRIQUE ENRÍQUEZ VÁZQUEZ </v>
      </c>
      <c r="V576" s="1281"/>
      <c r="W576" s="20" t="str">
        <f>OBRA!L577</f>
        <v>GMJ 013C- OP/2021</v>
      </c>
      <c r="X576" s="13"/>
      <c r="Y576" s="13"/>
      <c r="Z576" s="448" t="str">
        <f>OBRA!K577</f>
        <v>CUENTA CORRIENTE</v>
      </c>
      <c r="AA576" s="13"/>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428">
        <f>OBRA!S577</f>
        <v>44332</v>
      </c>
      <c r="AH576" s="54"/>
      <c r="AI576" s="231"/>
      <c r="AJ576" s="267"/>
      <c r="AK576" s="267"/>
      <c r="AL576" s="432"/>
      <c r="AM576" s="573" t="str">
        <f>GRAL!B579</f>
        <v>2018-2021</v>
      </c>
      <c r="AN576" s="448"/>
      <c r="AO576" s="13"/>
    </row>
    <row r="577" spans="1:41" ht="30" hidden="1" customHeight="1">
      <c r="A577" s="166">
        <f>OBRA!I578</f>
        <v>2021</v>
      </c>
      <c r="B577" s="2036"/>
      <c r="C577" s="433"/>
      <c r="D577" s="154"/>
      <c r="E577" s="156"/>
      <c r="F577" s="156"/>
      <c r="G577" s="436"/>
      <c r="H577" s="442" t="str">
        <f>OBRA!AD578</f>
        <v>-</v>
      </c>
      <c r="I577" s="438"/>
      <c r="J577" s="444" t="str">
        <f>OBRA!AE578</f>
        <v>-</v>
      </c>
      <c r="K577" s="439"/>
      <c r="L577" s="442" t="str">
        <f>OBRA!AF578</f>
        <v>-</v>
      </c>
      <c r="M577" s="440"/>
      <c r="N577" s="442" t="str">
        <f>OBRA!AG578</f>
        <v>-</v>
      </c>
      <c r="O577" s="152"/>
      <c r="P577" s="152"/>
      <c r="Q577" s="441"/>
      <c r="R577" s="445" t="str">
        <f>OBRA!AH578</f>
        <v>-</v>
      </c>
      <c r="S577" s="349"/>
      <c r="T577" s="446" t="str">
        <f>OBRA!U578</f>
        <v>SUPERVISIÓN PROYECTOS Y LABORATORIO PARA LA CONSTRUCCIÓN, S.A. DE C.V.</v>
      </c>
      <c r="U577" s="447" t="str">
        <f>OBRA!V578</f>
        <v xml:space="preserve">ING. ENRIQUE ENRÍQUEZ VÁZQUEZ </v>
      </c>
      <c r="V577" s="1281"/>
      <c r="W577" s="20" t="str">
        <f>OBRA!L578</f>
        <v>GMJ 014C- OP/2021</v>
      </c>
      <c r="X577" s="13"/>
      <c r="Y577" s="13"/>
      <c r="Z577" s="448" t="str">
        <f>OBRA!K578</f>
        <v>CUENTA CORRIENTE</v>
      </c>
      <c r="AA577" s="13"/>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428">
        <f>OBRA!S578</f>
        <v>44332</v>
      </c>
      <c r="AH577" s="54"/>
      <c r="AI577" s="231"/>
      <c r="AJ577" s="267"/>
      <c r="AK577" s="267"/>
      <c r="AL577" s="432"/>
      <c r="AM577" s="573" t="str">
        <f>GRAL!B580</f>
        <v>2018-2021</v>
      </c>
      <c r="AN577" s="448"/>
      <c r="AO577" s="13"/>
    </row>
    <row r="578" spans="1:41" ht="30" hidden="1" customHeight="1">
      <c r="A578" s="166">
        <f>OBRA!I579</f>
        <v>2021</v>
      </c>
      <c r="B578" s="2036"/>
      <c r="C578" s="433"/>
      <c r="D578" s="154"/>
      <c r="E578" s="156"/>
      <c r="F578" s="156"/>
      <c r="G578" s="436"/>
      <c r="H578" s="442" t="str">
        <f>OBRA!AD579</f>
        <v>-</v>
      </c>
      <c r="I578" s="438"/>
      <c r="J578" s="444" t="str">
        <f>OBRA!AE579</f>
        <v>-</v>
      </c>
      <c r="K578" s="439"/>
      <c r="L578" s="442" t="str">
        <f>OBRA!AF579</f>
        <v>-</v>
      </c>
      <c r="M578" s="440"/>
      <c r="N578" s="442" t="str">
        <f>OBRA!AG579</f>
        <v>-</v>
      </c>
      <c r="O578" s="152"/>
      <c r="P578" s="152"/>
      <c r="Q578" s="441"/>
      <c r="R578" s="445" t="str">
        <f>OBRA!AH579</f>
        <v>-</v>
      </c>
      <c r="S578" s="349"/>
      <c r="T578" s="446" t="str">
        <f>OBRA!U579</f>
        <v>MARCO ANTONIO PAREDES RODRÍGUEZ</v>
      </c>
      <c r="U578" s="447" t="str">
        <f>OBRA!V579</f>
        <v>ING. LUIS RIGOBERTO OLMEDO NAVARRO</v>
      </c>
      <c r="V578" s="1281"/>
      <c r="W578" s="20" t="str">
        <f>OBRA!L579</f>
        <v>GMJ 015C- OP/2021</v>
      </c>
      <c r="X578" s="13"/>
      <c r="Y578" s="13"/>
      <c r="Z578" s="448" t="str">
        <f>OBRA!K579</f>
        <v>CUENTA CORRIENTE</v>
      </c>
      <c r="AA578" s="13"/>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428">
        <f>OBRA!S579</f>
        <v>44424</v>
      </c>
      <c r="AH578" s="54"/>
      <c r="AI578" s="231"/>
      <c r="AJ578" s="267"/>
      <c r="AK578" s="267"/>
      <c r="AL578" s="432"/>
      <c r="AM578" s="573" t="str">
        <f>GRAL!B581</f>
        <v>2018-2021</v>
      </c>
      <c r="AN578" s="448"/>
      <c r="AO578" s="13"/>
    </row>
    <row r="579" spans="1:41" ht="30" hidden="1" customHeight="1">
      <c r="A579" s="166">
        <f>OBRA!I580</f>
        <v>2021</v>
      </c>
      <c r="B579" s="2036"/>
      <c r="C579" s="433"/>
      <c r="D579" s="154"/>
      <c r="E579" s="156"/>
      <c r="F579" s="156"/>
      <c r="G579" s="436"/>
      <c r="H579" s="442" t="str">
        <f>OBRA!AD580</f>
        <v>-</v>
      </c>
      <c r="I579" s="438"/>
      <c r="J579" s="444" t="str">
        <f>OBRA!AE580</f>
        <v>-</v>
      </c>
      <c r="K579" s="439"/>
      <c r="L579" s="442" t="str">
        <f>OBRA!AF580</f>
        <v>-</v>
      </c>
      <c r="M579" s="440"/>
      <c r="N579" s="442" t="str">
        <f>OBRA!AG580</f>
        <v>-</v>
      </c>
      <c r="O579" s="152"/>
      <c r="P579" s="152"/>
      <c r="Q579" s="441"/>
      <c r="R579" s="445" t="str">
        <f>OBRA!AH580</f>
        <v>-</v>
      </c>
      <c r="S579" s="349"/>
      <c r="T579" s="446" t="str">
        <f>OBRA!U580</f>
        <v>CONVADI, S.A. DE C.V.</v>
      </c>
      <c r="U579" s="447" t="str">
        <f>OBRA!V580</f>
        <v>ING. ALEJANDRO SIGALA MOLINA</v>
      </c>
      <c r="V579" s="1281"/>
      <c r="W579" s="20" t="str">
        <f>OBRA!L580</f>
        <v>GMJ 016C- OP/2021</v>
      </c>
      <c r="X579" s="13"/>
      <c r="Y579" s="13"/>
      <c r="Z579" s="448" t="str">
        <f>OBRA!K580</f>
        <v>CUENTA CORRIENTE</v>
      </c>
      <c r="AA579" s="13"/>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428">
        <f>OBRA!S580</f>
        <v>44347</v>
      </c>
      <c r="AH579" s="54"/>
      <c r="AI579" s="231"/>
      <c r="AJ579" s="267"/>
      <c r="AK579" s="267"/>
      <c r="AL579" s="432"/>
      <c r="AM579" s="573" t="str">
        <f>GRAL!B582</f>
        <v>2018-2021</v>
      </c>
      <c r="AN579" s="448"/>
      <c r="AO579" s="13"/>
    </row>
    <row r="580" spans="1:41" ht="30" hidden="1" customHeight="1">
      <c r="A580" s="166">
        <f>OBRA!I581</f>
        <v>2021</v>
      </c>
      <c r="B580" s="2036"/>
      <c r="C580" s="433"/>
      <c r="D580" s="154"/>
      <c r="E580" s="156"/>
      <c r="F580" s="156"/>
      <c r="G580" s="436"/>
      <c r="H580" s="442" t="str">
        <f>OBRA!AD581</f>
        <v>-</v>
      </c>
      <c r="I580" s="438"/>
      <c r="J580" s="444" t="str">
        <f>OBRA!AE581</f>
        <v>-</v>
      </c>
      <c r="K580" s="439"/>
      <c r="L580" s="442" t="str">
        <f>OBRA!AF581</f>
        <v>-</v>
      </c>
      <c r="M580" s="440"/>
      <c r="N580" s="442" t="str">
        <f>OBRA!AG581</f>
        <v>-</v>
      </c>
      <c r="O580" s="152"/>
      <c r="P580" s="152"/>
      <c r="Q580" s="441"/>
      <c r="R580" s="445" t="str">
        <f>OBRA!AH581</f>
        <v>-</v>
      </c>
      <c r="S580" s="349"/>
      <c r="T580" s="446" t="str">
        <f>OBRA!U581</f>
        <v>GRUPO ARANGE, S.A. DE C.V.</v>
      </c>
      <c r="U580" s="447" t="str">
        <f>OBRA!V581</f>
        <v>LIC. SALVADOR CONTRERAS OLGUÍN</v>
      </c>
      <c r="V580" s="1281"/>
      <c r="W580" s="20" t="str">
        <f>OBRA!L581</f>
        <v>GMJ 017C- OP/2021</v>
      </c>
      <c r="X580" s="13"/>
      <c r="Y580" s="13"/>
      <c r="Z580" s="448" t="str">
        <f>OBRA!K581</f>
        <v>CUENTA CORRIENTE</v>
      </c>
      <c r="AA580" s="13"/>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428">
        <f>OBRA!S581</f>
        <v>44463</v>
      </c>
      <c r="AH580" s="54"/>
      <c r="AI580" s="231"/>
      <c r="AJ580" s="267"/>
      <c r="AK580" s="267"/>
      <c r="AL580" s="432"/>
      <c r="AM580" s="573" t="str">
        <f>GRAL!B583</f>
        <v>2018-2021</v>
      </c>
      <c r="AN580" s="448"/>
      <c r="AO580" s="13"/>
    </row>
    <row r="581" spans="1:41" ht="30" hidden="1" customHeight="1">
      <c r="A581" s="166">
        <f>OBRA!I582</f>
        <v>2021</v>
      </c>
      <c r="B581" s="2036"/>
      <c r="C581" s="433"/>
      <c r="D581" s="154"/>
      <c r="E581" s="156"/>
      <c r="F581" s="156"/>
      <c r="G581" s="436"/>
      <c r="H581" s="442" t="str">
        <f>OBRA!AD582</f>
        <v>-</v>
      </c>
      <c r="I581" s="438"/>
      <c r="J581" s="444" t="str">
        <f>OBRA!AE582</f>
        <v>-</v>
      </c>
      <c r="K581" s="439"/>
      <c r="L581" s="442" t="str">
        <f>OBRA!AF582</f>
        <v>-</v>
      </c>
      <c r="M581" s="440"/>
      <c r="N581" s="442" t="str">
        <f>OBRA!AG582</f>
        <v>-</v>
      </c>
      <c r="O581" s="152"/>
      <c r="P581" s="152"/>
      <c r="Q581" s="441"/>
      <c r="R581" s="445" t="str">
        <f>OBRA!AH582</f>
        <v>-</v>
      </c>
      <c r="S581" s="349"/>
      <c r="T581" s="446" t="str">
        <f>OBRA!U582</f>
        <v xml:space="preserve">ING. SERGIO CABRERA </v>
      </c>
      <c r="U581" s="447" t="str">
        <f>OBRA!V582</f>
        <v>ING. J. GUADALUPE IBARRA RAMIREZ</v>
      </c>
      <c r="V581" s="1281"/>
      <c r="W581" s="20" t="str">
        <f>OBRA!L582</f>
        <v>GMJ 018C- OP/2021</v>
      </c>
      <c r="X581" s="13"/>
      <c r="Y581" s="13"/>
      <c r="Z581" s="448" t="str">
        <f>OBRA!K582</f>
        <v>CUENTA CORRIENTE</v>
      </c>
      <c r="AA581" s="13"/>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428">
        <f>OBRA!S582</f>
        <v>44499</v>
      </c>
      <c r="AH581" s="54"/>
      <c r="AI581" s="231"/>
      <c r="AJ581" s="267"/>
      <c r="AK581" s="267"/>
      <c r="AL581" s="432"/>
      <c r="AM581" s="573" t="str">
        <f>GRAL!B584</f>
        <v>2018-2021</v>
      </c>
      <c r="AN581" s="448"/>
      <c r="AO581" s="13"/>
    </row>
    <row r="582" spans="1:41" ht="60.75" hidden="1" thickTop="1">
      <c r="A582" s="166">
        <f>OBRA!I583</f>
        <v>2021</v>
      </c>
      <c r="B582" s="2036"/>
      <c r="C582" s="433"/>
      <c r="D582" s="154"/>
      <c r="E582" s="156"/>
      <c r="F582" s="156"/>
      <c r="G582" s="436"/>
      <c r="H582" s="442" t="str">
        <f>OBRA!AD583</f>
        <v>-</v>
      </c>
      <c r="I582" s="438"/>
      <c r="J582" s="444" t="str">
        <f>OBRA!AE583</f>
        <v>-</v>
      </c>
      <c r="K582" s="439"/>
      <c r="L582" s="442" t="str">
        <f>OBRA!AF583</f>
        <v>-</v>
      </c>
      <c r="M582" s="440"/>
      <c r="N582" s="442" t="str">
        <f>OBRA!AG583</f>
        <v>-</v>
      </c>
      <c r="O582" s="152"/>
      <c r="P582" s="152"/>
      <c r="Q582" s="441"/>
      <c r="R582" s="445" t="str">
        <f>OBRA!AH583</f>
        <v>-</v>
      </c>
      <c r="S582" s="349"/>
      <c r="T582" s="446" t="str">
        <f>OBRA!U583</f>
        <v>N/A</v>
      </c>
      <c r="U582" s="447" t="str">
        <f>OBRA!V583</f>
        <v>ARQ. JAIME CONDE GOMEZ</v>
      </c>
      <c r="V582" s="1281"/>
      <c r="W582" s="20" t="str">
        <f>OBRA!L583</f>
        <v>DOP/AD/001/2021</v>
      </c>
      <c r="X582" s="13"/>
      <c r="Y582" s="13"/>
      <c r="Z582" s="448" t="str">
        <f>OBRA!K583</f>
        <v xml:space="preserve">CULTURA CARDINAL </v>
      </c>
      <c r="AA582" s="13"/>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428">
        <f>OBRA!S583</f>
        <v>44561</v>
      </c>
      <c r="AH582" s="54"/>
      <c r="AI582" s="231"/>
      <c r="AJ582" s="267"/>
      <c r="AK582" s="267"/>
      <c r="AL582" s="432"/>
      <c r="AM582" s="573" t="str">
        <f>GRAL!B585</f>
        <v>2021-2024</v>
      </c>
      <c r="AN582" s="448"/>
      <c r="AO582" s="13"/>
    </row>
    <row r="583" spans="1:41" ht="75.75" hidden="1" thickTop="1">
      <c r="A583" s="166">
        <f>OBRA!I585</f>
        <v>2021</v>
      </c>
      <c r="B583" s="2036"/>
      <c r="C583" s="433"/>
      <c r="D583" s="154"/>
      <c r="E583" s="156"/>
      <c r="F583" s="156"/>
      <c r="G583" s="436"/>
      <c r="H583" s="442">
        <f>OBRA!AD585</f>
        <v>0</v>
      </c>
      <c r="I583" s="438"/>
      <c r="J583" s="444">
        <f>OBRA!AE585</f>
        <v>0</v>
      </c>
      <c r="K583" s="439"/>
      <c r="L583" s="442">
        <f>OBRA!AF585</f>
        <v>0</v>
      </c>
      <c r="M583" s="440"/>
      <c r="N583" s="442">
        <f>OBRA!AG585</f>
        <v>0</v>
      </c>
      <c r="O583" s="152"/>
      <c r="P583" s="152"/>
      <c r="Q583" s="441"/>
      <c r="R583" s="445">
        <f>OBRA!AH585</f>
        <v>0</v>
      </c>
      <c r="S583" s="349"/>
      <c r="T583" s="446" t="str">
        <f>OBRA!U585</f>
        <v>ECCOC DE GUADALAJARA, S.A. DE C.V.</v>
      </c>
      <c r="U583" s="447">
        <f>OBRA!V585</f>
        <v>0</v>
      </c>
      <c r="V583" s="1281"/>
      <c r="W583" s="20" t="str">
        <f>OBRA!L585</f>
        <v>C.P.S.P. D.O.P. 001/2021</v>
      </c>
      <c r="X583" s="13"/>
      <c r="Y583" s="13"/>
      <c r="Z583" s="448" t="str">
        <f>OBRA!K585</f>
        <v>CUENTA CORRIENTE</v>
      </c>
      <c r="AA583" s="13"/>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428" t="str">
        <f>OBRA!S585</f>
        <v>-</v>
      </c>
      <c r="AH583" s="54"/>
      <c r="AI583" s="231"/>
      <c r="AJ583" s="267"/>
      <c r="AK583" s="267"/>
      <c r="AL583" s="432"/>
      <c r="AM583" s="573" t="str">
        <f>GRAL!B587</f>
        <v>2021-2024</v>
      </c>
      <c r="AN583" s="448"/>
      <c r="AO583" s="13"/>
    </row>
    <row r="584" spans="1:41" ht="75.75" hidden="1" thickTop="1">
      <c r="A584" s="166">
        <f>OBRA!I586</f>
        <v>2021</v>
      </c>
      <c r="B584" s="2036"/>
      <c r="C584" s="433"/>
      <c r="D584" s="154"/>
      <c r="E584" s="156"/>
      <c r="F584" s="156"/>
      <c r="G584" s="436"/>
      <c r="H584" s="442">
        <f>OBRA!AD586</f>
        <v>0</v>
      </c>
      <c r="I584" s="438"/>
      <c r="J584" s="444">
        <f>OBRA!AE586</f>
        <v>0</v>
      </c>
      <c r="K584" s="439"/>
      <c r="L584" s="442">
        <f>OBRA!AF586</f>
        <v>0</v>
      </c>
      <c r="M584" s="440"/>
      <c r="N584" s="442">
        <f>OBRA!AG586</f>
        <v>0</v>
      </c>
      <c r="O584" s="152"/>
      <c r="P584" s="152"/>
      <c r="Q584" s="441"/>
      <c r="R584" s="445">
        <f>OBRA!AH586</f>
        <v>0</v>
      </c>
      <c r="S584" s="349"/>
      <c r="T584" s="446" t="str">
        <f>OBRA!U586</f>
        <v>CARLOS MANUEL PELAYO CERVERA</v>
      </c>
      <c r="U584" s="447">
        <f>OBRA!V586</f>
        <v>0</v>
      </c>
      <c r="V584" s="1281"/>
      <c r="W584" s="20" t="str">
        <f>OBRA!L586</f>
        <v>C.P.S.P. D.O.P. 002/2021</v>
      </c>
      <c r="X584" s="13"/>
      <c r="Y584" s="13"/>
      <c r="Z584" s="448" t="str">
        <f>OBRA!K586</f>
        <v>CUENTA CORRIENTE</v>
      </c>
      <c r="AA584" s="13"/>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428" t="str">
        <f>OBRA!S586</f>
        <v>-</v>
      </c>
      <c r="AH584" s="54"/>
      <c r="AI584" s="231"/>
      <c r="AJ584" s="267"/>
      <c r="AK584" s="267"/>
      <c r="AL584" s="432"/>
      <c r="AM584" s="573" t="str">
        <f>GRAL!B588</f>
        <v>2021-2024</v>
      </c>
      <c r="AN584" s="448"/>
      <c r="AO584" s="13"/>
    </row>
    <row r="585" spans="1:41" ht="210.75" hidden="1" thickTop="1">
      <c r="A585" s="166">
        <f>OBRA!I587</f>
        <v>2021</v>
      </c>
      <c r="B585" s="2036"/>
      <c r="C585" s="433"/>
      <c r="D585" s="154"/>
      <c r="E585" s="156"/>
      <c r="F585" s="156"/>
      <c r="G585" s="436"/>
      <c r="H585" s="442">
        <f>OBRA!AD587</f>
        <v>0</v>
      </c>
      <c r="I585" s="438"/>
      <c r="J585" s="444">
        <f>OBRA!AE587</f>
        <v>0</v>
      </c>
      <c r="K585" s="439"/>
      <c r="L585" s="442">
        <f>OBRA!AF587</f>
        <v>0</v>
      </c>
      <c r="M585" s="440"/>
      <c r="N585" s="442">
        <f>OBRA!AG587</f>
        <v>0</v>
      </c>
      <c r="O585" s="152"/>
      <c r="P585" s="152"/>
      <c r="Q585" s="441"/>
      <c r="R585" s="445">
        <f>OBRA!AH587</f>
        <v>0</v>
      </c>
      <c r="S585" s="349"/>
      <c r="T585" s="446" t="str">
        <f>OBRA!U587</f>
        <v>ING. SERGIO CABRERA</v>
      </c>
      <c r="U585" s="447">
        <f>OBRA!V587</f>
        <v>0</v>
      </c>
      <c r="V585" s="1281"/>
      <c r="W585" s="20" t="str">
        <f>OBRA!L587</f>
        <v>C.P.S.P. D.O.P. 003/2021</v>
      </c>
      <c r="X585" s="13"/>
      <c r="Y585" s="13"/>
      <c r="Z585" s="448" t="str">
        <f>OBRA!K587</f>
        <v>CUENTA CORRIENTE</v>
      </c>
      <c r="AA585" s="13"/>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428" t="str">
        <f>OBRA!S587</f>
        <v>-</v>
      </c>
      <c r="AH585" s="54"/>
      <c r="AI585" s="231"/>
      <c r="AJ585" s="267"/>
      <c r="AK585" s="267"/>
      <c r="AL585" s="432"/>
      <c r="AM585" s="573" t="str">
        <f>GRAL!B589</f>
        <v>2021-2024</v>
      </c>
      <c r="AN585" s="448"/>
      <c r="AO585" s="13"/>
    </row>
    <row r="586" spans="1:41" ht="90.75" hidden="1" thickTop="1">
      <c r="A586" s="166">
        <f>OBRA!I588</f>
        <v>2021</v>
      </c>
      <c r="B586" s="2036"/>
      <c r="C586" s="433"/>
      <c r="D586" s="154"/>
      <c r="E586" s="156"/>
      <c r="F586" s="156"/>
      <c r="G586" s="436"/>
      <c r="H586" s="442">
        <f>OBRA!AD588</f>
        <v>0</v>
      </c>
      <c r="I586" s="438"/>
      <c r="J586" s="444">
        <f>OBRA!AE588</f>
        <v>0</v>
      </c>
      <c r="K586" s="439"/>
      <c r="L586" s="442">
        <f>OBRA!AF588</f>
        <v>0</v>
      </c>
      <c r="M586" s="440"/>
      <c r="N586" s="442">
        <f>OBRA!AG588</f>
        <v>0</v>
      </c>
      <c r="O586" s="152"/>
      <c r="P586" s="152"/>
      <c r="Q586" s="441"/>
      <c r="R586" s="445">
        <f>OBRA!AH588</f>
        <v>0</v>
      </c>
      <c r="S586" s="349"/>
      <c r="T586" s="446" t="str">
        <f>OBRA!U588</f>
        <v xml:space="preserve">SERVICIOS Y CONSTRUCCIONES NATENIO, S.A. DE C.V. </v>
      </c>
      <c r="U586" s="447">
        <f>OBRA!V588</f>
        <v>0</v>
      </c>
      <c r="V586" s="1281"/>
      <c r="W586" s="20" t="str">
        <f>OBRA!L588</f>
        <v>C.P.S.P. D.O.P. 004/2021</v>
      </c>
      <c r="X586" s="13"/>
      <c r="Y586" s="13"/>
      <c r="Z586" s="448" t="str">
        <f>OBRA!K588</f>
        <v>CUENTA CORRIENTE</v>
      </c>
      <c r="AA586" s="13"/>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428">
        <f>OBRA!S588</f>
        <v>44546</v>
      </c>
      <c r="AH586" s="54"/>
      <c r="AI586" s="231"/>
      <c r="AJ586" s="267"/>
      <c r="AK586" s="267"/>
      <c r="AL586" s="432"/>
      <c r="AM586" s="573" t="str">
        <f>GRAL!B590</f>
        <v>2021-2024</v>
      </c>
      <c r="AN586" s="448"/>
      <c r="AO586" s="13"/>
    </row>
    <row r="587" spans="1:41" ht="45.75" hidden="1" thickTop="1">
      <c r="A587" s="166">
        <f>OBRA!I589</f>
        <v>2021</v>
      </c>
      <c r="B587" s="2036"/>
      <c r="C587" s="433"/>
      <c r="D587" s="154"/>
      <c r="E587" s="156"/>
      <c r="F587" s="156"/>
      <c r="G587" s="436"/>
      <c r="H587" s="442">
        <f>OBRA!AD589</f>
        <v>0</v>
      </c>
      <c r="I587" s="438"/>
      <c r="J587" s="444">
        <f>OBRA!AE589</f>
        <v>0</v>
      </c>
      <c r="K587" s="439"/>
      <c r="L587" s="442">
        <f>OBRA!AF589</f>
        <v>0</v>
      </c>
      <c r="M587" s="440"/>
      <c r="N587" s="442">
        <f>OBRA!AG589</f>
        <v>0</v>
      </c>
      <c r="O587" s="152"/>
      <c r="P587" s="152"/>
      <c r="Q587" s="441"/>
      <c r="R587" s="445">
        <f>OBRA!AH589</f>
        <v>0</v>
      </c>
      <c r="S587" s="349"/>
      <c r="T587" s="446" t="str">
        <f>OBRA!U589</f>
        <v xml:space="preserve">ING. SERGIO CABRERA </v>
      </c>
      <c r="U587" s="447" t="str">
        <f>OBRA!V589</f>
        <v>ING. J. GUADALUPE IBARRA RAMIREZ</v>
      </c>
      <c r="V587" s="1281"/>
      <c r="W587" s="20" t="str">
        <f>OBRA!L589</f>
        <v>GMJ 001C- OP/2021</v>
      </c>
      <c r="X587" s="13"/>
      <c r="Y587" s="13"/>
      <c r="Z587" s="448">
        <f>OBRA!K589</f>
        <v>0</v>
      </c>
      <c r="AA587" s="13"/>
      <c r="AB587" s="2" t="str">
        <f>OBRA!M589</f>
        <v>CANCELADA</v>
      </c>
      <c r="AC587" s="3">
        <f>OBRA!N589</f>
        <v>0</v>
      </c>
      <c r="AD587" s="4">
        <f>OBRA!P589</f>
        <v>0</v>
      </c>
      <c r="AE587" s="6">
        <f>OBRA!Q589</f>
        <v>0</v>
      </c>
      <c r="AF587" s="5">
        <f>OBRA!R589</f>
        <v>0</v>
      </c>
      <c r="AG587" s="428">
        <f>OBRA!S589</f>
        <v>0</v>
      </c>
      <c r="AH587" s="54"/>
      <c r="AI587" s="231"/>
      <c r="AJ587" s="267"/>
      <c r="AK587" s="267"/>
      <c r="AL587" s="432"/>
      <c r="AM587" s="573" t="str">
        <f>GRAL!B591</f>
        <v>2021-2024</v>
      </c>
      <c r="AN587" s="448"/>
      <c r="AO587" s="13"/>
    </row>
    <row r="588" spans="1:41" ht="75.75" hidden="1" thickTop="1">
      <c r="A588" s="166">
        <f>OBRA!I590</f>
        <v>2021</v>
      </c>
      <c r="B588" s="2036"/>
      <c r="C588" s="433"/>
      <c r="D588" s="154"/>
      <c r="E588" s="156"/>
      <c r="F588" s="156"/>
      <c r="G588" s="436"/>
      <c r="H588" s="442" t="str">
        <f>OBRA!AD590</f>
        <v>-</v>
      </c>
      <c r="I588" s="438"/>
      <c r="J588" s="444" t="str">
        <f>OBRA!AE590</f>
        <v>-</v>
      </c>
      <c r="K588" s="439"/>
      <c r="L588" s="442" t="str">
        <f>OBRA!AF590</f>
        <v>-</v>
      </c>
      <c r="M588" s="440"/>
      <c r="N588" s="442" t="str">
        <f>OBRA!AG590</f>
        <v>-</v>
      </c>
      <c r="O588" s="152"/>
      <c r="P588" s="152"/>
      <c r="Q588" s="441"/>
      <c r="R588" s="445" t="str">
        <f>OBRA!AH590</f>
        <v>-</v>
      </c>
      <c r="S588" s="349"/>
      <c r="T588" s="446" t="str">
        <f>OBRA!U590</f>
        <v>ING. SERGIO CABRERA</v>
      </c>
      <c r="U588" s="447" t="str">
        <f>OBRA!V590</f>
        <v>ING. J. GUADALUPE IBARRA RAMIREZ</v>
      </c>
      <c r="V588" s="1281"/>
      <c r="W588" s="20" t="str">
        <f>OBRA!L590</f>
        <v>GMJ 002C- OP/2021</v>
      </c>
      <c r="X588" s="13"/>
      <c r="Y588" s="13"/>
      <c r="Z588" s="448" t="str">
        <f>OBRA!K590</f>
        <v>CUENTA CORRIENTE</v>
      </c>
      <c r="AA588" s="13"/>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428">
        <f>OBRA!S590</f>
        <v>44548</v>
      </c>
      <c r="AH588" s="54"/>
      <c r="AI588" s="231"/>
      <c r="AJ588" s="267"/>
      <c r="AK588" s="267"/>
      <c r="AL588" s="432"/>
      <c r="AM588" s="573" t="str">
        <f>GRAL!B592</f>
        <v>2021-2024</v>
      </c>
      <c r="AN588" s="448"/>
      <c r="AO588" s="13"/>
    </row>
    <row r="589" spans="1:41" ht="105.75" hidden="1" thickTop="1">
      <c r="A589" s="166">
        <f>OBRA!I591</f>
        <v>2021</v>
      </c>
      <c r="B589" s="2036"/>
      <c r="C589" s="433"/>
      <c r="D589" s="154"/>
      <c r="E589" s="156"/>
      <c r="F589" s="156"/>
      <c r="G589" s="436"/>
      <c r="H589" s="442" t="str">
        <f>OBRA!AD591</f>
        <v>-</v>
      </c>
      <c r="I589" s="438"/>
      <c r="J589" s="444" t="str">
        <f>OBRA!AE591</f>
        <v>-</v>
      </c>
      <c r="K589" s="439"/>
      <c r="L589" s="442" t="str">
        <f>OBRA!AF591</f>
        <v>-</v>
      </c>
      <c r="M589" s="440"/>
      <c r="N589" s="442" t="str">
        <f>OBRA!AG591</f>
        <v>-</v>
      </c>
      <c r="O589" s="152"/>
      <c r="P589" s="152"/>
      <c r="Q589" s="441"/>
      <c r="R589" s="445" t="str">
        <f>OBRA!AH591</f>
        <v>-</v>
      </c>
      <c r="S589" s="349"/>
      <c r="T589" s="446" t="str">
        <f>OBRA!U591</f>
        <v>ING. SERGIO CABRERA</v>
      </c>
      <c r="U589" s="447" t="str">
        <f>OBRA!V591</f>
        <v>ING. J. GUADALUPE IBARRA RAMIREZ</v>
      </c>
      <c r="V589" s="1281"/>
      <c r="W589" s="20" t="str">
        <f>OBRA!L591</f>
        <v>GMJ 003C- OP/2021</v>
      </c>
      <c r="X589" s="13"/>
      <c r="Y589" s="13"/>
      <c r="Z589" s="448" t="str">
        <f>OBRA!K591</f>
        <v>RAMO 33</v>
      </c>
      <c r="AA589" s="13"/>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428">
        <f>OBRA!S591</f>
        <v>44560</v>
      </c>
      <c r="AH589" s="54"/>
      <c r="AI589" s="231"/>
      <c r="AJ589" s="267"/>
      <c r="AK589" s="267"/>
      <c r="AL589" s="432"/>
      <c r="AM589" s="573" t="str">
        <f>GRAL!B593</f>
        <v>2021-2024</v>
      </c>
      <c r="AN589" s="448"/>
      <c r="AO589" s="13"/>
    </row>
    <row r="590" spans="1:41" ht="120.75" hidden="1" thickTop="1">
      <c r="A590" s="166">
        <f>OBRA!I592</f>
        <v>2021</v>
      </c>
      <c r="B590" s="2036"/>
      <c r="C590" s="433"/>
      <c r="D590" s="154"/>
      <c r="E590" s="156"/>
      <c r="F590" s="156"/>
      <c r="G590" s="436"/>
      <c r="H590" s="442" t="str">
        <f>OBRA!AD592</f>
        <v>-</v>
      </c>
      <c r="I590" s="438"/>
      <c r="J590" s="444" t="str">
        <f>OBRA!AE592</f>
        <v>-</v>
      </c>
      <c r="K590" s="439"/>
      <c r="L590" s="442" t="str">
        <f>OBRA!AF592</f>
        <v>-</v>
      </c>
      <c r="M590" s="440"/>
      <c r="N590" s="442" t="str">
        <f>OBRA!AG592</f>
        <v>-</v>
      </c>
      <c r="O590" s="152"/>
      <c r="P590" s="152"/>
      <c r="Q590" s="441"/>
      <c r="R590" s="445" t="str">
        <f>OBRA!AH592</f>
        <v>-</v>
      </c>
      <c r="S590" s="349"/>
      <c r="T590" s="446" t="str">
        <f>OBRA!U592</f>
        <v>ING. SERGIO CABRERA</v>
      </c>
      <c r="U590" s="447" t="str">
        <f>OBRA!V592</f>
        <v>ING. J. GUADALUPE IBARRA RAMIREZ</v>
      </c>
      <c r="V590" s="1281"/>
      <c r="W590" s="20" t="str">
        <f>OBRA!L592</f>
        <v>GMJ 004C- OP/2021</v>
      </c>
      <c r="X590" s="13"/>
      <c r="Y590" s="13"/>
      <c r="Z590" s="448" t="str">
        <f>OBRA!K592</f>
        <v>RAMO 33</v>
      </c>
      <c r="AA590" s="13"/>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428">
        <f>OBRA!S592</f>
        <v>44530</v>
      </c>
      <c r="AH590" s="54"/>
      <c r="AI590" s="231"/>
      <c r="AJ590" s="267"/>
      <c r="AK590" s="267"/>
      <c r="AL590" s="432"/>
      <c r="AM590" s="573" t="str">
        <f>GRAL!B594</f>
        <v>2021-2024</v>
      </c>
      <c r="AN590" s="448"/>
      <c r="AO590" s="13"/>
    </row>
    <row r="591" spans="1:41" ht="60.75" hidden="1" thickTop="1">
      <c r="A591" s="166">
        <f>OBRA!I593</f>
        <v>2021</v>
      </c>
      <c r="B591" s="2036"/>
      <c r="C591" s="433"/>
      <c r="D591" s="154"/>
      <c r="E591" s="156"/>
      <c r="F591" s="156"/>
      <c r="G591" s="436"/>
      <c r="H591" s="442" t="str">
        <f>OBRA!AD593</f>
        <v>-</v>
      </c>
      <c r="I591" s="438"/>
      <c r="J591" s="444" t="str">
        <f>OBRA!AE593</f>
        <v>-</v>
      </c>
      <c r="K591" s="439"/>
      <c r="L591" s="442" t="str">
        <f>OBRA!AF593</f>
        <v>-</v>
      </c>
      <c r="M591" s="440"/>
      <c r="N591" s="442" t="str">
        <f>OBRA!AG593</f>
        <v>-</v>
      </c>
      <c r="O591" s="152"/>
      <c r="P591" s="152"/>
      <c r="Q591" s="441"/>
      <c r="R591" s="445" t="str">
        <f>OBRA!AH593</f>
        <v>-</v>
      </c>
      <c r="S591" s="349"/>
      <c r="T591" s="446" t="str">
        <f>OBRA!U593</f>
        <v>PLANOS Y OBRAS LODEIRO S.A. DE C.V.</v>
      </c>
      <c r="U591" s="447" t="str">
        <f>OBRA!V593</f>
        <v>ING. J. GUADALUPE IBARRA RAMIREZ</v>
      </c>
      <c r="V591" s="1281"/>
      <c r="W591" s="20" t="str">
        <f>OBRA!L593</f>
        <v>GMJ 005C- OP/2021</v>
      </c>
      <c r="X591" s="13"/>
      <c r="Y591" s="13"/>
      <c r="Z591" s="448" t="str">
        <f>OBRA!K593</f>
        <v>RAMO 33</v>
      </c>
      <c r="AA591" s="13"/>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428">
        <f>OBRA!S593</f>
        <v>44558</v>
      </c>
      <c r="AH591" s="54"/>
      <c r="AI591" s="231"/>
      <c r="AJ591" s="267"/>
      <c r="AK591" s="267"/>
      <c r="AL591" s="432"/>
      <c r="AM591" s="573" t="str">
        <f>GRAL!B595</f>
        <v>2021-2024</v>
      </c>
      <c r="AN591" s="448"/>
      <c r="AO591" s="13"/>
    </row>
    <row r="592" spans="1:41" ht="90.75" hidden="1" thickTop="1">
      <c r="A592" s="166">
        <f>OBRA!I594</f>
        <v>2021</v>
      </c>
      <c r="B592" s="2036"/>
      <c r="C592" s="433"/>
      <c r="D592" s="154"/>
      <c r="E592" s="156"/>
      <c r="F592" s="156"/>
      <c r="G592" s="436"/>
      <c r="H592" s="442" t="str">
        <f>OBRA!AD594</f>
        <v>-</v>
      </c>
      <c r="I592" s="438"/>
      <c r="J592" s="444" t="str">
        <f>OBRA!AE594</f>
        <v>-</v>
      </c>
      <c r="K592" s="439"/>
      <c r="L592" s="442" t="str">
        <f>OBRA!AF594</f>
        <v>-</v>
      </c>
      <c r="M592" s="440"/>
      <c r="N592" s="442" t="str">
        <f>OBRA!AG594</f>
        <v>-</v>
      </c>
      <c r="O592" s="152"/>
      <c r="P592" s="152"/>
      <c r="Q592" s="441"/>
      <c r="R592" s="445" t="str">
        <f>OBRA!AH594</f>
        <v>-</v>
      </c>
      <c r="S592" s="349"/>
      <c r="T592" s="446" t="str">
        <f>OBRA!U594</f>
        <v>ING. SERGIO CABRERA</v>
      </c>
      <c r="U592" s="447" t="str">
        <f>OBRA!V594</f>
        <v>ING. J. GUADALUPE IBARRA RAMIREZ</v>
      </c>
      <c r="V592" s="1281"/>
      <c r="W592" s="20" t="str">
        <f>OBRA!L594</f>
        <v>GMJ 006C- OP/2021</v>
      </c>
      <c r="X592" s="13"/>
      <c r="Y592" s="13"/>
      <c r="Z592" s="448" t="str">
        <f>OBRA!K594</f>
        <v>RAMO 33</v>
      </c>
      <c r="AA592" s="13"/>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428">
        <f>OBRA!S594</f>
        <v>44559</v>
      </c>
      <c r="AH592" s="54"/>
      <c r="AI592" s="231"/>
      <c r="AJ592" s="267"/>
      <c r="AK592" s="267"/>
      <c r="AL592" s="432"/>
      <c r="AM592" s="573" t="str">
        <f>GRAL!B596</f>
        <v>2021-2024</v>
      </c>
      <c r="AN592" s="448"/>
      <c r="AO592" s="13"/>
    </row>
    <row r="593" spans="1:41" ht="90.75" hidden="1" thickTop="1">
      <c r="A593" s="166">
        <f>OBRA!I595</f>
        <v>2021</v>
      </c>
      <c r="B593" s="2036"/>
      <c r="C593" s="433"/>
      <c r="D593" s="154"/>
      <c r="E593" s="156"/>
      <c r="F593" s="156"/>
      <c r="G593" s="436"/>
      <c r="H593" s="442" t="str">
        <f>OBRA!AD595</f>
        <v>-</v>
      </c>
      <c r="I593" s="438"/>
      <c r="J593" s="444" t="str">
        <f>OBRA!AE595</f>
        <v>-</v>
      </c>
      <c r="K593" s="439"/>
      <c r="L593" s="442" t="str">
        <f>OBRA!AF595</f>
        <v>-</v>
      </c>
      <c r="M593" s="440"/>
      <c r="N593" s="442" t="str">
        <f>OBRA!AG595</f>
        <v>-</v>
      </c>
      <c r="O593" s="152"/>
      <c r="P593" s="152"/>
      <c r="Q593" s="441"/>
      <c r="R593" s="445" t="str">
        <f>OBRA!AH595</f>
        <v>-</v>
      </c>
      <c r="S593" s="349"/>
      <c r="T593" s="446" t="str">
        <f>OBRA!U595</f>
        <v>ING. SERGIO CABRERA</v>
      </c>
      <c r="U593" s="447" t="str">
        <f>OBRA!V595</f>
        <v>C. DANIEL RODRIGUEZ VALENZUELA</v>
      </c>
      <c r="V593" s="1281"/>
      <c r="W593" s="20" t="str">
        <f>OBRA!L595</f>
        <v>GMJ 007C- OP/2021</v>
      </c>
      <c r="X593" s="13"/>
      <c r="Y593" s="13"/>
      <c r="Z593" s="448" t="str">
        <f>OBRA!K595</f>
        <v>CUENTA CORRIENTE</v>
      </c>
      <c r="AA593" s="13"/>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428">
        <f>OBRA!S595</f>
        <v>44569</v>
      </c>
      <c r="AH593" s="54"/>
      <c r="AI593" s="231"/>
      <c r="AJ593" s="267"/>
      <c r="AK593" s="267"/>
      <c r="AL593" s="432"/>
      <c r="AM593" s="573" t="str">
        <f>GRAL!B597</f>
        <v>2021-2024</v>
      </c>
      <c r="AN593" s="448"/>
      <c r="AO593" s="13"/>
    </row>
    <row r="594" spans="1:41" ht="30.75" hidden="1" thickTop="1">
      <c r="A594" s="166">
        <f>OBRA!I596</f>
        <v>2022</v>
      </c>
      <c r="B594" s="2036"/>
      <c r="C594" s="1612"/>
      <c r="D594" s="171"/>
      <c r="E594" s="1393"/>
      <c r="F594" s="1393"/>
      <c r="G594" s="1394"/>
      <c r="H594" s="1395" t="str">
        <f>OBRA!AD596</f>
        <v>-</v>
      </c>
      <c r="I594" s="1396"/>
      <c r="J594" s="1613" t="str">
        <f>OBRA!AE596</f>
        <v>-</v>
      </c>
      <c r="K594" s="1397"/>
      <c r="L594" s="1395" t="str">
        <f>OBRA!AF596</f>
        <v>-</v>
      </c>
      <c r="M594" s="1398"/>
      <c r="N594" s="1395" t="str">
        <f>OBRA!AG596</f>
        <v>-</v>
      </c>
      <c r="O594" s="1395"/>
      <c r="P594" s="1395"/>
      <c r="Q594" s="1397"/>
      <c r="R594" s="479" t="str">
        <f>OBRA!AH596</f>
        <v>-</v>
      </c>
      <c r="S594" s="591"/>
      <c r="T594" s="446" t="str">
        <f>OBRA!U596</f>
        <v>N/A</v>
      </c>
      <c r="U594" s="447" t="str">
        <f>OBRA!V596</f>
        <v>ARQ. JAIME CONDE GOMEZ</v>
      </c>
      <c r="V594" s="1281"/>
      <c r="W594" s="20" t="str">
        <f>OBRA!L596</f>
        <v>DOP/AD/001/2022</v>
      </c>
      <c r="X594" s="1659"/>
      <c r="Y594" s="1659"/>
      <c r="Z594" s="448" t="str">
        <f>OBRA!K596</f>
        <v>CUENTA CORRIENTE</v>
      </c>
      <c r="AA594" s="1659"/>
      <c r="AB594" s="2" t="str">
        <f>OBRA!M596</f>
        <v>ADMINISTRACIÓN DIRECTA</v>
      </c>
      <c r="AC594" s="3" t="str">
        <f>OBRA!N596</f>
        <v>CUARTO DE EMERGENCIA PARA MUJERES EN SITUACIÓN DE VIOLENCIA EXTREMA…</v>
      </c>
      <c r="AD594" s="4">
        <f>OBRA!P596</f>
        <v>70000</v>
      </c>
      <c r="AE594" s="6">
        <f>OBRA!Q596</f>
        <v>44693</v>
      </c>
      <c r="AF594" s="5">
        <f>OBRA!R596</f>
        <v>44697</v>
      </c>
      <c r="AG594" s="428">
        <f>OBRA!S596</f>
        <v>44728</v>
      </c>
      <c r="AH594" s="1014"/>
      <c r="AI594" s="169"/>
      <c r="AJ594" s="239"/>
      <c r="AK594" s="239"/>
      <c r="AL594" s="715"/>
      <c r="AM594" s="573" t="str">
        <f>GRAL!B598</f>
        <v>2021-2024</v>
      </c>
      <c r="AN594" s="448"/>
      <c r="AO594" s="13"/>
    </row>
    <row r="595" spans="1:41" ht="60.75" hidden="1" thickTop="1">
      <c r="A595" s="166">
        <f>OBRA!I597</f>
        <v>2022</v>
      </c>
      <c r="B595" s="2036"/>
      <c r="C595" s="1612"/>
      <c r="D595" s="171"/>
      <c r="E595" s="1393"/>
      <c r="F595" s="1393"/>
      <c r="G595" s="1394"/>
      <c r="H595" s="1395" t="str">
        <f>OBRA!AD597</f>
        <v>-</v>
      </c>
      <c r="I595" s="1396"/>
      <c r="J595" s="1613" t="str">
        <f>OBRA!AE597</f>
        <v>-</v>
      </c>
      <c r="K595" s="1397"/>
      <c r="L595" s="1395" t="str">
        <f>OBRA!AF597</f>
        <v>-</v>
      </c>
      <c r="M595" s="1398"/>
      <c r="N595" s="1395" t="str">
        <f>OBRA!AG597</f>
        <v>-</v>
      </c>
      <c r="O595" s="1395"/>
      <c r="P595" s="1395"/>
      <c r="Q595" s="1397"/>
      <c r="R595" s="479" t="str">
        <f>OBRA!AH597</f>
        <v>-</v>
      </c>
      <c r="S595" s="591"/>
      <c r="T595" s="446" t="str">
        <f>OBRA!U597</f>
        <v>N/A</v>
      </c>
      <c r="U595" s="447" t="str">
        <f>OBRA!V597</f>
        <v>ING. LUIS RIGOBERTO OLMEDO NAVARRO</v>
      </c>
      <c r="V595" s="1281"/>
      <c r="W595" s="20" t="str">
        <f>OBRA!L597</f>
        <v>DOP/AD/002/2022</v>
      </c>
      <c r="X595" s="1659"/>
      <c r="Y595" s="1659"/>
      <c r="Z595" s="448" t="str">
        <f>OBRA!K597</f>
        <v>RAMO 33</v>
      </c>
      <c r="AA595" s="1659"/>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428">
        <f>OBRA!S597</f>
        <v>44726</v>
      </c>
      <c r="AH595" s="1014"/>
      <c r="AI595" s="169"/>
      <c r="AJ595" s="239"/>
      <c r="AK595" s="239"/>
      <c r="AL595" s="715"/>
      <c r="AM595" s="573" t="str">
        <f>GRAL!B599</f>
        <v>2021-2024</v>
      </c>
      <c r="AN595" s="448"/>
      <c r="AO595" s="13"/>
    </row>
    <row r="596" spans="1:41" ht="90.75" hidden="1" thickTop="1">
      <c r="A596" s="166">
        <f>OBRA!I598</f>
        <v>2022</v>
      </c>
      <c r="B596" s="2036"/>
      <c r="C596" s="1612"/>
      <c r="D596" s="171"/>
      <c r="E596" s="1393"/>
      <c r="F596" s="1393"/>
      <c r="G596" s="1394"/>
      <c r="H596" s="1395" t="str">
        <f>OBRA!AD598</f>
        <v>-</v>
      </c>
      <c r="I596" s="1396"/>
      <c r="J596" s="1613" t="str">
        <f>OBRA!AE598</f>
        <v>-</v>
      </c>
      <c r="K596" s="1397"/>
      <c r="L596" s="1395" t="str">
        <f>OBRA!AF598</f>
        <v>-</v>
      </c>
      <c r="M596" s="1398"/>
      <c r="N596" s="1395" t="str">
        <f>OBRA!AG598</f>
        <v>-</v>
      </c>
      <c r="O596" s="1395"/>
      <c r="P596" s="1395"/>
      <c r="Q596" s="1397"/>
      <c r="R596" s="479" t="str">
        <f>OBRA!AH598</f>
        <v>-</v>
      </c>
      <c r="S596" s="591"/>
      <c r="T596" s="446" t="str">
        <f>OBRA!U598</f>
        <v>N/A</v>
      </c>
      <c r="U596" s="447" t="str">
        <f>OBRA!V598</f>
        <v>ING. LUIS RIGOBERTO OLMEDO NAVARRO</v>
      </c>
      <c r="V596" s="1281"/>
      <c r="W596" s="20" t="str">
        <f>OBRA!L598</f>
        <v>DOP/AD/003/2022</v>
      </c>
      <c r="X596" s="1659"/>
      <c r="Y596" s="1659"/>
      <c r="Z596" s="448" t="str">
        <f>OBRA!K598</f>
        <v>CUENTA CORRIENTE</v>
      </c>
      <c r="AA596" s="1659"/>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428">
        <f>OBRA!S598</f>
        <v>44799</v>
      </c>
      <c r="AH596" s="1014"/>
      <c r="AI596" s="169"/>
      <c r="AJ596" s="239"/>
      <c r="AK596" s="239"/>
      <c r="AL596" s="715"/>
      <c r="AM596" s="573" t="str">
        <f>GRAL!B600</f>
        <v>2021-2024</v>
      </c>
      <c r="AN596" s="448"/>
      <c r="AO596" s="13"/>
    </row>
    <row r="597" spans="1:41" ht="90.75" hidden="1" thickTop="1">
      <c r="A597" s="166">
        <f>OBRA!I599</f>
        <v>2022</v>
      </c>
      <c r="B597" s="2036"/>
      <c r="C597" s="1612"/>
      <c r="D597" s="171"/>
      <c r="E597" s="1393"/>
      <c r="F597" s="1393"/>
      <c r="G597" s="1394"/>
      <c r="H597" s="1395" t="str">
        <f>OBRA!AD599</f>
        <v>-</v>
      </c>
      <c r="I597" s="1396"/>
      <c r="J597" s="1613" t="str">
        <f>OBRA!AE599</f>
        <v>-</v>
      </c>
      <c r="K597" s="1397"/>
      <c r="L597" s="1395" t="str">
        <f>OBRA!AF599</f>
        <v>-</v>
      </c>
      <c r="M597" s="1398"/>
      <c r="N597" s="1395" t="str">
        <f>OBRA!AG599</f>
        <v>-</v>
      </c>
      <c r="O597" s="1395"/>
      <c r="P597" s="1395"/>
      <c r="Q597" s="1397"/>
      <c r="R597" s="479" t="str">
        <f>OBRA!AH599</f>
        <v>-</v>
      </c>
      <c r="S597" s="591"/>
      <c r="T597" s="446" t="str">
        <f>OBRA!U599</f>
        <v>N/A</v>
      </c>
      <c r="U597" s="447" t="str">
        <f>OBRA!V599</f>
        <v>C. DANIEL RODRIGUEZ VALENZUELA</v>
      </c>
      <c r="V597" s="1281"/>
      <c r="W597" s="20" t="str">
        <f>OBRA!L599</f>
        <v>DOP/AD/001-A/2022</v>
      </c>
      <c r="X597" s="1659"/>
      <c r="Y597" s="1659"/>
      <c r="Z597" s="448" t="str">
        <f>OBRA!K599</f>
        <v>CUENTA CORRIENTE</v>
      </c>
      <c r="AA597" s="1659"/>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428">
        <f>OBRA!S599</f>
        <v>44617</v>
      </c>
      <c r="AH597" s="1014"/>
      <c r="AI597" s="169"/>
      <c r="AJ597" s="239"/>
      <c r="AK597" s="239"/>
      <c r="AL597" s="715"/>
      <c r="AM597" s="573" t="str">
        <f>GRAL!B601</f>
        <v>2021-2024</v>
      </c>
      <c r="AN597" s="448"/>
      <c r="AO597" s="13"/>
    </row>
    <row r="598" spans="1:41" ht="75.75" hidden="1" thickTop="1">
      <c r="A598" s="166">
        <f>OBRA!I600</f>
        <v>2022</v>
      </c>
      <c r="B598" s="2036"/>
      <c r="C598" s="1612"/>
      <c r="D598" s="171"/>
      <c r="E598" s="1393"/>
      <c r="F598" s="1393"/>
      <c r="G598" s="1394"/>
      <c r="H598" s="1395" t="str">
        <f>OBRA!AD600</f>
        <v>-</v>
      </c>
      <c r="I598" s="1396"/>
      <c r="J598" s="1613" t="str">
        <f>OBRA!AE600</f>
        <v>-</v>
      </c>
      <c r="K598" s="1397"/>
      <c r="L598" s="1395" t="str">
        <f>OBRA!AF600</f>
        <v>-</v>
      </c>
      <c r="M598" s="1398"/>
      <c r="N598" s="1395" t="str">
        <f>OBRA!AG600</f>
        <v>-</v>
      </c>
      <c r="O598" s="1395"/>
      <c r="P598" s="1395"/>
      <c r="Q598" s="1397"/>
      <c r="R598" s="479" t="str">
        <f>OBRA!AH600</f>
        <v>-</v>
      </c>
      <c r="S598" s="591"/>
      <c r="T598" s="446" t="str">
        <f>OBRA!U600</f>
        <v>N/A</v>
      </c>
      <c r="U598" s="447" t="str">
        <f>OBRA!V600</f>
        <v>C. DANIEL RODRIGUEZ VALENZUELA</v>
      </c>
      <c r="V598" s="1281"/>
      <c r="W598" s="20" t="str">
        <f>OBRA!L600</f>
        <v>DOP/AD/005/2022</v>
      </c>
      <c r="X598" s="1659"/>
      <c r="Y598" s="1659"/>
      <c r="Z598" s="448" t="str">
        <f>OBRA!K600</f>
        <v>CUENTA CORRIENTE</v>
      </c>
      <c r="AA598" s="1659"/>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428">
        <f>OBRA!S600</f>
        <v>44893</v>
      </c>
      <c r="AH598" s="1014"/>
      <c r="AI598" s="169"/>
      <c r="AJ598" s="239"/>
      <c r="AK598" s="239"/>
      <c r="AL598" s="715"/>
      <c r="AM598" s="573" t="str">
        <f>GRAL!B733</f>
        <v>2021-2024</v>
      </c>
      <c r="AN598" s="448"/>
      <c r="AO598" s="13"/>
    </row>
    <row r="599" spans="1:41" ht="60.75" hidden="1" thickTop="1">
      <c r="A599" s="166">
        <f>OBRA!I601</f>
        <v>2022</v>
      </c>
      <c r="B599" s="2036"/>
      <c r="C599" s="1612"/>
      <c r="D599" s="171"/>
      <c r="E599" s="1393"/>
      <c r="F599" s="1393"/>
      <c r="G599" s="1394"/>
      <c r="H599" s="1395" t="str">
        <f>OBRA!AD601</f>
        <v>-</v>
      </c>
      <c r="I599" s="1396"/>
      <c r="J599" s="1613" t="str">
        <f>OBRA!AE601</f>
        <v>-</v>
      </c>
      <c r="K599" s="1397"/>
      <c r="L599" s="1395" t="str">
        <f>OBRA!AF601</f>
        <v>-</v>
      </c>
      <c r="M599" s="1398"/>
      <c r="N599" s="1395" t="str">
        <f>OBRA!AG601</f>
        <v>-</v>
      </c>
      <c r="O599" s="1395"/>
      <c r="P599" s="1395"/>
      <c r="Q599" s="1397"/>
      <c r="R599" s="479" t="str">
        <f>OBRA!AH601</f>
        <v>-</v>
      </c>
      <c r="S599" s="591"/>
      <c r="T599" s="446" t="str">
        <f>OBRA!U601</f>
        <v>N/A</v>
      </c>
      <c r="U599" s="447" t="str">
        <f>OBRA!V601</f>
        <v>C. DANIEL RODRIGUEZ VALENZUELA</v>
      </c>
      <c r="V599" s="1281"/>
      <c r="W599" s="20" t="str">
        <f>OBRA!L601</f>
        <v>DOP/AD/006/2022</v>
      </c>
      <c r="X599" s="1659"/>
      <c r="Y599" s="1659"/>
      <c r="Z599" s="448" t="str">
        <f>OBRA!K601</f>
        <v>CUENTA CORRIENTE</v>
      </c>
      <c r="AA599" s="1659"/>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428">
        <f>OBRA!S601</f>
        <v>44886</v>
      </c>
      <c r="AH599" s="1014"/>
      <c r="AI599" s="169"/>
      <c r="AJ599" s="239"/>
      <c r="AK599" s="239"/>
      <c r="AL599" s="715"/>
      <c r="AM599" s="573">
        <f>GRAL!B787</f>
        <v>0</v>
      </c>
      <c r="AN599" s="448"/>
      <c r="AO599" s="13"/>
    </row>
    <row r="600" spans="1:41" ht="45.75" hidden="1" thickTop="1">
      <c r="A600" s="166">
        <f>OBRA!I602</f>
        <v>2022</v>
      </c>
      <c r="B600" s="2036"/>
      <c r="C600" s="1612"/>
      <c r="D600" s="171"/>
      <c r="E600" s="1393"/>
      <c r="F600" s="1393"/>
      <c r="G600" s="1394"/>
      <c r="H600" s="1395" t="str">
        <f>OBRA!AD602</f>
        <v>-</v>
      </c>
      <c r="I600" s="1396"/>
      <c r="J600" s="1613" t="str">
        <f>OBRA!AE602</f>
        <v>-</v>
      </c>
      <c r="K600" s="1397"/>
      <c r="L600" s="1395" t="str">
        <f>OBRA!AF602</f>
        <v>-</v>
      </c>
      <c r="M600" s="1398"/>
      <c r="N600" s="1395" t="str">
        <f>OBRA!AG602</f>
        <v>-</v>
      </c>
      <c r="O600" s="1395"/>
      <c r="P600" s="1395"/>
      <c r="Q600" s="1397"/>
      <c r="R600" s="479" t="str">
        <f>OBRA!AH602</f>
        <v>-</v>
      </c>
      <c r="S600" s="591"/>
      <c r="T600" s="446" t="str">
        <f>OBRA!U602</f>
        <v>N/A</v>
      </c>
      <c r="U600" s="447" t="str">
        <f>OBRA!V602</f>
        <v>ING. J. GUADALUPE IBARRA RAMIREZ</v>
      </c>
      <c r="V600" s="1281"/>
      <c r="W600" s="20" t="str">
        <f>OBRA!L602</f>
        <v>MANTENIMIENTOS</v>
      </c>
      <c r="X600" s="1659"/>
      <c r="Y600" s="1659"/>
      <c r="Z600" s="448" t="str">
        <f>OBRA!K602</f>
        <v>CUENTA CORRIENTE</v>
      </c>
      <c r="AA600" s="1659"/>
      <c r="AB600" s="2" t="str">
        <f>OBRA!M602</f>
        <v>MANTENIMIENTOS</v>
      </c>
      <c r="AC600" s="3" t="str">
        <f>OBRA!N602</f>
        <v>REMODELACIÓN DE PRESIDENCIA</v>
      </c>
      <c r="AD600" s="4">
        <f>OBRA!P602</f>
        <v>0</v>
      </c>
      <c r="AE600" s="6" t="str">
        <f>OBRA!Q602</f>
        <v>N/A</v>
      </c>
      <c r="AF600" s="5">
        <f>OBRA!R602</f>
        <v>44562</v>
      </c>
      <c r="AG600" s="428">
        <f>OBRA!S602</f>
        <v>44926</v>
      </c>
      <c r="AH600" s="1014"/>
      <c r="AI600" s="169"/>
      <c r="AJ600" s="239"/>
      <c r="AK600" s="239"/>
      <c r="AL600" s="715"/>
      <c r="AM600" s="573">
        <f>GRAL!B788</f>
        <v>0</v>
      </c>
      <c r="AN600" s="448"/>
      <c r="AO600" s="13"/>
    </row>
    <row r="601" spans="1:41" ht="45.75" hidden="1" thickTop="1">
      <c r="A601" s="166">
        <f>OBRA!I603</f>
        <v>2022</v>
      </c>
      <c r="B601" s="2036"/>
      <c r="C601" s="1612"/>
      <c r="D601" s="171"/>
      <c r="E601" s="1393"/>
      <c r="F601" s="1393"/>
      <c r="G601" s="1394"/>
      <c r="H601" s="1395" t="str">
        <f>OBRA!AD603</f>
        <v>-</v>
      </c>
      <c r="I601" s="1396"/>
      <c r="J601" s="1613" t="str">
        <f>OBRA!AE603</f>
        <v>-</v>
      </c>
      <c r="K601" s="1397"/>
      <c r="L601" s="1395" t="str">
        <f>OBRA!AF603</f>
        <v>-</v>
      </c>
      <c r="M601" s="1398"/>
      <c r="N601" s="1395" t="str">
        <f>OBRA!AG603</f>
        <v>-</v>
      </c>
      <c r="O601" s="1395"/>
      <c r="P601" s="1395"/>
      <c r="Q601" s="1397"/>
      <c r="R601" s="479" t="str">
        <f>OBRA!AH603</f>
        <v>-</v>
      </c>
      <c r="S601" s="591"/>
      <c r="T601" s="446" t="str">
        <f>OBRA!U603</f>
        <v>N/A</v>
      </c>
      <c r="U601" s="447" t="str">
        <f>OBRA!V603</f>
        <v>ARQ. JAIME CONDE GOMEZ</v>
      </c>
      <c r="V601" s="1281"/>
      <c r="W601" s="20" t="str">
        <f>OBRA!L603</f>
        <v>DOP/AD/007/2022</v>
      </c>
      <c r="X601" s="1659"/>
      <c r="Y601" s="1659"/>
      <c r="Z601" s="448" t="str">
        <f>OBRA!K603</f>
        <v>CUENTA CORRIENTE</v>
      </c>
      <c r="AA601" s="1659"/>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428">
        <f>OBRA!S603</f>
        <v>44926</v>
      </c>
      <c r="AH601" s="1014"/>
      <c r="AI601" s="169"/>
      <c r="AJ601" s="239"/>
      <c r="AK601" s="239"/>
      <c r="AL601" s="715"/>
      <c r="AM601" s="573">
        <f>GRAL!B789</f>
        <v>0</v>
      </c>
      <c r="AN601" s="448"/>
      <c r="AO601" s="13"/>
    </row>
    <row r="602" spans="1:41" ht="45.75" hidden="1" thickTop="1">
      <c r="A602" s="166">
        <f>OBRA!I604</f>
        <v>2022</v>
      </c>
      <c r="B602" s="2036"/>
      <c r="C602" s="1612"/>
      <c r="D602" s="171"/>
      <c r="E602" s="1393"/>
      <c r="F602" s="1393"/>
      <c r="G602" s="1394"/>
      <c r="H602" s="1395" t="str">
        <f>OBRA!AD604</f>
        <v>-</v>
      </c>
      <c r="I602" s="1396"/>
      <c r="J602" s="1613" t="str">
        <f>OBRA!AE604</f>
        <v>-</v>
      </c>
      <c r="K602" s="1397"/>
      <c r="L602" s="1395" t="str">
        <f>OBRA!AF604</f>
        <v>-</v>
      </c>
      <c r="M602" s="1398"/>
      <c r="N602" s="1395" t="str">
        <f>OBRA!AG604</f>
        <v>-</v>
      </c>
      <c r="O602" s="1395"/>
      <c r="P602" s="1395"/>
      <c r="Q602" s="1397"/>
      <c r="R602" s="479" t="str">
        <f>OBRA!AH604</f>
        <v>-</v>
      </c>
      <c r="S602" s="591"/>
      <c r="T602" s="446" t="str">
        <f>OBRA!U604</f>
        <v>N/A</v>
      </c>
      <c r="U602" s="447" t="str">
        <f>OBRA!V604</f>
        <v>ING. J. GUADALUPE IBARRA RAMIREZ</v>
      </c>
      <c r="V602" s="1281"/>
      <c r="W602" s="20" t="str">
        <f>OBRA!L604</f>
        <v>DOP/AD/001-B/2022</v>
      </c>
      <c r="X602" s="1659"/>
      <c r="Y602" s="1659"/>
      <c r="Z602" s="448" t="str">
        <f>OBRA!K604</f>
        <v>CUENTA CORRIENTE</v>
      </c>
      <c r="AA602" s="1659"/>
      <c r="AB602" s="2" t="str">
        <f>OBRA!M604</f>
        <v>ADMINISTRACIÓN DIRECTA</v>
      </c>
      <c r="AC602" s="3" t="str">
        <f>OBRA!N604</f>
        <v>"REMODELACIÓN DE PRESIDENCIA (2DA ETAPA)", EN LA CABECERA MUNICIPAL DE JOCOTEPEC.</v>
      </c>
      <c r="AD602" s="4">
        <f>OBRA!P604</f>
        <v>800000</v>
      </c>
      <c r="AE602" s="6">
        <f>OBRA!Q604</f>
        <v>44620</v>
      </c>
      <c r="AF602" s="5">
        <f>OBRA!R604</f>
        <v>44624</v>
      </c>
      <c r="AG602" s="428">
        <f>OBRA!S604</f>
        <v>44773</v>
      </c>
      <c r="AH602" s="1014"/>
      <c r="AI602" s="169"/>
      <c r="AJ602" s="239"/>
      <c r="AK602" s="239"/>
      <c r="AL602" s="715"/>
      <c r="AM602" s="573">
        <f>GRAL!B790</f>
        <v>0</v>
      </c>
      <c r="AN602" s="448"/>
      <c r="AO602" s="13"/>
    </row>
    <row r="603" spans="1:41" ht="27" hidden="1" thickTop="1">
      <c r="A603" s="166">
        <f>OBRA!I605</f>
        <v>2022</v>
      </c>
      <c r="B603" s="2036"/>
      <c r="C603" s="1612"/>
      <c r="D603" s="171"/>
      <c r="E603" s="1393"/>
      <c r="F603" s="1393"/>
      <c r="G603" s="1394"/>
      <c r="H603" s="1395" t="str">
        <f>OBRA!AD605</f>
        <v>-</v>
      </c>
      <c r="I603" s="1396"/>
      <c r="J603" s="1613" t="str">
        <f>OBRA!AE605</f>
        <v>-</v>
      </c>
      <c r="K603" s="1397"/>
      <c r="L603" s="1395" t="str">
        <f>OBRA!AF605</f>
        <v>-</v>
      </c>
      <c r="M603" s="1398"/>
      <c r="N603" s="1395" t="str">
        <f>OBRA!AG605</f>
        <v>-</v>
      </c>
      <c r="O603" s="1395"/>
      <c r="P603" s="1395"/>
      <c r="Q603" s="1397"/>
      <c r="R603" s="479" t="str">
        <f>OBRA!AH605</f>
        <v>-</v>
      </c>
      <c r="S603" s="591"/>
      <c r="T603" s="446" t="str">
        <f>OBRA!U605</f>
        <v>N/A</v>
      </c>
      <c r="U603" s="447">
        <f>OBRA!V605</f>
        <v>0</v>
      </c>
      <c r="V603" s="1281"/>
      <c r="W603" s="20" t="str">
        <f>OBRA!L605</f>
        <v>DOP/AD/010/2022</v>
      </c>
      <c r="X603" s="1659"/>
      <c r="Y603" s="1659"/>
      <c r="Z603" s="448">
        <f>OBRA!K605</f>
        <v>0</v>
      </c>
      <c r="AA603" s="1659"/>
      <c r="AB603" s="2" t="str">
        <f>OBRA!M605</f>
        <v>CANCELADA</v>
      </c>
      <c r="AC603" s="3" t="str">
        <f>OBRA!N605</f>
        <v>-</v>
      </c>
      <c r="AD603" s="4">
        <f>OBRA!P605</f>
        <v>0</v>
      </c>
      <c r="AE603" s="6">
        <f>OBRA!Q605</f>
        <v>0</v>
      </c>
      <c r="AF603" s="5">
        <f>OBRA!R605</f>
        <v>0</v>
      </c>
      <c r="AG603" s="428">
        <f>OBRA!S605</f>
        <v>0</v>
      </c>
      <c r="AH603" s="1014"/>
      <c r="AI603" s="169"/>
      <c r="AJ603" s="239"/>
      <c r="AK603" s="239"/>
      <c r="AL603" s="715"/>
      <c r="AM603" s="573">
        <f>GRAL!B791</f>
        <v>0</v>
      </c>
      <c r="AN603" s="448"/>
      <c r="AO603" s="13"/>
    </row>
    <row r="604" spans="1:41" ht="90.75" hidden="1" thickTop="1">
      <c r="A604" s="166">
        <f>OBRA!I606</f>
        <v>2022</v>
      </c>
      <c r="B604" s="2036"/>
      <c r="C604" s="1612"/>
      <c r="D604" s="171"/>
      <c r="E604" s="1393"/>
      <c r="F604" s="1393"/>
      <c r="G604" s="1394"/>
      <c r="H604" s="1395" t="str">
        <f>OBRA!AD606</f>
        <v>-</v>
      </c>
      <c r="I604" s="1396"/>
      <c r="J604" s="1613" t="str">
        <f>OBRA!AE606</f>
        <v>-</v>
      </c>
      <c r="K604" s="1397"/>
      <c r="L604" s="1395" t="str">
        <f>OBRA!AF606</f>
        <v>-</v>
      </c>
      <c r="M604" s="1398"/>
      <c r="N604" s="1395" t="str">
        <f>OBRA!AG606</f>
        <v>-</v>
      </c>
      <c r="O604" s="1395"/>
      <c r="P604" s="1395"/>
      <c r="Q604" s="1397"/>
      <c r="R604" s="479" t="str">
        <f>OBRA!AH606</f>
        <v>-</v>
      </c>
      <c r="S604" s="591"/>
      <c r="T604" s="446" t="str">
        <f>OBRA!U606</f>
        <v>ING. J. TRINIDAD NUÑEZ BRITO</v>
      </c>
      <c r="U604" s="447" t="str">
        <f>OBRA!V606</f>
        <v>LIC. SALVADOR CONTRERAS OLGUÍN</v>
      </c>
      <c r="V604" s="1281"/>
      <c r="W604" s="20" t="str">
        <f>OBRA!L606</f>
        <v>CPSP DOP 001/2022</v>
      </c>
      <c r="X604" s="1659"/>
      <c r="Y604" s="1659"/>
      <c r="Z604" s="448" t="str">
        <f>OBRA!K606</f>
        <v>CUENTA CORRIENTE</v>
      </c>
      <c r="AA604" s="1659"/>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428">
        <f>OBRA!S606</f>
        <v>44581</v>
      </c>
      <c r="AH604" s="1014"/>
      <c r="AI604" s="169"/>
      <c r="AJ604" s="239"/>
      <c r="AK604" s="239"/>
      <c r="AL604" s="715"/>
      <c r="AM604" s="573">
        <f>GRAL!B792</f>
        <v>0</v>
      </c>
      <c r="AN604" s="448"/>
      <c r="AO604" s="13"/>
    </row>
    <row r="605" spans="1:41" ht="105.75" hidden="1" thickTop="1">
      <c r="A605" s="166">
        <f>OBRA!I607</f>
        <v>2022</v>
      </c>
      <c r="B605" s="2036"/>
      <c r="C605" s="1612"/>
      <c r="D605" s="171"/>
      <c r="E605" s="1393"/>
      <c r="F605" s="1393"/>
      <c r="G605" s="1394"/>
      <c r="H605" s="1395" t="str">
        <f>OBRA!AD607</f>
        <v>-</v>
      </c>
      <c r="I605" s="1396"/>
      <c r="J605" s="1613" t="str">
        <f>OBRA!AE607</f>
        <v>-</v>
      </c>
      <c r="K605" s="1397"/>
      <c r="L605" s="1395" t="str">
        <f>OBRA!AF607</f>
        <v>-</v>
      </c>
      <c r="M605" s="1398"/>
      <c r="N605" s="1395" t="str">
        <f>OBRA!AG607</f>
        <v>-</v>
      </c>
      <c r="O605" s="1395"/>
      <c r="P605" s="1395"/>
      <c r="Q605" s="1397"/>
      <c r="R605" s="479" t="str">
        <f>OBRA!AH607</f>
        <v>-</v>
      </c>
      <c r="S605" s="591"/>
      <c r="T605" s="446" t="str">
        <f>OBRA!U607</f>
        <v>PEDRO MACHUCA SAAVEDRA</v>
      </c>
      <c r="U605" s="447" t="str">
        <f>OBRA!V607</f>
        <v>LIC. SALVADOR CONTRERAS OLGUÍN</v>
      </c>
      <c r="V605" s="1281"/>
      <c r="W605" s="20" t="str">
        <f>OBRA!L607</f>
        <v>CPSP DOP 002/2022</v>
      </c>
      <c r="X605" s="1659"/>
      <c r="Y605" s="1659"/>
      <c r="Z605" s="448" t="str">
        <f>OBRA!K607</f>
        <v>CUENTA CORRIENTE</v>
      </c>
      <c r="AA605" s="1659"/>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428">
        <f>OBRA!S607</f>
        <v>44582</v>
      </c>
      <c r="AH605" s="1014"/>
      <c r="AI605" s="169"/>
      <c r="AJ605" s="239"/>
      <c r="AK605" s="239"/>
      <c r="AL605" s="715"/>
      <c r="AM605" s="573">
        <f>GRAL!B793</f>
        <v>0</v>
      </c>
      <c r="AN605" s="448"/>
      <c r="AO605" s="13"/>
    </row>
    <row r="606" spans="1:41" ht="180.75" hidden="1" thickTop="1">
      <c r="A606" s="166">
        <f>OBRA!I608</f>
        <v>2022</v>
      </c>
      <c r="B606" s="2036"/>
      <c r="C606" s="1612"/>
      <c r="D606" s="171"/>
      <c r="E606" s="1393"/>
      <c r="F606" s="1393"/>
      <c r="G606" s="1394"/>
      <c r="H606" s="1395" t="str">
        <f>OBRA!AD608</f>
        <v>-</v>
      </c>
      <c r="I606" s="1396"/>
      <c r="J606" s="1613" t="str">
        <f>OBRA!AE608</f>
        <v>-</v>
      </c>
      <c r="K606" s="1397"/>
      <c r="L606" s="1395" t="str">
        <f>OBRA!AF608</f>
        <v>-</v>
      </c>
      <c r="M606" s="1398"/>
      <c r="N606" s="1395" t="str">
        <f>OBRA!AG608</f>
        <v>-</v>
      </c>
      <c r="O606" s="1395"/>
      <c r="P606" s="1395"/>
      <c r="Q606" s="1397"/>
      <c r="R606" s="479" t="str">
        <f>OBRA!AH608</f>
        <v>-</v>
      </c>
      <c r="S606" s="591"/>
      <c r="T606" s="446" t="str">
        <f>OBRA!U608</f>
        <v>OSCAR CASTILLO LEDEZMA</v>
      </c>
      <c r="U606" s="447">
        <f>OBRA!V608</f>
        <v>0</v>
      </c>
      <c r="V606" s="1281"/>
      <c r="W606" s="20" t="str">
        <f>OBRA!L608</f>
        <v>CPSP DOP 003/2022</v>
      </c>
      <c r="X606" s="1659"/>
      <c r="Y606" s="1659"/>
      <c r="Z606" s="448" t="str">
        <f>OBRA!K608</f>
        <v>CUENTA CORRIENTE</v>
      </c>
      <c r="AA606" s="1659"/>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428">
        <f>OBRA!S608</f>
        <v>44607</v>
      </c>
      <c r="AH606" s="1014"/>
      <c r="AI606" s="169"/>
      <c r="AJ606" s="239"/>
      <c r="AK606" s="239"/>
      <c r="AL606" s="715"/>
      <c r="AM606" s="573">
        <f>GRAL!B794</f>
        <v>0</v>
      </c>
      <c r="AN606" s="448"/>
      <c r="AO606" s="13"/>
    </row>
    <row r="607" spans="1:41" ht="90.75" hidden="1" thickTop="1">
      <c r="A607" s="166">
        <f>OBRA!I609</f>
        <v>2022</v>
      </c>
      <c r="B607" s="2036"/>
      <c r="C607" s="1612"/>
      <c r="D607" s="171"/>
      <c r="E607" s="1393"/>
      <c r="F607" s="1393"/>
      <c r="G607" s="1394"/>
      <c r="H607" s="1395" t="str">
        <f>OBRA!AD609</f>
        <v>-</v>
      </c>
      <c r="I607" s="1396"/>
      <c r="J607" s="1613" t="str">
        <f>OBRA!AE609</f>
        <v>-</v>
      </c>
      <c r="K607" s="1397"/>
      <c r="L607" s="1395" t="str">
        <f>OBRA!AF609</f>
        <v>-</v>
      </c>
      <c r="M607" s="1398"/>
      <c r="N607" s="1395" t="str">
        <f>OBRA!AG609</f>
        <v>-</v>
      </c>
      <c r="O607" s="1395"/>
      <c r="P607" s="1395"/>
      <c r="Q607" s="1397"/>
      <c r="R607" s="479" t="str">
        <f>OBRA!AH609</f>
        <v>-</v>
      </c>
      <c r="S607" s="591"/>
      <c r="T607" s="446" t="str">
        <f>OBRA!U609</f>
        <v>ING. SERGIO CABRERA</v>
      </c>
      <c r="U607" s="447">
        <f>OBRA!V609</f>
        <v>0</v>
      </c>
      <c r="V607" s="1281"/>
      <c r="W607" s="20" t="str">
        <f>OBRA!L609</f>
        <v>CPSP DOP 004/2022</v>
      </c>
      <c r="X607" s="1659"/>
      <c r="Y607" s="1659"/>
      <c r="Z607" s="448" t="str">
        <f>OBRA!K609</f>
        <v>CUENTA CORRIENTE</v>
      </c>
      <c r="AA607" s="1659"/>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428" t="str">
        <f>OBRA!S609</f>
        <v>-</v>
      </c>
      <c r="AH607" s="1014"/>
      <c r="AI607" s="169"/>
      <c r="AJ607" s="239"/>
      <c r="AK607" s="239"/>
      <c r="AL607" s="715"/>
      <c r="AM607" s="573">
        <f>GRAL!B795</f>
        <v>0</v>
      </c>
      <c r="AN607" s="448"/>
      <c r="AO607" s="13"/>
    </row>
    <row r="608" spans="1:41" ht="30.75" hidden="1" thickTop="1">
      <c r="A608" s="166">
        <f>OBRA!I610</f>
        <v>2022</v>
      </c>
      <c r="B608" s="2036"/>
      <c r="C608" s="1612"/>
      <c r="D608" s="171"/>
      <c r="E608" s="1393"/>
      <c r="F608" s="1393"/>
      <c r="G608" s="1394"/>
      <c r="H608" s="1395" t="str">
        <f>OBRA!AD610</f>
        <v>-</v>
      </c>
      <c r="I608" s="1396"/>
      <c r="J608" s="1613" t="str">
        <f>OBRA!AE610</f>
        <v>-</v>
      </c>
      <c r="K608" s="1397"/>
      <c r="L608" s="1395" t="str">
        <f>OBRA!AF610</f>
        <v>-</v>
      </c>
      <c r="M608" s="1398"/>
      <c r="N608" s="1395" t="str">
        <f>OBRA!AG610</f>
        <v>-</v>
      </c>
      <c r="O608" s="1395"/>
      <c r="P608" s="1395"/>
      <c r="Q608" s="1397"/>
      <c r="R608" s="479" t="str">
        <f>OBRA!AH610</f>
        <v>-</v>
      </c>
      <c r="S608" s="591"/>
      <c r="T608" s="446" t="str">
        <f>OBRA!U610</f>
        <v>-</v>
      </c>
      <c r="U608" s="447">
        <f>OBRA!V610</f>
        <v>0</v>
      </c>
      <c r="V608" s="1281"/>
      <c r="W608" s="20" t="str">
        <f>OBRA!L610</f>
        <v>CPSP DOP 005/2022</v>
      </c>
      <c r="X608" s="1659"/>
      <c r="Y608" s="1659"/>
      <c r="Z608" s="448" t="str">
        <f>OBRA!K610</f>
        <v>CUENTA CORRIENTE</v>
      </c>
      <c r="AA608" s="1659"/>
      <c r="AB608" s="2" t="str">
        <f>OBRA!M610</f>
        <v>SERVICIOS (CANCELADO)</v>
      </c>
      <c r="AC608" s="3" t="str">
        <f>OBRA!N610</f>
        <v>-</v>
      </c>
      <c r="AD608" s="4">
        <f>OBRA!P610</f>
        <v>0</v>
      </c>
      <c r="AE608" s="6">
        <f>OBRA!Q610</f>
        <v>0</v>
      </c>
      <c r="AF608" s="5">
        <f>OBRA!R610</f>
        <v>0</v>
      </c>
      <c r="AG608" s="428">
        <f>OBRA!S610</f>
        <v>0</v>
      </c>
      <c r="AH608" s="1014"/>
      <c r="AI608" s="169"/>
      <c r="AJ608" s="239"/>
      <c r="AK608" s="239"/>
      <c r="AL608" s="715"/>
      <c r="AM608" s="573">
        <f>GRAL!B796</f>
        <v>0</v>
      </c>
      <c r="AN608" s="448"/>
      <c r="AO608" s="13"/>
    </row>
    <row r="609" spans="1:41" ht="75.75" hidden="1" thickTop="1">
      <c r="A609" s="166">
        <f>OBRA!I611</f>
        <v>2022</v>
      </c>
      <c r="B609" s="2036"/>
      <c r="C609" s="1612"/>
      <c r="D609" s="171"/>
      <c r="E609" s="1393"/>
      <c r="F609" s="1393"/>
      <c r="G609" s="1394"/>
      <c r="H609" s="1395" t="str">
        <f>OBRA!AD611</f>
        <v>-</v>
      </c>
      <c r="I609" s="1396"/>
      <c r="J609" s="1613" t="str">
        <f>OBRA!AE611</f>
        <v>-</v>
      </c>
      <c r="K609" s="1397"/>
      <c r="L609" s="1395" t="str">
        <f>OBRA!AF611</f>
        <v>-</v>
      </c>
      <c r="M609" s="1398"/>
      <c r="N609" s="1395" t="str">
        <f>OBRA!AG611</f>
        <v>-</v>
      </c>
      <c r="O609" s="1395"/>
      <c r="P609" s="1395"/>
      <c r="Q609" s="1397"/>
      <c r="R609" s="479" t="str">
        <f>OBRA!AH611</f>
        <v>-</v>
      </c>
      <c r="S609" s="591"/>
      <c r="T609" s="446" t="str">
        <f>OBRA!U611</f>
        <v>ING. SERGIO CABRERA</v>
      </c>
      <c r="U609" s="447">
        <f>OBRA!V611</f>
        <v>0</v>
      </c>
      <c r="V609" s="1281"/>
      <c r="W609" s="20" t="str">
        <f>OBRA!L611</f>
        <v>CPSP DOP 006/2022</v>
      </c>
      <c r="X609" s="1659"/>
      <c r="Y609" s="1659"/>
      <c r="Z609" s="448" t="str">
        <f>OBRA!K611</f>
        <v>CUENTA CORRIENTE</v>
      </c>
      <c r="AA609" s="1659"/>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428" t="str">
        <f>OBRA!S611</f>
        <v>-</v>
      </c>
      <c r="AH609" s="1014"/>
      <c r="AI609" s="169"/>
      <c r="AJ609" s="239"/>
      <c r="AK609" s="239"/>
      <c r="AL609" s="715"/>
      <c r="AM609" s="573">
        <f>GRAL!B797</f>
        <v>0</v>
      </c>
      <c r="AN609" s="448"/>
      <c r="AO609" s="13"/>
    </row>
    <row r="610" spans="1:41" ht="30.75" hidden="1" thickTop="1">
      <c r="A610" s="166">
        <f>OBRA!I612</f>
        <v>2022</v>
      </c>
      <c r="B610" s="2036"/>
      <c r="C610" s="1612"/>
      <c r="D610" s="171"/>
      <c r="E610" s="1393"/>
      <c r="F610" s="1393"/>
      <c r="G610" s="1394"/>
      <c r="H610" s="1395" t="str">
        <f>OBRA!AD612</f>
        <v>-</v>
      </c>
      <c r="I610" s="1396"/>
      <c r="J610" s="1613" t="str">
        <f>OBRA!AE612</f>
        <v>-</v>
      </c>
      <c r="K610" s="1397"/>
      <c r="L610" s="1395" t="str">
        <f>OBRA!AF612</f>
        <v>-</v>
      </c>
      <c r="M610" s="1398"/>
      <c r="N610" s="1395" t="str">
        <f>OBRA!AG612</f>
        <v>-</v>
      </c>
      <c r="O610" s="1395"/>
      <c r="P610" s="1395"/>
      <c r="Q610" s="1397"/>
      <c r="R610" s="479" t="str">
        <f>OBRA!AH612</f>
        <v>-</v>
      </c>
      <c r="S610" s="591"/>
      <c r="T610" s="446" t="str">
        <f>OBRA!U612</f>
        <v>-</v>
      </c>
      <c r="U610" s="447">
        <f>OBRA!V612</f>
        <v>0</v>
      </c>
      <c r="V610" s="1281"/>
      <c r="W610" s="20" t="str">
        <f>OBRA!L612</f>
        <v>CPSP DOP 007/2022</v>
      </c>
      <c r="X610" s="1659"/>
      <c r="Y610" s="1659"/>
      <c r="Z610" s="448" t="str">
        <f>OBRA!K612</f>
        <v>CUENTA CORRIENTE</v>
      </c>
      <c r="AA610" s="1659"/>
      <c r="AB610" s="2" t="str">
        <f>OBRA!M612</f>
        <v>SERVICIOS (CANCELADO)</v>
      </c>
      <c r="AC610" s="3" t="str">
        <f>OBRA!N612</f>
        <v>-</v>
      </c>
      <c r="AD610" s="4">
        <f>OBRA!P612</f>
        <v>0</v>
      </c>
      <c r="AE610" s="6">
        <f>OBRA!Q612</f>
        <v>0</v>
      </c>
      <c r="AF610" s="5">
        <f>OBRA!R612</f>
        <v>0</v>
      </c>
      <c r="AG610" s="428">
        <f>OBRA!S612</f>
        <v>0</v>
      </c>
      <c r="AH610" s="1014"/>
      <c r="AI610" s="169"/>
      <c r="AJ610" s="239"/>
      <c r="AK610" s="239"/>
      <c r="AL610" s="715"/>
      <c r="AM610" s="573">
        <f>GRAL!B798</f>
        <v>0</v>
      </c>
      <c r="AN610" s="448"/>
      <c r="AO610" s="13"/>
    </row>
    <row r="611" spans="1:41" ht="75.75" hidden="1" thickTop="1">
      <c r="A611" s="166">
        <f>OBRA!I613</f>
        <v>2022</v>
      </c>
      <c r="B611" s="2036"/>
      <c r="C611" s="1612"/>
      <c r="D611" s="171"/>
      <c r="E611" s="1393"/>
      <c r="F611" s="1393"/>
      <c r="G611" s="1394"/>
      <c r="H611" s="1395" t="str">
        <f>OBRA!AD613</f>
        <v>-</v>
      </c>
      <c r="I611" s="1396"/>
      <c r="J611" s="1613" t="str">
        <f>OBRA!AE613</f>
        <v>-</v>
      </c>
      <c r="K611" s="1397"/>
      <c r="L611" s="1395" t="str">
        <f>OBRA!AF613</f>
        <v>-</v>
      </c>
      <c r="M611" s="1398"/>
      <c r="N611" s="1395" t="str">
        <f>OBRA!AG613</f>
        <v>-</v>
      </c>
      <c r="O611" s="1395"/>
      <c r="P611" s="1395"/>
      <c r="Q611" s="1397"/>
      <c r="R611" s="479" t="str">
        <f>OBRA!AH613</f>
        <v>-</v>
      </c>
      <c r="S611" s="591"/>
      <c r="T611" s="446" t="str">
        <f>OBRA!U613</f>
        <v>ING. SERGIO CABRERA</v>
      </c>
      <c r="U611" s="447">
        <f>OBRA!V613</f>
        <v>0</v>
      </c>
      <c r="V611" s="1281"/>
      <c r="W611" s="20" t="str">
        <f>OBRA!L613</f>
        <v>CPSP DOP 008/2022</v>
      </c>
      <c r="X611" s="1659"/>
      <c r="Y611" s="1659"/>
      <c r="Z611" s="448" t="str">
        <f>OBRA!K613</f>
        <v>CUENTA CORRIENTE</v>
      </c>
      <c r="AA611" s="1659"/>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428" t="str">
        <f>OBRA!S613</f>
        <v>-</v>
      </c>
      <c r="AH611" s="1014"/>
      <c r="AI611" s="169"/>
      <c r="AJ611" s="239"/>
      <c r="AK611" s="239"/>
      <c r="AL611" s="715"/>
      <c r="AM611" s="573">
        <f>GRAL!B799</f>
        <v>0</v>
      </c>
      <c r="AN611" s="448"/>
      <c r="AO611" s="13"/>
    </row>
    <row r="612" spans="1:41" ht="105.75" hidden="1" thickTop="1">
      <c r="A612" s="166">
        <f>OBRA!I614</f>
        <v>2022</v>
      </c>
      <c r="B612" s="2036"/>
      <c r="C612" s="1612"/>
      <c r="D612" s="171"/>
      <c r="E612" s="1393"/>
      <c r="F612" s="1393"/>
      <c r="G612" s="1394"/>
      <c r="H612" s="1395" t="str">
        <f>OBRA!AD614</f>
        <v>-</v>
      </c>
      <c r="I612" s="1396"/>
      <c r="J612" s="1613" t="str">
        <f>OBRA!AE614</f>
        <v>-</v>
      </c>
      <c r="K612" s="1397"/>
      <c r="L612" s="1395" t="str">
        <f>OBRA!AF614</f>
        <v>-</v>
      </c>
      <c r="M612" s="1398"/>
      <c r="N612" s="1395" t="str">
        <f>OBRA!AG614</f>
        <v>-</v>
      </c>
      <c r="O612" s="1395"/>
      <c r="P612" s="1395"/>
      <c r="Q612" s="1397"/>
      <c r="R612" s="479" t="str">
        <f>OBRA!AH614</f>
        <v>-</v>
      </c>
      <c r="S612" s="591"/>
      <c r="T612" s="446" t="str">
        <f>OBRA!U614</f>
        <v>ECCOC DE GUADALAJARA, S.A. DE C.V.</v>
      </c>
      <c r="U612" s="447">
        <f>OBRA!V614</f>
        <v>0</v>
      </c>
      <c r="V612" s="1281"/>
      <c r="W612" s="20" t="str">
        <f>OBRA!L614</f>
        <v>CPSP DOP 009/2022</v>
      </c>
      <c r="X612" s="1659"/>
      <c r="Y612" s="1659"/>
      <c r="Z612" s="448" t="str">
        <f>OBRA!K614</f>
        <v>CUENTA CORRIENTE</v>
      </c>
      <c r="AA612" s="1659"/>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428" t="str">
        <f>OBRA!S614</f>
        <v>-</v>
      </c>
      <c r="AH612" s="1014"/>
      <c r="AI612" s="169"/>
      <c r="AJ612" s="239"/>
      <c r="AK612" s="239"/>
      <c r="AL612" s="715"/>
      <c r="AM612" s="573">
        <f>GRAL!B800</f>
        <v>0</v>
      </c>
      <c r="AN612" s="448"/>
      <c r="AO612" s="13"/>
    </row>
    <row r="613" spans="1:41" ht="90.75" hidden="1" thickTop="1">
      <c r="A613" s="166">
        <f>OBRA!I615</f>
        <v>2022</v>
      </c>
      <c r="B613" s="2036"/>
      <c r="C613" s="1612"/>
      <c r="D613" s="171"/>
      <c r="E613" s="1393"/>
      <c r="F613" s="1393"/>
      <c r="G613" s="1394"/>
      <c r="H613" s="1395" t="str">
        <f>OBRA!AD615</f>
        <v>-</v>
      </c>
      <c r="I613" s="1396"/>
      <c r="J613" s="1613" t="str">
        <f>OBRA!AE615</f>
        <v>-</v>
      </c>
      <c r="K613" s="1397"/>
      <c r="L613" s="1395" t="str">
        <f>OBRA!AF615</f>
        <v>-</v>
      </c>
      <c r="M613" s="1398"/>
      <c r="N613" s="1395" t="str">
        <f>OBRA!AG615</f>
        <v>-</v>
      </c>
      <c r="O613" s="1395"/>
      <c r="P613" s="1395"/>
      <c r="Q613" s="1397"/>
      <c r="R613" s="479" t="str">
        <f>OBRA!AH615</f>
        <v>-</v>
      </c>
      <c r="S613" s="591"/>
      <c r="T613" s="446" t="str">
        <f>OBRA!U615</f>
        <v>PEDRO MACHUCA SAAVEDRA</v>
      </c>
      <c r="U613" s="447">
        <f>OBRA!V615</f>
        <v>0</v>
      </c>
      <c r="V613" s="1281"/>
      <c r="W613" s="20" t="str">
        <f>OBRA!L615</f>
        <v>CPSP DOP 010/2022</v>
      </c>
      <c r="X613" s="1659"/>
      <c r="Y613" s="1659"/>
      <c r="Z613" s="448" t="str">
        <f>OBRA!K615</f>
        <v>CUENTA CORRIENTE</v>
      </c>
      <c r="AA613" s="1659"/>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428">
        <f>OBRA!S615</f>
        <v>44660</v>
      </c>
      <c r="AH613" s="1014"/>
      <c r="AI613" s="169"/>
      <c r="AJ613" s="239"/>
      <c r="AK613" s="239"/>
      <c r="AL613" s="715"/>
      <c r="AM613" s="573">
        <f>GRAL!B801</f>
        <v>0</v>
      </c>
      <c r="AN613" s="448"/>
      <c r="AO613" s="13"/>
    </row>
    <row r="614" spans="1:41" ht="75.75" hidden="1" thickTop="1">
      <c r="A614" s="166">
        <f>OBRA!I616</f>
        <v>2022</v>
      </c>
      <c r="B614" s="2036"/>
      <c r="C614" s="1612"/>
      <c r="D614" s="171"/>
      <c r="E614" s="1393"/>
      <c r="F614" s="1393"/>
      <c r="G614" s="1394"/>
      <c r="H614" s="1395" t="str">
        <f>OBRA!AD616</f>
        <v>-</v>
      </c>
      <c r="I614" s="1396"/>
      <c r="J614" s="1613" t="str">
        <f>OBRA!AE616</f>
        <v>-</v>
      </c>
      <c r="K614" s="1397"/>
      <c r="L614" s="1395" t="str">
        <f>OBRA!AF616</f>
        <v>-</v>
      </c>
      <c r="M614" s="1398"/>
      <c r="N614" s="1395" t="str">
        <f>OBRA!AG616</f>
        <v>-</v>
      </c>
      <c r="O614" s="1395"/>
      <c r="P614" s="1395"/>
      <c r="Q614" s="1397"/>
      <c r="R614" s="479" t="str">
        <f>OBRA!AH616</f>
        <v>-</v>
      </c>
      <c r="S614" s="591"/>
      <c r="T614" s="446" t="str">
        <f>OBRA!U616</f>
        <v>J. TRINIDAD NÚÑEZ BRITO</v>
      </c>
      <c r="U614" s="447">
        <f>OBRA!V616</f>
        <v>0</v>
      </c>
      <c r="V614" s="1281"/>
      <c r="W614" s="20" t="str">
        <f>OBRA!L616</f>
        <v>CPSP DOP 011/2022</v>
      </c>
      <c r="X614" s="1659"/>
      <c r="Y614" s="1659"/>
      <c r="Z614" s="448" t="str">
        <f>OBRA!K616</f>
        <v>CUENTA CORRIENTE</v>
      </c>
      <c r="AA614" s="1659"/>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428">
        <f>OBRA!S616</f>
        <v>44695</v>
      </c>
      <c r="AH614" s="1014"/>
      <c r="AI614" s="169"/>
      <c r="AJ614" s="239"/>
      <c r="AK614" s="239"/>
      <c r="AL614" s="715"/>
      <c r="AM614" s="573">
        <f>GRAL!B802</f>
        <v>0</v>
      </c>
      <c r="AN614" s="448"/>
      <c r="AO614" s="13"/>
    </row>
    <row r="615" spans="1:41" ht="120.75" hidden="1" thickTop="1">
      <c r="A615" s="166">
        <f>OBRA!I617</f>
        <v>2022</v>
      </c>
      <c r="B615" s="2036"/>
      <c r="C615" s="1612"/>
      <c r="D615" s="171"/>
      <c r="E615" s="1393"/>
      <c r="F615" s="1393"/>
      <c r="G615" s="1394"/>
      <c r="H615" s="1395" t="str">
        <f>OBRA!AD617</f>
        <v>-</v>
      </c>
      <c r="I615" s="1396"/>
      <c r="J615" s="1613" t="str">
        <f>OBRA!AE617</f>
        <v>-</v>
      </c>
      <c r="K615" s="1397"/>
      <c r="L615" s="1395" t="str">
        <f>OBRA!AF617</f>
        <v>-</v>
      </c>
      <c r="M615" s="1398"/>
      <c r="N615" s="1395" t="str">
        <f>OBRA!AG617</f>
        <v>-</v>
      </c>
      <c r="O615" s="1395"/>
      <c r="P615" s="1395"/>
      <c r="Q615" s="1397"/>
      <c r="R615" s="479" t="str">
        <f>OBRA!AH617</f>
        <v>-</v>
      </c>
      <c r="S615" s="591"/>
      <c r="T615" s="446" t="str">
        <f>OBRA!U617</f>
        <v>ECCOC DE GUADALAJARA, S.A. DE C.V.</v>
      </c>
      <c r="U615" s="447">
        <f>OBRA!V617</f>
        <v>0</v>
      </c>
      <c r="V615" s="1281"/>
      <c r="W615" s="20" t="str">
        <f>OBRA!L617</f>
        <v>CPSP DOP 012/2022</v>
      </c>
      <c r="X615" s="1659"/>
      <c r="Y615" s="1659"/>
      <c r="Z615" s="448" t="str">
        <f>OBRA!K617</f>
        <v>CUENTA CORRIENTE</v>
      </c>
      <c r="AA615" s="1659"/>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428" t="str">
        <f>OBRA!S617</f>
        <v>-</v>
      </c>
      <c r="AH615" s="1014"/>
      <c r="AI615" s="169"/>
      <c r="AJ615" s="239"/>
      <c r="AK615" s="239"/>
      <c r="AL615" s="715"/>
      <c r="AM615" s="573">
        <f>GRAL!B803</f>
        <v>0</v>
      </c>
      <c r="AN615" s="448"/>
      <c r="AO615" s="13"/>
    </row>
    <row r="616" spans="1:41" ht="165.75" hidden="1" thickTop="1">
      <c r="A616" s="166">
        <f>OBRA!I618</f>
        <v>2022</v>
      </c>
      <c r="B616" s="2036"/>
      <c r="C616" s="1612"/>
      <c r="D616" s="171"/>
      <c r="E616" s="1393"/>
      <c r="F616" s="1393"/>
      <c r="G616" s="1394"/>
      <c r="H616" s="1395" t="str">
        <f>OBRA!AD618</f>
        <v>-</v>
      </c>
      <c r="I616" s="1396"/>
      <c r="J616" s="1613" t="str">
        <f>OBRA!AE618</f>
        <v>-</v>
      </c>
      <c r="K616" s="1397"/>
      <c r="L616" s="1395" t="str">
        <f>OBRA!AF618</f>
        <v>-</v>
      </c>
      <c r="M616" s="1398"/>
      <c r="N616" s="1395" t="str">
        <f>OBRA!AG618</f>
        <v>-</v>
      </c>
      <c r="O616" s="1395"/>
      <c r="P616" s="1395"/>
      <c r="Q616" s="1397"/>
      <c r="R616" s="479" t="str">
        <f>OBRA!AH618</f>
        <v>-</v>
      </c>
      <c r="S616" s="591"/>
      <c r="T616" s="446" t="str">
        <f>OBRA!U618</f>
        <v>ECCOC DE GUADALAJARA, S.A. DE C.V.</v>
      </c>
      <c r="U616" s="447">
        <f>OBRA!V618</f>
        <v>0</v>
      </c>
      <c r="V616" s="1281"/>
      <c r="W616" s="20" t="str">
        <f>OBRA!L618</f>
        <v>CPSP DOP 013/2022</v>
      </c>
      <c r="X616" s="1659"/>
      <c r="Y616" s="1659"/>
      <c r="Z616" s="448" t="str">
        <f>OBRA!K618</f>
        <v>CUENTA CORRIENTE</v>
      </c>
      <c r="AA616" s="1659"/>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428" t="str">
        <f>OBRA!S618</f>
        <v>-</v>
      </c>
      <c r="AH616" s="1014"/>
      <c r="AI616" s="169"/>
      <c r="AJ616" s="239"/>
      <c r="AK616" s="239"/>
      <c r="AL616" s="715"/>
      <c r="AM616" s="573">
        <f>GRAL!B804</f>
        <v>0</v>
      </c>
      <c r="AN616" s="448"/>
      <c r="AO616" s="13"/>
    </row>
    <row r="617" spans="1:41" ht="120.75" hidden="1" thickTop="1">
      <c r="A617" s="166">
        <f>OBRA!I619</f>
        <v>2022</v>
      </c>
      <c r="B617" s="2036"/>
      <c r="C617" s="1612"/>
      <c r="D617" s="171"/>
      <c r="E617" s="1393"/>
      <c r="F617" s="1393"/>
      <c r="G617" s="1394"/>
      <c r="H617" s="1395" t="str">
        <f>OBRA!AD619</f>
        <v>-</v>
      </c>
      <c r="I617" s="1396"/>
      <c r="J617" s="1613" t="str">
        <f>OBRA!AE619</f>
        <v>-</v>
      </c>
      <c r="K617" s="1397"/>
      <c r="L617" s="1395" t="str">
        <f>OBRA!AF619</f>
        <v>-</v>
      </c>
      <c r="M617" s="1398"/>
      <c r="N617" s="1395" t="str">
        <f>OBRA!AG619</f>
        <v>-</v>
      </c>
      <c r="O617" s="1395"/>
      <c r="P617" s="1395"/>
      <c r="Q617" s="1397"/>
      <c r="R617" s="479" t="str">
        <f>OBRA!AH619</f>
        <v>-</v>
      </c>
      <c r="S617" s="591"/>
      <c r="T617" s="446" t="str">
        <f>OBRA!U619</f>
        <v>PEDRO MACHUCA SAAVEDRA</v>
      </c>
      <c r="U617" s="447">
        <f>OBRA!V619</f>
        <v>0</v>
      </c>
      <c r="V617" s="1281"/>
      <c r="W617" s="20" t="str">
        <f>OBRA!L619</f>
        <v>CPSP DOP 014/2022</v>
      </c>
      <c r="X617" s="1659"/>
      <c r="Y617" s="1659"/>
      <c r="Z617" s="448" t="str">
        <f>OBRA!K619</f>
        <v>CUENTA CORRIENTE</v>
      </c>
      <c r="AA617" s="1659"/>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428">
        <f>OBRA!S619</f>
        <v>44716</v>
      </c>
      <c r="AH617" s="1014"/>
      <c r="AI617" s="169"/>
      <c r="AJ617" s="239"/>
      <c r="AK617" s="239"/>
      <c r="AL617" s="715"/>
      <c r="AM617" s="573">
        <f>GRAL!B805</f>
        <v>0</v>
      </c>
      <c r="AN617" s="448"/>
      <c r="AO617" s="13"/>
    </row>
    <row r="618" spans="1:41" ht="30.75" hidden="1" thickTop="1">
      <c r="A618" s="166">
        <f>OBRA!I620</f>
        <v>2022</v>
      </c>
      <c r="B618" s="2036"/>
      <c r="C618" s="1612"/>
      <c r="D618" s="171"/>
      <c r="E618" s="1393"/>
      <c r="F618" s="1393"/>
      <c r="G618" s="1394"/>
      <c r="H618" s="1395" t="str">
        <f>OBRA!AD620</f>
        <v>-</v>
      </c>
      <c r="I618" s="1396"/>
      <c r="J618" s="1613" t="str">
        <f>OBRA!AE620</f>
        <v>-</v>
      </c>
      <c r="K618" s="1397"/>
      <c r="L618" s="1395" t="str">
        <f>OBRA!AF620</f>
        <v>-</v>
      </c>
      <c r="M618" s="1398"/>
      <c r="N618" s="1395" t="str">
        <f>OBRA!AG620</f>
        <v>-</v>
      </c>
      <c r="O618" s="1395"/>
      <c r="P618" s="1395"/>
      <c r="Q618" s="1397"/>
      <c r="R618" s="479" t="str">
        <f>OBRA!AH620</f>
        <v>-</v>
      </c>
      <c r="S618" s="591"/>
      <c r="T618" s="446" t="str">
        <f>OBRA!U620</f>
        <v>-</v>
      </c>
      <c r="U618" s="447">
        <f>OBRA!V620</f>
        <v>0</v>
      </c>
      <c r="V618" s="1281"/>
      <c r="W618" s="20" t="str">
        <f>OBRA!L620</f>
        <v>CPSP DOP 015/2022</v>
      </c>
      <c r="X618" s="1659"/>
      <c r="Y618" s="1659"/>
      <c r="Z618" s="448" t="str">
        <f>OBRA!K620</f>
        <v>CUENTA CORRIENTE</v>
      </c>
      <c r="AA618" s="1659"/>
      <c r="AB618" s="2" t="str">
        <f>OBRA!M620</f>
        <v>SERVICIOS (CANCELADO)</v>
      </c>
      <c r="AC618" s="3" t="str">
        <f>OBRA!N620</f>
        <v>-</v>
      </c>
      <c r="AD618" s="4">
        <f>OBRA!P620</f>
        <v>0</v>
      </c>
      <c r="AE618" s="6">
        <f>OBRA!Q620</f>
        <v>0</v>
      </c>
      <c r="AF618" s="5">
        <f>OBRA!R620</f>
        <v>0</v>
      </c>
      <c r="AG618" s="428">
        <f>OBRA!S620</f>
        <v>0</v>
      </c>
      <c r="AH618" s="1014"/>
      <c r="AI618" s="169"/>
      <c r="AJ618" s="239"/>
      <c r="AK618" s="239"/>
      <c r="AL618" s="715"/>
      <c r="AM618" s="573">
        <f>GRAL!B806</f>
        <v>0</v>
      </c>
      <c r="AN618" s="448"/>
      <c r="AO618" s="13"/>
    </row>
    <row r="619" spans="1:41" ht="30.75" hidden="1" thickTop="1">
      <c r="A619" s="166">
        <f>OBRA!I621</f>
        <v>2022</v>
      </c>
      <c r="B619" s="2036"/>
      <c r="C619" s="1612"/>
      <c r="D619" s="171"/>
      <c r="E619" s="1393"/>
      <c r="F619" s="1393"/>
      <c r="G619" s="1394"/>
      <c r="H619" s="1395" t="str">
        <f>OBRA!AD621</f>
        <v>-</v>
      </c>
      <c r="I619" s="1396"/>
      <c r="J619" s="1613" t="str">
        <f>OBRA!AE621</f>
        <v>-</v>
      </c>
      <c r="K619" s="1397"/>
      <c r="L619" s="1395" t="str">
        <f>OBRA!AF621</f>
        <v>-</v>
      </c>
      <c r="M619" s="1398"/>
      <c r="N619" s="1395" t="str">
        <f>OBRA!AG621</f>
        <v>-</v>
      </c>
      <c r="O619" s="1395"/>
      <c r="P619" s="1395"/>
      <c r="Q619" s="1397"/>
      <c r="R619" s="479" t="str">
        <f>OBRA!AH621</f>
        <v>-</v>
      </c>
      <c r="S619" s="591"/>
      <c r="T619" s="446" t="str">
        <f>OBRA!U621</f>
        <v>-</v>
      </c>
      <c r="U619" s="447">
        <f>OBRA!V621</f>
        <v>0</v>
      </c>
      <c r="V619" s="1281"/>
      <c r="W619" s="20" t="str">
        <f>OBRA!L621</f>
        <v>CPSP DOP 016/2022</v>
      </c>
      <c r="X619" s="1659"/>
      <c r="Y619" s="1659"/>
      <c r="Z619" s="448" t="str">
        <f>OBRA!K621</f>
        <v>CUENTA CORRIENTE</v>
      </c>
      <c r="AA619" s="1659"/>
      <c r="AB619" s="2" t="str">
        <f>OBRA!M621</f>
        <v>SERVICIOS (CANCELADO)</v>
      </c>
      <c r="AC619" s="3" t="str">
        <f>OBRA!N621</f>
        <v>-</v>
      </c>
      <c r="AD619" s="4">
        <f>OBRA!P621</f>
        <v>0</v>
      </c>
      <c r="AE619" s="6">
        <f>OBRA!Q621</f>
        <v>0</v>
      </c>
      <c r="AF619" s="5">
        <f>OBRA!R621</f>
        <v>0</v>
      </c>
      <c r="AG619" s="428">
        <f>OBRA!S621</f>
        <v>0</v>
      </c>
      <c r="AH619" s="1014"/>
      <c r="AI619" s="169"/>
      <c r="AJ619" s="239"/>
      <c r="AK619" s="239"/>
      <c r="AL619" s="715"/>
      <c r="AM619" s="573">
        <f>GRAL!B807</f>
        <v>0</v>
      </c>
      <c r="AN619" s="448"/>
      <c r="AO619" s="13"/>
    </row>
    <row r="620" spans="1:41" ht="30.75" hidden="1" thickTop="1">
      <c r="A620" s="166">
        <f>OBRA!I622</f>
        <v>2022</v>
      </c>
      <c r="B620" s="2036"/>
      <c r="C620" s="1612"/>
      <c r="D620" s="171"/>
      <c r="E620" s="1393"/>
      <c r="F620" s="1393"/>
      <c r="G620" s="1394"/>
      <c r="H620" s="1395" t="str">
        <f>OBRA!AD622</f>
        <v>-</v>
      </c>
      <c r="I620" s="1396"/>
      <c r="J620" s="1613" t="str">
        <f>OBRA!AE622</f>
        <v>-</v>
      </c>
      <c r="K620" s="1397"/>
      <c r="L620" s="1395" t="str">
        <f>OBRA!AF622</f>
        <v>-</v>
      </c>
      <c r="M620" s="1398"/>
      <c r="N620" s="1395" t="str">
        <f>OBRA!AG622</f>
        <v>-</v>
      </c>
      <c r="O620" s="1395"/>
      <c r="P620" s="1395"/>
      <c r="Q620" s="1397"/>
      <c r="R620" s="479" t="str">
        <f>OBRA!AH622</f>
        <v>-</v>
      </c>
      <c r="S620" s="591"/>
      <c r="T620" s="446" t="str">
        <f>OBRA!U622</f>
        <v>-</v>
      </c>
      <c r="U620" s="447">
        <f>OBRA!V622</f>
        <v>0</v>
      </c>
      <c r="V620" s="1281"/>
      <c r="W620" s="20" t="str">
        <f>OBRA!L622</f>
        <v>CPSP DOP 017/2022</v>
      </c>
      <c r="X620" s="1659"/>
      <c r="Y620" s="1659"/>
      <c r="Z620" s="448" t="str">
        <f>OBRA!K622</f>
        <v>CUENTA CORRIENTE</v>
      </c>
      <c r="AA620" s="1659"/>
      <c r="AB620" s="2" t="str">
        <f>OBRA!M622</f>
        <v>SERVICIOS (CANCELADO)</v>
      </c>
      <c r="AC620" s="3" t="str">
        <f>OBRA!N622</f>
        <v>-</v>
      </c>
      <c r="AD620" s="4">
        <f>OBRA!P622</f>
        <v>0</v>
      </c>
      <c r="AE620" s="6">
        <f>OBRA!Q622</f>
        <v>0</v>
      </c>
      <c r="AF620" s="5">
        <f>OBRA!R622</f>
        <v>0</v>
      </c>
      <c r="AG620" s="428">
        <f>OBRA!S622</f>
        <v>0</v>
      </c>
      <c r="AH620" s="1014"/>
      <c r="AI620" s="169"/>
      <c r="AJ620" s="239"/>
      <c r="AK620" s="239"/>
      <c r="AL620" s="715"/>
      <c r="AM620" s="573">
        <f>GRAL!B808</f>
        <v>0</v>
      </c>
      <c r="AN620" s="448"/>
      <c r="AO620" s="13"/>
    </row>
    <row r="621" spans="1:41" ht="30.75" hidden="1" thickTop="1">
      <c r="A621" s="166">
        <f>OBRA!I623</f>
        <v>2022</v>
      </c>
      <c r="B621" s="2036"/>
      <c r="C621" s="1612"/>
      <c r="D621" s="171"/>
      <c r="E621" s="1393"/>
      <c r="F621" s="1393"/>
      <c r="G621" s="1394"/>
      <c r="H621" s="1395" t="str">
        <f>OBRA!AD623</f>
        <v>-</v>
      </c>
      <c r="I621" s="1396"/>
      <c r="J621" s="1613" t="str">
        <f>OBRA!AE623</f>
        <v>-</v>
      </c>
      <c r="K621" s="1397"/>
      <c r="L621" s="1395" t="str">
        <f>OBRA!AF623</f>
        <v>-</v>
      </c>
      <c r="M621" s="1398"/>
      <c r="N621" s="1395" t="str">
        <f>OBRA!AG623</f>
        <v>-</v>
      </c>
      <c r="O621" s="1395"/>
      <c r="P621" s="1395"/>
      <c r="Q621" s="1397"/>
      <c r="R621" s="479" t="str">
        <f>OBRA!AH623</f>
        <v>-</v>
      </c>
      <c r="S621" s="591"/>
      <c r="T621" s="446" t="str">
        <f>OBRA!U623</f>
        <v>-</v>
      </c>
      <c r="U621" s="447">
        <f>OBRA!V623</f>
        <v>0</v>
      </c>
      <c r="V621" s="1281"/>
      <c r="W621" s="20" t="str">
        <f>OBRA!L623</f>
        <v>CPSP DOP 018/2022</v>
      </c>
      <c r="X621" s="1659"/>
      <c r="Y621" s="1659"/>
      <c r="Z621" s="448" t="str">
        <f>OBRA!K623</f>
        <v>CUENTA CORRIENTE</v>
      </c>
      <c r="AA621" s="1659"/>
      <c r="AB621" s="2" t="str">
        <f>OBRA!M623</f>
        <v>SERVICIOS (CANCELADO)</v>
      </c>
      <c r="AC621" s="3" t="str">
        <f>OBRA!N623</f>
        <v>-</v>
      </c>
      <c r="AD621" s="4">
        <f>OBRA!P623</f>
        <v>0</v>
      </c>
      <c r="AE621" s="6">
        <f>OBRA!Q623</f>
        <v>0</v>
      </c>
      <c r="AF621" s="5">
        <f>OBRA!R623</f>
        <v>0</v>
      </c>
      <c r="AG621" s="428">
        <f>OBRA!S623</f>
        <v>0</v>
      </c>
      <c r="AH621" s="1014"/>
      <c r="AI621" s="169"/>
      <c r="AJ621" s="239"/>
      <c r="AK621" s="239"/>
      <c r="AL621" s="715"/>
      <c r="AM621" s="573">
        <f>GRAL!B809</f>
        <v>0</v>
      </c>
      <c r="AN621" s="448"/>
      <c r="AO621" s="13"/>
    </row>
    <row r="622" spans="1:41" ht="30.75" hidden="1" thickTop="1">
      <c r="A622" s="166">
        <f>OBRA!I624</f>
        <v>2022</v>
      </c>
      <c r="B622" s="2036"/>
      <c r="C622" s="1612"/>
      <c r="D622" s="171"/>
      <c r="E622" s="1393"/>
      <c r="F622" s="1393"/>
      <c r="G622" s="1394"/>
      <c r="H622" s="1395" t="str">
        <f>OBRA!AD624</f>
        <v>-</v>
      </c>
      <c r="I622" s="1396"/>
      <c r="J622" s="1613" t="str">
        <f>OBRA!AE624</f>
        <v>-</v>
      </c>
      <c r="K622" s="1397"/>
      <c r="L622" s="1395" t="str">
        <f>OBRA!AF624</f>
        <v>-</v>
      </c>
      <c r="M622" s="1398"/>
      <c r="N622" s="1395" t="str">
        <f>OBRA!AG624</f>
        <v>-</v>
      </c>
      <c r="O622" s="1395"/>
      <c r="P622" s="1395"/>
      <c r="Q622" s="1397"/>
      <c r="R622" s="479" t="str">
        <f>OBRA!AH624</f>
        <v>-</v>
      </c>
      <c r="S622" s="591"/>
      <c r="T622" s="446" t="str">
        <f>OBRA!U624</f>
        <v>-</v>
      </c>
      <c r="U622" s="447">
        <f>OBRA!V624</f>
        <v>0</v>
      </c>
      <c r="V622" s="1281"/>
      <c r="W622" s="20" t="str">
        <f>OBRA!L624</f>
        <v>CPSP DOP 019/2022</v>
      </c>
      <c r="X622" s="1659"/>
      <c r="Y622" s="1659"/>
      <c r="Z622" s="448" t="str">
        <f>OBRA!K624</f>
        <v>CUENTA CORRIENTE</v>
      </c>
      <c r="AA622" s="1659"/>
      <c r="AB622" s="2" t="str">
        <f>OBRA!M624</f>
        <v>SERVICIOS (CANCELADO)</v>
      </c>
      <c r="AC622" s="3" t="str">
        <f>OBRA!N624</f>
        <v>-</v>
      </c>
      <c r="AD622" s="4">
        <f>OBRA!P624</f>
        <v>0</v>
      </c>
      <c r="AE622" s="6">
        <f>OBRA!Q624</f>
        <v>0</v>
      </c>
      <c r="AF622" s="5">
        <f>OBRA!R624</f>
        <v>0</v>
      </c>
      <c r="AG622" s="428">
        <f>OBRA!S624</f>
        <v>0</v>
      </c>
      <c r="AH622" s="1014"/>
      <c r="AI622" s="169"/>
      <c r="AJ622" s="239"/>
      <c r="AK622" s="239"/>
      <c r="AL622" s="715"/>
      <c r="AM622" s="573">
        <f>GRAL!B810</f>
        <v>0</v>
      </c>
      <c r="AN622" s="448"/>
      <c r="AO622" s="13"/>
    </row>
    <row r="623" spans="1:41" ht="30.75" hidden="1" thickTop="1">
      <c r="A623" s="166">
        <f>OBRA!I625</f>
        <v>2022</v>
      </c>
      <c r="B623" s="2036"/>
      <c r="C623" s="1612"/>
      <c r="D623" s="171"/>
      <c r="E623" s="1393"/>
      <c r="F623" s="1393"/>
      <c r="G623" s="1394"/>
      <c r="H623" s="1395" t="str">
        <f>OBRA!AD625</f>
        <v>-</v>
      </c>
      <c r="I623" s="1396"/>
      <c r="J623" s="1613" t="str">
        <f>OBRA!AE625</f>
        <v>-</v>
      </c>
      <c r="K623" s="1397"/>
      <c r="L623" s="1395" t="str">
        <f>OBRA!AF625</f>
        <v>-</v>
      </c>
      <c r="M623" s="1398"/>
      <c r="N623" s="1395" t="str">
        <f>OBRA!AG625</f>
        <v>-</v>
      </c>
      <c r="O623" s="1395"/>
      <c r="P623" s="1395"/>
      <c r="Q623" s="1397"/>
      <c r="R623" s="479" t="str">
        <f>OBRA!AH625</f>
        <v>-</v>
      </c>
      <c r="S623" s="591"/>
      <c r="T623" s="446" t="str">
        <f>OBRA!U625</f>
        <v>-</v>
      </c>
      <c r="U623" s="447">
        <f>OBRA!V625</f>
        <v>0</v>
      </c>
      <c r="V623" s="1281"/>
      <c r="W623" s="20" t="str">
        <f>OBRA!L625</f>
        <v>CPSP DOP 020/2022</v>
      </c>
      <c r="X623" s="1659"/>
      <c r="Y623" s="1659"/>
      <c r="Z623" s="448" t="str">
        <f>OBRA!K625</f>
        <v>CUENTA CORRIENTE</v>
      </c>
      <c r="AA623" s="1659"/>
      <c r="AB623" s="2" t="str">
        <f>OBRA!M625</f>
        <v>SERVICIOS (CANCELADO)</v>
      </c>
      <c r="AC623" s="3" t="str">
        <f>OBRA!N625</f>
        <v>-</v>
      </c>
      <c r="AD623" s="4">
        <f>OBRA!P625</f>
        <v>0</v>
      </c>
      <c r="AE623" s="6">
        <f>OBRA!Q625</f>
        <v>0</v>
      </c>
      <c r="AF623" s="5">
        <f>OBRA!R625</f>
        <v>0</v>
      </c>
      <c r="AG623" s="428">
        <f>OBRA!S625</f>
        <v>0</v>
      </c>
      <c r="AH623" s="1014"/>
      <c r="AI623" s="169"/>
      <c r="AJ623" s="239"/>
      <c r="AK623" s="239"/>
      <c r="AL623" s="715"/>
      <c r="AM623" s="573">
        <f>GRAL!B811</f>
        <v>0</v>
      </c>
      <c r="AN623" s="448"/>
      <c r="AO623" s="13"/>
    </row>
    <row r="624" spans="1:41" ht="120.75" hidden="1" thickTop="1">
      <c r="A624" s="166">
        <f>OBRA!I626</f>
        <v>2022</v>
      </c>
      <c r="B624" s="2036"/>
      <c r="C624" s="1612"/>
      <c r="D624" s="171"/>
      <c r="E624" s="1393"/>
      <c r="F624" s="1393"/>
      <c r="G624" s="1394"/>
      <c r="H624" s="1395" t="str">
        <f>OBRA!AD626</f>
        <v>-</v>
      </c>
      <c r="I624" s="1396"/>
      <c r="J624" s="1613" t="str">
        <f>OBRA!AE626</f>
        <v>-</v>
      </c>
      <c r="K624" s="1397"/>
      <c r="L624" s="1395" t="str">
        <f>OBRA!AF626</f>
        <v>-</v>
      </c>
      <c r="M624" s="1398"/>
      <c r="N624" s="1395" t="str">
        <f>OBRA!AG626</f>
        <v>-</v>
      </c>
      <c r="O624" s="1395"/>
      <c r="P624" s="1395"/>
      <c r="Q624" s="1397"/>
      <c r="R624" s="479" t="str">
        <f>OBRA!AH626</f>
        <v>-</v>
      </c>
      <c r="S624" s="591"/>
      <c r="T624" s="446" t="str">
        <f>OBRA!U626</f>
        <v>ALSERCON SA DE CV</v>
      </c>
      <c r="U624" s="447" t="str">
        <f>OBRA!V626</f>
        <v>C. DANIEL RODRIGUEZ VALENZUELA</v>
      </c>
      <c r="V624" s="1281"/>
      <c r="W624" s="20" t="str">
        <f>OBRA!L626</f>
        <v>C- OP 001/2022</v>
      </c>
      <c r="X624" s="1659"/>
      <c r="Y624" s="1659"/>
      <c r="Z624" s="448" t="str">
        <f>OBRA!K626</f>
        <v>CUENTA CORRIENTE</v>
      </c>
      <c r="AA624" s="1659"/>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428">
        <f>OBRA!S626</f>
        <v>44662</v>
      </c>
      <c r="AH624" s="1014"/>
      <c r="AI624" s="169"/>
      <c r="AJ624" s="239"/>
      <c r="AK624" s="239"/>
      <c r="AL624" s="715"/>
      <c r="AM624" s="573">
        <f>GRAL!B812</f>
        <v>0</v>
      </c>
      <c r="AN624" s="448"/>
      <c r="AO624" s="13"/>
    </row>
    <row r="625" spans="1:41" ht="105.75" hidden="1" thickTop="1">
      <c r="A625" s="166">
        <f>OBRA!I627</f>
        <v>2022</v>
      </c>
      <c r="B625" s="2036"/>
      <c r="C625" s="1612"/>
      <c r="D625" s="171"/>
      <c r="E625" s="1393"/>
      <c r="F625" s="1393"/>
      <c r="G625" s="1394"/>
      <c r="H625" s="1395" t="str">
        <f>OBRA!AD627</f>
        <v>-</v>
      </c>
      <c r="I625" s="1396"/>
      <c r="J625" s="1613" t="str">
        <f>OBRA!AE627</f>
        <v>-</v>
      </c>
      <c r="K625" s="1397"/>
      <c r="L625" s="1395" t="str">
        <f>OBRA!AF627</f>
        <v>-</v>
      </c>
      <c r="M625" s="1398"/>
      <c r="N625" s="1395" t="str">
        <f>OBRA!AG627</f>
        <v>-</v>
      </c>
      <c r="O625" s="1395"/>
      <c r="P625" s="1395"/>
      <c r="Q625" s="1397"/>
      <c r="R625" s="479" t="str">
        <f>OBRA!AH627</f>
        <v>-</v>
      </c>
      <c r="S625" s="591"/>
      <c r="T625" s="446" t="str">
        <f>OBRA!U627</f>
        <v xml:space="preserve">DORIA &amp; SAMPIER CONSTRUCTORA, S.A. DE C.V. </v>
      </c>
      <c r="U625" s="447" t="str">
        <f>OBRA!V627</f>
        <v>C. DANIEL RODRIGUEZ VALENZUELA</v>
      </c>
      <c r="V625" s="1281"/>
      <c r="W625" s="20" t="str">
        <f>OBRA!L627</f>
        <v>C- OP 002/2022</v>
      </c>
      <c r="X625" s="1659"/>
      <c r="Y625" s="1659"/>
      <c r="Z625" s="448" t="str">
        <f>OBRA!K627</f>
        <v>CUENTA CORRIENTE</v>
      </c>
      <c r="AA625" s="1659"/>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428" t="str">
        <f>OBRA!S627</f>
        <v>-</v>
      </c>
      <c r="AH625" s="1014"/>
      <c r="AI625" s="169"/>
      <c r="AJ625" s="239"/>
      <c r="AK625" s="239"/>
      <c r="AL625" s="715"/>
      <c r="AM625" s="573">
        <f>GRAL!B813</f>
        <v>0</v>
      </c>
      <c r="AN625" s="448"/>
      <c r="AO625" s="13"/>
    </row>
    <row r="626" spans="1:41" ht="120.75" hidden="1" thickTop="1">
      <c r="A626" s="166">
        <f>OBRA!I628</f>
        <v>2022</v>
      </c>
      <c r="B626" s="2036"/>
      <c r="C626" s="1612"/>
      <c r="D626" s="171"/>
      <c r="E626" s="1393"/>
      <c r="F626" s="1393"/>
      <c r="G626" s="1394"/>
      <c r="H626" s="1395" t="str">
        <f>OBRA!AD628</f>
        <v>-</v>
      </c>
      <c r="I626" s="1396"/>
      <c r="J626" s="1613" t="str">
        <f>OBRA!AE628</f>
        <v>-</v>
      </c>
      <c r="K626" s="1397"/>
      <c r="L626" s="1395" t="str">
        <f>OBRA!AF628</f>
        <v>-</v>
      </c>
      <c r="M626" s="1398"/>
      <c r="N626" s="1395" t="str">
        <f>OBRA!AG628</f>
        <v>-</v>
      </c>
      <c r="O626" s="1395"/>
      <c r="P626" s="1395"/>
      <c r="Q626" s="1397"/>
      <c r="R626" s="479" t="str">
        <f>OBRA!AH628</f>
        <v>-</v>
      </c>
      <c r="S626" s="591"/>
      <c r="T626" s="446" t="str">
        <f>OBRA!U628</f>
        <v>ALSERCON SA DE CV</v>
      </c>
      <c r="U626" s="447" t="str">
        <f>OBRA!V628</f>
        <v>C. DANIEL RODRIGUEZ VALENZUELA</v>
      </c>
      <c r="V626" s="1281"/>
      <c r="W626" s="20" t="str">
        <f>OBRA!L628</f>
        <v>C- OP 003/2022</v>
      </c>
      <c r="X626" s="1659"/>
      <c r="Y626" s="1659"/>
      <c r="Z626" s="448" t="str">
        <f>OBRA!K628</f>
        <v>CUENTA CORRIENTE</v>
      </c>
      <c r="AA626" s="1659"/>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428">
        <f>OBRA!S628</f>
        <v>44707</v>
      </c>
      <c r="AH626" s="1014"/>
      <c r="AI626" s="169"/>
      <c r="AJ626" s="239"/>
      <c r="AK626" s="239"/>
      <c r="AL626" s="715"/>
      <c r="AM626" s="573">
        <f>GRAL!B814</f>
        <v>0</v>
      </c>
      <c r="AN626" s="448"/>
      <c r="AO626" s="13"/>
    </row>
    <row r="627" spans="1:41" ht="120.75" hidden="1" thickTop="1">
      <c r="A627" s="166">
        <f>OBRA!I629</f>
        <v>2022</v>
      </c>
      <c r="B627" s="2036"/>
      <c r="C627" s="1612"/>
      <c r="D627" s="171"/>
      <c r="E627" s="1393"/>
      <c r="F627" s="1393"/>
      <c r="G627" s="1394"/>
      <c r="H627" s="1395" t="str">
        <f>OBRA!AD629</f>
        <v>-</v>
      </c>
      <c r="I627" s="1396"/>
      <c r="J627" s="1613" t="str">
        <f>OBRA!AE629</f>
        <v>-</v>
      </c>
      <c r="K627" s="1397"/>
      <c r="L627" s="1395" t="str">
        <f>OBRA!AF629</f>
        <v>-</v>
      </c>
      <c r="M627" s="1398"/>
      <c r="N627" s="1395" t="str">
        <f>OBRA!AG629</f>
        <v>-</v>
      </c>
      <c r="O627" s="1395"/>
      <c r="P627" s="1395"/>
      <c r="Q627" s="1397"/>
      <c r="R627" s="479" t="str">
        <f>OBRA!AH629</f>
        <v>-</v>
      </c>
      <c r="S627" s="591"/>
      <c r="T627" s="446" t="str">
        <f>OBRA!U629</f>
        <v>ING. SERGIO CABRERA</v>
      </c>
      <c r="U627" s="447" t="str">
        <f>OBRA!V629</f>
        <v>C. DANIEL RODRIGUEZ VALENZUELA</v>
      </c>
      <c r="V627" s="1281"/>
      <c r="W627" s="20" t="str">
        <f>OBRA!L629</f>
        <v>C- OP 004/2022</v>
      </c>
      <c r="X627" s="1659"/>
      <c r="Y627" s="1659"/>
      <c r="Z627" s="448" t="str">
        <f>OBRA!K629</f>
        <v>CUENTA CORRIENTE</v>
      </c>
      <c r="AA627" s="1659"/>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428" t="str">
        <f>OBRA!S629</f>
        <v>-</v>
      </c>
      <c r="AH627" s="1014"/>
      <c r="AI627" s="169"/>
      <c r="AJ627" s="239"/>
      <c r="AK627" s="239"/>
      <c r="AL627" s="715"/>
      <c r="AM627" s="573">
        <f>GRAL!B815</f>
        <v>0</v>
      </c>
      <c r="AN627" s="448"/>
      <c r="AO627" s="13"/>
    </row>
    <row r="628" spans="1:41" ht="120.75" hidden="1" thickTop="1">
      <c r="A628" s="166">
        <f>OBRA!I630</f>
        <v>2022</v>
      </c>
      <c r="B628" s="2036"/>
      <c r="C628" s="1612"/>
      <c r="D628" s="171"/>
      <c r="E628" s="1393"/>
      <c r="F628" s="1393"/>
      <c r="G628" s="1394"/>
      <c r="H628" s="1395" t="str">
        <f>OBRA!AD630</f>
        <v>-</v>
      </c>
      <c r="I628" s="1396"/>
      <c r="J628" s="1613" t="str">
        <f>OBRA!AE630</f>
        <v>-</v>
      </c>
      <c r="K628" s="1397"/>
      <c r="L628" s="1395" t="str">
        <f>OBRA!AF630</f>
        <v>-</v>
      </c>
      <c r="M628" s="1398"/>
      <c r="N628" s="1395" t="str">
        <f>OBRA!AG630</f>
        <v>-</v>
      </c>
      <c r="O628" s="1395"/>
      <c r="P628" s="1395"/>
      <c r="Q628" s="1397"/>
      <c r="R628" s="479" t="str">
        <f>OBRA!AH630</f>
        <v>-</v>
      </c>
      <c r="S628" s="591"/>
      <c r="T628" s="446" t="str">
        <f>OBRA!U630</f>
        <v>ING. SERGIO CABRERA</v>
      </c>
      <c r="U628" s="447" t="str">
        <f>OBRA!V630</f>
        <v>C. DANIEL RODRIGUEZ VALENZUELA</v>
      </c>
      <c r="V628" s="1281"/>
      <c r="W628" s="20" t="str">
        <f>OBRA!L630</f>
        <v>C- OP 005/2022</v>
      </c>
      <c r="X628" s="1659"/>
      <c r="Y628" s="1659"/>
      <c r="Z628" s="448" t="str">
        <f>OBRA!K630</f>
        <v>CUENTA CORRIENTE</v>
      </c>
      <c r="AA628" s="1659"/>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428" t="str">
        <f>OBRA!S630</f>
        <v>-</v>
      </c>
      <c r="AH628" s="1014"/>
      <c r="AI628" s="169"/>
      <c r="AJ628" s="239"/>
      <c r="AK628" s="239"/>
      <c r="AL628" s="715"/>
      <c r="AM628" s="573">
        <f>GRAL!B816</f>
        <v>0</v>
      </c>
      <c r="AN628" s="448"/>
      <c r="AO628" s="13"/>
    </row>
    <row r="629" spans="1:41" ht="120.75" hidden="1" thickTop="1">
      <c r="A629" s="166">
        <f>OBRA!I631</f>
        <v>2022</v>
      </c>
      <c r="B629" s="2036"/>
      <c r="C629" s="1612"/>
      <c r="D629" s="171"/>
      <c r="E629" s="1393"/>
      <c r="F629" s="1393"/>
      <c r="G629" s="1394"/>
      <c r="H629" s="1395" t="str">
        <f>OBRA!AD631</f>
        <v>-</v>
      </c>
      <c r="I629" s="1396"/>
      <c r="J629" s="1613" t="str">
        <f>OBRA!AE631</f>
        <v>-</v>
      </c>
      <c r="K629" s="1397"/>
      <c r="L629" s="1395" t="str">
        <f>OBRA!AF631</f>
        <v>-</v>
      </c>
      <c r="M629" s="1398"/>
      <c r="N629" s="1395" t="str">
        <f>OBRA!AG631</f>
        <v>-</v>
      </c>
      <c r="O629" s="1395"/>
      <c r="P629" s="1395"/>
      <c r="Q629" s="1397"/>
      <c r="R629" s="479" t="str">
        <f>OBRA!AH631</f>
        <v>-</v>
      </c>
      <c r="S629" s="591"/>
      <c r="T629" s="446" t="str">
        <f>OBRA!U631</f>
        <v>ING. SERGIO CABRERA</v>
      </c>
      <c r="U629" s="447" t="str">
        <f>OBRA!V631</f>
        <v>C. DANIEL RODRIGUEZ VALENZUELA</v>
      </c>
      <c r="V629" s="1281"/>
      <c r="W629" s="20" t="str">
        <f>OBRA!L631</f>
        <v>C- OP 006/2022</v>
      </c>
      <c r="X629" s="1659"/>
      <c r="Y629" s="1659"/>
      <c r="Z629" s="448" t="str">
        <f>OBRA!K631</f>
        <v>CUENTA CORRIENTE</v>
      </c>
      <c r="AA629" s="1659"/>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0</v>
      </c>
      <c r="AG629" s="428">
        <f>OBRA!S631</f>
        <v>0</v>
      </c>
      <c r="AH629" s="1014"/>
      <c r="AI629" s="169"/>
      <c r="AJ629" s="239"/>
      <c r="AK629" s="239"/>
      <c r="AL629" s="715"/>
      <c r="AM629" s="573">
        <f>GRAL!B817</f>
        <v>0</v>
      </c>
      <c r="AN629" s="448"/>
      <c r="AO629" s="13"/>
    </row>
    <row r="630" spans="1:41" ht="120.75" hidden="1" thickTop="1">
      <c r="A630" s="166">
        <f>OBRA!I632</f>
        <v>2022</v>
      </c>
      <c r="B630" s="2036"/>
      <c r="C630" s="1612"/>
      <c r="D630" s="171"/>
      <c r="E630" s="1393"/>
      <c r="F630" s="1393"/>
      <c r="G630" s="1394"/>
      <c r="H630" s="1395" t="str">
        <f>OBRA!AD632</f>
        <v>-</v>
      </c>
      <c r="I630" s="1396"/>
      <c r="J630" s="1613" t="str">
        <f>OBRA!AE632</f>
        <v>-</v>
      </c>
      <c r="K630" s="1397"/>
      <c r="L630" s="1395" t="str">
        <f>OBRA!AF632</f>
        <v>-</v>
      </c>
      <c r="M630" s="1398"/>
      <c r="N630" s="1395" t="str">
        <f>OBRA!AG632</f>
        <v>-</v>
      </c>
      <c r="O630" s="1395"/>
      <c r="P630" s="1395"/>
      <c r="Q630" s="1397"/>
      <c r="R630" s="479" t="str">
        <f>OBRA!AH632</f>
        <v>-</v>
      </c>
      <c r="S630" s="591"/>
      <c r="T630" s="446" t="str">
        <f>OBRA!U632</f>
        <v>ING. SERGIO CABRERA</v>
      </c>
      <c r="U630" s="447" t="str">
        <f>OBRA!V632</f>
        <v>C. DANIEL RODRIGUEZ VALENZUELA</v>
      </c>
      <c r="V630" s="1281"/>
      <c r="W630" s="20" t="str">
        <f>OBRA!L632</f>
        <v>C- OP 007/2022</v>
      </c>
      <c r="X630" s="1659"/>
      <c r="Y630" s="1659"/>
      <c r="Z630" s="448" t="str">
        <f>OBRA!K632</f>
        <v>CUENTA CORRIENTE</v>
      </c>
      <c r="AA630" s="1659"/>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0</v>
      </c>
      <c r="AG630" s="428">
        <f>OBRA!S632</f>
        <v>0</v>
      </c>
      <c r="AH630" s="1014"/>
      <c r="AI630" s="169"/>
      <c r="AJ630" s="239"/>
      <c r="AK630" s="239"/>
      <c r="AL630" s="715"/>
      <c r="AM630" s="573">
        <f>GRAL!B818</f>
        <v>0</v>
      </c>
      <c r="AN630" s="448"/>
      <c r="AO630" s="13"/>
    </row>
    <row r="631" spans="1:41" ht="120.75" hidden="1" thickTop="1">
      <c r="A631" s="166">
        <f>OBRA!I633</f>
        <v>2022</v>
      </c>
      <c r="B631" s="2036"/>
      <c r="C631" s="1612"/>
      <c r="D631" s="171"/>
      <c r="E631" s="1393"/>
      <c r="F631" s="1393"/>
      <c r="G631" s="1394"/>
      <c r="H631" s="1395" t="str">
        <f>OBRA!AD633</f>
        <v>-</v>
      </c>
      <c r="I631" s="1396"/>
      <c r="J631" s="1613" t="str">
        <f>OBRA!AE633</f>
        <v>-</v>
      </c>
      <c r="K631" s="1397"/>
      <c r="L631" s="1395" t="str">
        <f>OBRA!AF633</f>
        <v>-</v>
      </c>
      <c r="M631" s="1398"/>
      <c r="N631" s="1395" t="str">
        <f>OBRA!AG633</f>
        <v>-</v>
      </c>
      <c r="O631" s="1395"/>
      <c r="P631" s="1395"/>
      <c r="Q631" s="1397"/>
      <c r="R631" s="479" t="str">
        <f>OBRA!AH633</f>
        <v>-</v>
      </c>
      <c r="S631" s="591"/>
      <c r="T631" s="446" t="str">
        <f>OBRA!U633</f>
        <v>ING. SERGIO CABRERA</v>
      </c>
      <c r="U631" s="447" t="str">
        <f>OBRA!V633</f>
        <v>C. DANIEL RODRIGUEZ VALENZUELA</v>
      </c>
      <c r="V631" s="1281"/>
      <c r="W631" s="20" t="str">
        <f>OBRA!L633</f>
        <v>C- OP 008/2022</v>
      </c>
      <c r="X631" s="1659"/>
      <c r="Y631" s="1659"/>
      <c r="Z631" s="448" t="str">
        <f>OBRA!K633</f>
        <v>CUENTA CORRIENTE</v>
      </c>
      <c r="AA631" s="1659"/>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0</v>
      </c>
      <c r="AG631" s="428">
        <f>OBRA!S633</f>
        <v>0</v>
      </c>
      <c r="AH631" s="1014"/>
      <c r="AI631" s="169"/>
      <c r="AJ631" s="239"/>
      <c r="AK631" s="239"/>
      <c r="AL631" s="715"/>
      <c r="AM631" s="573">
        <f>GRAL!B819</f>
        <v>0</v>
      </c>
      <c r="AN631" s="448"/>
      <c r="AO631" s="13"/>
    </row>
    <row r="632" spans="1:41" ht="30.75" hidden="1" thickTop="1">
      <c r="A632" s="166">
        <f>OBRA!I634</f>
        <v>2022</v>
      </c>
      <c r="B632" s="2036"/>
      <c r="C632" s="1612"/>
      <c r="D632" s="171"/>
      <c r="E632" s="1393"/>
      <c r="F632" s="1393"/>
      <c r="G632" s="1394"/>
      <c r="H632" s="1395" t="str">
        <f>OBRA!AD634</f>
        <v>-</v>
      </c>
      <c r="I632" s="1396"/>
      <c r="J632" s="1613" t="str">
        <f>OBRA!AE634</f>
        <v>-</v>
      </c>
      <c r="K632" s="1397"/>
      <c r="L632" s="1395" t="str">
        <f>OBRA!AF634</f>
        <v>-</v>
      </c>
      <c r="M632" s="1398"/>
      <c r="N632" s="1395" t="str">
        <f>OBRA!AG634</f>
        <v>-</v>
      </c>
      <c r="O632" s="1395"/>
      <c r="P632" s="1395"/>
      <c r="Q632" s="1397"/>
      <c r="R632" s="479" t="str">
        <f>OBRA!AH634</f>
        <v>-</v>
      </c>
      <c r="S632" s="591"/>
      <c r="T632" s="446" t="str">
        <f>OBRA!U634</f>
        <v>-</v>
      </c>
      <c r="U632" s="447">
        <f>OBRA!V634</f>
        <v>0</v>
      </c>
      <c r="V632" s="1281"/>
      <c r="W632" s="20" t="str">
        <f>OBRA!L634</f>
        <v>C- OP 009/2022</v>
      </c>
      <c r="X632" s="1659"/>
      <c r="Y632" s="1659"/>
      <c r="Z632" s="448">
        <f>OBRA!K634</f>
        <v>0</v>
      </c>
      <c r="AA632" s="1659"/>
      <c r="AB632" s="2" t="str">
        <f>OBRA!M634</f>
        <v>ARRENDAMIENTO (CANCELADO)</v>
      </c>
      <c r="AC632" s="3" t="str">
        <f>OBRA!N634</f>
        <v>-</v>
      </c>
      <c r="AD632" s="4">
        <f>OBRA!P634</f>
        <v>0</v>
      </c>
      <c r="AE632" s="6">
        <f>OBRA!Q634</f>
        <v>0</v>
      </c>
      <c r="AF632" s="5">
        <f>OBRA!R634</f>
        <v>0</v>
      </c>
      <c r="AG632" s="428">
        <f>OBRA!S634</f>
        <v>0</v>
      </c>
      <c r="AH632" s="1014"/>
      <c r="AI632" s="169"/>
      <c r="AJ632" s="239"/>
      <c r="AK632" s="239"/>
      <c r="AL632" s="715"/>
      <c r="AM632" s="573">
        <f>GRAL!B820</f>
        <v>0</v>
      </c>
      <c r="AN632" s="448"/>
      <c r="AO632" s="13"/>
    </row>
    <row r="633" spans="1:41" ht="30.75" hidden="1" thickTop="1">
      <c r="A633" s="166">
        <f>OBRA!I635</f>
        <v>2022</v>
      </c>
      <c r="B633" s="2036"/>
      <c r="C633" s="1612"/>
      <c r="D633" s="171"/>
      <c r="E633" s="1393"/>
      <c r="F633" s="1393"/>
      <c r="G633" s="1394"/>
      <c r="H633" s="1395" t="str">
        <f>OBRA!AD635</f>
        <v>-</v>
      </c>
      <c r="I633" s="1396"/>
      <c r="J633" s="1613" t="str">
        <f>OBRA!AE635</f>
        <v>-</v>
      </c>
      <c r="K633" s="1397"/>
      <c r="L633" s="1395" t="str">
        <f>OBRA!AF635</f>
        <v>-</v>
      </c>
      <c r="M633" s="1398"/>
      <c r="N633" s="1395" t="str">
        <f>OBRA!AG635</f>
        <v>-</v>
      </c>
      <c r="O633" s="1395"/>
      <c r="P633" s="1395"/>
      <c r="Q633" s="1397"/>
      <c r="R633" s="479" t="str">
        <f>OBRA!AH635</f>
        <v>-</v>
      </c>
      <c r="S633" s="591"/>
      <c r="T633" s="446" t="str">
        <f>OBRA!U635</f>
        <v>-</v>
      </c>
      <c r="U633" s="447">
        <f>OBRA!V635</f>
        <v>0</v>
      </c>
      <c r="V633" s="1281"/>
      <c r="W633" s="20" t="str">
        <f>OBRA!L635</f>
        <v>C- OP 010/2022</v>
      </c>
      <c r="X633" s="1659"/>
      <c r="Y633" s="1659"/>
      <c r="Z633" s="448">
        <f>OBRA!K635</f>
        <v>0</v>
      </c>
      <c r="AA633" s="1659"/>
      <c r="AB633" s="2" t="str">
        <f>OBRA!M635</f>
        <v>ARRENDAMIENTO (CANCELADO)</v>
      </c>
      <c r="AC633" s="3" t="str">
        <f>OBRA!N635</f>
        <v>-</v>
      </c>
      <c r="AD633" s="4">
        <f>OBRA!P635</f>
        <v>0</v>
      </c>
      <c r="AE633" s="6">
        <f>OBRA!Q635</f>
        <v>0</v>
      </c>
      <c r="AF633" s="5">
        <f>OBRA!R635</f>
        <v>0</v>
      </c>
      <c r="AG633" s="428">
        <f>OBRA!S635</f>
        <v>0</v>
      </c>
      <c r="AH633" s="1014"/>
      <c r="AI633" s="169"/>
      <c r="AJ633" s="239"/>
      <c r="AK633" s="239"/>
      <c r="AL633" s="715"/>
      <c r="AM633" s="573">
        <f>GRAL!B821</f>
        <v>0</v>
      </c>
      <c r="AN633" s="448"/>
      <c r="AO633" s="13"/>
    </row>
    <row r="634" spans="1:41" ht="90.75" hidden="1" thickTop="1">
      <c r="A634" s="166">
        <f>OBRA!I636</f>
        <v>2022</v>
      </c>
      <c r="B634" s="2036"/>
      <c r="C634" s="1612"/>
      <c r="D634" s="171"/>
      <c r="E634" s="1393"/>
      <c r="F634" s="1393"/>
      <c r="G634" s="1394"/>
      <c r="H634" s="1395" t="str">
        <f>OBRA!AD636</f>
        <v>-</v>
      </c>
      <c r="I634" s="1396"/>
      <c r="J634" s="1613" t="str">
        <f>OBRA!AE636</f>
        <v>-</v>
      </c>
      <c r="K634" s="1397"/>
      <c r="L634" s="1395" t="str">
        <f>OBRA!AF636</f>
        <v>-</v>
      </c>
      <c r="M634" s="1398"/>
      <c r="N634" s="1395" t="str">
        <f>OBRA!AG636</f>
        <v>-</v>
      </c>
      <c r="O634" s="1395"/>
      <c r="P634" s="1395"/>
      <c r="Q634" s="1397"/>
      <c r="R634" s="479" t="str">
        <f>OBRA!AH636</f>
        <v>-</v>
      </c>
      <c r="S634" s="591"/>
      <c r="T634" s="446" t="str">
        <f>OBRA!U636</f>
        <v xml:space="preserve">SERVICIOS Y CONSTRUCCIONES NATENIO, S.A. DE C.V. </v>
      </c>
      <c r="U634" s="447" t="str">
        <f>OBRA!V636</f>
        <v>C. DANIEL RODRIGUEZ VALENZUELA</v>
      </c>
      <c r="V634" s="1281"/>
      <c r="W634" s="20" t="str">
        <f>OBRA!L636</f>
        <v>GMJ 001 C-OP/2022</v>
      </c>
      <c r="X634" s="1659"/>
      <c r="Y634" s="1659"/>
      <c r="Z634" s="448" t="str">
        <f>OBRA!K636</f>
        <v>RAMO 33</v>
      </c>
      <c r="AA634" s="1659"/>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428">
        <f>OBRA!S636</f>
        <v>44639</v>
      </c>
      <c r="AH634" s="1014"/>
      <c r="AI634" s="169"/>
      <c r="AJ634" s="239"/>
      <c r="AK634" s="239"/>
      <c r="AL634" s="715"/>
      <c r="AM634" s="573">
        <f>GRAL!B822</f>
        <v>0</v>
      </c>
      <c r="AN634" s="448"/>
      <c r="AO634" s="13"/>
    </row>
    <row r="635" spans="1:41" ht="75.75" hidden="1" thickTop="1">
      <c r="A635" s="166">
        <f>OBRA!I637</f>
        <v>2022</v>
      </c>
      <c r="B635" s="2036"/>
      <c r="C635" s="1612"/>
      <c r="D635" s="171"/>
      <c r="E635" s="1393"/>
      <c r="F635" s="1393"/>
      <c r="G635" s="1394"/>
      <c r="H635" s="1395" t="str">
        <f>OBRA!AD637</f>
        <v>-</v>
      </c>
      <c r="I635" s="1396"/>
      <c r="J635" s="1613" t="str">
        <f>OBRA!AE637</f>
        <v>-</v>
      </c>
      <c r="K635" s="1397"/>
      <c r="L635" s="1395" t="str">
        <f>OBRA!AF637</f>
        <v>-</v>
      </c>
      <c r="M635" s="1398"/>
      <c r="N635" s="1395" t="str">
        <f>OBRA!AG637</f>
        <v>-</v>
      </c>
      <c r="O635" s="1395"/>
      <c r="P635" s="1395"/>
      <c r="Q635" s="1397"/>
      <c r="R635" s="479" t="str">
        <f>OBRA!AH637</f>
        <v>-</v>
      </c>
      <c r="S635" s="591"/>
      <c r="T635" s="446" t="str">
        <f>OBRA!U637</f>
        <v xml:space="preserve">DORIA &amp; SAMPIER CONSTRUCTORA, S.A. DE C.V. </v>
      </c>
      <c r="U635" s="447" t="str">
        <f>OBRA!V637</f>
        <v>C. DANIEL RODRIGUEZ VALENZUELA</v>
      </c>
      <c r="V635" s="1281"/>
      <c r="W635" s="20" t="str">
        <f>OBRA!L637</f>
        <v>GMJ 002 C-OP/2022</v>
      </c>
      <c r="X635" s="1659"/>
      <c r="Y635" s="1659"/>
      <c r="Z635" s="448" t="str">
        <f>OBRA!K637</f>
        <v>RAMO 33</v>
      </c>
      <c r="AA635" s="1659"/>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428">
        <f>OBRA!S637</f>
        <v>44653</v>
      </c>
      <c r="AH635" s="1014"/>
      <c r="AI635" s="169"/>
      <c r="AJ635" s="239"/>
      <c r="AK635" s="239"/>
      <c r="AL635" s="715"/>
      <c r="AM635" s="573">
        <f>GRAL!B823</f>
        <v>0</v>
      </c>
      <c r="AN635" s="448"/>
      <c r="AO635" s="13"/>
    </row>
    <row r="636" spans="1:41" ht="90.75" hidden="1" thickTop="1">
      <c r="A636" s="166">
        <f>OBRA!I638</f>
        <v>2022</v>
      </c>
      <c r="B636" s="2036"/>
      <c r="C636" s="1612"/>
      <c r="D636" s="171"/>
      <c r="E636" s="1393"/>
      <c r="F636" s="1393"/>
      <c r="G636" s="1394"/>
      <c r="H636" s="1395" t="str">
        <f>OBRA!AD638</f>
        <v>-</v>
      </c>
      <c r="I636" s="1396"/>
      <c r="J636" s="1613" t="str">
        <f>OBRA!AE638</f>
        <v>-</v>
      </c>
      <c r="K636" s="1397"/>
      <c r="L636" s="1395" t="str">
        <f>OBRA!AF638</f>
        <v>-</v>
      </c>
      <c r="M636" s="1398"/>
      <c r="N636" s="1395" t="str">
        <f>OBRA!AG638</f>
        <v>-</v>
      </c>
      <c r="O636" s="1395"/>
      <c r="P636" s="1395"/>
      <c r="Q636" s="1397"/>
      <c r="R636" s="479" t="str">
        <f>OBRA!AH638</f>
        <v>-</v>
      </c>
      <c r="S636" s="591"/>
      <c r="T636" s="446" t="str">
        <f>OBRA!U638</f>
        <v xml:space="preserve">DORIA &amp; SAMPIER CONSTRUCTORA, S.A. DE C.V. </v>
      </c>
      <c r="U636" s="447" t="str">
        <f>OBRA!V638</f>
        <v>C. DANIEL RODRIGUEZ VALENZUELA</v>
      </c>
      <c r="V636" s="1281"/>
      <c r="W636" s="20" t="str">
        <f>OBRA!L638</f>
        <v>GMJ 003 C-OP/2022</v>
      </c>
      <c r="X636" s="1659"/>
      <c r="Y636" s="1659"/>
      <c r="Z636" s="448" t="str">
        <f>OBRA!K638</f>
        <v>RAMO 33</v>
      </c>
      <c r="AA636" s="1659"/>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428">
        <f>OBRA!S638</f>
        <v>44653</v>
      </c>
      <c r="AH636" s="1014"/>
      <c r="AI636" s="169"/>
      <c r="AJ636" s="239"/>
      <c r="AK636" s="239"/>
      <c r="AL636" s="715"/>
      <c r="AM636" s="573">
        <f>GRAL!B824</f>
        <v>0</v>
      </c>
      <c r="AN636" s="448"/>
      <c r="AO636" s="13"/>
    </row>
    <row r="637" spans="1:41" ht="180.75" hidden="1" thickTop="1">
      <c r="A637" s="166">
        <f>OBRA!I639</f>
        <v>2022</v>
      </c>
      <c r="B637" s="2036"/>
      <c r="C637" s="1612"/>
      <c r="D637" s="171"/>
      <c r="E637" s="1393"/>
      <c r="F637" s="1393"/>
      <c r="G637" s="1394"/>
      <c r="H637" s="1395" t="str">
        <f>OBRA!AD639</f>
        <v>-</v>
      </c>
      <c r="I637" s="1396"/>
      <c r="J637" s="1613" t="str">
        <f>OBRA!AE639</f>
        <v>-</v>
      </c>
      <c r="K637" s="1397"/>
      <c r="L637" s="1395" t="str">
        <f>OBRA!AF639</f>
        <v>-</v>
      </c>
      <c r="M637" s="1398"/>
      <c r="N637" s="1395" t="str">
        <f>OBRA!AG639</f>
        <v>-</v>
      </c>
      <c r="O637" s="1395"/>
      <c r="P637" s="1395"/>
      <c r="Q637" s="1397"/>
      <c r="R637" s="479" t="str">
        <f>OBRA!AH639</f>
        <v>-</v>
      </c>
      <c r="S637" s="591"/>
      <c r="T637" s="446" t="str">
        <f>OBRA!U639</f>
        <v>EDUARDO VENTURA PADILLA</v>
      </c>
      <c r="U637" s="447" t="str">
        <f>OBRA!V639</f>
        <v>ING. J. GUADALUPE IBARRA RAMIREZ</v>
      </c>
      <c r="V637" s="1281"/>
      <c r="W637" s="20" t="str">
        <f>OBRA!L639</f>
        <v>GMJ 004 C-OP/2022</v>
      </c>
      <c r="X637" s="1659"/>
      <c r="Y637" s="1659"/>
      <c r="Z637" s="448" t="str">
        <f>OBRA!K639</f>
        <v>RAMO 33</v>
      </c>
      <c r="AA637" s="1659"/>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428">
        <f>OBRA!S639</f>
        <v>44765</v>
      </c>
      <c r="AH637" s="1014"/>
      <c r="AI637" s="169"/>
      <c r="AJ637" s="239"/>
      <c r="AK637" s="239"/>
      <c r="AL637" s="715"/>
      <c r="AM637" s="573">
        <f>GRAL!B825</f>
        <v>0</v>
      </c>
      <c r="AN637" s="448"/>
      <c r="AO637" s="13"/>
    </row>
    <row r="638" spans="1:41" ht="75.75" hidden="1" thickTop="1">
      <c r="A638" s="166">
        <f>OBRA!I640</f>
        <v>2022</v>
      </c>
      <c r="B638" s="2036"/>
      <c r="C638" s="1612"/>
      <c r="D638" s="171"/>
      <c r="E638" s="1393"/>
      <c r="F638" s="1393"/>
      <c r="G638" s="1394"/>
      <c r="H638" s="1395" t="str">
        <f>OBRA!AD640</f>
        <v>-</v>
      </c>
      <c r="I638" s="1396"/>
      <c r="J638" s="1613" t="str">
        <f>OBRA!AE640</f>
        <v>-</v>
      </c>
      <c r="K638" s="1397"/>
      <c r="L638" s="1395" t="str">
        <f>OBRA!AF640</f>
        <v>-</v>
      </c>
      <c r="M638" s="1398"/>
      <c r="N638" s="1395" t="str">
        <f>OBRA!AG640</f>
        <v>-</v>
      </c>
      <c r="O638" s="1395"/>
      <c r="P638" s="1395"/>
      <c r="Q638" s="1397"/>
      <c r="R638" s="479" t="str">
        <f>OBRA!AH640</f>
        <v>-</v>
      </c>
      <c r="S638" s="591"/>
      <c r="T638" s="446" t="str">
        <f>OBRA!U640</f>
        <v>TERRACERÍAS Y PAVIMENTOS DE LA RIBERA, S.A. DE C.V.</v>
      </c>
      <c r="U638" s="447" t="str">
        <f>OBRA!V640</f>
        <v>C. DANIEL RODRIGUEZ VALENZUELA</v>
      </c>
      <c r="V638" s="1281"/>
      <c r="W638" s="20" t="str">
        <f>OBRA!L640</f>
        <v>GMJ 005 C-OP/2022</v>
      </c>
      <c r="X638" s="1659"/>
      <c r="Y638" s="1659"/>
      <c r="Z638" s="448" t="str">
        <f>OBRA!K640</f>
        <v>CUENTA CORRIENTE</v>
      </c>
      <c r="AA638" s="1659"/>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428">
        <f>OBRA!S640</f>
        <v>44712</v>
      </c>
      <c r="AH638" s="1014"/>
      <c r="AI638" s="169"/>
      <c r="AJ638" s="239"/>
      <c r="AK638" s="239"/>
      <c r="AL638" s="715"/>
      <c r="AM638" s="573">
        <f>GRAL!B826</f>
        <v>0</v>
      </c>
      <c r="AN638" s="448"/>
      <c r="AO638" s="13"/>
    </row>
    <row r="639" spans="1:41" ht="90.75" hidden="1" thickTop="1">
      <c r="A639" s="166">
        <f>OBRA!I641</f>
        <v>2022</v>
      </c>
      <c r="B639" s="2036"/>
      <c r="C639" s="1612"/>
      <c r="D639" s="171"/>
      <c r="E639" s="1393"/>
      <c r="F639" s="1393"/>
      <c r="G639" s="1394"/>
      <c r="H639" s="1395" t="str">
        <f>OBRA!AD641</f>
        <v>-</v>
      </c>
      <c r="I639" s="1396"/>
      <c r="J639" s="1613" t="str">
        <f>OBRA!AE641</f>
        <v>-</v>
      </c>
      <c r="K639" s="1397"/>
      <c r="L639" s="1395" t="str">
        <f>OBRA!AF641</f>
        <v>-</v>
      </c>
      <c r="M639" s="1398"/>
      <c r="N639" s="1395" t="str">
        <f>OBRA!AG641</f>
        <v>-</v>
      </c>
      <c r="O639" s="1395"/>
      <c r="P639" s="1395"/>
      <c r="Q639" s="1397"/>
      <c r="R639" s="479" t="str">
        <f>OBRA!AH641</f>
        <v>-</v>
      </c>
      <c r="S639" s="591"/>
      <c r="T639" s="446" t="str">
        <f>OBRA!U641</f>
        <v>TERRACERÍAS Y PAVIMENTOS DE LA RIBERA, S.A. DE C.V.</v>
      </c>
      <c r="U639" s="447" t="str">
        <f>OBRA!V641</f>
        <v>C. DANIEL RODRIGUEZ VALENZUELA</v>
      </c>
      <c r="V639" s="1281"/>
      <c r="W639" s="20" t="str">
        <f>OBRA!L641</f>
        <v>GMJ 006 C-OP/2022</v>
      </c>
      <c r="X639" s="1659"/>
      <c r="Y639" s="1659"/>
      <c r="Z639" s="448" t="str">
        <f>OBRA!K641</f>
        <v>RAMO 33</v>
      </c>
      <c r="AA639" s="1659"/>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428">
        <f>OBRA!S641</f>
        <v>44722</v>
      </c>
      <c r="AH639" s="1014"/>
      <c r="AI639" s="169"/>
      <c r="AJ639" s="239"/>
      <c r="AK639" s="239"/>
      <c r="AL639" s="715"/>
      <c r="AM639" s="573">
        <f>GRAL!B827</f>
        <v>0</v>
      </c>
      <c r="AN639" s="448"/>
      <c r="AO639" s="13"/>
    </row>
    <row r="640" spans="1:41" ht="75.75" hidden="1" thickTop="1">
      <c r="A640" s="166">
        <f>OBRA!I642</f>
        <v>2022</v>
      </c>
      <c r="B640" s="2036"/>
      <c r="C640" s="1612"/>
      <c r="D640" s="171"/>
      <c r="E640" s="1393"/>
      <c r="F640" s="1393"/>
      <c r="G640" s="1394"/>
      <c r="H640" s="1395" t="str">
        <f>OBRA!AD642</f>
        <v>-</v>
      </c>
      <c r="I640" s="1396"/>
      <c r="J640" s="1613" t="str">
        <f>OBRA!AE642</f>
        <v>-</v>
      </c>
      <c r="K640" s="1397"/>
      <c r="L640" s="1395" t="str">
        <f>OBRA!AF642</f>
        <v>-</v>
      </c>
      <c r="M640" s="1398"/>
      <c r="N640" s="1395" t="str">
        <f>OBRA!AG642</f>
        <v>-</v>
      </c>
      <c r="O640" s="1395"/>
      <c r="P640" s="1395"/>
      <c r="Q640" s="1397"/>
      <c r="R640" s="479" t="str">
        <f>OBRA!AH642</f>
        <v>-</v>
      </c>
      <c r="S640" s="591"/>
      <c r="T640" s="446" t="str">
        <f>OBRA!U642</f>
        <v>ESTRUCTURAS PLANEADAS DE OCCIDENTE, S.A. DE C.V.</v>
      </c>
      <c r="U640" s="447" t="str">
        <f>OBRA!V642</f>
        <v>C. DANIEL RODRIGUEZ VALENZUELA</v>
      </c>
      <c r="V640" s="1281"/>
      <c r="W640" s="20" t="str">
        <f>OBRA!L642</f>
        <v>GMJ 007 C-OP/2022</v>
      </c>
      <c r="X640" s="1659"/>
      <c r="Y640" s="1659"/>
      <c r="Z640" s="448" t="str">
        <f>OBRA!K642</f>
        <v>RAMO 33</v>
      </c>
      <c r="AA640" s="1659"/>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428">
        <f>OBRA!S642</f>
        <v>44742</v>
      </c>
      <c r="AH640" s="1014"/>
      <c r="AI640" s="169"/>
      <c r="AJ640" s="239"/>
      <c r="AK640" s="239"/>
      <c r="AL640" s="715"/>
      <c r="AM640" s="573">
        <f>GRAL!B828</f>
        <v>0</v>
      </c>
      <c r="AN640" s="448"/>
      <c r="AO640" s="13"/>
    </row>
    <row r="641" spans="1:41" ht="90.75" hidden="1" thickTop="1">
      <c r="A641" s="166">
        <f>OBRA!I643</f>
        <v>2022</v>
      </c>
      <c r="B641" s="2036"/>
      <c r="C641" s="1612"/>
      <c r="D641" s="171"/>
      <c r="E641" s="1393"/>
      <c r="F641" s="1393"/>
      <c r="G641" s="1394"/>
      <c r="H641" s="1395" t="str">
        <f>OBRA!AD643</f>
        <v>-</v>
      </c>
      <c r="I641" s="1396"/>
      <c r="J641" s="1613" t="str">
        <f>OBRA!AE643</f>
        <v>-</v>
      </c>
      <c r="K641" s="1397"/>
      <c r="L641" s="1395" t="str">
        <f>OBRA!AF643</f>
        <v>-</v>
      </c>
      <c r="M641" s="1398"/>
      <c r="N641" s="1395" t="str">
        <f>OBRA!AG643</f>
        <v>-</v>
      </c>
      <c r="O641" s="1395"/>
      <c r="P641" s="1395"/>
      <c r="Q641" s="1397"/>
      <c r="R641" s="479" t="str">
        <f>OBRA!AH643</f>
        <v>-</v>
      </c>
      <c r="S641" s="591"/>
      <c r="T641" s="446" t="str">
        <f>OBRA!U643</f>
        <v xml:space="preserve">SERVICIOS Y CONSTRUCCIONES NATENIO, S.A. DE C.V. </v>
      </c>
      <c r="U641" s="447" t="str">
        <f>OBRA!V643</f>
        <v>C. DANIEL RODRIGUEZ VALENZUELA</v>
      </c>
      <c r="V641" s="1281"/>
      <c r="W641" s="20" t="str">
        <f>OBRA!L643</f>
        <v>GMJ 008 C-OP/2022</v>
      </c>
      <c r="X641" s="1659"/>
      <c r="Y641" s="1659"/>
      <c r="Z641" s="448" t="str">
        <f>OBRA!K643</f>
        <v>RAMO 33</v>
      </c>
      <c r="AA641" s="1659"/>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428">
        <f>OBRA!S643</f>
        <v>44722</v>
      </c>
      <c r="AH641" s="1014"/>
      <c r="AI641" s="169"/>
      <c r="AJ641" s="239"/>
      <c r="AK641" s="239"/>
      <c r="AL641" s="715"/>
      <c r="AM641" s="573">
        <f>GRAL!B829</f>
        <v>0</v>
      </c>
      <c r="AN641" s="448"/>
      <c r="AO641" s="13"/>
    </row>
    <row r="642" spans="1:41" ht="75.75" hidden="1" thickTop="1">
      <c r="A642" s="166">
        <f>OBRA!I644</f>
        <v>2022</v>
      </c>
      <c r="B642" s="2036"/>
      <c r="C642" s="1612"/>
      <c r="D642" s="171"/>
      <c r="E642" s="1393"/>
      <c r="F642" s="1393"/>
      <c r="G642" s="1394"/>
      <c r="H642" s="1395" t="str">
        <f>OBRA!AD644</f>
        <v>-</v>
      </c>
      <c r="I642" s="1396"/>
      <c r="J642" s="1613" t="str">
        <f>OBRA!AE644</f>
        <v>-</v>
      </c>
      <c r="K642" s="1397"/>
      <c r="L642" s="1395" t="str">
        <f>OBRA!AF644</f>
        <v>-</v>
      </c>
      <c r="M642" s="1398"/>
      <c r="N642" s="1395" t="str">
        <f>OBRA!AG644</f>
        <v>-</v>
      </c>
      <c r="O642" s="1395"/>
      <c r="P642" s="1395"/>
      <c r="Q642" s="1397"/>
      <c r="R642" s="479" t="str">
        <f>OBRA!AH644</f>
        <v>-</v>
      </c>
      <c r="S642" s="591"/>
      <c r="T642" s="446" t="str">
        <f>OBRA!U644</f>
        <v>SOLEC ENERGY, S.A. DE C.V.</v>
      </c>
      <c r="U642" s="447" t="str">
        <f>OBRA!V644</f>
        <v>C. DANIEL RODRIGUEZ VALENZUELA</v>
      </c>
      <c r="V642" s="1281"/>
      <c r="W642" s="20" t="str">
        <f>OBRA!L644</f>
        <v>GMJ 009 C-OP/2022</v>
      </c>
      <c r="X642" s="1659"/>
      <c r="Y642" s="1659"/>
      <c r="Z642" s="448" t="str">
        <f>OBRA!K644</f>
        <v>RAMO 33</v>
      </c>
      <c r="AA642" s="1659"/>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428">
        <f>OBRA!S644</f>
        <v>44804</v>
      </c>
      <c r="AH642" s="1014"/>
      <c r="AI642" s="169"/>
      <c r="AJ642" s="239"/>
      <c r="AK642" s="239"/>
      <c r="AL642" s="715"/>
      <c r="AM642" s="573">
        <f>GRAL!B830</f>
        <v>0</v>
      </c>
      <c r="AN642" s="448"/>
      <c r="AO642" s="13"/>
    </row>
    <row r="643" spans="1:41" ht="90.75" hidden="1" thickTop="1">
      <c r="A643" s="166">
        <f>OBRA!I645</f>
        <v>2022</v>
      </c>
      <c r="B643" s="2036"/>
      <c r="C643" s="1612"/>
      <c r="D643" s="171"/>
      <c r="E643" s="1393"/>
      <c r="F643" s="1393"/>
      <c r="G643" s="1394"/>
      <c r="H643" s="1395" t="str">
        <f>OBRA!AD645</f>
        <v>-</v>
      </c>
      <c r="I643" s="1396"/>
      <c r="J643" s="1613" t="str">
        <f>OBRA!AE645</f>
        <v>-</v>
      </c>
      <c r="K643" s="1397"/>
      <c r="L643" s="1395" t="str">
        <f>OBRA!AF645</f>
        <v>-</v>
      </c>
      <c r="M643" s="1398"/>
      <c r="N643" s="1395" t="str">
        <f>OBRA!AG645</f>
        <v>-</v>
      </c>
      <c r="O643" s="1395"/>
      <c r="P643" s="1395"/>
      <c r="Q643" s="1397"/>
      <c r="R643" s="479" t="str">
        <f>OBRA!AH645</f>
        <v>-</v>
      </c>
      <c r="S643" s="591"/>
      <c r="T643" s="446" t="str">
        <f>OBRA!U645</f>
        <v>ING. SERGIO CABRERA</v>
      </c>
      <c r="U643" s="447" t="str">
        <f>OBRA!V645</f>
        <v>C. DANIEL RODRIGUEZ VALENZUELA</v>
      </c>
      <c r="V643" s="1281"/>
      <c r="W643" s="20" t="str">
        <f>OBRA!L645</f>
        <v>GMJ 010 C-OP/2022</v>
      </c>
      <c r="X643" s="1659"/>
      <c r="Y643" s="1659"/>
      <c r="Z643" s="448" t="str">
        <f>OBRA!K645</f>
        <v>RAMO 33</v>
      </c>
      <c r="AA643" s="1659"/>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428">
        <f>OBRA!S645</f>
        <v>44814</v>
      </c>
      <c r="AH643" s="1014"/>
      <c r="AI643" s="169"/>
      <c r="AJ643" s="239"/>
      <c r="AK643" s="239"/>
      <c r="AL643" s="715"/>
      <c r="AM643" s="573">
        <f>GRAL!B831</f>
        <v>0</v>
      </c>
      <c r="AN643" s="448"/>
      <c r="AO643" s="13"/>
    </row>
    <row r="644" spans="1:41" ht="90.75" hidden="1" thickTop="1">
      <c r="A644" s="166">
        <f>OBRA!I646</f>
        <v>2022</v>
      </c>
      <c r="B644" s="2036"/>
      <c r="C644" s="1612"/>
      <c r="D644" s="171"/>
      <c r="E644" s="1393"/>
      <c r="F644" s="1393"/>
      <c r="G644" s="1394"/>
      <c r="H644" s="1395" t="str">
        <f>OBRA!AD646</f>
        <v>-</v>
      </c>
      <c r="I644" s="1396"/>
      <c r="J644" s="1613" t="str">
        <f>OBRA!AE646</f>
        <v>-</v>
      </c>
      <c r="K644" s="1397"/>
      <c r="L644" s="1395" t="str">
        <f>OBRA!AF646</f>
        <v>-</v>
      </c>
      <c r="M644" s="1398"/>
      <c r="N644" s="1395" t="str">
        <f>OBRA!AG646</f>
        <v>-</v>
      </c>
      <c r="O644" s="1395"/>
      <c r="P644" s="1395"/>
      <c r="Q644" s="1397"/>
      <c r="R644" s="479" t="str">
        <f>OBRA!AH646</f>
        <v>-</v>
      </c>
      <c r="S644" s="591"/>
      <c r="T644" s="446" t="str">
        <f>OBRA!U646</f>
        <v>ING. SERGIO CABRERA</v>
      </c>
      <c r="U644" s="447" t="str">
        <f>OBRA!V646</f>
        <v>ING. J. GUADALUPE IBARRA RAMIREZ</v>
      </c>
      <c r="V644" s="1281"/>
      <c r="W644" s="20" t="str">
        <f>OBRA!L646</f>
        <v>GMJ 011 C-OP/2022</v>
      </c>
      <c r="X644" s="1659"/>
      <c r="Y644" s="1659"/>
      <c r="Z644" s="448" t="str">
        <f>OBRA!K646</f>
        <v>CUENTA CORRIENTE</v>
      </c>
      <c r="AA644" s="1659"/>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428">
        <f>OBRA!S646</f>
        <v>44814</v>
      </c>
      <c r="AH644" s="1014"/>
      <c r="AI644" s="169"/>
      <c r="AJ644" s="239"/>
      <c r="AK644" s="239"/>
      <c r="AL644" s="715"/>
      <c r="AM644" s="573">
        <f>GRAL!B832</f>
        <v>0</v>
      </c>
      <c r="AN644" s="448"/>
      <c r="AO644" s="13"/>
    </row>
    <row r="645" spans="1:41" ht="60.75" hidden="1" thickTop="1">
      <c r="A645" s="166">
        <f>OBRA!I647</f>
        <v>2022</v>
      </c>
      <c r="B645" s="2036"/>
      <c r="C645" s="1612"/>
      <c r="D645" s="171"/>
      <c r="E645" s="1393"/>
      <c r="F645" s="1393"/>
      <c r="G645" s="1394"/>
      <c r="H645" s="1395" t="str">
        <f>OBRA!AD647</f>
        <v>-</v>
      </c>
      <c r="I645" s="1396"/>
      <c r="J645" s="1613" t="str">
        <f>OBRA!AE647</f>
        <v>-</v>
      </c>
      <c r="K645" s="1397"/>
      <c r="L645" s="1395" t="str">
        <f>OBRA!AF647</f>
        <v>-</v>
      </c>
      <c r="M645" s="1398"/>
      <c r="N645" s="1395" t="str">
        <f>OBRA!AG647</f>
        <v>-</v>
      </c>
      <c r="O645" s="1395"/>
      <c r="P645" s="1395"/>
      <c r="Q645" s="1397"/>
      <c r="R645" s="479" t="str">
        <f>OBRA!AH647</f>
        <v>-</v>
      </c>
      <c r="S645" s="591"/>
      <c r="T645" s="446" t="str">
        <f>OBRA!U647</f>
        <v>ESTRUCTURAS PLANEADAS DE OCCIDENTE, S.A. DE C.V.</v>
      </c>
      <c r="U645" s="447" t="str">
        <f>OBRA!V647</f>
        <v>ING. J. GUADALUPE IBARRA RAMIREZ</v>
      </c>
      <c r="V645" s="1281"/>
      <c r="W645" s="20" t="str">
        <f>OBRA!L647</f>
        <v>GMJ 012 C-OP/2022</v>
      </c>
      <c r="X645" s="1659"/>
      <c r="Y645" s="1659"/>
      <c r="Z645" s="448" t="str">
        <f>OBRA!K647</f>
        <v>CUENTA CORRIENTE</v>
      </c>
      <c r="AA645" s="1659"/>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428">
        <f>OBRA!S647</f>
        <v>44834</v>
      </c>
      <c r="AH645" s="1014"/>
      <c r="AI645" s="169"/>
      <c r="AJ645" s="239"/>
      <c r="AK645" s="239"/>
      <c r="AL645" s="715"/>
      <c r="AM645" s="573">
        <f>GRAL!B833</f>
        <v>0</v>
      </c>
      <c r="AN645" s="448"/>
      <c r="AO645" s="13"/>
    </row>
    <row r="646" spans="1:41" ht="238.5" hidden="1" customHeight="1">
      <c r="A646" s="166">
        <f>OBRA!I648</f>
        <v>2022</v>
      </c>
      <c r="B646" s="2038" t="str">
        <f>W646</f>
        <v>FAIS-RAMO/33-OP-CSS-013/2022</v>
      </c>
      <c r="C646" s="450" t="s">
        <v>4638</v>
      </c>
      <c r="D646" s="1927" t="s">
        <v>5992</v>
      </c>
      <c r="E646" s="2077" t="s">
        <v>5993</v>
      </c>
      <c r="F646" s="2078" t="s">
        <v>5597</v>
      </c>
      <c r="G646" s="452" t="s">
        <v>4638</v>
      </c>
      <c r="H646" s="442">
        <f>OBRA!AD648</f>
        <v>44796</v>
      </c>
      <c r="I646" s="1453" t="s">
        <v>4638</v>
      </c>
      <c r="J646" s="444">
        <f>OBRA!AE648</f>
        <v>44798</v>
      </c>
      <c r="K646" s="453" t="s">
        <v>4638</v>
      </c>
      <c r="L646" s="442">
        <f>OBRA!AF648</f>
        <v>44799</v>
      </c>
      <c r="M646" s="1006" t="s">
        <v>4638</v>
      </c>
      <c r="N646" s="1902">
        <f>OBRA!AG648</f>
        <v>44804</v>
      </c>
      <c r="O646" s="1902" t="s">
        <v>4644</v>
      </c>
      <c r="P646" s="1908">
        <v>0.41666666666666669</v>
      </c>
      <c r="Q646" s="453" t="s">
        <v>4638</v>
      </c>
      <c r="R646" s="445">
        <f>OBRA!AH648</f>
        <v>44796</v>
      </c>
      <c r="S646" s="1503" t="s">
        <v>4645</v>
      </c>
      <c r="T646" s="446" t="str">
        <f>OBRA!U648</f>
        <v>PIERO MASCORRO OLMOS</v>
      </c>
      <c r="U646" s="447" t="str">
        <f>OBRA!V648</f>
        <v>C. DANIEL RODRIGUEZ VALENZUELA</v>
      </c>
      <c r="V646" s="1281"/>
      <c r="W646" s="35" t="str">
        <f>OBRA!L648</f>
        <v>FAIS-RAMO/33-OP-CSS-013/2022</v>
      </c>
      <c r="X646" s="551" t="s">
        <v>4617</v>
      </c>
      <c r="Y646" s="1901" t="s">
        <v>4624</v>
      </c>
      <c r="Z646" s="448" t="str">
        <f>OBRA!K648</f>
        <v>RAMO 33</v>
      </c>
      <c r="AA646" s="13" t="s">
        <v>2394</v>
      </c>
      <c r="AB646" s="2" t="str">
        <f>OBRA!M648</f>
        <v>CONCURSO SIMPLIFICADO SUMARIO</v>
      </c>
      <c r="AC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2">
        <f>OBRA!S648</f>
        <v>44834</v>
      </c>
      <c r="AH646" s="1897" t="s">
        <v>4497</v>
      </c>
      <c r="AI646" s="448"/>
      <c r="AJ646" s="454" t="s">
        <v>4638</v>
      </c>
      <c r="AK646" s="454" t="s">
        <v>4638</v>
      </c>
      <c r="AL646" s="455" t="s">
        <v>4638</v>
      </c>
      <c r="AM646" s="1454" t="str">
        <f>GRAL!B650</f>
        <v>2021-2024</v>
      </c>
      <c r="AN646" s="448" t="s">
        <v>551</v>
      </c>
      <c r="AO646" s="13"/>
    </row>
    <row r="647" spans="1:41" ht="163.5" hidden="1" customHeight="1">
      <c r="A647" s="166">
        <f>OBRA!I649</f>
        <v>2022</v>
      </c>
      <c r="B647" s="2038" t="str">
        <f>W647</f>
        <v>FAIS-RAMO/33-OP-CSS-014/2022</v>
      </c>
      <c r="C647" s="450" t="s">
        <v>4641</v>
      </c>
      <c r="D647" s="1927" t="s">
        <v>5992</v>
      </c>
      <c r="E647" s="2077" t="s">
        <v>5993</v>
      </c>
      <c r="F647" s="2078" t="s">
        <v>5597</v>
      </c>
      <c r="G647" s="452" t="s">
        <v>4641</v>
      </c>
      <c r="H647" s="442">
        <f>OBRA!AD649</f>
        <v>44830</v>
      </c>
      <c r="I647" s="1453" t="s">
        <v>4641</v>
      </c>
      <c r="J647" s="444">
        <f>OBRA!AE649</f>
        <v>44832</v>
      </c>
      <c r="K647" s="453" t="s">
        <v>4641</v>
      </c>
      <c r="L647" s="442">
        <f>OBRA!AF649</f>
        <v>44832</v>
      </c>
      <c r="M647" s="1006" t="s">
        <v>4641</v>
      </c>
      <c r="N647" s="1902">
        <f>OBRA!AG649</f>
        <v>44837</v>
      </c>
      <c r="O647" s="1902" t="s">
        <v>4644</v>
      </c>
      <c r="P647" s="1908">
        <v>0.41666666666666669</v>
      </c>
      <c r="Q647" s="453" t="s">
        <v>4641</v>
      </c>
      <c r="R647" s="445">
        <f>OBRA!AH649</f>
        <v>44839</v>
      </c>
      <c r="S647" s="1503" t="s">
        <v>4646</v>
      </c>
      <c r="T647" s="446" t="str">
        <f>OBRA!U649</f>
        <v>RAMPER DRILLINGS S.A. DE C.V.</v>
      </c>
      <c r="U647" s="447" t="str">
        <f>OBRA!V649</f>
        <v>ING. J. GUADALUPE IBARRA RAMIREZ</v>
      </c>
      <c r="V647" s="1281"/>
      <c r="W647" s="35" t="str">
        <f>OBRA!L649</f>
        <v>FAIS-RAMO/33-OP-CSS-014/2022</v>
      </c>
      <c r="X647" s="551" t="s">
        <v>4617</v>
      </c>
      <c r="Y647" s="1901" t="s">
        <v>4625</v>
      </c>
      <c r="Z647" s="448" t="str">
        <f>OBRA!K649</f>
        <v>RAMO 33</v>
      </c>
      <c r="AA647" s="329"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2">
        <f>OBRA!S649</f>
        <v>44895</v>
      </c>
      <c r="AH647" s="1897" t="s">
        <v>4497</v>
      </c>
      <c r="AI647" s="329"/>
      <c r="AJ647" s="545" t="s">
        <v>4641</v>
      </c>
      <c r="AK647" s="545" t="s">
        <v>4641</v>
      </c>
      <c r="AL647" s="806" t="s">
        <v>4641</v>
      </c>
      <c r="AM647" s="1454" t="str">
        <f>GRAL!B651</f>
        <v>2021-2024</v>
      </c>
      <c r="AN647" s="448" t="s">
        <v>551</v>
      </c>
      <c r="AO647" s="13"/>
    </row>
    <row r="648" spans="1:41" ht="160.5" hidden="1" customHeight="1">
      <c r="A648" s="166">
        <f>OBRA!I650</f>
        <v>2022</v>
      </c>
      <c r="B648" s="2038" t="str">
        <f>W648</f>
        <v>PROGRAMA CUENTA CORRIENTE-OP-CSS-015/2022</v>
      </c>
      <c r="C648" s="1497" t="s">
        <v>4641</v>
      </c>
      <c r="D648" s="1927" t="s">
        <v>5992</v>
      </c>
      <c r="E648" s="2077" t="s">
        <v>5993</v>
      </c>
      <c r="F648" s="2078" t="s">
        <v>5597</v>
      </c>
      <c r="G648" s="452" t="s">
        <v>4642</v>
      </c>
      <c r="H648" s="643">
        <f>OBRA!AD650</f>
        <v>44830</v>
      </c>
      <c r="I648" s="552" t="s">
        <v>4641</v>
      </c>
      <c r="J648" s="644">
        <f>OBRA!AE650</f>
        <v>44832</v>
      </c>
      <c r="K648" s="580" t="s">
        <v>4641</v>
      </c>
      <c r="L648" s="643">
        <f>OBRA!AF650</f>
        <v>44832</v>
      </c>
      <c r="M648" s="1006" t="s">
        <v>4642</v>
      </c>
      <c r="N648" s="1902">
        <f>OBRA!AG650</f>
        <v>44837</v>
      </c>
      <c r="O648" s="1902" t="s">
        <v>4644</v>
      </c>
      <c r="P648" s="1908">
        <v>0.5</v>
      </c>
      <c r="Q648" s="453" t="s">
        <v>4642</v>
      </c>
      <c r="R648" s="445">
        <f>OBRA!AH650</f>
        <v>44839</v>
      </c>
      <c r="S648" s="1503" t="s">
        <v>4647</v>
      </c>
      <c r="T648" s="446" t="str">
        <f>OBRA!U650</f>
        <v>GRUPO ARANGE, S.A. DE C.V.</v>
      </c>
      <c r="U648" s="447" t="str">
        <f>OBRA!V650</f>
        <v>ING. J. GUADALUPE IBARRA RAMIREZ</v>
      </c>
      <c r="V648" s="1281"/>
      <c r="W648" s="35" t="str">
        <f>OBRA!L650</f>
        <v>PROGRAMA CUENTA CORRIENTE-OP-CSS-015/2022</v>
      </c>
      <c r="X648" s="551" t="s">
        <v>4617</v>
      </c>
      <c r="Y648" s="1901" t="s">
        <v>4626</v>
      </c>
      <c r="Z648" s="449" t="str">
        <f>OBRA!K650</f>
        <v>CUENTA CORRIENTE</v>
      </c>
      <c r="AA648" s="329"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2">
        <f>OBRA!S650</f>
        <v>44895</v>
      </c>
      <c r="AH648" s="1897" t="s">
        <v>4497</v>
      </c>
      <c r="AI648" s="329"/>
      <c r="AJ648" s="202" t="s">
        <v>1177</v>
      </c>
      <c r="AK648" s="545" t="s">
        <v>4641</v>
      </c>
      <c r="AL648" s="806" t="s">
        <v>4641</v>
      </c>
      <c r="AM648" s="282" t="str">
        <f>GRAL!B652</f>
        <v>2021-2024</v>
      </c>
      <c r="AN648" s="448" t="s">
        <v>551</v>
      </c>
      <c r="AO648" s="13"/>
    </row>
    <row r="649" spans="1:41" ht="90.75" hidden="1" thickTop="1">
      <c r="A649" s="166">
        <f>OBRA!I651</f>
        <v>2022</v>
      </c>
      <c r="B649" s="2036"/>
      <c r="C649" s="1612"/>
      <c r="D649" s="171"/>
      <c r="E649" s="1393"/>
      <c r="F649" s="1393"/>
      <c r="G649" s="1394"/>
      <c r="H649" s="1395" t="str">
        <f>OBRA!AD651</f>
        <v>-</v>
      </c>
      <c r="I649" s="1396"/>
      <c r="J649" s="1613" t="str">
        <f>OBRA!AE651</f>
        <v>-</v>
      </c>
      <c r="K649" s="1397"/>
      <c r="L649" s="1395" t="str">
        <f>OBRA!AF651</f>
        <v>-</v>
      </c>
      <c r="M649" s="1398"/>
      <c r="N649" s="1395" t="str">
        <f>OBRA!AG651</f>
        <v>-</v>
      </c>
      <c r="O649" s="1395"/>
      <c r="P649" s="1395"/>
      <c r="Q649" s="1397"/>
      <c r="R649" s="479" t="str">
        <f>OBRA!AH651</f>
        <v>-</v>
      </c>
      <c r="S649" s="591"/>
      <c r="T649" s="446" t="str">
        <f>OBRA!U651</f>
        <v xml:space="preserve">INFRAESTRUCTURA Y EDIFICACIONES OROZCO S.A. DE C.V. </v>
      </c>
      <c r="U649" s="447" t="str">
        <f>OBRA!V651</f>
        <v>C. DANIEL RODRIGUEZ VALENZUELA</v>
      </c>
      <c r="V649" s="1281"/>
      <c r="W649" s="35" t="str">
        <f>OBRA!L651</f>
        <v>GMJ 016 C-OP/2022</v>
      </c>
      <c r="X649" s="1659"/>
      <c r="Y649" s="1659"/>
      <c r="Z649" s="448" t="str">
        <f>OBRA!K651</f>
        <v>RAMO 33</v>
      </c>
      <c r="AA649" s="1659"/>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428">
        <f>OBRA!S651</f>
        <v>44883</v>
      </c>
      <c r="AH649" s="1014"/>
      <c r="AI649" s="169"/>
      <c r="AJ649" s="239"/>
      <c r="AK649" s="239"/>
      <c r="AL649" s="715"/>
      <c r="AM649" s="573">
        <f>GRAL!B837</f>
        <v>0</v>
      </c>
      <c r="AN649" s="448"/>
      <c r="AO649" s="13"/>
    </row>
    <row r="650" spans="1:41" ht="216.75" hidden="1" thickTop="1">
      <c r="A650" s="166">
        <f>OBRA!I652</f>
        <v>2022</v>
      </c>
      <c r="B650" s="2038" t="str">
        <f>W650</f>
        <v>FAIS-RAMO/33-OP-CSS-017/2022</v>
      </c>
      <c r="C650" s="450" t="s">
        <v>4643</v>
      </c>
      <c r="D650" s="1927" t="s">
        <v>5992</v>
      </c>
      <c r="E650" s="2077" t="s">
        <v>5993</v>
      </c>
      <c r="F650" s="2078" t="s">
        <v>5597</v>
      </c>
      <c r="G650" s="452" t="s">
        <v>4643</v>
      </c>
      <c r="H650" s="442">
        <f>OBRA!AD652</f>
        <v>44848</v>
      </c>
      <c r="I650" s="1453" t="s">
        <v>4643</v>
      </c>
      <c r="J650" s="444">
        <f>OBRA!AE652</f>
        <v>44851</v>
      </c>
      <c r="K650" s="453" t="s">
        <v>4643</v>
      </c>
      <c r="L650" s="442">
        <f>OBRA!AF652</f>
        <v>44851</v>
      </c>
      <c r="M650" s="1006" t="s">
        <v>4643</v>
      </c>
      <c r="N650" s="1902">
        <f>OBRA!AG652</f>
        <v>44855</v>
      </c>
      <c r="O650" s="1902" t="s">
        <v>4644</v>
      </c>
      <c r="P650" s="1908">
        <v>0.5</v>
      </c>
      <c r="Q650" s="453" t="s">
        <v>4643</v>
      </c>
      <c r="R650" s="445">
        <f>OBRA!AH652</f>
        <v>44858</v>
      </c>
      <c r="S650" s="1503" t="s">
        <v>4891</v>
      </c>
      <c r="T650" s="446" t="str">
        <f>OBRA!U652</f>
        <v>C. JOSÉ LUIS RANGEL GÁLVEZ</v>
      </c>
      <c r="U650" s="447" t="str">
        <f>OBRA!V652</f>
        <v>C. DANIEL RODRIGUEZ VALENZUELA</v>
      </c>
      <c r="V650" s="1281"/>
      <c r="W650" s="35" t="str">
        <f>OBRA!L652</f>
        <v>FAIS-RAMO/33-OP-CSS-017/2022</v>
      </c>
      <c r="X650" s="551" t="s">
        <v>4617</v>
      </c>
      <c r="Y650" s="1412" t="s">
        <v>4627</v>
      </c>
      <c r="Z650" s="448" t="str">
        <f>OBRA!K652</f>
        <v>RAMO 33</v>
      </c>
      <c r="AA650" s="329"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2">
        <f>OBRA!S652</f>
        <v>44898</v>
      </c>
      <c r="AH650" s="1897" t="s">
        <v>4497</v>
      </c>
      <c r="AI650" s="329"/>
      <c r="AJ650" s="545" t="s">
        <v>4643</v>
      </c>
      <c r="AK650" s="545" t="s">
        <v>4643</v>
      </c>
      <c r="AL650" s="806" t="s">
        <v>4643</v>
      </c>
      <c r="AM650" s="1454" t="str">
        <f>GRAL!B654</f>
        <v>2021-2024</v>
      </c>
      <c r="AN650" s="448" t="s">
        <v>551</v>
      </c>
      <c r="AO650" s="13"/>
    </row>
    <row r="651" spans="1:41" ht="216.75" hidden="1" thickTop="1">
      <c r="A651" s="166">
        <f>OBRA!I653</f>
        <v>2022</v>
      </c>
      <c r="B651" s="2038" t="str">
        <f>W651</f>
        <v>FAIS-RAMO/33-OP-CSS-018/2022</v>
      </c>
      <c r="C651" s="450" t="s">
        <v>4640</v>
      </c>
      <c r="D651" s="1927" t="s">
        <v>5992</v>
      </c>
      <c r="E651" s="2077" t="s">
        <v>5993</v>
      </c>
      <c r="F651" s="2078" t="s">
        <v>5597</v>
      </c>
      <c r="G651" s="553" t="s">
        <v>4640</v>
      </c>
      <c r="H651" s="643">
        <f>OBRA!AD653</f>
        <v>44848</v>
      </c>
      <c r="I651" s="1453" t="s">
        <v>4640</v>
      </c>
      <c r="J651" s="444">
        <f>OBRA!AE653</f>
        <v>44851</v>
      </c>
      <c r="K651" s="453" t="s">
        <v>4640</v>
      </c>
      <c r="L651" s="442">
        <f>OBRA!AF653</f>
        <v>44851</v>
      </c>
      <c r="M651" s="1006" t="s">
        <v>4640</v>
      </c>
      <c r="N651" s="1902">
        <f>OBRA!AG653</f>
        <v>44855</v>
      </c>
      <c r="O651" s="1902" t="s">
        <v>4644</v>
      </c>
      <c r="P651" s="1908">
        <v>0.41666666666666669</v>
      </c>
      <c r="Q651" s="453" t="s">
        <v>4640</v>
      </c>
      <c r="R651" s="445">
        <f>OBRA!AH653</f>
        <v>44858</v>
      </c>
      <c r="S651" s="1503" t="s">
        <v>4648</v>
      </c>
      <c r="T651" s="446" t="str">
        <f>OBRA!U653</f>
        <v>C. REFUGIO GUTIÉRREZ NIEVES</v>
      </c>
      <c r="U651" s="447" t="str">
        <f>OBRA!V653</f>
        <v>C. DANIEL RODRIGUEZ VALENZUELA</v>
      </c>
      <c r="V651" s="1281"/>
      <c r="W651" s="35" t="str">
        <f>OBRA!L653</f>
        <v>FAIS-RAMO/33-OP-CSS-018/2022</v>
      </c>
      <c r="X651" s="551" t="s">
        <v>4617</v>
      </c>
      <c r="Y651" s="1412" t="s">
        <v>4628</v>
      </c>
      <c r="Z651" s="448" t="str">
        <f>OBRA!K653</f>
        <v>RAMO 33</v>
      </c>
      <c r="AA651" s="329"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2">
        <f>OBRA!S653</f>
        <v>44898</v>
      </c>
      <c r="AH651" s="1897" t="s">
        <v>4497</v>
      </c>
      <c r="AI651" s="329"/>
      <c r="AJ651" s="545" t="s">
        <v>4640</v>
      </c>
      <c r="AK651" s="545" t="s">
        <v>4640</v>
      </c>
      <c r="AL651" s="806" t="s">
        <v>4640</v>
      </c>
      <c r="AM651" s="1454" t="str">
        <f>GRAL!B655</f>
        <v>2021-2024</v>
      </c>
      <c r="AN651" s="448" t="s">
        <v>551</v>
      </c>
      <c r="AO651" s="13"/>
    </row>
    <row r="652" spans="1:41" ht="75" hidden="1" customHeight="1">
      <c r="A652" s="166">
        <f>OBRA!I654</f>
        <v>2022</v>
      </c>
      <c r="B652" s="2036"/>
      <c r="C652" s="1612"/>
      <c r="D652" s="171"/>
      <c r="E652" s="1393"/>
      <c r="F652" s="1393"/>
      <c r="G652" s="1394"/>
      <c r="H652" s="1395" t="str">
        <f>OBRA!AD654</f>
        <v>-</v>
      </c>
      <c r="I652" s="1396"/>
      <c r="J652" s="1613" t="str">
        <f>OBRA!AE654</f>
        <v>-</v>
      </c>
      <c r="K652" s="1397"/>
      <c r="L652" s="1395" t="str">
        <f>OBRA!AF654</f>
        <v>-</v>
      </c>
      <c r="M652" s="1398"/>
      <c r="N652" s="1395" t="str">
        <f>OBRA!AG654</f>
        <v>-</v>
      </c>
      <c r="O652" s="1395"/>
      <c r="P652" s="1395"/>
      <c r="Q652" s="1397"/>
      <c r="R652" s="479" t="str">
        <f>OBRA!AH654</f>
        <v>-</v>
      </c>
      <c r="S652" s="591"/>
      <c r="T652" s="446" t="str">
        <f>OBRA!U654</f>
        <v>ESTRUCTURAS PLANEADAS DE OCCIDENTE, S.A. DE C.V.</v>
      </c>
      <c r="U652" s="447" t="str">
        <f>OBRA!V654</f>
        <v>C. DANIEL RODRIGUEZ VALENZUELA</v>
      </c>
      <c r="V652" s="1281"/>
      <c r="W652" s="20" t="str">
        <f>OBRA!L654</f>
        <v>GMJ 019 C-OP/2022</v>
      </c>
      <c r="X652" s="1659"/>
      <c r="Y652" s="1659"/>
      <c r="Z652" s="448" t="str">
        <f>OBRA!K654</f>
        <v>RAMO 33</v>
      </c>
      <c r="AA652" s="1659"/>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428">
        <f>OBRA!S654</f>
        <v>44900</v>
      </c>
      <c r="AH652" s="1014"/>
      <c r="AI652" s="169"/>
      <c r="AJ652" s="239"/>
      <c r="AK652" s="239"/>
      <c r="AL652" s="715"/>
      <c r="AM652" s="573">
        <f>GRAL!B840</f>
        <v>0</v>
      </c>
      <c r="AN652" s="448"/>
      <c r="AO652" s="13"/>
    </row>
    <row r="653" spans="1:41" ht="26.25" hidden="1" customHeight="1">
      <c r="A653" s="166">
        <f>OBRA!I655</f>
        <v>2022</v>
      </c>
      <c r="B653" s="2036"/>
      <c r="C653" s="1612"/>
      <c r="D653" s="171"/>
      <c r="E653" s="1393"/>
      <c r="F653" s="1393"/>
      <c r="G653" s="1394"/>
      <c r="H653" s="1395">
        <f>OBRA!AD655</f>
        <v>0</v>
      </c>
      <c r="I653" s="1396"/>
      <c r="J653" s="1613">
        <f>OBRA!AE655</f>
        <v>0</v>
      </c>
      <c r="K653" s="1397"/>
      <c r="L653" s="1395">
        <f>OBRA!AF655</f>
        <v>0</v>
      </c>
      <c r="M653" s="1398"/>
      <c r="N653" s="1395">
        <f>OBRA!AG655</f>
        <v>0</v>
      </c>
      <c r="O653" s="1395"/>
      <c r="P653" s="1395"/>
      <c r="Q653" s="1397"/>
      <c r="R653" s="479">
        <f>OBRA!AH655</f>
        <v>0</v>
      </c>
      <c r="S653" s="591"/>
      <c r="T653" s="446">
        <f>OBRA!U655</f>
        <v>0</v>
      </c>
      <c r="U653" s="447">
        <f>OBRA!V655</f>
        <v>0</v>
      </c>
      <c r="V653" s="1281"/>
      <c r="W653" s="20" t="str">
        <f>OBRA!L655</f>
        <v>GMJ 020 C-OP/2022</v>
      </c>
      <c r="X653" s="1659"/>
      <c r="Y653" s="1659"/>
      <c r="Z653" s="448">
        <f>OBRA!K655</f>
        <v>0</v>
      </c>
      <c r="AA653" s="1659"/>
      <c r="AB653" s="2" t="str">
        <f>OBRA!M655</f>
        <v>CANCELADA</v>
      </c>
      <c r="AC653" s="3">
        <f>OBRA!N655</f>
        <v>0</v>
      </c>
      <c r="AD653" s="4">
        <f>OBRA!P655</f>
        <v>0</v>
      </c>
      <c r="AE653" s="6">
        <f>OBRA!Q655</f>
        <v>0</v>
      </c>
      <c r="AF653" s="5">
        <f>OBRA!R655</f>
        <v>0</v>
      </c>
      <c r="AG653" s="428">
        <f>OBRA!S655</f>
        <v>0</v>
      </c>
      <c r="AH653" s="1014"/>
      <c r="AI653" s="169"/>
      <c r="AJ653" s="239"/>
      <c r="AK653" s="239"/>
      <c r="AL653" s="715"/>
      <c r="AM653" s="573">
        <f>GRAL!B841</f>
        <v>0</v>
      </c>
      <c r="AN653" s="448"/>
      <c r="AO653" s="13"/>
    </row>
    <row r="654" spans="1:41" ht="15" hidden="1" customHeight="1">
      <c r="A654" s="166">
        <f>OBRA!I656</f>
        <v>2022</v>
      </c>
      <c r="B654" s="2036"/>
      <c r="C654" s="1612"/>
      <c r="D654" s="171"/>
      <c r="E654" s="1393"/>
      <c r="F654" s="1393"/>
      <c r="G654" s="1394"/>
      <c r="H654" s="1395" t="str">
        <f>OBRA!AD656</f>
        <v>-</v>
      </c>
      <c r="I654" s="1396"/>
      <c r="J654" s="1613" t="str">
        <f>OBRA!AE656</f>
        <v>-</v>
      </c>
      <c r="K654" s="1397"/>
      <c r="L654" s="1395" t="str">
        <f>OBRA!AF656</f>
        <v>-</v>
      </c>
      <c r="M654" s="1398"/>
      <c r="N654" s="1395" t="str">
        <f>OBRA!AG656</f>
        <v>-</v>
      </c>
      <c r="O654" s="1395"/>
      <c r="P654" s="1395"/>
      <c r="Q654" s="1397"/>
      <c r="R654" s="479" t="str">
        <f>OBRA!AH656</f>
        <v>-</v>
      </c>
      <c r="S654" s="591"/>
      <c r="T654" s="446" t="str">
        <f>OBRA!U656</f>
        <v>-</v>
      </c>
      <c r="U654" s="447" t="str">
        <f>OBRA!V656</f>
        <v>-</v>
      </c>
      <c r="V654" s="1281"/>
      <c r="W654" s="20" t="str">
        <f>OBRA!L656</f>
        <v>CEA-FISE-003/2022</v>
      </c>
      <c r="X654" s="1659"/>
      <c r="Y654" s="1659"/>
      <c r="Z654" s="448" t="str">
        <f>OBRA!K656</f>
        <v>CEA-FISE</v>
      </c>
      <c r="AA654" s="1659"/>
      <c r="AB654" s="2" t="str">
        <f>OBRA!M656</f>
        <v>CONVENIOS</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428">
        <f>OBRA!S656</f>
        <v>45565</v>
      </c>
      <c r="AH654" s="1014"/>
      <c r="AI654" s="169"/>
      <c r="AJ654" s="239"/>
      <c r="AK654" s="239"/>
      <c r="AL654" s="715"/>
      <c r="AM654" s="573">
        <f>GRAL!B842</f>
        <v>0</v>
      </c>
      <c r="AN654" s="448"/>
      <c r="AO654" s="13"/>
    </row>
    <row r="655" spans="1:41" ht="15" hidden="1" customHeight="1">
      <c r="A655" s="166">
        <f>OBRA!I657</f>
        <v>2022</v>
      </c>
      <c r="B655" s="2036"/>
      <c r="C655" s="1612"/>
      <c r="D655" s="171"/>
      <c r="E655" s="1393"/>
      <c r="F655" s="1393"/>
      <c r="G655" s="1394"/>
      <c r="H655" s="1395" t="str">
        <f>OBRA!AD657</f>
        <v>-</v>
      </c>
      <c r="I655" s="1396"/>
      <c r="J655" s="1613" t="str">
        <f>OBRA!AE657</f>
        <v>-</v>
      </c>
      <c r="K655" s="1397"/>
      <c r="L655" s="1395" t="str">
        <f>OBRA!AF657</f>
        <v>-</v>
      </c>
      <c r="M655" s="1398"/>
      <c r="N655" s="1395" t="str">
        <f>OBRA!AG657</f>
        <v>-</v>
      </c>
      <c r="O655" s="1395"/>
      <c r="P655" s="1395"/>
      <c r="Q655" s="1397"/>
      <c r="R655" s="479" t="str">
        <f>OBRA!AH657</f>
        <v>-</v>
      </c>
      <c r="S655" s="591"/>
      <c r="T655" s="446" t="str">
        <f>OBRA!U657</f>
        <v>-</v>
      </c>
      <c r="U655" s="447" t="str">
        <f>OBRA!V657</f>
        <v>-</v>
      </c>
      <c r="V655" s="1281"/>
      <c r="W655" s="20" t="str">
        <f>OBRA!L657</f>
        <v>CEA-FISE-004/2022</v>
      </c>
      <c r="X655" s="1659"/>
      <c r="Y655" s="1659"/>
      <c r="Z655" s="448" t="str">
        <f>OBRA!K657</f>
        <v>CEA-FISE</v>
      </c>
      <c r="AA655" s="1659"/>
      <c r="AB655" s="2" t="str">
        <f>OBRA!M657</f>
        <v>CONVENIOS</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428">
        <f>OBRA!S657</f>
        <v>45565</v>
      </c>
      <c r="AH655" s="1014"/>
      <c r="AI655" s="169"/>
      <c r="AJ655" s="239"/>
      <c r="AK655" s="239"/>
      <c r="AL655" s="715"/>
      <c r="AM655" s="573">
        <f>GRAL!B843</f>
        <v>0</v>
      </c>
      <c r="AN655" s="448"/>
      <c r="AO655" s="13"/>
    </row>
    <row r="656" spans="1:41" ht="60.75" hidden="1" thickTop="1">
      <c r="A656" s="166">
        <f>OBRA!I658</f>
        <v>2023</v>
      </c>
      <c r="B656" s="2036"/>
      <c r="C656" s="1612"/>
      <c r="D656" s="171"/>
      <c r="E656" s="1393"/>
      <c r="F656" s="1393"/>
      <c r="G656" s="1394"/>
      <c r="H656" s="1395" t="str">
        <f>OBRA!AD658</f>
        <v>-</v>
      </c>
      <c r="I656" s="1396"/>
      <c r="J656" s="1613" t="str">
        <f>OBRA!AE658</f>
        <v>-</v>
      </c>
      <c r="K656" s="1397"/>
      <c r="L656" s="1395" t="str">
        <f>OBRA!AF658</f>
        <v>-</v>
      </c>
      <c r="M656" s="1398"/>
      <c r="N656" s="1395" t="str">
        <f>OBRA!AG658</f>
        <v>-</v>
      </c>
      <c r="O656" s="1395"/>
      <c r="P656" s="1395"/>
      <c r="Q656" s="1397"/>
      <c r="R656" s="479" t="str">
        <f>OBRA!AH658</f>
        <v>-</v>
      </c>
      <c r="S656" s="591"/>
      <c r="T656" s="446">
        <f>OBRA!U658</f>
        <v>0</v>
      </c>
      <c r="U656" s="447">
        <f>OBRA!V658</f>
        <v>0</v>
      </c>
      <c r="V656" s="1281"/>
      <c r="W656" s="20" t="str">
        <f>OBRA!L658</f>
        <v>CONV/FOCOCI/014/2023</v>
      </c>
      <c r="X656" s="1659"/>
      <c r="Y656" s="1659"/>
      <c r="Z656" s="448" t="str">
        <f>OBRA!K658</f>
        <v>FOCOCI</v>
      </c>
      <c r="AA656" s="1659"/>
      <c r="AB656" s="2" t="str">
        <f>OBRA!M658</f>
        <v>CONVENIOS</v>
      </c>
      <c r="AC656" s="3" t="str">
        <f>OBRA!N658</f>
        <v>PAVIMENTACIÓN CON EMPEDRADO ZAMPEADO, EN CALLE LA PAZ EN LA DELEGACIÓN DE SAN JUAN COSALÁ, MUNICIPIO DE JOCOTPEC, JALISCO</v>
      </c>
      <c r="AD656" s="4">
        <f>OBRA!P658</f>
        <v>5000000</v>
      </c>
      <c r="AE656" s="6">
        <f>OBRA!Q658</f>
        <v>45086</v>
      </c>
      <c r="AF656" s="5">
        <f>OBRA!R658</f>
        <v>45086</v>
      </c>
      <c r="AG656" s="428">
        <f>OBRA!S658</f>
        <v>45291</v>
      </c>
      <c r="AH656" s="1014"/>
      <c r="AI656" s="169"/>
      <c r="AJ656" s="239"/>
      <c r="AK656" s="239"/>
      <c r="AL656" s="715"/>
      <c r="AM656" s="573">
        <f>GRAL!B844</f>
        <v>0</v>
      </c>
      <c r="AN656" s="448"/>
      <c r="AO656" s="13"/>
    </row>
    <row r="657" spans="1:41" ht="75.75" hidden="1" thickTop="1">
      <c r="A657" s="166">
        <f>OBRA!I659</f>
        <v>2023</v>
      </c>
      <c r="B657" s="2036"/>
      <c r="C657" s="1612"/>
      <c r="D657" s="171"/>
      <c r="E657" s="1393"/>
      <c r="F657" s="1393"/>
      <c r="G657" s="1394"/>
      <c r="H657" s="1395" t="str">
        <f>OBRA!AD659</f>
        <v>-</v>
      </c>
      <c r="I657" s="1396"/>
      <c r="J657" s="1613" t="str">
        <f>OBRA!AE659</f>
        <v>-</v>
      </c>
      <c r="K657" s="1397"/>
      <c r="L657" s="1395" t="str">
        <f>OBRA!AF659</f>
        <v>-</v>
      </c>
      <c r="M657" s="1398"/>
      <c r="N657" s="1395" t="str">
        <f>OBRA!AG659</f>
        <v>-</v>
      </c>
      <c r="O657" s="1395"/>
      <c r="P657" s="1395"/>
      <c r="Q657" s="1397"/>
      <c r="R657" s="479" t="str">
        <f>OBRA!AH659</f>
        <v>-</v>
      </c>
      <c r="S657" s="591"/>
      <c r="T657" s="446">
        <f>OBRA!U659</f>
        <v>0</v>
      </c>
      <c r="U657" s="447">
        <f>OBRA!V659</f>
        <v>0</v>
      </c>
      <c r="V657" s="1281"/>
      <c r="W657" s="20" t="str">
        <f>OBRA!L659</f>
        <v>CEA-IHAP-FISE-021/2023</v>
      </c>
      <c r="X657" s="1659"/>
      <c r="Y657" s="1659"/>
      <c r="Z657" s="448" t="str">
        <f>OBRA!K659</f>
        <v>CEA-FISE</v>
      </c>
      <c r="AA657" s="1659"/>
      <c r="AB657" s="2" t="str">
        <f>OBRA!M659</f>
        <v>CONVENIOS</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428">
        <f>OBRA!S659</f>
        <v>45565</v>
      </c>
      <c r="AH657" s="1014"/>
      <c r="AI657" s="169"/>
      <c r="AJ657" s="239"/>
      <c r="AK657" s="239"/>
      <c r="AL657" s="715"/>
      <c r="AM657" s="573">
        <f>GRAL!B845</f>
        <v>0</v>
      </c>
      <c r="AN657" s="448"/>
      <c r="AO657" s="13"/>
    </row>
    <row r="658" spans="1:41" ht="60.75" hidden="1" thickTop="1">
      <c r="A658" s="166">
        <f>OBRA!I660</f>
        <v>2023</v>
      </c>
      <c r="B658" s="2036"/>
      <c r="C658" s="1612"/>
      <c r="D658" s="171"/>
      <c r="E658" s="1393"/>
      <c r="F658" s="1393"/>
      <c r="G658" s="1394"/>
      <c r="H658" s="1395" t="str">
        <f>OBRA!AD660</f>
        <v>-</v>
      </c>
      <c r="I658" s="1396"/>
      <c r="J658" s="1613" t="str">
        <f>OBRA!AE660</f>
        <v>-</v>
      </c>
      <c r="K658" s="1397"/>
      <c r="L658" s="1395" t="str">
        <f>OBRA!AF660</f>
        <v>-</v>
      </c>
      <c r="M658" s="1398"/>
      <c r="N658" s="1395" t="str">
        <f>OBRA!AG660</f>
        <v>-</v>
      </c>
      <c r="O658" s="1395"/>
      <c r="P658" s="1395"/>
      <c r="Q658" s="1397"/>
      <c r="R658" s="479" t="str">
        <f>OBRA!AH660</f>
        <v>-</v>
      </c>
      <c r="S658" s="591"/>
      <c r="T658" s="446">
        <f>OBRA!U660</f>
        <v>0</v>
      </c>
      <c r="U658" s="447">
        <f>OBRA!V660</f>
        <v>0</v>
      </c>
      <c r="V658" s="1281"/>
      <c r="W658" s="20" t="str">
        <f>OBRA!L660</f>
        <v>CEA-IHAP-FISE-022/2023</v>
      </c>
      <c r="X658" s="1659"/>
      <c r="Y658" s="1659"/>
      <c r="Z658" s="448" t="str">
        <f>OBRA!K660</f>
        <v>CEA-FISE</v>
      </c>
      <c r="AA658" s="1659"/>
      <c r="AB658" s="2" t="str">
        <f>OBRA!M660</f>
        <v>CONVENIOS</v>
      </c>
      <c r="AC658" s="3" t="str">
        <f>OBRA!N660</f>
        <v>PERFORACIÓN DE POZO PROFUNDO PARA LA EXTRACCIÓN DE AGUA POTABLE, UBICADO EN LA CABECERA MUNICIPAL DE JOCOTEPEC, JALISCO.</v>
      </c>
      <c r="AD658" s="4">
        <f>OBRA!P660</f>
        <v>4000000</v>
      </c>
      <c r="AE658" s="6">
        <f>OBRA!Q660</f>
        <v>45153</v>
      </c>
      <c r="AF658" s="5">
        <f>OBRA!R660</f>
        <v>45153</v>
      </c>
      <c r="AG658" s="428">
        <f>OBRA!S660</f>
        <v>45565</v>
      </c>
      <c r="AH658" s="1014"/>
      <c r="AI658" s="169"/>
      <c r="AJ658" s="239"/>
      <c r="AK658" s="239"/>
      <c r="AL658" s="715"/>
      <c r="AM658" s="573">
        <f>GRAL!B846</f>
        <v>0</v>
      </c>
      <c r="AN658" s="448"/>
      <c r="AO658" s="13"/>
    </row>
    <row r="659" spans="1:41" ht="120.75" hidden="1" thickTop="1">
      <c r="A659" s="166">
        <f>OBRA!I661</f>
        <v>2023</v>
      </c>
      <c r="B659" s="2036"/>
      <c r="C659" s="1612"/>
      <c r="D659" s="171"/>
      <c r="E659" s="1393"/>
      <c r="F659" s="1393"/>
      <c r="G659" s="1394"/>
      <c r="H659" s="1395" t="str">
        <f>OBRA!AD661</f>
        <v>-</v>
      </c>
      <c r="I659" s="1396"/>
      <c r="J659" s="1613" t="str">
        <f>OBRA!AE661</f>
        <v>-</v>
      </c>
      <c r="K659" s="1397"/>
      <c r="L659" s="1395" t="str">
        <f>OBRA!AF661</f>
        <v>-</v>
      </c>
      <c r="M659" s="1398"/>
      <c r="N659" s="1395" t="str">
        <f>OBRA!AG661</f>
        <v>-</v>
      </c>
      <c r="O659" s="1395"/>
      <c r="P659" s="1395"/>
      <c r="Q659" s="1397"/>
      <c r="R659" s="479" t="str">
        <f>OBRA!AH661</f>
        <v>-</v>
      </c>
      <c r="S659" s="591"/>
      <c r="T659" s="446" t="str">
        <f>OBRA!U661</f>
        <v>ING. J. TRINIDAD NUÑEZ BRITO</v>
      </c>
      <c r="U659" s="447" t="str">
        <f>OBRA!V661</f>
        <v>ARQ. FRANCISCO SALAZAR</v>
      </c>
      <c r="V659" s="1281"/>
      <c r="W659" s="20" t="str">
        <f>OBRA!L661</f>
        <v>C.P.S.P. DOP 001/2023</v>
      </c>
      <c r="X659" s="1659"/>
      <c r="Y659" s="1659"/>
      <c r="Z659" s="448" t="str">
        <f>OBRA!K661</f>
        <v>CUENTA CORRIENTE</v>
      </c>
      <c r="AA659" s="1659"/>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428">
        <f>OBRA!S661</f>
        <v>44931</v>
      </c>
      <c r="AH659" s="1014"/>
      <c r="AI659" s="169"/>
      <c r="AJ659" s="239"/>
      <c r="AK659" s="239"/>
      <c r="AL659" s="715"/>
      <c r="AM659" s="573">
        <f>GRAL!B847</f>
        <v>0</v>
      </c>
      <c r="AN659" s="448"/>
      <c r="AO659" s="13"/>
    </row>
    <row r="660" spans="1:41" ht="120.75" hidden="1" thickTop="1">
      <c r="A660" s="166">
        <f>OBRA!I662</f>
        <v>2023</v>
      </c>
      <c r="B660" s="2036"/>
      <c r="C660" s="1612"/>
      <c r="D660" s="171"/>
      <c r="E660" s="1393"/>
      <c r="F660" s="1393"/>
      <c r="G660" s="1394"/>
      <c r="H660" s="1395" t="str">
        <f>OBRA!AD662</f>
        <v>-</v>
      </c>
      <c r="I660" s="1396"/>
      <c r="J660" s="1613" t="str">
        <f>OBRA!AE662</f>
        <v>-</v>
      </c>
      <c r="K660" s="1397"/>
      <c r="L660" s="1395" t="str">
        <f>OBRA!AF662</f>
        <v>-</v>
      </c>
      <c r="M660" s="1398"/>
      <c r="N660" s="1395" t="str">
        <f>OBRA!AG662</f>
        <v>-</v>
      </c>
      <c r="O660" s="1395"/>
      <c r="P660" s="1395"/>
      <c r="Q660" s="1397"/>
      <c r="R660" s="479" t="str">
        <f>OBRA!AH662</f>
        <v>-</v>
      </c>
      <c r="S660" s="591"/>
      <c r="T660" s="446" t="str">
        <f>OBRA!U662</f>
        <v>ING. J. TRINIDAD NUÑEZ BRITO</v>
      </c>
      <c r="U660" s="447" t="str">
        <f>OBRA!V662</f>
        <v>ARQ. FRANCISCO SALAZAR</v>
      </c>
      <c r="V660" s="1281"/>
      <c r="W660" s="20" t="str">
        <f>OBRA!L662</f>
        <v>C.P.S.P. DOP 002/2023</v>
      </c>
      <c r="X660" s="1659"/>
      <c r="Y660" s="1659"/>
      <c r="Z660" s="448" t="str">
        <f>OBRA!K662</f>
        <v>CUENTA CORRIENTE</v>
      </c>
      <c r="AA660" s="1659"/>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428">
        <f>OBRA!S662</f>
        <v>44932</v>
      </c>
      <c r="AH660" s="1014"/>
      <c r="AI660" s="169"/>
      <c r="AJ660" s="239"/>
      <c r="AK660" s="239"/>
      <c r="AL660" s="715"/>
      <c r="AM660" s="573">
        <f>GRAL!B848</f>
        <v>0</v>
      </c>
      <c r="AN660" s="448"/>
      <c r="AO660" s="13"/>
    </row>
    <row r="661" spans="1:41" ht="120.75" hidden="1" thickTop="1">
      <c r="A661" s="166">
        <f>OBRA!I663</f>
        <v>2023</v>
      </c>
      <c r="B661" s="2036"/>
      <c r="C661" s="1612"/>
      <c r="D661" s="171"/>
      <c r="E661" s="1393"/>
      <c r="F661" s="1393"/>
      <c r="G661" s="1394"/>
      <c r="H661" s="1395" t="str">
        <f>OBRA!AD663</f>
        <v>-</v>
      </c>
      <c r="I661" s="1396"/>
      <c r="J661" s="1613" t="str">
        <f>OBRA!AE663</f>
        <v>-</v>
      </c>
      <c r="K661" s="1397"/>
      <c r="L661" s="1395" t="str">
        <f>OBRA!AF663</f>
        <v>-</v>
      </c>
      <c r="M661" s="1398"/>
      <c r="N661" s="1395" t="str">
        <f>OBRA!AG663</f>
        <v>-</v>
      </c>
      <c r="O661" s="1395"/>
      <c r="P661" s="1395"/>
      <c r="Q661" s="1397"/>
      <c r="R661" s="479" t="str">
        <f>OBRA!AH663</f>
        <v>-</v>
      </c>
      <c r="S661" s="591"/>
      <c r="T661" s="446" t="str">
        <f>OBRA!U663</f>
        <v>ING. J. TRINIDAD NUÑEZ BRITO</v>
      </c>
      <c r="U661" s="447" t="str">
        <f>OBRA!V663</f>
        <v>ARQ. FRANCISCO SALAZAR</v>
      </c>
      <c r="V661" s="1281"/>
      <c r="W661" s="20" t="str">
        <f>OBRA!L663</f>
        <v>C.P.S.P. DOP 003/2023</v>
      </c>
      <c r="X661" s="1659"/>
      <c r="Y661" s="1659"/>
      <c r="Z661" s="448" t="str">
        <f>OBRA!K663</f>
        <v>CUENTA CORRIENTE</v>
      </c>
      <c r="AA661" s="1659"/>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0</v>
      </c>
      <c r="AG661" s="428">
        <f>OBRA!S663</f>
        <v>0</v>
      </c>
      <c r="AH661" s="1014"/>
      <c r="AI661" s="169"/>
      <c r="AJ661" s="239"/>
      <c r="AK661" s="239"/>
      <c r="AL661" s="715"/>
      <c r="AM661" s="573">
        <f>GRAL!B849</f>
        <v>0</v>
      </c>
      <c r="AN661" s="448"/>
      <c r="AO661" s="13"/>
    </row>
    <row r="662" spans="1:41" ht="90.75" hidden="1" thickTop="1">
      <c r="A662" s="166">
        <f>OBRA!I664</f>
        <v>2023</v>
      </c>
      <c r="B662" s="2036"/>
      <c r="C662" s="1612"/>
      <c r="D662" s="171"/>
      <c r="E662" s="1393"/>
      <c r="F662" s="1393"/>
      <c r="G662" s="1394"/>
      <c r="H662" s="1395" t="str">
        <f>OBRA!AD664</f>
        <v>-</v>
      </c>
      <c r="I662" s="1396"/>
      <c r="J662" s="1613" t="str">
        <f>OBRA!AE664</f>
        <v>-</v>
      </c>
      <c r="K662" s="1397"/>
      <c r="L662" s="1395" t="str">
        <f>OBRA!AF664</f>
        <v>-</v>
      </c>
      <c r="M662" s="1398"/>
      <c r="N662" s="1395" t="str">
        <f>OBRA!AG664</f>
        <v>-</v>
      </c>
      <c r="O662" s="1395"/>
      <c r="P662" s="1395"/>
      <c r="Q662" s="1397"/>
      <c r="R662" s="479" t="str">
        <f>OBRA!AH664</f>
        <v>-</v>
      </c>
      <c r="S662" s="591"/>
      <c r="T662" s="446" t="str">
        <f>OBRA!U664</f>
        <v>ING. SERGIO CABRERA</v>
      </c>
      <c r="U662" s="447" t="str">
        <f>OBRA!V664</f>
        <v>ARQ. FRANCISCO SALAZAR</v>
      </c>
      <c r="V662" s="1281"/>
      <c r="W662" s="20" t="str">
        <f>OBRA!L664</f>
        <v>C.P.S.P. DOP 004/2023</v>
      </c>
      <c r="X662" s="1659"/>
      <c r="Y662" s="1659"/>
      <c r="Z662" s="448" t="str">
        <f>OBRA!K664</f>
        <v>CUENTA CORRIENTE</v>
      </c>
      <c r="AA662" s="1659"/>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428">
        <f>OBRA!S664</f>
        <v>44960</v>
      </c>
      <c r="AH662" s="1014"/>
      <c r="AI662" s="169"/>
      <c r="AJ662" s="239"/>
      <c r="AK662" s="239"/>
      <c r="AL662" s="715"/>
      <c r="AM662" s="573">
        <f>GRAL!B850</f>
        <v>0</v>
      </c>
      <c r="AN662" s="448"/>
      <c r="AO662" s="13"/>
    </row>
    <row r="663" spans="1:41" ht="90.75" hidden="1" thickTop="1">
      <c r="A663" s="166">
        <f>OBRA!I665</f>
        <v>2023</v>
      </c>
      <c r="B663" s="2036"/>
      <c r="C663" s="1612"/>
      <c r="D663" s="171"/>
      <c r="E663" s="1393"/>
      <c r="F663" s="1393"/>
      <c r="G663" s="1394"/>
      <c r="H663" s="1395" t="str">
        <f>OBRA!AD665</f>
        <v>-</v>
      </c>
      <c r="I663" s="1396"/>
      <c r="J663" s="1613" t="str">
        <f>OBRA!AE665</f>
        <v>-</v>
      </c>
      <c r="K663" s="1397"/>
      <c r="L663" s="1395" t="str">
        <f>OBRA!AF665</f>
        <v>-</v>
      </c>
      <c r="M663" s="1398"/>
      <c r="N663" s="1395" t="str">
        <f>OBRA!AG665</f>
        <v>-</v>
      </c>
      <c r="O663" s="1395"/>
      <c r="P663" s="1395"/>
      <c r="Q663" s="1397"/>
      <c r="R663" s="479" t="str">
        <f>OBRA!AH665</f>
        <v>-</v>
      </c>
      <c r="S663" s="591"/>
      <c r="T663" s="446" t="str">
        <f>OBRA!U665</f>
        <v>ING. SERGIO CABRERA</v>
      </c>
      <c r="U663" s="447" t="str">
        <f>OBRA!V665</f>
        <v>ARQ. FRANCISCO SALAZAR</v>
      </c>
      <c r="V663" s="1281"/>
      <c r="W663" s="20" t="str">
        <f>OBRA!L665</f>
        <v>C.P.S.P. DOP 005/2023</v>
      </c>
      <c r="X663" s="1659"/>
      <c r="Y663" s="1659"/>
      <c r="Z663" s="448" t="str">
        <f>OBRA!K665</f>
        <v>CUENTA CORRIENTE</v>
      </c>
      <c r="AA663" s="1659"/>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428">
        <f>OBRA!S665</f>
        <v>44962</v>
      </c>
      <c r="AH663" s="1014"/>
      <c r="AI663" s="169"/>
      <c r="AJ663" s="239"/>
      <c r="AK663" s="239"/>
      <c r="AL663" s="715"/>
      <c r="AM663" s="573">
        <f>GRAL!B851</f>
        <v>0</v>
      </c>
      <c r="AN663" s="448"/>
      <c r="AO663" s="13"/>
    </row>
    <row r="664" spans="1:41" ht="120.75" hidden="1" thickTop="1">
      <c r="A664" s="166">
        <f>OBRA!I666</f>
        <v>2023</v>
      </c>
      <c r="B664" s="2036"/>
      <c r="C664" s="1612"/>
      <c r="D664" s="171"/>
      <c r="E664" s="1393"/>
      <c r="F664" s="1393"/>
      <c r="G664" s="1394"/>
      <c r="H664" s="1395" t="str">
        <f>OBRA!AD666</f>
        <v>-</v>
      </c>
      <c r="I664" s="1396"/>
      <c r="J664" s="1613" t="str">
        <f>OBRA!AE666</f>
        <v>-</v>
      </c>
      <c r="K664" s="1397"/>
      <c r="L664" s="1395" t="str">
        <f>OBRA!AF666</f>
        <v>-</v>
      </c>
      <c r="M664" s="1398"/>
      <c r="N664" s="1395" t="str">
        <f>OBRA!AG666</f>
        <v>-</v>
      </c>
      <c r="O664" s="1395"/>
      <c r="P664" s="1395"/>
      <c r="Q664" s="1397"/>
      <c r="R664" s="479" t="str">
        <f>OBRA!AH666</f>
        <v>-</v>
      </c>
      <c r="S664" s="591"/>
      <c r="T664" s="446" t="str">
        <f>OBRA!U666</f>
        <v>PEDRO MACHUCA SAAVEDRA</v>
      </c>
      <c r="U664" s="447" t="str">
        <f>OBRA!V666</f>
        <v>ARQ. FRANCISCO SALAZAR</v>
      </c>
      <c r="V664" s="1281"/>
      <c r="W664" s="20" t="str">
        <f>OBRA!L666</f>
        <v>C.P.S.P. DOP 006/2023</v>
      </c>
      <c r="X664" s="1659"/>
      <c r="Y664" s="1659"/>
      <c r="Z664" s="448" t="str">
        <f>OBRA!K666</f>
        <v>CUENTA CORRIENTE</v>
      </c>
      <c r="AA664" s="1659"/>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428">
        <f>OBRA!S666</f>
        <v>44931</v>
      </c>
      <c r="AH664" s="1014"/>
      <c r="AI664" s="169"/>
      <c r="AJ664" s="239"/>
      <c r="AK664" s="239"/>
      <c r="AL664" s="715"/>
      <c r="AM664" s="573">
        <f>GRAL!B852</f>
        <v>0</v>
      </c>
      <c r="AN664" s="448"/>
      <c r="AO664" s="13"/>
    </row>
    <row r="665" spans="1:41" ht="120.75" hidden="1" thickTop="1">
      <c r="A665" s="166">
        <f>OBRA!I667</f>
        <v>2023</v>
      </c>
      <c r="B665" s="2036"/>
      <c r="C665" s="1612"/>
      <c r="D665" s="171"/>
      <c r="E665" s="1393"/>
      <c r="F665" s="1393"/>
      <c r="G665" s="1394"/>
      <c r="H665" s="1395" t="str">
        <f>OBRA!AD667</f>
        <v>-</v>
      </c>
      <c r="I665" s="1396"/>
      <c r="J665" s="1613" t="str">
        <f>OBRA!AE667</f>
        <v>-</v>
      </c>
      <c r="K665" s="1397"/>
      <c r="L665" s="1395" t="str">
        <f>OBRA!AF667</f>
        <v>-</v>
      </c>
      <c r="M665" s="1398"/>
      <c r="N665" s="1395" t="str">
        <f>OBRA!AG667</f>
        <v>-</v>
      </c>
      <c r="O665" s="1395"/>
      <c r="P665" s="1395"/>
      <c r="Q665" s="1397"/>
      <c r="R665" s="479" t="str">
        <f>OBRA!AH667</f>
        <v>-</v>
      </c>
      <c r="S665" s="591"/>
      <c r="T665" s="446" t="str">
        <f>OBRA!U667</f>
        <v>PEDRO MACHUCA SAAVEDRA</v>
      </c>
      <c r="U665" s="447" t="str">
        <f>OBRA!V667</f>
        <v>ARQ. FRANCISCO SALAZAR</v>
      </c>
      <c r="V665" s="1281"/>
      <c r="W665" s="20" t="str">
        <f>OBRA!L667</f>
        <v>C.P.S.P. DOP 007/2023</v>
      </c>
      <c r="X665" s="1659"/>
      <c r="Y665" s="1659"/>
      <c r="Z665" s="448" t="str">
        <f>OBRA!K667</f>
        <v>CUENTA CORRIENTE</v>
      </c>
      <c r="AA665" s="1659"/>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428">
        <f>OBRA!S667</f>
        <v>44972</v>
      </c>
      <c r="AH665" s="1014"/>
      <c r="AI665" s="169"/>
      <c r="AJ665" s="239"/>
      <c r="AK665" s="239"/>
      <c r="AL665" s="715"/>
      <c r="AM665" s="573">
        <f>GRAL!B853</f>
        <v>0</v>
      </c>
      <c r="AN665" s="448"/>
      <c r="AO665" s="13"/>
    </row>
    <row r="666" spans="1:41" ht="165.75" hidden="1" thickTop="1">
      <c r="A666" s="166">
        <f>OBRA!I668</f>
        <v>2023</v>
      </c>
      <c r="B666" s="2036"/>
      <c r="C666" s="1612"/>
      <c r="D666" s="171"/>
      <c r="E666" s="1393"/>
      <c r="F666" s="1393"/>
      <c r="G666" s="1394"/>
      <c r="H666" s="1395" t="str">
        <f>OBRA!AD668</f>
        <v>-</v>
      </c>
      <c r="I666" s="1396"/>
      <c r="J666" s="1613" t="str">
        <f>OBRA!AE668</f>
        <v>-</v>
      </c>
      <c r="K666" s="1397"/>
      <c r="L666" s="1395" t="str">
        <f>OBRA!AF668</f>
        <v>-</v>
      </c>
      <c r="M666" s="1398"/>
      <c r="N666" s="1395" t="str">
        <f>OBRA!AG668</f>
        <v>-</v>
      </c>
      <c r="O666" s="1395"/>
      <c r="P666" s="1395"/>
      <c r="Q666" s="1397"/>
      <c r="R666" s="479" t="str">
        <f>OBRA!AH668</f>
        <v>-</v>
      </c>
      <c r="S666" s="591"/>
      <c r="T666" s="446" t="str">
        <f>OBRA!U668</f>
        <v>ECCOC DE GUADALAJARA, S.A. DE C.V.</v>
      </c>
      <c r="U666" s="447" t="str">
        <f>OBRA!V668</f>
        <v>ARQ. FRANCISCO SALAZAR</v>
      </c>
      <c r="V666" s="1281"/>
      <c r="W666" s="20" t="str">
        <f>OBRA!L668</f>
        <v>C.P.S.P. DOP 008/2023</v>
      </c>
      <c r="X666" s="1659"/>
      <c r="Y666" s="1659"/>
      <c r="Z666" s="448" t="str">
        <f>OBRA!K668</f>
        <v>CUENTA CORRIENTE</v>
      </c>
      <c r="AA666" s="1659"/>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428">
        <f>OBRA!S668</f>
        <v>44979</v>
      </c>
      <c r="AH666" s="1014"/>
      <c r="AI666" s="169"/>
      <c r="AJ666" s="239"/>
      <c r="AK666" s="239"/>
      <c r="AL666" s="715"/>
      <c r="AM666" s="573">
        <f>GRAL!B854</f>
        <v>0</v>
      </c>
      <c r="AN666" s="448"/>
      <c r="AO666" s="13"/>
    </row>
    <row r="667" spans="1:41" ht="195.75" hidden="1" thickTop="1">
      <c r="A667" s="166">
        <f>OBRA!I669</f>
        <v>2023</v>
      </c>
      <c r="B667" s="2036"/>
      <c r="C667" s="1612"/>
      <c r="D667" s="171"/>
      <c r="E667" s="1393"/>
      <c r="F667" s="1393"/>
      <c r="G667" s="1394"/>
      <c r="H667" s="1395" t="str">
        <f>OBRA!AD669</f>
        <v>-</v>
      </c>
      <c r="I667" s="1396"/>
      <c r="J667" s="1613" t="str">
        <f>OBRA!AE669</f>
        <v>-</v>
      </c>
      <c r="K667" s="1397"/>
      <c r="L667" s="1395" t="str">
        <f>OBRA!AF669</f>
        <v>-</v>
      </c>
      <c r="M667" s="1398"/>
      <c r="N667" s="1395" t="str">
        <f>OBRA!AG669</f>
        <v>-</v>
      </c>
      <c r="O667" s="1395"/>
      <c r="P667" s="1395"/>
      <c r="Q667" s="1397"/>
      <c r="R667" s="479" t="str">
        <f>OBRA!AH669</f>
        <v>-</v>
      </c>
      <c r="S667" s="591"/>
      <c r="T667" s="446" t="str">
        <f>OBRA!U669</f>
        <v>ECCOC DE GUADALAJARA, S.A. DE C.V.</v>
      </c>
      <c r="U667" s="447" t="str">
        <f>OBRA!V669</f>
        <v>ARQ. FRANCISCO SALAZAR</v>
      </c>
      <c r="V667" s="1281"/>
      <c r="W667" s="20" t="str">
        <f>OBRA!L669</f>
        <v>C.P.S.P. DOP 009/2023</v>
      </c>
      <c r="X667" s="1659"/>
      <c r="Y667" s="1659"/>
      <c r="Z667" s="448" t="str">
        <f>OBRA!K669</f>
        <v>CUENTA CORRIENTE</v>
      </c>
      <c r="AA667" s="1659"/>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428">
        <f>OBRA!S669</f>
        <v>45016</v>
      </c>
      <c r="AH667" s="1014"/>
      <c r="AI667" s="169"/>
      <c r="AJ667" s="239"/>
      <c r="AK667" s="239"/>
      <c r="AL667" s="715"/>
      <c r="AM667" s="573">
        <f>GRAL!B855</f>
        <v>0</v>
      </c>
      <c r="AN667" s="448"/>
      <c r="AO667" s="13"/>
    </row>
    <row r="668" spans="1:41" ht="180.75" hidden="1" thickTop="1">
      <c r="A668" s="166">
        <f>OBRA!I670</f>
        <v>2023</v>
      </c>
      <c r="B668" s="2036"/>
      <c r="C668" s="1612"/>
      <c r="D668" s="171"/>
      <c r="E668" s="1393"/>
      <c r="F668" s="1393"/>
      <c r="G668" s="1394"/>
      <c r="H668" s="1395" t="str">
        <f>OBRA!AD670</f>
        <v>-</v>
      </c>
      <c r="I668" s="1396"/>
      <c r="J668" s="1613" t="str">
        <f>OBRA!AE670</f>
        <v>-</v>
      </c>
      <c r="K668" s="1397"/>
      <c r="L668" s="1395" t="str">
        <f>OBRA!AF670</f>
        <v>-</v>
      </c>
      <c r="M668" s="1398"/>
      <c r="N668" s="1395" t="str">
        <f>OBRA!AG670</f>
        <v>-</v>
      </c>
      <c r="O668" s="1395"/>
      <c r="P668" s="1395"/>
      <c r="Q668" s="1397"/>
      <c r="R668" s="479" t="str">
        <f>OBRA!AH670</f>
        <v>-</v>
      </c>
      <c r="S668" s="591"/>
      <c r="T668" s="446" t="str">
        <f>OBRA!U670</f>
        <v>ECCOC DE GUADALAJARA, S.A. DE C.V.</v>
      </c>
      <c r="U668" s="447" t="str">
        <f>OBRA!V670</f>
        <v>ARQ. FRANCISCO SALAZAR</v>
      </c>
      <c r="V668" s="1281"/>
      <c r="W668" s="20" t="str">
        <f>OBRA!L670</f>
        <v>C.P.S.P. DOP 010/2023</v>
      </c>
      <c r="X668" s="1659"/>
      <c r="Y668" s="1659"/>
      <c r="Z668" s="448" t="str">
        <f>OBRA!K670</f>
        <v>CUENTA CORRIENTE</v>
      </c>
      <c r="AA668" s="1659"/>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428">
        <f>OBRA!S670</f>
        <v>45016</v>
      </c>
      <c r="AH668" s="1014"/>
      <c r="AI668" s="169"/>
      <c r="AJ668" s="239"/>
      <c r="AK668" s="239"/>
      <c r="AL668" s="715"/>
      <c r="AM668" s="573">
        <f>GRAL!B856</f>
        <v>0</v>
      </c>
      <c r="AN668" s="448"/>
      <c r="AO668" s="13"/>
    </row>
    <row r="669" spans="1:41" ht="120.75" hidden="1" thickTop="1">
      <c r="A669" s="166">
        <f>OBRA!I671</f>
        <v>2023</v>
      </c>
      <c r="B669" s="2036"/>
      <c r="C669" s="1612"/>
      <c r="D669" s="171"/>
      <c r="E669" s="1393"/>
      <c r="F669" s="1393"/>
      <c r="G669" s="1394"/>
      <c r="H669" s="1395" t="str">
        <f>OBRA!AD671</f>
        <v>-</v>
      </c>
      <c r="I669" s="1396"/>
      <c r="J669" s="1613" t="str">
        <f>OBRA!AE671</f>
        <v>-</v>
      </c>
      <c r="K669" s="1397"/>
      <c r="L669" s="1395" t="str">
        <f>OBRA!AF671</f>
        <v>-</v>
      </c>
      <c r="M669" s="1398"/>
      <c r="N669" s="1395" t="str">
        <f>OBRA!AG671</f>
        <v>-</v>
      </c>
      <c r="O669" s="1395"/>
      <c r="P669" s="1395"/>
      <c r="Q669" s="1397"/>
      <c r="R669" s="479" t="str">
        <f>OBRA!AH671</f>
        <v>-</v>
      </c>
      <c r="S669" s="591"/>
      <c r="T669" s="446" t="str">
        <f>OBRA!U671</f>
        <v>LEXCLI, S. DE R.L. DE C.V.</v>
      </c>
      <c r="U669" s="447" t="str">
        <f>OBRA!V671</f>
        <v>ARQ. FRANCISCO SALAZAR</v>
      </c>
      <c r="V669" s="1281"/>
      <c r="W669" s="20" t="str">
        <f>OBRA!L671</f>
        <v>C.P.S.P. DOP 011/2023</v>
      </c>
      <c r="X669" s="1659"/>
      <c r="Y669" s="1659"/>
      <c r="Z669" s="448" t="str">
        <f>OBRA!K671</f>
        <v>CUENTA CORRIENTE</v>
      </c>
      <c r="AA669" s="1659"/>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428">
        <f>OBRA!S671</f>
        <v>44995</v>
      </c>
      <c r="AH669" s="1014"/>
      <c r="AI669" s="169"/>
      <c r="AJ669" s="239"/>
      <c r="AK669" s="239"/>
      <c r="AL669" s="715"/>
      <c r="AM669" s="573">
        <f>GRAL!B857</f>
        <v>0</v>
      </c>
      <c r="AN669" s="448"/>
      <c r="AO669" s="13"/>
    </row>
    <row r="670" spans="1:41" ht="105.75" hidden="1" thickTop="1">
      <c r="A670" s="166">
        <f>OBRA!I672</f>
        <v>2023</v>
      </c>
      <c r="B670" s="2036"/>
      <c r="C670" s="1612"/>
      <c r="D670" s="171"/>
      <c r="E670" s="1393"/>
      <c r="F670" s="1393"/>
      <c r="G670" s="1394"/>
      <c r="H670" s="1395" t="str">
        <f>OBRA!AD672</f>
        <v>-</v>
      </c>
      <c r="I670" s="1396"/>
      <c r="J670" s="1613" t="str">
        <f>OBRA!AE672</f>
        <v>-</v>
      </c>
      <c r="K670" s="1397"/>
      <c r="L670" s="1395" t="str">
        <f>OBRA!AF672</f>
        <v>-</v>
      </c>
      <c r="M670" s="1398"/>
      <c r="N670" s="1395" t="str">
        <f>OBRA!AG672</f>
        <v>-</v>
      </c>
      <c r="O670" s="1395"/>
      <c r="P670" s="1395"/>
      <c r="Q670" s="1397"/>
      <c r="R670" s="479" t="str">
        <f>OBRA!AH672</f>
        <v>-</v>
      </c>
      <c r="S670" s="591"/>
      <c r="T670" s="446" t="str">
        <f>OBRA!U672</f>
        <v>LEXCLI, S. DE R.L. DE C.V.</v>
      </c>
      <c r="U670" s="447" t="str">
        <f>OBRA!V672</f>
        <v>ARQ. FRANCISCO SALAZAR</v>
      </c>
      <c r="V670" s="1281"/>
      <c r="W670" s="20" t="str">
        <f>OBRA!L672</f>
        <v>C.P.S.P. DOP 012/2023</v>
      </c>
      <c r="X670" s="1659"/>
      <c r="Y670" s="1659"/>
      <c r="Z670" s="448" t="str">
        <f>OBRA!K672</f>
        <v>CUENTA CORRIENTE</v>
      </c>
      <c r="AA670" s="1659"/>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428">
        <f>OBRA!S672</f>
        <v>45002</v>
      </c>
      <c r="AH670" s="1014"/>
      <c r="AI670" s="169"/>
      <c r="AJ670" s="239"/>
      <c r="AK670" s="239"/>
      <c r="AL670" s="715"/>
      <c r="AM670" s="573">
        <f>GRAL!B858</f>
        <v>0</v>
      </c>
      <c r="AN670" s="448"/>
      <c r="AO670" s="13"/>
    </row>
    <row r="671" spans="1:41" ht="105.75" hidden="1" thickTop="1">
      <c r="A671" s="166">
        <f>OBRA!I673</f>
        <v>2023</v>
      </c>
      <c r="B671" s="2036"/>
      <c r="C671" s="1612"/>
      <c r="D671" s="171"/>
      <c r="E671" s="1393"/>
      <c r="F671" s="1393"/>
      <c r="G671" s="1394"/>
      <c r="H671" s="1395" t="str">
        <f>OBRA!AD673</f>
        <v>-</v>
      </c>
      <c r="I671" s="1396"/>
      <c r="J671" s="1613" t="str">
        <f>OBRA!AE673</f>
        <v>-</v>
      </c>
      <c r="K671" s="1397"/>
      <c r="L671" s="1395" t="str">
        <f>OBRA!AF673</f>
        <v>-</v>
      </c>
      <c r="M671" s="1398"/>
      <c r="N671" s="1395" t="str">
        <f>OBRA!AG673</f>
        <v>-</v>
      </c>
      <c r="O671" s="1395"/>
      <c r="P671" s="1395"/>
      <c r="Q671" s="1397"/>
      <c r="R671" s="479" t="str">
        <f>OBRA!AH673</f>
        <v>-</v>
      </c>
      <c r="S671" s="591"/>
      <c r="T671" s="446" t="str">
        <f>OBRA!U673</f>
        <v>LEXCLI, S. DE R.L. DE C.V.</v>
      </c>
      <c r="U671" s="447" t="str">
        <f>OBRA!V673</f>
        <v>ARQ. FRANCISCO SALAZAR</v>
      </c>
      <c r="V671" s="1281"/>
      <c r="W671" s="20" t="str">
        <f>OBRA!L673</f>
        <v>C.P.S.P. DOP 013/2023</v>
      </c>
      <c r="X671" s="1659"/>
      <c r="Y671" s="1659"/>
      <c r="Z671" s="448" t="str">
        <f>OBRA!K673</f>
        <v>CUENTA CORRIENTE</v>
      </c>
      <c r="AA671" s="1659"/>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428">
        <f>OBRA!S673</f>
        <v>45009</v>
      </c>
      <c r="AH671" s="1014"/>
      <c r="AI671" s="169"/>
      <c r="AJ671" s="239"/>
      <c r="AK671" s="239"/>
      <c r="AL671" s="715"/>
      <c r="AM671" s="573">
        <f>GRAL!B859</f>
        <v>0</v>
      </c>
      <c r="AN671" s="448"/>
      <c r="AO671" s="13"/>
    </row>
    <row r="672" spans="1:41" ht="105.75" hidden="1" thickTop="1">
      <c r="A672" s="166">
        <f>OBRA!I674</f>
        <v>2023</v>
      </c>
      <c r="B672" s="2036"/>
      <c r="C672" s="1612"/>
      <c r="D672" s="171"/>
      <c r="E672" s="1393"/>
      <c r="F672" s="1393"/>
      <c r="G672" s="1394"/>
      <c r="H672" s="1395" t="str">
        <f>OBRA!AD674</f>
        <v>-</v>
      </c>
      <c r="I672" s="1396"/>
      <c r="J672" s="1613" t="str">
        <f>OBRA!AE674</f>
        <v>-</v>
      </c>
      <c r="K672" s="1397"/>
      <c r="L672" s="1395" t="str">
        <f>OBRA!AF674</f>
        <v>-</v>
      </c>
      <c r="M672" s="1398"/>
      <c r="N672" s="1395" t="str">
        <f>OBRA!AG674</f>
        <v>-</v>
      </c>
      <c r="O672" s="1395"/>
      <c r="P672" s="1395"/>
      <c r="Q672" s="1397"/>
      <c r="R672" s="479" t="str">
        <f>OBRA!AH674</f>
        <v>-</v>
      </c>
      <c r="S672" s="591"/>
      <c r="T672" s="446" t="str">
        <f>OBRA!U674</f>
        <v>LEXCLI, S. DE R.L. DE C.V.</v>
      </c>
      <c r="U672" s="447" t="str">
        <f>OBRA!V674</f>
        <v>ARQ. FRANCISCO SALAZAR</v>
      </c>
      <c r="V672" s="1281"/>
      <c r="W672" s="20" t="str">
        <f>OBRA!L674</f>
        <v>C.P.S.P. DOP 014/2023</v>
      </c>
      <c r="X672" s="1659"/>
      <c r="Y672" s="1659"/>
      <c r="Z672" s="448" t="str">
        <f>OBRA!K674</f>
        <v>CUENTA CORRIENTE</v>
      </c>
      <c r="AA672" s="1659"/>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428">
        <f>OBRA!S674</f>
        <v>45009</v>
      </c>
      <c r="AH672" s="1014"/>
      <c r="AI672" s="169"/>
      <c r="AJ672" s="239"/>
      <c r="AK672" s="239"/>
      <c r="AL672" s="715"/>
      <c r="AM672" s="573">
        <f>GRAL!B860</f>
        <v>0</v>
      </c>
      <c r="AN672" s="448"/>
      <c r="AO672" s="13"/>
    </row>
    <row r="673" spans="1:41" ht="90.75" hidden="1" thickTop="1">
      <c r="A673" s="166">
        <f>OBRA!I675</f>
        <v>2023</v>
      </c>
      <c r="B673" s="2036"/>
      <c r="C673" s="1612"/>
      <c r="D673" s="171"/>
      <c r="E673" s="1393"/>
      <c r="F673" s="1393"/>
      <c r="G673" s="1394"/>
      <c r="H673" s="1395" t="str">
        <f>OBRA!AD675</f>
        <v>-</v>
      </c>
      <c r="I673" s="1396"/>
      <c r="J673" s="1613" t="str">
        <f>OBRA!AE675</f>
        <v>-</v>
      </c>
      <c r="K673" s="1397"/>
      <c r="L673" s="1395" t="str">
        <f>OBRA!AF675</f>
        <v>-</v>
      </c>
      <c r="M673" s="1398"/>
      <c r="N673" s="1395" t="str">
        <f>OBRA!AG675</f>
        <v>-</v>
      </c>
      <c r="O673" s="1395"/>
      <c r="P673" s="1395"/>
      <c r="Q673" s="1397"/>
      <c r="R673" s="479" t="str">
        <f>OBRA!AH675</f>
        <v>-</v>
      </c>
      <c r="S673" s="591"/>
      <c r="T673" s="446" t="str">
        <f>OBRA!U675</f>
        <v>ING. SERGIO CABRERA</v>
      </c>
      <c r="U673" s="447" t="str">
        <f>OBRA!V675</f>
        <v>ARQ. FRANCISCO SALAZAR</v>
      </c>
      <c r="V673" s="1281"/>
      <c r="W673" s="20" t="str">
        <f>OBRA!L675</f>
        <v>C.P.S.P. DOP 015/2023</v>
      </c>
      <c r="X673" s="1659"/>
      <c r="Y673" s="1659"/>
      <c r="Z673" s="448" t="str">
        <f>OBRA!K675</f>
        <v>CUENTA CORRIENTE</v>
      </c>
      <c r="AA673" s="1659"/>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428">
        <f>OBRA!S675</f>
        <v>45016</v>
      </c>
      <c r="AH673" s="1014"/>
      <c r="AI673" s="169"/>
      <c r="AJ673" s="239"/>
      <c r="AK673" s="239"/>
      <c r="AL673" s="715"/>
      <c r="AM673" s="573">
        <f>GRAL!B861</f>
        <v>0</v>
      </c>
      <c r="AN673" s="448"/>
      <c r="AO673" s="13"/>
    </row>
    <row r="674" spans="1:41" ht="90.75" hidden="1" thickTop="1">
      <c r="A674" s="166">
        <f>OBRA!I676</f>
        <v>2023</v>
      </c>
      <c r="B674" s="2036"/>
      <c r="C674" s="1612"/>
      <c r="D674" s="171"/>
      <c r="E674" s="1393"/>
      <c r="F674" s="1393"/>
      <c r="G674" s="1394"/>
      <c r="H674" s="1395" t="str">
        <f>OBRA!AD676</f>
        <v>-</v>
      </c>
      <c r="I674" s="1396"/>
      <c r="J674" s="1613" t="str">
        <f>OBRA!AE676</f>
        <v>-</v>
      </c>
      <c r="K674" s="1397"/>
      <c r="L674" s="1395" t="str">
        <f>OBRA!AF676</f>
        <v>-</v>
      </c>
      <c r="M674" s="1398"/>
      <c r="N674" s="1395" t="str">
        <f>OBRA!AG676</f>
        <v>-</v>
      </c>
      <c r="O674" s="1395"/>
      <c r="P674" s="1395"/>
      <c r="Q674" s="1397"/>
      <c r="R674" s="479" t="str">
        <f>OBRA!AH676</f>
        <v>-</v>
      </c>
      <c r="S674" s="591"/>
      <c r="T674" s="446" t="str">
        <f>OBRA!U676</f>
        <v>ING. SERGIO CABRERA</v>
      </c>
      <c r="U674" s="447" t="str">
        <f>OBRA!V676</f>
        <v>ARQ. FRANCISCO SALAZAR</v>
      </c>
      <c r="V674" s="1281"/>
      <c r="W674" s="20" t="str">
        <f>OBRA!L676</f>
        <v>C.P.S.P. DOP 016/2023</v>
      </c>
      <c r="X674" s="1659"/>
      <c r="Y674" s="1659"/>
      <c r="Z674" s="448" t="str">
        <f>OBRA!K676</f>
        <v>CUENTA CORRIENTE</v>
      </c>
      <c r="AA674" s="1659"/>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428">
        <f>OBRA!S680</f>
        <v>45129</v>
      </c>
      <c r="AH674" s="1014"/>
      <c r="AI674" s="169"/>
      <c r="AJ674" s="239"/>
      <c r="AK674" s="239"/>
      <c r="AL674" s="715"/>
      <c r="AM674" s="573">
        <f>GRAL!B862</f>
        <v>0</v>
      </c>
      <c r="AN674" s="448"/>
      <c r="AO674" s="13"/>
    </row>
    <row r="675" spans="1:41" ht="120.75" hidden="1" thickTop="1">
      <c r="A675" s="166">
        <f>OBRA!I677</f>
        <v>2023</v>
      </c>
      <c r="B675" s="2036"/>
      <c r="C675" s="1612"/>
      <c r="D675" s="171"/>
      <c r="E675" s="1393"/>
      <c r="F675" s="1393"/>
      <c r="G675" s="1394"/>
      <c r="H675" s="1395" t="str">
        <f>OBRA!AD677</f>
        <v>-</v>
      </c>
      <c r="I675" s="1396"/>
      <c r="J675" s="1613" t="str">
        <f>OBRA!AE677</f>
        <v>-</v>
      </c>
      <c r="K675" s="1397"/>
      <c r="L675" s="1395" t="str">
        <f>OBRA!AF677</f>
        <v>-</v>
      </c>
      <c r="M675" s="1398"/>
      <c r="N675" s="1395" t="str">
        <f>OBRA!AG677</f>
        <v>-</v>
      </c>
      <c r="O675" s="1395"/>
      <c r="P675" s="1395"/>
      <c r="Q675" s="1397"/>
      <c r="R675" s="479" t="str">
        <f>OBRA!AH677</f>
        <v>-</v>
      </c>
      <c r="S675" s="591"/>
      <c r="T675" s="446" t="str">
        <f>OBRA!U677</f>
        <v xml:space="preserve">CICLOS GIP SC </v>
      </c>
      <c r="U675" s="447" t="str">
        <f>OBRA!V677</f>
        <v>ARQ. FRANCISCO SALAZAR</v>
      </c>
      <c r="V675" s="1281"/>
      <c r="W675" s="20" t="str">
        <f>OBRA!L677</f>
        <v>C.P.S.P. DOP 017/2023</v>
      </c>
      <c r="X675" s="1659"/>
      <c r="Y675" s="1659"/>
      <c r="Z675" s="448" t="str">
        <f>OBRA!K677</f>
        <v>CUENTA CORRIENTE</v>
      </c>
      <c r="AA675" s="1659"/>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428">
        <f>OBRA!S677</f>
        <v>45070</v>
      </c>
      <c r="AH675" s="1014"/>
      <c r="AI675" s="169"/>
      <c r="AJ675" s="239"/>
      <c r="AK675" s="239"/>
      <c r="AL675" s="715"/>
      <c r="AM675" s="573">
        <f>GRAL!B863</f>
        <v>0</v>
      </c>
      <c r="AN675" s="448"/>
      <c r="AO675" s="13"/>
    </row>
    <row r="676" spans="1:41" ht="120.75" hidden="1" thickTop="1">
      <c r="A676" s="166">
        <f>OBRA!I678</f>
        <v>2023</v>
      </c>
      <c r="B676" s="2036"/>
      <c r="C676" s="1612"/>
      <c r="D676" s="171"/>
      <c r="E676" s="1393"/>
      <c r="F676" s="1393"/>
      <c r="G676" s="1394"/>
      <c r="H676" s="1395" t="str">
        <f>OBRA!AD678</f>
        <v>-</v>
      </c>
      <c r="I676" s="1396"/>
      <c r="J676" s="1613" t="str">
        <f>OBRA!AE678</f>
        <v>-</v>
      </c>
      <c r="K676" s="1397"/>
      <c r="L676" s="1395" t="str">
        <f>OBRA!AF678</f>
        <v>-</v>
      </c>
      <c r="M676" s="1398"/>
      <c r="N676" s="1395" t="str">
        <f>OBRA!AG678</f>
        <v>-</v>
      </c>
      <c r="O676" s="1395"/>
      <c r="P676" s="1395"/>
      <c r="Q676" s="1397"/>
      <c r="R676" s="479" t="str">
        <f>OBRA!AH678</f>
        <v>-</v>
      </c>
      <c r="S676" s="591"/>
      <c r="T676" s="446" t="str">
        <f>OBRA!U678</f>
        <v xml:space="preserve">CICLOS GIP SC </v>
      </c>
      <c r="U676" s="447" t="str">
        <f>OBRA!V678</f>
        <v>ARQ. FRANCISCO SALAZAR</v>
      </c>
      <c r="V676" s="1281"/>
      <c r="W676" s="20" t="str">
        <f>OBRA!L678</f>
        <v>C.P.S.P. DOP 018/2023</v>
      </c>
      <c r="X676" s="1659"/>
      <c r="Y676" s="1659"/>
      <c r="Z676" s="448" t="str">
        <f>OBRA!K678</f>
        <v>CUENTA CORRIENTE</v>
      </c>
      <c r="AA676" s="1659"/>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428">
        <f>OBRA!S678</f>
        <v>45072</v>
      </c>
      <c r="AH676" s="1014"/>
      <c r="AI676" s="169"/>
      <c r="AJ676" s="239"/>
      <c r="AK676" s="239"/>
      <c r="AL676" s="715"/>
      <c r="AM676" s="573">
        <f>GRAL!B864</f>
        <v>0</v>
      </c>
      <c r="AN676" s="448"/>
      <c r="AO676" s="13"/>
    </row>
    <row r="677" spans="1:41" ht="90.75" hidden="1" thickTop="1">
      <c r="A677" s="166">
        <f>OBRA!I679</f>
        <v>2023</v>
      </c>
      <c r="B677" s="2036"/>
      <c r="C677" s="1612"/>
      <c r="D677" s="171"/>
      <c r="E677" s="1393"/>
      <c r="F677" s="1393"/>
      <c r="G677" s="1394"/>
      <c r="H677" s="1395" t="str">
        <f>OBRA!AD679</f>
        <v>-</v>
      </c>
      <c r="I677" s="1396"/>
      <c r="J677" s="1613" t="str">
        <f>OBRA!AE679</f>
        <v>-</v>
      </c>
      <c r="K677" s="1397"/>
      <c r="L677" s="1395" t="str">
        <f>OBRA!AF679</f>
        <v>-</v>
      </c>
      <c r="M677" s="1398"/>
      <c r="N677" s="1395" t="str">
        <f>OBRA!AG679</f>
        <v>-</v>
      </c>
      <c r="O677" s="1395"/>
      <c r="P677" s="1395"/>
      <c r="Q677" s="1397"/>
      <c r="R677" s="479" t="str">
        <f>OBRA!AH679</f>
        <v>-</v>
      </c>
      <c r="S677" s="591"/>
      <c r="T677" s="446" t="str">
        <f>OBRA!U679</f>
        <v>ING. LUIS JOEL HUERTA LOMA</v>
      </c>
      <c r="U677" s="447" t="str">
        <f>OBRA!V679</f>
        <v>ARQ. FRANCISCO SALAZAR</v>
      </c>
      <c r="V677" s="1281"/>
      <c r="W677" s="20" t="str">
        <f>OBRA!L679</f>
        <v>C.P.S.P. DOP 019/2023</v>
      </c>
      <c r="X677" s="1659"/>
      <c r="Y677" s="1659"/>
      <c r="Z677" s="448" t="str">
        <f>OBRA!K679</f>
        <v>CUENTA CORRIENTE</v>
      </c>
      <c r="AA677" s="1659"/>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428">
        <f>OBRA!S679</f>
        <v>45103</v>
      </c>
      <c r="AH677" s="1014"/>
      <c r="AI677" s="169"/>
      <c r="AJ677" s="239"/>
      <c r="AK677" s="239"/>
      <c r="AL677" s="715"/>
      <c r="AM677" s="573">
        <f>GRAL!B865</f>
        <v>0</v>
      </c>
      <c r="AN677" s="448"/>
      <c r="AO677" s="13"/>
    </row>
    <row r="678" spans="1:41" ht="30.75" hidden="1" thickTop="1">
      <c r="A678" s="166">
        <f>OBRA!I680</f>
        <v>2023</v>
      </c>
      <c r="B678" s="2036"/>
      <c r="C678" s="1612"/>
      <c r="D678" s="171"/>
      <c r="E678" s="1393"/>
      <c r="F678" s="1393"/>
      <c r="G678" s="1394"/>
      <c r="H678" s="1395" t="str">
        <f>OBRA!AD680</f>
        <v>-</v>
      </c>
      <c r="I678" s="1396"/>
      <c r="J678" s="1613" t="str">
        <f>OBRA!AE680</f>
        <v>-</v>
      </c>
      <c r="K678" s="1397"/>
      <c r="L678" s="1395" t="str">
        <f>OBRA!AF680</f>
        <v>-</v>
      </c>
      <c r="M678" s="1398"/>
      <c r="N678" s="1395" t="str">
        <f>OBRA!AG680</f>
        <v>-</v>
      </c>
      <c r="O678" s="1395"/>
      <c r="P678" s="1395"/>
      <c r="Q678" s="1397"/>
      <c r="R678" s="479" t="str">
        <f>OBRA!AH680</f>
        <v>-</v>
      </c>
      <c r="S678" s="591"/>
      <c r="T678" s="446" t="str">
        <f>OBRA!U680</f>
        <v>ING. LUIS JOEL HUERTA LOMA</v>
      </c>
      <c r="U678" s="447" t="str">
        <f>OBRA!V680</f>
        <v>ARQ. FRANCISCO SALAZAR</v>
      </c>
      <c r="V678" s="1281"/>
      <c r="W678" s="20" t="str">
        <f>OBRA!L680</f>
        <v>C.P.S.P. DOP 020/2023</v>
      </c>
      <c r="X678" s="1659"/>
      <c r="Y678" s="1659"/>
      <c r="Z678" s="448" t="str">
        <f>OBRA!K680</f>
        <v>CUENTA CORRIENTE</v>
      </c>
      <c r="AA678" s="1659"/>
      <c r="AB678" s="2" t="str">
        <f>OBRA!M680</f>
        <v>SERVICIOS</v>
      </c>
      <c r="AC678" s="3" t="e">
        <f>OBRA!#REF!</f>
        <v>#REF!</v>
      </c>
      <c r="AD678" s="4" t="e">
        <f>OBRA!#REF!</f>
        <v>#REF!</v>
      </c>
      <c r="AE678" s="6" t="e">
        <f>OBRA!#REF!</f>
        <v>#REF!</v>
      </c>
      <c r="AF678" s="5" t="e">
        <f>OBRA!#REF!</f>
        <v>#REF!</v>
      </c>
      <c r="AG678" s="428" t="e">
        <f>OBRA!#REF!</f>
        <v>#REF!</v>
      </c>
      <c r="AH678" s="1014"/>
      <c r="AI678" s="169"/>
      <c r="AJ678" s="239"/>
      <c r="AK678" s="239"/>
      <c r="AL678" s="715"/>
      <c r="AM678" s="573">
        <f>GRAL!B866</f>
        <v>0</v>
      </c>
      <c r="AN678" s="448"/>
      <c r="AO678" s="13"/>
    </row>
    <row r="679" spans="1:41" ht="210.75" hidden="1" thickTop="1">
      <c r="A679" s="166">
        <f>OBRA!I681</f>
        <v>2023</v>
      </c>
      <c r="B679" s="2036"/>
      <c r="C679" s="1612"/>
      <c r="D679" s="171"/>
      <c r="E679" s="1393"/>
      <c r="F679" s="1393"/>
      <c r="G679" s="1394"/>
      <c r="H679" s="1395" t="str">
        <f>OBRA!AD681</f>
        <v>-</v>
      </c>
      <c r="I679" s="1396"/>
      <c r="J679" s="1613" t="str">
        <f>OBRA!AE681</f>
        <v>-</v>
      </c>
      <c r="K679" s="1397"/>
      <c r="L679" s="1395" t="str">
        <f>OBRA!AF681</f>
        <v>-</v>
      </c>
      <c r="M679" s="1398"/>
      <c r="N679" s="1395" t="str">
        <f>OBRA!AG681</f>
        <v>-</v>
      </c>
      <c r="O679" s="1395"/>
      <c r="P679" s="1395"/>
      <c r="Q679" s="1397"/>
      <c r="R679" s="479" t="str">
        <f>OBRA!AH681</f>
        <v>-</v>
      </c>
      <c r="S679" s="591"/>
      <c r="T679" s="446" t="str">
        <f>OBRA!U681</f>
        <v>SOLEC ENERGY, S.A. DE C.V.</v>
      </c>
      <c r="U679" s="447" t="str">
        <f>OBRA!V681</f>
        <v>ARQ. FRANCISCO SALAZAR</v>
      </c>
      <c r="V679" s="1281"/>
      <c r="W679" s="20" t="str">
        <f>OBRA!L681</f>
        <v>C.P.S.P. DOP 021/2023</v>
      </c>
      <c r="X679" s="1659"/>
      <c r="Y679" s="1659"/>
      <c r="Z679" s="448" t="str">
        <f>OBRA!K681</f>
        <v>CUENTA CORRIENTE</v>
      </c>
      <c r="AA679" s="1659"/>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428">
        <f>OBRA!S681</f>
        <v>45187</v>
      </c>
      <c r="AH679" s="1014"/>
      <c r="AI679" s="169"/>
      <c r="AJ679" s="239"/>
      <c r="AK679" s="239"/>
      <c r="AL679" s="715"/>
      <c r="AM679" s="573">
        <f>GRAL!B867</f>
        <v>0</v>
      </c>
      <c r="AN679" s="448"/>
      <c r="AO679" s="13"/>
    </row>
    <row r="680" spans="1:41" ht="90.75" hidden="1" thickTop="1">
      <c r="A680" s="166">
        <f>OBRA!I682</f>
        <v>2023</v>
      </c>
      <c r="B680" s="2036"/>
      <c r="C680" s="1612"/>
      <c r="D680" s="171"/>
      <c r="E680" s="1393"/>
      <c r="F680" s="1393"/>
      <c r="G680" s="1394"/>
      <c r="H680" s="1395" t="str">
        <f>OBRA!AD682</f>
        <v>-</v>
      </c>
      <c r="I680" s="1396"/>
      <c r="J680" s="1613" t="str">
        <f>OBRA!AE682</f>
        <v>-</v>
      </c>
      <c r="K680" s="1397"/>
      <c r="L680" s="1395" t="str">
        <f>OBRA!AF682</f>
        <v>-</v>
      </c>
      <c r="M680" s="1398"/>
      <c r="N680" s="1395" t="str">
        <f>OBRA!AG682</f>
        <v>-</v>
      </c>
      <c r="O680" s="1395"/>
      <c r="P680" s="1395"/>
      <c r="Q680" s="1397"/>
      <c r="R680" s="479" t="str">
        <f>OBRA!AH682</f>
        <v>-</v>
      </c>
      <c r="S680" s="591"/>
      <c r="T680" s="446" t="str">
        <f>OBRA!U682</f>
        <v>SOLEC ENERGY, S.A. DE C.V.</v>
      </c>
      <c r="U680" s="447" t="str">
        <f>OBRA!V682</f>
        <v>ARQ. FRANCISCO SALAZAR</v>
      </c>
      <c r="V680" s="1281"/>
      <c r="W680" s="20" t="str">
        <f>OBRA!L682</f>
        <v>C.P.S.P. DOP 022/2023</v>
      </c>
      <c r="X680" s="1659"/>
      <c r="Y680" s="1659"/>
      <c r="Z680" s="448" t="str">
        <f>OBRA!K682</f>
        <v>CUENTA CORRIENTE</v>
      </c>
      <c r="AA680" s="1659"/>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428">
        <f>OBRA!S682</f>
        <v>45155</v>
      </c>
      <c r="AH680" s="1014"/>
      <c r="AI680" s="169"/>
      <c r="AJ680" s="239"/>
      <c r="AK680" s="239"/>
      <c r="AL680" s="715"/>
      <c r="AM680" s="573">
        <f>GRAL!B868</f>
        <v>0</v>
      </c>
      <c r="AN680" s="448"/>
      <c r="AO680" s="13"/>
    </row>
    <row r="681" spans="1:41" ht="120.75" hidden="1" thickTop="1">
      <c r="A681" s="166">
        <f>OBRA!I683</f>
        <v>2023</v>
      </c>
      <c r="B681" s="2036"/>
      <c r="C681" s="1612"/>
      <c r="D681" s="171"/>
      <c r="E681" s="1393"/>
      <c r="F681" s="1393"/>
      <c r="G681" s="1394"/>
      <c r="H681" s="1395" t="str">
        <f>OBRA!AD683</f>
        <v>-</v>
      </c>
      <c r="I681" s="1396"/>
      <c r="J681" s="1613" t="str">
        <f>OBRA!AE683</f>
        <v>-</v>
      </c>
      <c r="K681" s="1397"/>
      <c r="L681" s="1395" t="str">
        <f>OBRA!AF683</f>
        <v>-</v>
      </c>
      <c r="M681" s="1398"/>
      <c r="N681" s="1395" t="str">
        <f>OBRA!AG683</f>
        <v>-</v>
      </c>
      <c r="O681" s="1395"/>
      <c r="P681" s="1395"/>
      <c r="Q681" s="1397"/>
      <c r="R681" s="479" t="str">
        <f>OBRA!AH683</f>
        <v>-</v>
      </c>
      <c r="S681" s="591"/>
      <c r="T681" s="446" t="str">
        <f>OBRA!U683</f>
        <v>SOLEC ENERGY, S.A. DE C.V.</v>
      </c>
      <c r="U681" s="447" t="str">
        <f>OBRA!V683</f>
        <v>ARQ. FRANCISCO SALAZAR</v>
      </c>
      <c r="V681" s="1281"/>
      <c r="W681" s="20" t="str">
        <f>OBRA!L683</f>
        <v>C.P.S.P. DOP 023/2023</v>
      </c>
      <c r="X681" s="1659"/>
      <c r="Y681" s="1659"/>
      <c r="Z681" s="448" t="str">
        <f>OBRA!K683</f>
        <v>CUENTA CORRIENTE</v>
      </c>
      <c r="AA681" s="1659"/>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428">
        <f>OBRA!S683</f>
        <v>45163</v>
      </c>
      <c r="AH681" s="1014"/>
      <c r="AI681" s="169"/>
      <c r="AJ681" s="239"/>
      <c r="AK681" s="239"/>
      <c r="AL681" s="715"/>
      <c r="AM681" s="573">
        <f>GRAL!B869</f>
        <v>0</v>
      </c>
      <c r="AN681" s="448"/>
      <c r="AO681" s="13"/>
    </row>
    <row r="682" spans="1:41" ht="135.75" hidden="1" thickTop="1">
      <c r="A682" s="166">
        <f>OBRA!I684</f>
        <v>2023</v>
      </c>
      <c r="B682" s="2036"/>
      <c r="C682" s="1612"/>
      <c r="D682" s="171"/>
      <c r="E682" s="1393"/>
      <c r="F682" s="1393"/>
      <c r="G682" s="1394"/>
      <c r="H682" s="1395" t="str">
        <f>OBRA!AD684</f>
        <v>-</v>
      </c>
      <c r="I682" s="1396"/>
      <c r="J682" s="1613" t="str">
        <f>OBRA!AE684</f>
        <v>-</v>
      </c>
      <c r="K682" s="1397"/>
      <c r="L682" s="1395" t="str">
        <f>OBRA!AF684</f>
        <v>-</v>
      </c>
      <c r="M682" s="1398"/>
      <c r="N682" s="1395" t="str">
        <f>OBRA!AG684</f>
        <v>-</v>
      </c>
      <c r="O682" s="1395"/>
      <c r="P682" s="1395"/>
      <c r="Q682" s="1397"/>
      <c r="R682" s="479" t="str">
        <f>OBRA!AH684</f>
        <v>-</v>
      </c>
      <c r="S682" s="591"/>
      <c r="T682" s="446" t="str">
        <f>OBRA!U684</f>
        <v>ING. LUIS JOEL HUERTA LOMA</v>
      </c>
      <c r="U682" s="447" t="str">
        <f>OBRA!V684</f>
        <v>ARQ. FRANCISCO SALAZAR</v>
      </c>
      <c r="V682" s="1281"/>
      <c r="W682" s="20" t="str">
        <f>OBRA!L684</f>
        <v>C.P.S.P. DOP 024/2023</v>
      </c>
      <c r="X682" s="1659"/>
      <c r="Y682" s="1659"/>
      <c r="Z682" s="448" t="str">
        <f>OBRA!K684</f>
        <v>CUENTA CORRIENTE</v>
      </c>
      <c r="AA682" s="1659"/>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428">
        <f>OBRA!S684</f>
        <v>45143</v>
      </c>
      <c r="AH682" s="1014"/>
      <c r="AI682" s="169"/>
      <c r="AJ682" s="239"/>
      <c r="AK682" s="239"/>
      <c r="AL682" s="715"/>
      <c r="AM682" s="573">
        <f>GRAL!B870</f>
        <v>0</v>
      </c>
      <c r="AN682" s="448"/>
      <c r="AO682" s="13"/>
    </row>
    <row r="683" spans="1:41" ht="165.75" hidden="1" thickTop="1">
      <c r="A683" s="166">
        <f>OBRA!I685</f>
        <v>2023</v>
      </c>
      <c r="B683" s="2036"/>
      <c r="C683" s="1612"/>
      <c r="D683" s="171"/>
      <c r="E683" s="1393"/>
      <c r="F683" s="1393"/>
      <c r="G683" s="1394"/>
      <c r="H683" s="1395" t="str">
        <f>OBRA!AD685</f>
        <v>-</v>
      </c>
      <c r="I683" s="1396"/>
      <c r="J683" s="1613" t="str">
        <f>OBRA!AE685</f>
        <v>-</v>
      </c>
      <c r="K683" s="1397"/>
      <c r="L683" s="1395" t="str">
        <f>OBRA!AF685</f>
        <v>-</v>
      </c>
      <c r="M683" s="1398"/>
      <c r="N683" s="1395" t="str">
        <f>OBRA!AG685</f>
        <v>-</v>
      </c>
      <c r="O683" s="1395"/>
      <c r="P683" s="1395"/>
      <c r="Q683" s="1397"/>
      <c r="R683" s="479" t="str">
        <f>OBRA!AH685</f>
        <v>-</v>
      </c>
      <c r="S683" s="591"/>
      <c r="T683" s="446" t="str">
        <f>OBRA!U685</f>
        <v>ING. LUIS JOEL HUERTA LOMA</v>
      </c>
      <c r="U683" s="447" t="str">
        <f>OBRA!V685</f>
        <v>ARQ. FRANCISCO SALAZAR</v>
      </c>
      <c r="V683" s="1281"/>
      <c r="W683" s="20" t="str">
        <f>OBRA!L685</f>
        <v>C.P.S.P. DOP 025/2023</v>
      </c>
      <c r="X683" s="1659"/>
      <c r="Y683" s="1659"/>
      <c r="Z683" s="448" t="str">
        <f>OBRA!K685</f>
        <v>CUENTA CORRIENTE</v>
      </c>
      <c r="AA683" s="1659"/>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428">
        <f>OBRA!S685</f>
        <v>45155</v>
      </c>
      <c r="AH683" s="1014"/>
      <c r="AI683" s="169"/>
      <c r="AJ683" s="239"/>
      <c r="AK683" s="239"/>
      <c r="AL683" s="715"/>
      <c r="AM683" s="573">
        <f>GRAL!B871</f>
        <v>0</v>
      </c>
      <c r="AN683" s="448"/>
      <c r="AO683" s="13"/>
    </row>
    <row r="684" spans="1:41" ht="135.75" hidden="1" thickTop="1">
      <c r="A684" s="166">
        <f>OBRA!I686</f>
        <v>2023</v>
      </c>
      <c r="B684" s="2036"/>
      <c r="C684" s="1612"/>
      <c r="D684" s="171"/>
      <c r="E684" s="1393"/>
      <c r="F684" s="1393"/>
      <c r="G684" s="1394"/>
      <c r="H684" s="1395" t="str">
        <f>OBRA!AD686</f>
        <v>-</v>
      </c>
      <c r="I684" s="1396"/>
      <c r="J684" s="1613" t="str">
        <f>OBRA!AE686</f>
        <v>-</v>
      </c>
      <c r="K684" s="1397"/>
      <c r="L684" s="1395" t="str">
        <f>OBRA!AF686</f>
        <v>-</v>
      </c>
      <c r="M684" s="1398"/>
      <c r="N684" s="1395" t="str">
        <f>OBRA!AG686</f>
        <v>-</v>
      </c>
      <c r="O684" s="1395"/>
      <c r="P684" s="1395"/>
      <c r="Q684" s="1397"/>
      <c r="R684" s="479" t="str">
        <f>OBRA!AH686</f>
        <v>-</v>
      </c>
      <c r="S684" s="591"/>
      <c r="T684" s="446" t="str">
        <f>OBRA!U686</f>
        <v>ING. LUIS JOEL HUERTA LOMA</v>
      </c>
      <c r="U684" s="447" t="str">
        <f>OBRA!V686</f>
        <v>ARQ. FRANCISCO SALAZAR</v>
      </c>
      <c r="V684" s="1281"/>
      <c r="W684" s="20" t="str">
        <f>OBRA!L686</f>
        <v>C.P.S.P. DOP 026/2023</v>
      </c>
      <c r="X684" s="1659"/>
      <c r="Y684" s="1659"/>
      <c r="Z684" s="448" t="str">
        <f>OBRA!K686</f>
        <v>CUENTA CORRIENTE</v>
      </c>
      <c r="AA684" s="1659"/>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428">
        <f>OBRA!S686</f>
        <v>45146</v>
      </c>
      <c r="AH684" s="1014"/>
      <c r="AI684" s="169"/>
      <c r="AJ684" s="239"/>
      <c r="AK684" s="239"/>
      <c r="AL684" s="715"/>
      <c r="AM684" s="573">
        <f>GRAL!B872</f>
        <v>0</v>
      </c>
      <c r="AN684" s="448"/>
      <c r="AO684" s="13"/>
    </row>
    <row r="685" spans="1:41" ht="27" hidden="1" thickTop="1">
      <c r="A685" s="166">
        <f>OBRA!I687</f>
        <v>2023</v>
      </c>
      <c r="B685" s="2036"/>
      <c r="C685" s="1612"/>
      <c r="D685" s="171"/>
      <c r="E685" s="1393"/>
      <c r="F685" s="1393"/>
      <c r="G685" s="1394"/>
      <c r="H685" s="1395" t="str">
        <f>OBRA!AD687</f>
        <v>-</v>
      </c>
      <c r="I685" s="1396"/>
      <c r="J685" s="1613" t="str">
        <f>OBRA!AE687</f>
        <v>-</v>
      </c>
      <c r="K685" s="1397"/>
      <c r="L685" s="1395" t="str">
        <f>OBRA!AF687</f>
        <v>-</v>
      </c>
      <c r="M685" s="1398"/>
      <c r="N685" s="1395" t="str">
        <f>OBRA!AG687</f>
        <v>-</v>
      </c>
      <c r="O685" s="1395"/>
      <c r="P685" s="1395"/>
      <c r="Q685" s="1397"/>
      <c r="R685" s="479" t="str">
        <f>OBRA!AH687</f>
        <v>-</v>
      </c>
      <c r="S685" s="591"/>
      <c r="T685" s="446">
        <f>OBRA!U687</f>
        <v>0</v>
      </c>
      <c r="U685" s="447">
        <f>OBRA!V687</f>
        <v>0</v>
      </c>
      <c r="V685" s="1281"/>
      <c r="W685" s="20" t="str">
        <f>OBRA!L687</f>
        <v>C.P.S.P. DOP 027/2023</v>
      </c>
      <c r="X685" s="1659"/>
      <c r="Y685" s="1659"/>
      <c r="Z685" s="448" t="str">
        <f>OBRA!K687</f>
        <v>CUENTA CORRIENTE</v>
      </c>
      <c r="AA685" s="1659"/>
      <c r="AB685" s="2" t="str">
        <f>OBRA!M687</f>
        <v>SERVICIOS</v>
      </c>
      <c r="AC685" s="3" t="str">
        <f>OBRA!N687</f>
        <v>-</v>
      </c>
      <c r="AD685" s="4">
        <f>OBRA!P687</f>
        <v>0</v>
      </c>
      <c r="AE685" s="6">
        <f>OBRA!Q687</f>
        <v>0</v>
      </c>
      <c r="AF685" s="5">
        <f>OBRA!R687</f>
        <v>0</v>
      </c>
      <c r="AG685" s="428">
        <f>OBRA!S687</f>
        <v>0</v>
      </c>
      <c r="AH685" s="1014"/>
      <c r="AI685" s="169"/>
      <c r="AJ685" s="239"/>
      <c r="AK685" s="239"/>
      <c r="AL685" s="715"/>
      <c r="AM685" s="573">
        <f>GRAL!B873</f>
        <v>0</v>
      </c>
      <c r="AN685" s="448"/>
      <c r="AO685" s="13"/>
    </row>
    <row r="686" spans="1:41" ht="27" hidden="1" thickTop="1">
      <c r="A686" s="166">
        <f>OBRA!I688</f>
        <v>2023</v>
      </c>
      <c r="B686" s="2036"/>
      <c r="C686" s="1612"/>
      <c r="D686" s="171"/>
      <c r="E686" s="1393"/>
      <c r="F686" s="1393"/>
      <c r="G686" s="1394"/>
      <c r="H686" s="1395" t="str">
        <f>OBRA!AD688</f>
        <v>-</v>
      </c>
      <c r="I686" s="1396"/>
      <c r="J686" s="1613" t="str">
        <f>OBRA!AE688</f>
        <v>-</v>
      </c>
      <c r="K686" s="1397"/>
      <c r="L686" s="1395" t="str">
        <f>OBRA!AF688</f>
        <v>-</v>
      </c>
      <c r="M686" s="1398"/>
      <c r="N686" s="1395" t="str">
        <f>OBRA!AG688</f>
        <v>-</v>
      </c>
      <c r="O686" s="1395"/>
      <c r="P686" s="1395"/>
      <c r="Q686" s="1397"/>
      <c r="R686" s="479" t="str">
        <f>OBRA!AH688</f>
        <v>-</v>
      </c>
      <c r="S686" s="591"/>
      <c r="T686" s="446">
        <f>OBRA!U688</f>
        <v>0</v>
      </c>
      <c r="U686" s="447">
        <f>OBRA!V688</f>
        <v>0</v>
      </c>
      <c r="V686" s="1281"/>
      <c r="W686" s="20" t="str">
        <f>OBRA!L688</f>
        <v>C.P.S.P. DOP 028/2023</v>
      </c>
      <c r="X686" s="1659"/>
      <c r="Y686" s="1659"/>
      <c r="Z686" s="448" t="str">
        <f>OBRA!K688</f>
        <v>CUENTA CORRIENTE</v>
      </c>
      <c r="AA686" s="1659"/>
      <c r="AB686" s="2" t="str">
        <f>OBRA!M688</f>
        <v>SERVICIOS</v>
      </c>
      <c r="AC686" s="3" t="str">
        <f>OBRA!N688</f>
        <v>-</v>
      </c>
      <c r="AD686" s="4">
        <f>OBRA!P688</f>
        <v>0</v>
      </c>
      <c r="AE686" s="6">
        <f>OBRA!Q688</f>
        <v>0</v>
      </c>
      <c r="AF686" s="5">
        <f>OBRA!R688</f>
        <v>0</v>
      </c>
      <c r="AG686" s="428">
        <f>OBRA!S688</f>
        <v>0</v>
      </c>
      <c r="AH686" s="1014"/>
      <c r="AI686" s="169"/>
      <c r="AJ686" s="239"/>
      <c r="AK686" s="239"/>
      <c r="AL686" s="715"/>
      <c r="AM686" s="573">
        <f>GRAL!B874</f>
        <v>0</v>
      </c>
      <c r="AN686" s="448"/>
      <c r="AO686" s="13"/>
    </row>
    <row r="687" spans="1:41" ht="27" hidden="1" thickTop="1">
      <c r="A687" s="166">
        <f>OBRA!I689</f>
        <v>2023</v>
      </c>
      <c r="B687" s="2036"/>
      <c r="C687" s="1612"/>
      <c r="D687" s="171"/>
      <c r="E687" s="1393"/>
      <c r="F687" s="1393"/>
      <c r="G687" s="1394"/>
      <c r="H687" s="1395" t="str">
        <f>OBRA!AD689</f>
        <v>-</v>
      </c>
      <c r="I687" s="1396"/>
      <c r="J687" s="1613" t="str">
        <f>OBRA!AE689</f>
        <v>-</v>
      </c>
      <c r="K687" s="1397"/>
      <c r="L687" s="1395" t="str">
        <f>OBRA!AF689</f>
        <v>-</v>
      </c>
      <c r="M687" s="1398"/>
      <c r="N687" s="1395" t="str">
        <f>OBRA!AG689</f>
        <v>-</v>
      </c>
      <c r="O687" s="1395"/>
      <c r="P687" s="1395"/>
      <c r="Q687" s="1397"/>
      <c r="R687" s="479" t="str">
        <f>OBRA!AH689</f>
        <v>-</v>
      </c>
      <c r="S687" s="591"/>
      <c r="T687" s="446">
        <f>OBRA!U689</f>
        <v>0</v>
      </c>
      <c r="U687" s="447">
        <f>OBRA!V689</f>
        <v>0</v>
      </c>
      <c r="V687" s="1281"/>
      <c r="W687" s="20" t="str">
        <f>OBRA!L689</f>
        <v>C.P.S.P. DOP 029/2023</v>
      </c>
      <c r="X687" s="1659"/>
      <c r="Y687" s="1659"/>
      <c r="Z687" s="448" t="str">
        <f>OBRA!K689</f>
        <v>CUENTA CORRIENTE</v>
      </c>
      <c r="AA687" s="1659"/>
      <c r="AB687" s="2" t="str">
        <f>OBRA!M689</f>
        <v>SERVICIOS</v>
      </c>
      <c r="AC687" s="3" t="str">
        <f>OBRA!N689</f>
        <v>-</v>
      </c>
      <c r="AD687" s="4">
        <f>OBRA!P689</f>
        <v>0</v>
      </c>
      <c r="AE687" s="6">
        <f>OBRA!Q689</f>
        <v>0</v>
      </c>
      <c r="AF687" s="5">
        <f>OBRA!R689</f>
        <v>0</v>
      </c>
      <c r="AG687" s="428">
        <f>OBRA!S689</f>
        <v>0</v>
      </c>
      <c r="AH687" s="1014"/>
      <c r="AI687" s="169"/>
      <c r="AJ687" s="239"/>
      <c r="AK687" s="239"/>
      <c r="AL687" s="715"/>
      <c r="AM687" s="573">
        <f>GRAL!B875</f>
        <v>0</v>
      </c>
      <c r="AN687" s="448"/>
      <c r="AO687" s="13"/>
    </row>
    <row r="688" spans="1:41" ht="27" hidden="1" thickTop="1">
      <c r="A688" s="166">
        <f>OBRA!I690</f>
        <v>2023</v>
      </c>
      <c r="B688" s="2036"/>
      <c r="C688" s="1612"/>
      <c r="D688" s="171"/>
      <c r="E688" s="1393"/>
      <c r="F688" s="1393"/>
      <c r="G688" s="1394"/>
      <c r="H688" s="1395" t="str">
        <f>OBRA!AD690</f>
        <v>-</v>
      </c>
      <c r="I688" s="1396"/>
      <c r="J688" s="1613" t="str">
        <f>OBRA!AE690</f>
        <v>-</v>
      </c>
      <c r="K688" s="1397"/>
      <c r="L688" s="1395" t="str">
        <f>OBRA!AF690</f>
        <v>-</v>
      </c>
      <c r="M688" s="1398"/>
      <c r="N688" s="1395" t="str">
        <f>OBRA!AG690</f>
        <v>-</v>
      </c>
      <c r="O688" s="1395"/>
      <c r="P688" s="1395"/>
      <c r="Q688" s="1397"/>
      <c r="R688" s="479" t="str">
        <f>OBRA!AH690</f>
        <v>-</v>
      </c>
      <c r="S688" s="591"/>
      <c r="T688" s="446">
        <f>OBRA!U690</f>
        <v>0</v>
      </c>
      <c r="U688" s="447">
        <f>OBRA!V690</f>
        <v>0</v>
      </c>
      <c r="V688" s="1281"/>
      <c r="W688" s="20" t="str">
        <f>OBRA!L690</f>
        <v>C.P.S.P. DOP 030/2023</v>
      </c>
      <c r="X688" s="1659"/>
      <c r="Y688" s="1659"/>
      <c r="Z688" s="448" t="str">
        <f>OBRA!K690</f>
        <v>CUENTA CORRIENTE</v>
      </c>
      <c r="AA688" s="1659"/>
      <c r="AB688" s="2" t="str">
        <f>OBRA!M690</f>
        <v>SERVICIOS</v>
      </c>
      <c r="AC688" s="3" t="str">
        <f>OBRA!N690</f>
        <v>-</v>
      </c>
      <c r="AD688" s="4">
        <f>OBRA!P690</f>
        <v>0</v>
      </c>
      <c r="AE688" s="6">
        <f>OBRA!Q690</f>
        <v>0</v>
      </c>
      <c r="AF688" s="5">
        <f>OBRA!R690</f>
        <v>0</v>
      </c>
      <c r="AG688" s="428">
        <f>OBRA!S690</f>
        <v>0</v>
      </c>
      <c r="AH688" s="1014"/>
      <c r="AI688" s="169"/>
      <c r="AJ688" s="239"/>
      <c r="AK688" s="239"/>
      <c r="AL688" s="715"/>
      <c r="AM688" s="573">
        <f>GRAL!B876</f>
        <v>0</v>
      </c>
      <c r="AN688" s="448"/>
      <c r="AO688" s="13"/>
    </row>
    <row r="689" spans="1:41" ht="90.75" hidden="1" thickTop="1">
      <c r="A689" s="166">
        <f>OBRA!I691</f>
        <v>2023</v>
      </c>
      <c r="B689" s="2036"/>
      <c r="C689" s="1612"/>
      <c r="D689" s="171"/>
      <c r="E689" s="1393"/>
      <c r="F689" s="1393"/>
      <c r="G689" s="1394"/>
      <c r="H689" s="1395" t="str">
        <f>OBRA!AD691</f>
        <v>-</v>
      </c>
      <c r="I689" s="1396"/>
      <c r="J689" s="1613" t="str">
        <f>OBRA!AE691</f>
        <v>-</v>
      </c>
      <c r="K689" s="1397"/>
      <c r="L689" s="1395" t="str">
        <f>OBRA!AF691</f>
        <v>-</v>
      </c>
      <c r="M689" s="1398"/>
      <c r="N689" s="1395" t="str">
        <f>OBRA!AG691</f>
        <v>-</v>
      </c>
      <c r="O689" s="1395"/>
      <c r="P689" s="1395"/>
      <c r="Q689" s="1397"/>
      <c r="R689" s="479" t="str">
        <f>OBRA!AH691</f>
        <v>-</v>
      </c>
      <c r="S689" s="591"/>
      <c r="T689" s="446" t="str">
        <f>OBRA!U691</f>
        <v>URBANIZADORA Y PAVIMENTADORA MONLE S.A. DE C.V.</v>
      </c>
      <c r="U689" s="447" t="str">
        <f>OBRA!V691</f>
        <v>C. DANIEL RODRIGUEZ VALENZUELA</v>
      </c>
      <c r="V689" s="1281"/>
      <c r="W689" s="20" t="str">
        <f>OBRA!L691</f>
        <v>C- OP 001/2023</v>
      </c>
      <c r="X689" s="1659"/>
      <c r="Y689" s="1659"/>
      <c r="Z689" s="448" t="str">
        <f>OBRA!K691</f>
        <v>CUENTA CORRIENTE</v>
      </c>
      <c r="AA689" s="1659"/>
      <c r="AB689" s="2" t="str">
        <f>OBRA!M691</f>
        <v>ARRENDAMIENTO</v>
      </c>
      <c r="AC689" s="3" t="str">
        <f>OBRA!N691</f>
        <v>RENTA DE UNA RETROEXCAVADORA JHON DEERE 310SJ 4X4, PARA SER UTILIZADAEN DIVERSOS MANTENIMIENTOS REQUERIDOS POR LA DIRECCIÓN DE OBRAS PÚBLICAS DEL GOBIERNO MUNICIPAL DE JOCOTEPEC, JALISCO.</v>
      </c>
      <c r="AD689" s="4">
        <f>OBRA!P691</f>
        <v>56839.999999999993</v>
      </c>
      <c r="AE689" s="6">
        <f>OBRA!Q691</f>
        <v>44928</v>
      </c>
      <c r="AF689" s="5">
        <f>OBRA!R691</f>
        <v>44928</v>
      </c>
      <c r="AG689" s="428">
        <f>OBRA!S691</f>
        <v>44957</v>
      </c>
      <c r="AH689" s="1014"/>
      <c r="AI689" s="169"/>
      <c r="AJ689" s="239"/>
      <c r="AK689" s="239"/>
      <c r="AL689" s="715"/>
      <c r="AM689" s="573">
        <f>GRAL!B857</f>
        <v>0</v>
      </c>
      <c r="AN689" s="448"/>
      <c r="AO689" s="13"/>
    </row>
    <row r="690" spans="1:41" ht="105.75" hidden="1" thickTop="1">
      <c r="A690" s="166">
        <f>OBRA!I692</f>
        <v>2023</v>
      </c>
      <c r="B690" s="2036"/>
      <c r="C690" s="1612"/>
      <c r="D690" s="171"/>
      <c r="E690" s="1393"/>
      <c r="F690" s="1393"/>
      <c r="G690" s="1394"/>
      <c r="H690" s="1395" t="str">
        <f>OBRA!AD692</f>
        <v>-</v>
      </c>
      <c r="I690" s="1396"/>
      <c r="J690" s="1613" t="str">
        <f>OBRA!AE692</f>
        <v>-</v>
      </c>
      <c r="K690" s="1397"/>
      <c r="L690" s="1395" t="str">
        <f>OBRA!AF692</f>
        <v>-</v>
      </c>
      <c r="M690" s="1398"/>
      <c r="N690" s="1395" t="str">
        <f>OBRA!AG692</f>
        <v>-</v>
      </c>
      <c r="O690" s="1395"/>
      <c r="P690" s="1395"/>
      <c r="Q690" s="1397"/>
      <c r="R690" s="479" t="str">
        <f>OBRA!AH692</f>
        <v>-</v>
      </c>
      <c r="S690" s="591"/>
      <c r="T690" s="446" t="str">
        <f>OBRA!U692</f>
        <v>BACHMEIER S.A. DE C.V.</v>
      </c>
      <c r="U690" s="447" t="str">
        <f>OBRA!V692</f>
        <v>ING. LUIS RIGOBERTO OLMEDO NAVARRO</v>
      </c>
      <c r="V690" s="1281"/>
      <c r="W690" s="20" t="str">
        <f>OBRA!L692</f>
        <v>C- OP 001A/2023</v>
      </c>
      <c r="X690" s="1659"/>
      <c r="Y690" s="1659"/>
      <c r="Z690" s="448" t="str">
        <f>OBRA!K692</f>
        <v>CUENTA CORRIENTE</v>
      </c>
      <c r="AA690" s="1659"/>
      <c r="AB690" s="2" t="str">
        <f>OBRA!M692</f>
        <v>ARRENDAMIENTO</v>
      </c>
      <c r="AC690" s="3" t="str">
        <f>OBRA!N692</f>
        <v>RENTA DE UN CAMIÓN (VOLTEO 7 M3) DODGE, MODELO 1989 CON PLACAS JL-0889, PARA SER UTILIZADO EN LAS OBRAS: MANTENIMIENTOS VARIOS EN LAS AGENCIAS, DELEGACIONES Y CABECERA MUNICIPAL DEL MUNICIPIO DE JOCOTEPEC, JALISCO.</v>
      </c>
      <c r="AD690" s="4">
        <f>OBRA!P692</f>
        <v>3248</v>
      </c>
      <c r="AE690" s="6">
        <f>OBRA!Q692</f>
        <v>44929</v>
      </c>
      <c r="AF690" s="5">
        <f>OBRA!R692</f>
        <v>44929</v>
      </c>
      <c r="AG690" s="428">
        <f>OBRA!S692</f>
        <v>44985</v>
      </c>
      <c r="AH690" s="1014"/>
      <c r="AI690" s="169"/>
      <c r="AJ690" s="239"/>
      <c r="AK690" s="239"/>
      <c r="AL690" s="715"/>
      <c r="AM690" s="573">
        <f>GRAL!B858</f>
        <v>0</v>
      </c>
      <c r="AN690" s="448"/>
      <c r="AO690" s="13"/>
    </row>
    <row r="691" spans="1:41" ht="120.75" hidden="1" thickTop="1">
      <c r="A691" s="166">
        <f>OBRA!I693</f>
        <v>2023</v>
      </c>
      <c r="B691" s="2036"/>
      <c r="C691" s="1612"/>
      <c r="D691" s="171"/>
      <c r="E691" s="1393"/>
      <c r="F691" s="1393"/>
      <c r="G691" s="1394"/>
      <c r="H691" s="1395" t="str">
        <f>OBRA!AD693</f>
        <v>-</v>
      </c>
      <c r="I691" s="1396"/>
      <c r="J691" s="1613" t="str">
        <f>OBRA!AE693</f>
        <v>-</v>
      </c>
      <c r="K691" s="1397"/>
      <c r="L691" s="1395" t="str">
        <f>OBRA!AF693</f>
        <v>-</v>
      </c>
      <c r="M691" s="1398"/>
      <c r="N691" s="1395" t="str">
        <f>OBRA!AG693</f>
        <v>-</v>
      </c>
      <c r="O691" s="1395"/>
      <c r="P691" s="1395"/>
      <c r="Q691" s="1397"/>
      <c r="R691" s="479" t="str">
        <f>OBRA!AH693</f>
        <v>-</v>
      </c>
      <c r="S691" s="591"/>
      <c r="T691" s="446" t="str">
        <f>OBRA!U693</f>
        <v>ALSERCON SA DE CV</v>
      </c>
      <c r="U691" s="447" t="str">
        <f>OBRA!V693</f>
        <v>C. DANIEL RODRIGUEZ VALENZUELA</v>
      </c>
      <c r="V691" s="1281"/>
      <c r="W691" s="20" t="str">
        <f>OBRA!L693</f>
        <v>C- OP 002/2023</v>
      </c>
      <c r="X691" s="1659"/>
      <c r="Y691" s="1659"/>
      <c r="Z691" s="448" t="str">
        <f>OBRA!K693</f>
        <v>CUENTA CORRIENTE</v>
      </c>
      <c r="AA691" s="1659"/>
      <c r="AB691" s="2" t="str">
        <f>OBRA!M693</f>
        <v>ARRENDAMIENTO</v>
      </c>
      <c r="AC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AD691" s="4">
        <f>OBRA!P693</f>
        <v>28999.999999999996</v>
      </c>
      <c r="AE691" s="6">
        <f>OBRA!Q693</f>
        <v>45005</v>
      </c>
      <c r="AF691" s="5">
        <f>OBRA!R693</f>
        <v>45007</v>
      </c>
      <c r="AG691" s="428">
        <f>OBRA!S693</f>
        <v>45038</v>
      </c>
      <c r="AH691" s="1014"/>
      <c r="AI691" s="169"/>
      <c r="AJ691" s="239"/>
      <c r="AK691" s="239"/>
      <c r="AL691" s="715"/>
      <c r="AM691" s="573">
        <f>GRAL!B859</f>
        <v>0</v>
      </c>
      <c r="AN691" s="448"/>
      <c r="AO691" s="13"/>
    </row>
    <row r="692" spans="1:41" ht="90.75" hidden="1" thickTop="1">
      <c r="A692" s="166">
        <f>OBRA!I694</f>
        <v>2023</v>
      </c>
      <c r="B692" s="2036"/>
      <c r="C692" s="1612"/>
      <c r="D692" s="171"/>
      <c r="E692" s="1393"/>
      <c r="F692" s="1393"/>
      <c r="G692" s="1394"/>
      <c r="H692" s="1395" t="str">
        <f>OBRA!AD694</f>
        <v>-</v>
      </c>
      <c r="I692" s="1396"/>
      <c r="J692" s="1613" t="str">
        <f>OBRA!AE694</f>
        <v>-</v>
      </c>
      <c r="K692" s="1397"/>
      <c r="L692" s="1395" t="str">
        <f>OBRA!AF694</f>
        <v>-</v>
      </c>
      <c r="M692" s="1398"/>
      <c r="N692" s="1395" t="str">
        <f>OBRA!AG694</f>
        <v>-</v>
      </c>
      <c r="O692" s="1395"/>
      <c r="P692" s="1395"/>
      <c r="Q692" s="1397"/>
      <c r="R692" s="479" t="str">
        <f>OBRA!AH694</f>
        <v>-</v>
      </c>
      <c r="S692" s="591"/>
      <c r="T692" s="446" t="str">
        <f>OBRA!U694</f>
        <v>URBANIZADORA Y PAVIMENTADORA MONLE S.A. DE C.V.</v>
      </c>
      <c r="U692" s="447" t="str">
        <f>OBRA!V694</f>
        <v>C. DANIEL RODRIGUEZ VALENZUELA</v>
      </c>
      <c r="V692" s="1281"/>
      <c r="W692" s="20" t="str">
        <f>OBRA!L694</f>
        <v>C- OP 003/2023</v>
      </c>
      <c r="X692" s="1659"/>
      <c r="Y692" s="1659"/>
      <c r="Z692" s="448" t="str">
        <f>OBRA!K694</f>
        <v>CUENTA CORRIENTE</v>
      </c>
      <c r="AA692" s="1659"/>
      <c r="AB692" s="2" t="str">
        <f>OBRA!M694</f>
        <v>ARRENDAMIENTO</v>
      </c>
      <c r="AC692" s="3" t="str">
        <f>OBRA!N694</f>
        <v>RENTA DE UNA RETROEXCAVADORA JHON DEERE 310SJ 4X4, PARA SER UTILIZADA EN DIVERSOS MANTENIMIENTOS REQUERIDOS POR LA DIRECCIÓN DE OBRAS PÚBLICAS DEL GOBIERNO MUNICIPAL DE JOCOTEPEC, JALISCO.</v>
      </c>
      <c r="AD692" s="4">
        <f>OBRA!P694</f>
        <v>59681.999999999993</v>
      </c>
      <c r="AE692" s="6">
        <f>OBRA!Q694</f>
        <v>44956</v>
      </c>
      <c r="AF692" s="5">
        <f>OBRA!R694</f>
        <v>44958</v>
      </c>
      <c r="AG692" s="428">
        <f>OBRA!S694</f>
        <v>44985</v>
      </c>
      <c r="AH692" s="1014"/>
      <c r="AI692" s="169"/>
      <c r="AJ692" s="239"/>
      <c r="AK692" s="239"/>
      <c r="AL692" s="715"/>
      <c r="AM692" s="573">
        <f>GRAL!B860</f>
        <v>0</v>
      </c>
      <c r="AN692" s="448"/>
      <c r="AO692" s="13"/>
    </row>
    <row r="693" spans="1:41" ht="105.75" hidden="1" thickTop="1">
      <c r="A693" s="166">
        <f>OBRA!I695</f>
        <v>2023</v>
      </c>
      <c r="B693" s="2036"/>
      <c r="C693" s="1612"/>
      <c r="D693" s="171"/>
      <c r="E693" s="1393"/>
      <c r="F693" s="1393"/>
      <c r="G693" s="1394"/>
      <c r="H693" s="1395" t="str">
        <f>OBRA!AD695</f>
        <v>-</v>
      </c>
      <c r="I693" s="1396"/>
      <c r="J693" s="1613" t="str">
        <f>OBRA!AE695</f>
        <v>-</v>
      </c>
      <c r="K693" s="1397"/>
      <c r="L693" s="1395" t="str">
        <f>OBRA!AF695</f>
        <v>-</v>
      </c>
      <c r="M693" s="1398"/>
      <c r="N693" s="1395" t="str">
        <f>OBRA!AG695</f>
        <v>-</v>
      </c>
      <c r="O693" s="1395"/>
      <c r="P693" s="1395"/>
      <c r="Q693" s="1397"/>
      <c r="R693" s="479" t="str">
        <f>OBRA!AH695</f>
        <v>-</v>
      </c>
      <c r="S693" s="591"/>
      <c r="T693" s="446" t="str">
        <f>OBRA!U695</f>
        <v xml:space="preserve">DORIA &amp; SAMPIER CONSTRUCTORA, S.A. DE C.V. </v>
      </c>
      <c r="U693" s="447" t="str">
        <f>OBRA!V695</f>
        <v>C. DANIEL RODRIGUEZ VALENZUELA</v>
      </c>
      <c r="V693" s="1281"/>
      <c r="W693" s="20" t="str">
        <f>OBRA!L695</f>
        <v>C- OP 004/2023</v>
      </c>
      <c r="X693" s="1659"/>
      <c r="Y693" s="1659"/>
      <c r="Z693" s="448" t="str">
        <f>OBRA!K695</f>
        <v>CUENTA CORRIENTE</v>
      </c>
      <c r="AA693" s="1659"/>
      <c r="AB693" s="2" t="str">
        <f>OBRA!M695</f>
        <v>ARRENDAMIENTO</v>
      </c>
      <c r="AC693" s="3" t="str">
        <f>OBRA!N695</f>
        <v>RENTA DE UNA RETROEXCAVADORA MARCA JCB MOD. 2000 SERIE 4214E, PARA SER UTILIZADA EN LA CONSTRUCCIÓN DE BASE PARA LA COLOCACIÓN DE LETRAS MONUMENTALES DE SAN JOSE POTRERILLOS, DEL MUNICIPIO DE JOCOTEPEC, JALISCO.</v>
      </c>
      <c r="AD693" s="4">
        <f>OBRA!P695</f>
        <v>638</v>
      </c>
      <c r="AE693" s="6">
        <f>OBRA!Q695</f>
        <v>44981</v>
      </c>
      <c r="AF693" s="5">
        <f>OBRA!R695</f>
        <v>44985</v>
      </c>
      <c r="AG693" s="428">
        <f>OBRA!S695</f>
        <v>44989</v>
      </c>
      <c r="AH693" s="1014"/>
      <c r="AI693" s="169"/>
      <c r="AJ693" s="239"/>
      <c r="AK693" s="239"/>
      <c r="AL693" s="715"/>
      <c r="AM693" s="573">
        <f>GRAL!B861</f>
        <v>0</v>
      </c>
      <c r="AN693" s="448"/>
      <c r="AO693" s="13"/>
    </row>
    <row r="694" spans="1:41" ht="90.75" hidden="1" thickTop="1">
      <c r="A694" s="166">
        <f>OBRA!I696</f>
        <v>2023</v>
      </c>
      <c r="B694" s="2036"/>
      <c r="C694" s="1612"/>
      <c r="D694" s="171"/>
      <c r="E694" s="1393"/>
      <c r="F694" s="1393"/>
      <c r="G694" s="1394"/>
      <c r="H694" s="1395" t="str">
        <f>OBRA!AD696</f>
        <v>-</v>
      </c>
      <c r="I694" s="1396"/>
      <c r="J694" s="1613" t="str">
        <f>OBRA!AE696</f>
        <v>-</v>
      </c>
      <c r="K694" s="1397"/>
      <c r="L694" s="1395" t="str">
        <f>OBRA!AF696</f>
        <v>-</v>
      </c>
      <c r="M694" s="1398"/>
      <c r="N694" s="1395" t="str">
        <f>OBRA!AG696</f>
        <v>-</v>
      </c>
      <c r="O694" s="1395"/>
      <c r="P694" s="1395"/>
      <c r="Q694" s="1397"/>
      <c r="R694" s="479" t="str">
        <f>OBRA!AH696</f>
        <v>-</v>
      </c>
      <c r="S694" s="591"/>
      <c r="T694" s="446" t="str">
        <f>OBRA!U696</f>
        <v>ALSERCON SA DE CV</v>
      </c>
      <c r="U694" s="447" t="str">
        <f>OBRA!V696</f>
        <v>C. DANIEL RODRIGUEZ VALENZUELA</v>
      </c>
      <c r="V694" s="1281"/>
      <c r="W694" s="20" t="str">
        <f>OBRA!L696</f>
        <v>C- OP 005/2023</v>
      </c>
      <c r="X694" s="1659"/>
      <c r="Y694" s="1659"/>
      <c r="Z694" s="448" t="str">
        <f>OBRA!K696</f>
        <v>CUENTA CORRIENTE</v>
      </c>
      <c r="AA694" s="1659"/>
      <c r="AB694" s="2" t="str">
        <f>OBRA!M696</f>
        <v>ARRENDAMIENTO</v>
      </c>
      <c r="AC694" s="3" t="str">
        <f>OBRA!N696</f>
        <v>RENTA DE CAMIÓN TIPO PIPA MARCA DODGE RAM 6500 MOD. 1996 PLACAS JM57075, CON CAPACIDAD DE 10,000 LITROS PARA EL SERVICIO DE ACARREO DE AGUA EN EL MUNICIPIO DE JOCOTEPEC, JALISCO.</v>
      </c>
      <c r="AD694" s="4">
        <f>OBRA!P696</f>
        <v>28999.999999999996</v>
      </c>
      <c r="AE694" s="6">
        <f>OBRA!Q696</f>
        <v>45037</v>
      </c>
      <c r="AF694" s="5">
        <f>OBRA!R696</f>
        <v>45039</v>
      </c>
      <c r="AG694" s="428">
        <f>OBRA!S696</f>
        <v>45069</v>
      </c>
      <c r="AH694" s="1014"/>
      <c r="AI694" s="169"/>
      <c r="AJ694" s="239"/>
      <c r="AK694" s="239"/>
      <c r="AL694" s="715"/>
      <c r="AM694" s="573">
        <f>GRAL!B862</f>
        <v>0</v>
      </c>
      <c r="AN694" s="448"/>
      <c r="AO694" s="13"/>
    </row>
    <row r="695" spans="1:41" ht="90.75" hidden="1" thickTop="1">
      <c r="A695" s="166">
        <f>OBRA!I697</f>
        <v>2023</v>
      </c>
      <c r="B695" s="2036"/>
      <c r="C695" s="1612"/>
      <c r="D695" s="171"/>
      <c r="E695" s="1393"/>
      <c r="F695" s="1393"/>
      <c r="G695" s="1394"/>
      <c r="H695" s="1395" t="str">
        <f>OBRA!AD697</f>
        <v>-</v>
      </c>
      <c r="I695" s="1396"/>
      <c r="J695" s="1613" t="str">
        <f>OBRA!AE697</f>
        <v>-</v>
      </c>
      <c r="K695" s="1397"/>
      <c r="L695" s="1395" t="str">
        <f>OBRA!AF697</f>
        <v>-</v>
      </c>
      <c r="M695" s="1398"/>
      <c r="N695" s="1395" t="str">
        <f>OBRA!AG697</f>
        <v>-</v>
      </c>
      <c r="O695" s="1395"/>
      <c r="P695" s="1395"/>
      <c r="Q695" s="1397"/>
      <c r="R695" s="479" t="str">
        <f>OBRA!AH697</f>
        <v>-</v>
      </c>
      <c r="S695" s="591"/>
      <c r="T695" s="446" t="str">
        <f>OBRA!U697</f>
        <v>URBANIZADORA Y PAVIMENTADORA MONLE S.A. DE C.V.</v>
      </c>
      <c r="U695" s="447" t="str">
        <f>OBRA!V697</f>
        <v>C. DANIEL RODRIGUEZ VALENZUELA</v>
      </c>
      <c r="V695" s="1281"/>
      <c r="W695" s="20" t="str">
        <f>OBRA!L697</f>
        <v>C- OP 006/2023</v>
      </c>
      <c r="X695" s="1659"/>
      <c r="Y695" s="1659"/>
      <c r="Z695" s="448" t="str">
        <f>OBRA!K697</f>
        <v>CUENTA CORRIENTE</v>
      </c>
      <c r="AA695" s="1659"/>
      <c r="AB695" s="2" t="str">
        <f>OBRA!M697</f>
        <v>ARRENDAMIENTO</v>
      </c>
      <c r="AC695" s="3" t="str">
        <f>OBRA!N697</f>
        <v>RENTA DE UNA RETROEXCAVADORA DEE 310SJ 4X4, PARA SER UTILIZADA EN DIVERSOS MANTENIMIENTOS REQUERIDOS POR LA DIRECCIÓN DE OBRAS PÚBLICAS DEL GOBIERNO MUNICIPAL DE JOCOTEPEC, JALISCO.</v>
      </c>
      <c r="AD695" s="4">
        <f>OBRA!P697</f>
        <v>59681.999999999993</v>
      </c>
      <c r="AE695" s="6">
        <f>OBRA!Q697</f>
        <v>45015</v>
      </c>
      <c r="AF695" s="5">
        <f>OBRA!R697</f>
        <v>45017</v>
      </c>
      <c r="AG695" s="428">
        <f>OBRA!S697</f>
        <v>45046</v>
      </c>
      <c r="AH695" s="1014"/>
      <c r="AI695" s="169"/>
      <c r="AJ695" s="239"/>
      <c r="AK695" s="239"/>
      <c r="AL695" s="715"/>
      <c r="AM695" s="573">
        <f>GRAL!B863</f>
        <v>0</v>
      </c>
      <c r="AN695" s="448"/>
      <c r="AO695" s="13"/>
    </row>
    <row r="696" spans="1:41" ht="75.75" hidden="1" thickTop="1">
      <c r="A696" s="166">
        <f>OBRA!I698</f>
        <v>2023</v>
      </c>
      <c r="B696" s="2036"/>
      <c r="C696" s="1612"/>
      <c r="D696" s="171"/>
      <c r="E696" s="1393"/>
      <c r="F696" s="1393"/>
      <c r="G696" s="1394"/>
      <c r="H696" s="1395" t="str">
        <f>OBRA!AD698</f>
        <v>-</v>
      </c>
      <c r="I696" s="1396"/>
      <c r="J696" s="1613" t="str">
        <f>OBRA!AE698</f>
        <v>-</v>
      </c>
      <c r="K696" s="1397"/>
      <c r="L696" s="1395" t="str">
        <f>OBRA!AF698</f>
        <v>-</v>
      </c>
      <c r="M696" s="1398"/>
      <c r="N696" s="1395" t="str">
        <f>OBRA!AG698</f>
        <v>-</v>
      </c>
      <c r="O696" s="1395"/>
      <c r="P696" s="1395"/>
      <c r="Q696" s="1397"/>
      <c r="R696" s="479" t="str">
        <f>OBRA!AH698</f>
        <v>-</v>
      </c>
      <c r="S696" s="591"/>
      <c r="T696" s="446" t="str">
        <f>OBRA!U698</f>
        <v>CONSTRUCTORES BACHMEIER S.A. DE C.V.</v>
      </c>
      <c r="U696" s="447" t="str">
        <f>OBRA!V698</f>
        <v>ING. LUIS RIGOBERTO OLMEDO NAVARRO</v>
      </c>
      <c r="V696" s="1281"/>
      <c r="W696" s="20" t="str">
        <f>OBRA!L698</f>
        <v>C- OP 006A/2023</v>
      </c>
      <c r="X696" s="1659"/>
      <c r="Y696" s="1659"/>
      <c r="Z696" s="448" t="str">
        <f>OBRA!K698</f>
        <v>CUENTA CORRIENTE</v>
      </c>
      <c r="AA696" s="1659"/>
      <c r="AB696" s="2" t="str">
        <f>OBRA!M698</f>
        <v>ARRENDAMIENTO</v>
      </c>
      <c r="AC696" s="3" t="str">
        <f>OBRA!N698</f>
        <v>RENTA DE EXCAVADORA CAT 320, PARA SER UTILIZADA EN LAS OBRAS: DESAZOLVES EN ARROYOS, DE LAS DELEGACIONES Y DE LA CABECERA DEL MUNICIPIO DE JOCOTEPEC, JALISCO.</v>
      </c>
      <c r="AD696" s="4">
        <f>OBRA!P698</f>
        <v>4750.0027999999993</v>
      </c>
      <c r="AE696" s="6">
        <f>OBRA!Q698</f>
        <v>45033</v>
      </c>
      <c r="AF696" s="5">
        <f>OBRA!R698</f>
        <v>45033</v>
      </c>
      <c r="AG696" s="428">
        <f>OBRA!S698</f>
        <v>45094</v>
      </c>
      <c r="AH696" s="1014"/>
      <c r="AI696" s="169"/>
      <c r="AJ696" s="239"/>
      <c r="AK696" s="239"/>
      <c r="AL696" s="715"/>
      <c r="AM696" s="573">
        <f>GRAL!B864</f>
        <v>0</v>
      </c>
      <c r="AN696" s="448"/>
      <c r="AO696" s="13"/>
    </row>
    <row r="697" spans="1:41" ht="75.75" hidden="1" thickTop="1">
      <c r="A697" s="166">
        <f>OBRA!I699</f>
        <v>2023</v>
      </c>
      <c r="B697" s="2036"/>
      <c r="C697" s="1612"/>
      <c r="D697" s="171"/>
      <c r="E697" s="1393"/>
      <c r="F697" s="1393"/>
      <c r="G697" s="1394"/>
      <c r="H697" s="1395" t="str">
        <f>OBRA!AD699</f>
        <v>-</v>
      </c>
      <c r="I697" s="1396"/>
      <c r="J697" s="1613" t="str">
        <f>OBRA!AE699</f>
        <v>-</v>
      </c>
      <c r="K697" s="1397"/>
      <c r="L697" s="1395" t="str">
        <f>OBRA!AF699</f>
        <v>-</v>
      </c>
      <c r="M697" s="1398"/>
      <c r="N697" s="1395" t="str">
        <f>OBRA!AG699</f>
        <v>-</v>
      </c>
      <c r="O697" s="1395"/>
      <c r="P697" s="1395"/>
      <c r="Q697" s="1397"/>
      <c r="R697" s="479" t="str">
        <f>OBRA!AH699</f>
        <v>-</v>
      </c>
      <c r="S697" s="591"/>
      <c r="T697" s="446" t="str">
        <f>OBRA!U699</f>
        <v>CONSTRUCTORES BACHMEIER S.A. DE C.V.</v>
      </c>
      <c r="U697" s="447" t="str">
        <f>OBRA!V699</f>
        <v>ING. LUIS RIGOBERTO OLMEDO NAVARRO</v>
      </c>
      <c r="V697" s="1281"/>
      <c r="W697" s="20" t="str">
        <f>OBRA!L699</f>
        <v>C- OP 006B/2023</v>
      </c>
      <c r="X697" s="1659"/>
      <c r="Y697" s="1659"/>
      <c r="Z697" s="448" t="str">
        <f>OBRA!K699</f>
        <v>CUENTA CORRIENTE</v>
      </c>
      <c r="AA697" s="1659"/>
      <c r="AB697" s="2" t="str">
        <f>OBRA!M699</f>
        <v>ARRENDAMIENTO</v>
      </c>
      <c r="AC697" s="3" t="str">
        <f>OBRA!N699</f>
        <v>RENTA DE UNA EXCAVADORA, PARA SER UTILIZADA EN LAS OBRAS: MANTENIMIENTOS VARIOS EN LAS AGENCIAS, DELEGACIONES Y CABECERA DEL MUNICIPIO DE JOCOTEPEC, JALISCO.</v>
      </c>
      <c r="AD697" s="4">
        <f>OBRA!P699</f>
        <v>1899.9987999999998</v>
      </c>
      <c r="AE697" s="6">
        <f>OBRA!Q699</f>
        <v>45033</v>
      </c>
      <c r="AF697" s="5">
        <f>OBRA!R699</f>
        <v>45033</v>
      </c>
      <c r="AG697" s="428">
        <f>OBRA!S699</f>
        <v>45094</v>
      </c>
      <c r="AH697" s="1014"/>
      <c r="AI697" s="169"/>
      <c r="AJ697" s="239"/>
      <c r="AK697" s="239"/>
      <c r="AL697" s="715"/>
      <c r="AM697" s="573">
        <f>GRAL!B865</f>
        <v>0</v>
      </c>
      <c r="AN697" s="448"/>
      <c r="AO697" s="13"/>
    </row>
    <row r="698" spans="1:41" ht="120.75" hidden="1" thickTop="1">
      <c r="A698" s="166">
        <f>OBRA!I700</f>
        <v>2023</v>
      </c>
      <c r="B698" s="2036"/>
      <c r="C698" s="1612"/>
      <c r="D698" s="171"/>
      <c r="E698" s="1393"/>
      <c r="F698" s="1393"/>
      <c r="G698" s="1394"/>
      <c r="H698" s="1395" t="str">
        <f>OBRA!AD700</f>
        <v>-</v>
      </c>
      <c r="I698" s="1396"/>
      <c r="J698" s="1613" t="str">
        <f>OBRA!AE700</f>
        <v>-</v>
      </c>
      <c r="K698" s="1397"/>
      <c r="L698" s="1395" t="str">
        <f>OBRA!AF700</f>
        <v>-</v>
      </c>
      <c r="M698" s="1398"/>
      <c r="N698" s="1395" t="str">
        <f>OBRA!AG700</f>
        <v>-</v>
      </c>
      <c r="O698" s="1395"/>
      <c r="P698" s="1395"/>
      <c r="Q698" s="1397"/>
      <c r="R698" s="479" t="str">
        <f>OBRA!AH700</f>
        <v>-</v>
      </c>
      <c r="S698" s="591"/>
      <c r="T698" s="446" t="str">
        <f>OBRA!U700</f>
        <v xml:space="preserve">DORIA &amp; SAMPIER CONSTRUCTORA, S.A. DE C.V. </v>
      </c>
      <c r="U698" s="447" t="str">
        <f>OBRA!V700</f>
        <v>C. DANIEL RODRIGUEZ VALENZUELA</v>
      </c>
      <c r="V698" s="1281"/>
      <c r="W698" s="20" t="str">
        <f>OBRA!L700</f>
        <v>C- OP 007/2023</v>
      </c>
      <c r="X698" s="1659"/>
      <c r="Y698" s="1659"/>
      <c r="Z698" s="448" t="str">
        <f>OBRA!K700</f>
        <v>CUENTA CORRIENTE</v>
      </c>
      <c r="AA698" s="1659"/>
      <c r="AB698" s="2" t="str">
        <f>OBRA!M700</f>
        <v>ARRENDAMIENTO</v>
      </c>
      <c r="AC698" s="3" t="str">
        <f>OBRA!N700</f>
        <v>RENTA DE UN CAMIÓN VOLTEO MARCA KENWORTH COLOR AZUL PLACA JU00932 Y UN CAMIÓN VOLTEO MARCA INTERNACIONAL COLOR AMARILLO PLACA 09AF9U, PARA SER UTILIZADO EN EL ACARREO DE MATERIAL POR DESAZOLVES DE ARROYOS EN EL MUNICIPIO DE JOCOTEPEC, JALISCO.</v>
      </c>
      <c r="AD698" s="4">
        <f>OBRA!P700</f>
        <v>5220</v>
      </c>
      <c r="AE698" s="6">
        <f>OBRA!Q700</f>
        <v>45034</v>
      </c>
      <c r="AF698" s="5">
        <f>OBRA!R700</f>
        <v>45036</v>
      </c>
      <c r="AG698" s="428">
        <f>OBRA!S700</f>
        <v>45066</v>
      </c>
      <c r="AH698" s="1014"/>
      <c r="AI698" s="169"/>
      <c r="AJ698" s="239"/>
      <c r="AK698" s="239"/>
      <c r="AL698" s="715"/>
      <c r="AM698" s="573">
        <f>GRAL!B864</f>
        <v>0</v>
      </c>
      <c r="AN698" s="448"/>
      <c r="AO698" s="13"/>
    </row>
    <row r="699" spans="1:41" ht="120.75" hidden="1" thickTop="1">
      <c r="A699" s="166">
        <f>OBRA!I701</f>
        <v>2023</v>
      </c>
      <c r="B699" s="2036"/>
      <c r="C699" s="1612"/>
      <c r="D699" s="171"/>
      <c r="E699" s="1393"/>
      <c r="F699" s="1393"/>
      <c r="G699" s="1394"/>
      <c r="H699" s="1395" t="str">
        <f>OBRA!AD701</f>
        <v>-</v>
      </c>
      <c r="I699" s="1396"/>
      <c r="J699" s="1613" t="str">
        <f>OBRA!AE701</f>
        <v>-</v>
      </c>
      <c r="K699" s="1397"/>
      <c r="L699" s="1395" t="str">
        <f>OBRA!AF701</f>
        <v>-</v>
      </c>
      <c r="M699" s="1398"/>
      <c r="N699" s="1395" t="str">
        <f>OBRA!AG701</f>
        <v>-</v>
      </c>
      <c r="O699" s="1395"/>
      <c r="P699" s="1395"/>
      <c r="Q699" s="1397"/>
      <c r="R699" s="479" t="str">
        <f>OBRA!AH701</f>
        <v>-</v>
      </c>
      <c r="S699" s="591"/>
      <c r="T699" s="446" t="str">
        <f>OBRA!U701</f>
        <v xml:space="preserve">DORIA &amp; SAMPIER CONSTRUCTORA, S.A. DE C.V. </v>
      </c>
      <c r="U699" s="447" t="str">
        <f>OBRA!V701</f>
        <v>C. DANIEL RODRIGUEZ VALENZUELA</v>
      </c>
      <c r="V699" s="1281"/>
      <c r="W699" s="20" t="str">
        <f>OBRA!L701</f>
        <v>C- OP 008/2023</v>
      </c>
      <c r="X699" s="1659"/>
      <c r="Y699" s="1659"/>
      <c r="Z699" s="448" t="str">
        <f>OBRA!K701</f>
        <v>CUENTA CORRIENTE</v>
      </c>
      <c r="AA699" s="1659"/>
      <c r="AB699" s="2" t="str">
        <f>OBRA!M701</f>
        <v>ARRENDAMIENTO</v>
      </c>
      <c r="AC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AD699" s="4">
        <f>OBRA!P701</f>
        <v>5220</v>
      </c>
      <c r="AE699" s="6">
        <f>OBRA!Q701</f>
        <v>45034</v>
      </c>
      <c r="AF699" s="5">
        <f>OBRA!R701</f>
        <v>45036</v>
      </c>
      <c r="AG699" s="428">
        <f>OBRA!S701</f>
        <v>45066</v>
      </c>
      <c r="AH699" s="1014"/>
      <c r="AI699" s="169"/>
      <c r="AJ699" s="239"/>
      <c r="AK699" s="239"/>
      <c r="AL699" s="715"/>
      <c r="AM699" s="573">
        <f>GRAL!B865</f>
        <v>0</v>
      </c>
      <c r="AN699" s="448"/>
      <c r="AO699" s="13"/>
    </row>
    <row r="700" spans="1:41" ht="120.75" hidden="1" thickTop="1">
      <c r="A700" s="166">
        <f>OBRA!I702</f>
        <v>2023</v>
      </c>
      <c r="B700" s="2036"/>
      <c r="C700" s="1612"/>
      <c r="D700" s="171"/>
      <c r="E700" s="1393"/>
      <c r="F700" s="1393"/>
      <c r="G700" s="1394"/>
      <c r="H700" s="1395" t="str">
        <f>OBRA!AD702</f>
        <v>-</v>
      </c>
      <c r="I700" s="1396"/>
      <c r="J700" s="1613" t="str">
        <f>OBRA!AE702</f>
        <v>-</v>
      </c>
      <c r="K700" s="1397"/>
      <c r="L700" s="1395" t="str">
        <f>OBRA!AF702</f>
        <v>-</v>
      </c>
      <c r="M700" s="1398"/>
      <c r="N700" s="1395" t="str">
        <f>OBRA!AG702</f>
        <v>-</v>
      </c>
      <c r="O700" s="1395"/>
      <c r="P700" s="1395"/>
      <c r="Q700" s="1397"/>
      <c r="R700" s="479" t="str">
        <f>OBRA!AH702</f>
        <v>-</v>
      </c>
      <c r="S700" s="591"/>
      <c r="T700" s="446" t="str">
        <f>OBRA!U702</f>
        <v xml:space="preserve">DORIA &amp; SAMPIER CONSTRUCTORA, S.A. DE C.V. </v>
      </c>
      <c r="U700" s="447" t="str">
        <f>OBRA!V702</f>
        <v>C. DANIEL RODRIGUEZ VALENZUELA</v>
      </c>
      <c r="V700" s="1281"/>
      <c r="W700" s="20" t="str">
        <f>OBRA!L702</f>
        <v>C- OP 009/2023</v>
      </c>
      <c r="X700" s="1659"/>
      <c r="Y700" s="1659"/>
      <c r="Z700" s="448" t="str">
        <f>OBRA!K702</f>
        <v>CUENTA CORRIENTE</v>
      </c>
      <c r="AA700" s="1659"/>
      <c r="AB700" s="2" t="str">
        <f>OBRA!M702</f>
        <v>ARRENDAMIENTO</v>
      </c>
      <c r="AC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AD700" s="4">
        <f>OBRA!P702</f>
        <v>696</v>
      </c>
      <c r="AE700" s="6">
        <f>OBRA!Q702</f>
        <v>44972</v>
      </c>
      <c r="AF700" s="5">
        <f>OBRA!R702</f>
        <v>44974</v>
      </c>
      <c r="AG700" s="428">
        <f>OBRA!S702</f>
        <v>44976</v>
      </c>
      <c r="AH700" s="1014"/>
      <c r="AI700" s="169"/>
      <c r="AJ700" s="239"/>
      <c r="AK700" s="239"/>
      <c r="AL700" s="715"/>
      <c r="AM700" s="573">
        <f>GRAL!B866</f>
        <v>0</v>
      </c>
      <c r="AN700" s="448"/>
      <c r="AO700" s="13"/>
    </row>
    <row r="701" spans="1:41" ht="120.75" hidden="1" thickTop="1">
      <c r="A701" s="166">
        <f>OBRA!I703</f>
        <v>2023</v>
      </c>
      <c r="B701" s="2036"/>
      <c r="C701" s="1612"/>
      <c r="D701" s="171"/>
      <c r="E701" s="1393"/>
      <c r="F701" s="1393"/>
      <c r="G701" s="1394"/>
      <c r="H701" s="1395" t="str">
        <f>OBRA!AD703</f>
        <v>-</v>
      </c>
      <c r="I701" s="1396"/>
      <c r="J701" s="1613" t="str">
        <f>OBRA!AE703</f>
        <v>-</v>
      </c>
      <c r="K701" s="1397"/>
      <c r="L701" s="1395" t="str">
        <f>OBRA!AF703</f>
        <v>-</v>
      </c>
      <c r="M701" s="1398"/>
      <c r="N701" s="1395" t="str">
        <f>OBRA!AG703</f>
        <v>-</v>
      </c>
      <c r="O701" s="1395"/>
      <c r="P701" s="1395"/>
      <c r="Q701" s="1397"/>
      <c r="R701" s="479" t="str">
        <f>OBRA!AH703</f>
        <v>-</v>
      </c>
      <c r="S701" s="591"/>
      <c r="T701" s="446" t="str">
        <f>OBRA!U703</f>
        <v xml:space="preserve">DORIA &amp; SAMPIER CONSTRUCTORA, S.A. DE C.V. </v>
      </c>
      <c r="U701" s="447" t="str">
        <f>OBRA!V703</f>
        <v>C. DANIEL RODRIGUEZ VALENZUELA</v>
      </c>
      <c r="V701" s="1281"/>
      <c r="W701" s="20" t="str">
        <f>OBRA!L703</f>
        <v>C- OP 010/2023</v>
      </c>
      <c r="X701" s="1659"/>
      <c r="Y701" s="1659"/>
      <c r="Z701" s="448" t="str">
        <f>OBRA!K703</f>
        <v>CUENTA CORRIENTE</v>
      </c>
      <c r="AA701" s="1659"/>
      <c r="AB701" s="2" t="str">
        <f>OBRA!M703</f>
        <v>ARRENDAMIENTO</v>
      </c>
      <c r="AC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AD701" s="4">
        <f>OBRA!P703</f>
        <v>754</v>
      </c>
      <c r="AE701" s="6">
        <f>OBRA!Q703</f>
        <v>44966</v>
      </c>
      <c r="AF701" s="5">
        <f>OBRA!R703</f>
        <v>44970</v>
      </c>
      <c r="AG701" s="428">
        <f>OBRA!S703</f>
        <v>44976</v>
      </c>
      <c r="AH701" s="1014"/>
      <c r="AI701" s="169"/>
      <c r="AJ701" s="239"/>
      <c r="AK701" s="239"/>
      <c r="AL701" s="715"/>
      <c r="AM701" s="573">
        <f>GRAL!B867</f>
        <v>0</v>
      </c>
      <c r="AN701" s="448"/>
      <c r="AO701" s="13"/>
    </row>
    <row r="702" spans="1:41" ht="150.75" hidden="1" thickTop="1">
      <c r="A702" s="166">
        <f>OBRA!I704</f>
        <v>2023</v>
      </c>
      <c r="B702" s="2036"/>
      <c r="C702" s="1612"/>
      <c r="D702" s="171"/>
      <c r="E702" s="1393"/>
      <c r="F702" s="1393"/>
      <c r="G702" s="1394"/>
      <c r="H702" s="1395" t="str">
        <f>OBRA!AD704</f>
        <v>-</v>
      </c>
      <c r="I702" s="1396"/>
      <c r="J702" s="1613" t="str">
        <f>OBRA!AE704</f>
        <v>-</v>
      </c>
      <c r="K702" s="1397"/>
      <c r="L702" s="1395" t="str">
        <f>OBRA!AF704</f>
        <v>-</v>
      </c>
      <c r="M702" s="1398"/>
      <c r="N702" s="1395" t="str">
        <f>OBRA!AG704</f>
        <v>-</v>
      </c>
      <c r="O702" s="1395"/>
      <c r="P702" s="1395"/>
      <c r="Q702" s="1397"/>
      <c r="R702" s="479" t="str">
        <f>OBRA!AH704</f>
        <v>-</v>
      </c>
      <c r="S702" s="591"/>
      <c r="T702" s="446" t="str">
        <f>OBRA!U704</f>
        <v xml:space="preserve">DORIA &amp; SAMPIER CONSTRUCTORA, S.A. DE C.V. </v>
      </c>
      <c r="U702" s="447" t="str">
        <f>OBRA!V704</f>
        <v>C. DANIEL RODRIGUEZ VALENZUELA</v>
      </c>
      <c r="V702" s="1281"/>
      <c r="W702" s="20" t="str">
        <f>OBRA!L704</f>
        <v>C- OP 011/2023</v>
      </c>
      <c r="X702" s="1659"/>
      <c r="Y702" s="1659"/>
      <c r="Z702" s="448" t="str">
        <f>OBRA!K704</f>
        <v>CUENTA CORRIENTE</v>
      </c>
      <c r="AA702" s="1659"/>
      <c r="AB702" s="2" t="str">
        <f>OBRA!M704</f>
        <v>ARRENDAMIENTO</v>
      </c>
      <c r="AC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02" s="4">
        <f>OBRA!P704</f>
        <v>1020.8</v>
      </c>
      <c r="AE702" s="6">
        <f>OBRA!Q704</f>
        <v>44966</v>
      </c>
      <c r="AF702" s="5">
        <f>OBRA!R704</f>
        <v>44970</v>
      </c>
      <c r="AG702" s="428">
        <f>OBRA!S704</f>
        <v>44977</v>
      </c>
      <c r="AH702" s="1014"/>
      <c r="AI702" s="169"/>
      <c r="AJ702" s="239"/>
      <c r="AK702" s="239"/>
      <c r="AL702" s="715"/>
      <c r="AM702" s="573">
        <f>GRAL!B868</f>
        <v>0</v>
      </c>
      <c r="AN702" s="448"/>
      <c r="AO702" s="13"/>
    </row>
    <row r="703" spans="1:41" ht="120.75" hidden="1" thickTop="1">
      <c r="A703" s="166">
        <f>OBRA!I705</f>
        <v>2023</v>
      </c>
      <c r="B703" s="2036"/>
      <c r="C703" s="1612"/>
      <c r="D703" s="171"/>
      <c r="E703" s="1393"/>
      <c r="F703" s="1393"/>
      <c r="G703" s="1394"/>
      <c r="H703" s="1395" t="str">
        <f>OBRA!AD705</f>
        <v>-</v>
      </c>
      <c r="I703" s="1396"/>
      <c r="J703" s="1613" t="str">
        <f>OBRA!AE705</f>
        <v>-</v>
      </c>
      <c r="K703" s="1397"/>
      <c r="L703" s="1395" t="str">
        <f>OBRA!AF705</f>
        <v>-</v>
      </c>
      <c r="M703" s="1398"/>
      <c r="N703" s="1395" t="str">
        <f>OBRA!AG705</f>
        <v>-</v>
      </c>
      <c r="O703" s="1395"/>
      <c r="P703" s="1395"/>
      <c r="Q703" s="1397"/>
      <c r="R703" s="479" t="str">
        <f>OBRA!AH705</f>
        <v>-</v>
      </c>
      <c r="S703" s="591"/>
      <c r="T703" s="446" t="str">
        <f>OBRA!U705</f>
        <v xml:space="preserve">DORIA &amp; SAMPIER CONSTRUCTORA, S.A. DE C.V. </v>
      </c>
      <c r="U703" s="447" t="str">
        <f>OBRA!V705</f>
        <v>C. DANIEL RODRIGUEZ VALENZUELA</v>
      </c>
      <c r="V703" s="1281"/>
      <c r="W703" s="20" t="str">
        <f>OBRA!L705</f>
        <v>C- OP 012/2023</v>
      </c>
      <c r="X703" s="1659"/>
      <c r="Y703" s="1659"/>
      <c r="Z703" s="448" t="str">
        <f>OBRA!K705</f>
        <v>CUENTA CORRIENTE</v>
      </c>
      <c r="AA703" s="1659"/>
      <c r="AB703" s="2" t="str">
        <f>OBRA!M705</f>
        <v>ARRENDAMIENTO</v>
      </c>
      <c r="AC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AD703" s="4">
        <f>OBRA!P705</f>
        <v>754</v>
      </c>
      <c r="AE703" s="6">
        <f>OBRA!Q705</f>
        <v>44974</v>
      </c>
      <c r="AF703" s="5">
        <f>OBRA!R705</f>
        <v>44977</v>
      </c>
      <c r="AG703" s="428">
        <f>OBRA!S705</f>
        <v>44982</v>
      </c>
      <c r="AH703" s="1014"/>
      <c r="AI703" s="169"/>
      <c r="AJ703" s="239"/>
      <c r="AK703" s="239"/>
      <c r="AL703" s="715"/>
      <c r="AM703" s="573">
        <f>GRAL!B869</f>
        <v>0</v>
      </c>
      <c r="AN703" s="448"/>
      <c r="AO703" s="13"/>
    </row>
    <row r="704" spans="1:41" ht="150.75" hidden="1" thickTop="1">
      <c r="A704" s="166">
        <f>OBRA!I706</f>
        <v>2023</v>
      </c>
      <c r="B704" s="2036"/>
      <c r="C704" s="1612"/>
      <c r="D704" s="171"/>
      <c r="E704" s="1393"/>
      <c r="F704" s="1393"/>
      <c r="G704" s="1394"/>
      <c r="H704" s="1395" t="str">
        <f>OBRA!AD706</f>
        <v>-</v>
      </c>
      <c r="I704" s="1396"/>
      <c r="J704" s="1613" t="str">
        <f>OBRA!AE706</f>
        <v>-</v>
      </c>
      <c r="K704" s="1397"/>
      <c r="L704" s="1395" t="str">
        <f>OBRA!AF706</f>
        <v>-</v>
      </c>
      <c r="M704" s="1398"/>
      <c r="N704" s="1395" t="str">
        <f>OBRA!AG706</f>
        <v>-</v>
      </c>
      <c r="O704" s="1395"/>
      <c r="P704" s="1395"/>
      <c r="Q704" s="1397"/>
      <c r="R704" s="479" t="str">
        <f>OBRA!AH706</f>
        <v>-</v>
      </c>
      <c r="S704" s="591"/>
      <c r="T704" s="446" t="str">
        <f>OBRA!U706</f>
        <v xml:space="preserve">DORIA &amp; SAMPIER CONSTRUCTORA, S.A. DE C.V. </v>
      </c>
      <c r="U704" s="447" t="str">
        <f>OBRA!V706</f>
        <v>C. DANIEL RODRIGUEZ VALENZUELA</v>
      </c>
      <c r="V704" s="1281"/>
      <c r="W704" s="20" t="str">
        <f>OBRA!L706</f>
        <v>C- OP 013/2023</v>
      </c>
      <c r="X704" s="1659"/>
      <c r="Y704" s="1659"/>
      <c r="Z704" s="448" t="str">
        <f>OBRA!K706</f>
        <v>CUENTA CORRIENTE</v>
      </c>
      <c r="AA704" s="1659"/>
      <c r="AB704" s="2" t="str">
        <f>OBRA!M706</f>
        <v>ARRENDAMIENTO</v>
      </c>
      <c r="AC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04" s="4">
        <f>OBRA!P706</f>
        <v>1020.8</v>
      </c>
      <c r="AE704" s="6">
        <f>OBRA!Q706</f>
        <v>44974</v>
      </c>
      <c r="AF704" s="5">
        <f>OBRA!R706</f>
        <v>44977</v>
      </c>
      <c r="AG704" s="428">
        <f>OBRA!S706</f>
        <v>44982</v>
      </c>
      <c r="AH704" s="1014"/>
      <c r="AI704" s="169"/>
      <c r="AJ704" s="239"/>
      <c r="AK704" s="239"/>
      <c r="AL704" s="715"/>
      <c r="AM704" s="573">
        <f>GRAL!B870</f>
        <v>0</v>
      </c>
      <c r="AN704" s="448"/>
      <c r="AO704" s="13"/>
    </row>
    <row r="705" spans="1:41" ht="120.75" hidden="1" thickTop="1">
      <c r="A705" s="166">
        <f>OBRA!I707</f>
        <v>2023</v>
      </c>
      <c r="B705" s="2036"/>
      <c r="C705" s="1612"/>
      <c r="D705" s="171"/>
      <c r="E705" s="1393"/>
      <c r="F705" s="1393"/>
      <c r="G705" s="1394"/>
      <c r="H705" s="1395" t="str">
        <f>OBRA!AD707</f>
        <v>-</v>
      </c>
      <c r="I705" s="1396"/>
      <c r="J705" s="1613" t="str">
        <f>OBRA!AE707</f>
        <v>-</v>
      </c>
      <c r="K705" s="1397"/>
      <c r="L705" s="1395" t="str">
        <f>OBRA!AF707</f>
        <v>-</v>
      </c>
      <c r="M705" s="1398"/>
      <c r="N705" s="1395" t="str">
        <f>OBRA!AG707</f>
        <v>-</v>
      </c>
      <c r="O705" s="1395"/>
      <c r="P705" s="1395"/>
      <c r="Q705" s="1397"/>
      <c r="R705" s="479" t="str">
        <f>OBRA!AH707</f>
        <v>-</v>
      </c>
      <c r="S705" s="591"/>
      <c r="T705" s="446" t="str">
        <f>OBRA!U707</f>
        <v xml:space="preserve">DORIA &amp; SAMPIER CONSTRUCTORA, S.A. DE C.V. </v>
      </c>
      <c r="U705" s="447" t="str">
        <f>OBRA!V707</f>
        <v>C. DANIEL RODRIGUEZ VALENZUELA</v>
      </c>
      <c r="V705" s="1281"/>
      <c r="W705" s="20" t="str">
        <f>OBRA!L707</f>
        <v>C- OP 014/2023</v>
      </c>
      <c r="X705" s="1659"/>
      <c r="Y705" s="1659"/>
      <c r="Z705" s="448" t="str">
        <f>OBRA!K707</f>
        <v>CUENTA CORRIENTE</v>
      </c>
      <c r="AA705" s="1659"/>
      <c r="AB705" s="2" t="str">
        <f>OBRA!M707</f>
        <v>ARRENDAMIENTO</v>
      </c>
      <c r="AC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AD705" s="4">
        <f>OBRA!P707</f>
        <v>696</v>
      </c>
      <c r="AE705" s="6">
        <f>OBRA!Q707</f>
        <v>44977</v>
      </c>
      <c r="AF705" s="5">
        <f>OBRA!R707</f>
        <v>44978</v>
      </c>
      <c r="AG705" s="428">
        <f>OBRA!S707</f>
        <v>44982</v>
      </c>
      <c r="AH705" s="1014"/>
      <c r="AI705" s="169"/>
      <c r="AJ705" s="239"/>
      <c r="AK705" s="239"/>
      <c r="AL705" s="715"/>
      <c r="AM705" s="573">
        <f>GRAL!B871</f>
        <v>0</v>
      </c>
      <c r="AN705" s="448"/>
      <c r="AO705" s="13"/>
    </row>
    <row r="706" spans="1:41" ht="90.75" hidden="1" thickTop="1">
      <c r="A706" s="166">
        <f>OBRA!I708</f>
        <v>2023</v>
      </c>
      <c r="B706" s="2036"/>
      <c r="C706" s="1612"/>
      <c r="D706" s="171"/>
      <c r="E706" s="1393"/>
      <c r="F706" s="1393"/>
      <c r="G706" s="1394"/>
      <c r="H706" s="1395" t="str">
        <f>OBRA!AD708</f>
        <v>-</v>
      </c>
      <c r="I706" s="1396"/>
      <c r="J706" s="1613" t="str">
        <f>OBRA!AE708</f>
        <v>-</v>
      </c>
      <c r="K706" s="1397"/>
      <c r="L706" s="1395" t="str">
        <f>OBRA!AF708</f>
        <v>-</v>
      </c>
      <c r="M706" s="1398"/>
      <c r="N706" s="1395" t="str">
        <f>OBRA!AG708</f>
        <v>-</v>
      </c>
      <c r="O706" s="1395"/>
      <c r="P706" s="1395"/>
      <c r="Q706" s="1397"/>
      <c r="R706" s="479" t="str">
        <f>OBRA!AH708</f>
        <v>-</v>
      </c>
      <c r="S706" s="591"/>
      <c r="T706" s="446" t="str">
        <f>OBRA!U708</f>
        <v>URBANIZADORA Y PAVIMENTADORA MONLE S.A. DE C.V.</v>
      </c>
      <c r="U706" s="447" t="str">
        <f>OBRA!V708</f>
        <v>C. DANIEL RODRIGUEZ VALENZUELA</v>
      </c>
      <c r="V706" s="1281"/>
      <c r="W706" s="20" t="str">
        <f>OBRA!L708</f>
        <v>C- OP 015/2023</v>
      </c>
      <c r="X706" s="1659"/>
      <c r="Y706" s="1659"/>
      <c r="Z706" s="448" t="str">
        <f>OBRA!K708</f>
        <v>CUENTA CORRIENTE</v>
      </c>
      <c r="AA706" s="1659"/>
      <c r="AB706" s="2" t="str">
        <f>OBRA!M708</f>
        <v>ARRENDAMIENTO</v>
      </c>
      <c r="AC706" s="3" t="str">
        <f>OBRA!N708</f>
        <v>RENTA DE UNA RETROEXCAVADORA JHON DEERE 310SJ 4X4, PARA SER UTILIZADA EN DIVERSOS MANTENIMIENTOS REQUERIDOS POR LA DIRECCIÓN DE OBRAS PÚBLICAS DEL GOBIERNO MUNICIPAL DE JOCOTEPEC, JALISCO.</v>
      </c>
      <c r="AD706" s="4">
        <f>OBRA!P708</f>
        <v>59681.999999999993</v>
      </c>
      <c r="AE706" s="6">
        <f>OBRA!Q708</f>
        <v>45044</v>
      </c>
      <c r="AF706" s="5">
        <f>OBRA!R708</f>
        <v>45047</v>
      </c>
      <c r="AG706" s="428">
        <f>OBRA!S708</f>
        <v>45077</v>
      </c>
      <c r="AH706" s="1014"/>
      <c r="AI706" s="169"/>
      <c r="AJ706" s="239"/>
      <c r="AK706" s="239"/>
      <c r="AL706" s="715"/>
      <c r="AM706" s="573">
        <f>GRAL!B872</f>
        <v>0</v>
      </c>
      <c r="AN706" s="448"/>
      <c r="AO706" s="13"/>
    </row>
    <row r="707" spans="1:41" ht="150.75" hidden="1" thickTop="1">
      <c r="A707" s="166">
        <f>OBRA!I709</f>
        <v>2023</v>
      </c>
      <c r="B707" s="2036"/>
      <c r="C707" s="1612"/>
      <c r="D707" s="171"/>
      <c r="E707" s="1393"/>
      <c r="F707" s="1393"/>
      <c r="G707" s="1394"/>
      <c r="H707" s="1395" t="str">
        <f>OBRA!AD709</f>
        <v>-</v>
      </c>
      <c r="I707" s="1396"/>
      <c r="J707" s="1613" t="str">
        <f>OBRA!AE709</f>
        <v>-</v>
      </c>
      <c r="K707" s="1397"/>
      <c r="L707" s="1395" t="str">
        <f>OBRA!AF709</f>
        <v>-</v>
      </c>
      <c r="M707" s="1398"/>
      <c r="N707" s="1395" t="str">
        <f>OBRA!AG709</f>
        <v>-</v>
      </c>
      <c r="O707" s="1395"/>
      <c r="P707" s="1395"/>
      <c r="Q707" s="1397"/>
      <c r="R707" s="479" t="str">
        <f>OBRA!AH709</f>
        <v>-</v>
      </c>
      <c r="S707" s="591"/>
      <c r="T707" s="446" t="str">
        <f>OBRA!U709</f>
        <v>GHR CONSTRUCTOR, S.A. DE C.V.</v>
      </c>
      <c r="U707" s="447" t="str">
        <f>OBRA!V709</f>
        <v>C. DANIEL RODRIGUEZ VALENZUELA</v>
      </c>
      <c r="V707" s="1281"/>
      <c r="W707" s="20" t="str">
        <f>OBRA!L709</f>
        <v>C- OP 016/2023</v>
      </c>
      <c r="X707" s="1659"/>
      <c r="Y707" s="1659"/>
      <c r="Z707" s="448" t="str">
        <f>OBRA!K709</f>
        <v>CUENTA CORRIENTE</v>
      </c>
      <c r="AA707" s="1659"/>
      <c r="AB707" s="2" t="str">
        <f>OBRA!M709</f>
        <v>ARRENDAMIENTO</v>
      </c>
      <c r="AC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07" s="4">
        <f>OBRA!P709</f>
        <v>2900</v>
      </c>
      <c r="AE707" s="6">
        <f>OBRA!Q709</f>
        <v>45113</v>
      </c>
      <c r="AF707" s="5">
        <f>OBRA!R709</f>
        <v>45117</v>
      </c>
      <c r="AG707" s="428">
        <f>OBRA!S709</f>
        <v>45127</v>
      </c>
      <c r="AH707" s="1014"/>
      <c r="AI707" s="169"/>
      <c r="AJ707" s="239"/>
      <c r="AK707" s="239"/>
      <c r="AL707" s="715"/>
      <c r="AM707" s="573">
        <f>GRAL!B873</f>
        <v>0</v>
      </c>
      <c r="AN707" s="448"/>
      <c r="AO707" s="13"/>
    </row>
    <row r="708" spans="1:41" ht="90.75" hidden="1" thickTop="1">
      <c r="A708" s="166">
        <f>OBRA!I710</f>
        <v>2023</v>
      </c>
      <c r="B708" s="2036"/>
      <c r="C708" s="1612"/>
      <c r="D708" s="171"/>
      <c r="E708" s="1393"/>
      <c r="F708" s="1393"/>
      <c r="G708" s="1394"/>
      <c r="H708" s="1395" t="str">
        <f>OBRA!AD710</f>
        <v>-</v>
      </c>
      <c r="I708" s="1396"/>
      <c r="J708" s="1613" t="str">
        <f>OBRA!AE710</f>
        <v>-</v>
      </c>
      <c r="K708" s="1397"/>
      <c r="L708" s="1395" t="str">
        <f>OBRA!AF710</f>
        <v>-</v>
      </c>
      <c r="M708" s="1398"/>
      <c r="N708" s="1395" t="str">
        <f>OBRA!AG710</f>
        <v>-</v>
      </c>
      <c r="O708" s="1395"/>
      <c r="P708" s="1395"/>
      <c r="Q708" s="1397"/>
      <c r="R708" s="479" t="str">
        <f>OBRA!AH710</f>
        <v>-</v>
      </c>
      <c r="S708" s="591"/>
      <c r="T708" s="446" t="str">
        <f>OBRA!U710</f>
        <v>GHR CONSTRUCTOR, S.A. DE C.V.</v>
      </c>
      <c r="U708" s="447" t="str">
        <f>OBRA!V710</f>
        <v>C. DANIEL RODRIGUEZ VALENZUELA</v>
      </c>
      <c r="V708" s="1281"/>
      <c r="W708" s="20" t="str">
        <f>OBRA!L710</f>
        <v>C- OP 017/2023</v>
      </c>
      <c r="X708" s="1659"/>
      <c r="Y708" s="1659"/>
      <c r="Z708" s="448" t="str">
        <f>OBRA!K710</f>
        <v>CUENTA CORRIENTE</v>
      </c>
      <c r="AA708" s="1659"/>
      <c r="AB708" s="2" t="str">
        <f>OBRA!M710</f>
        <v>ARRENDAMIENTO</v>
      </c>
      <c r="AC708" s="3" t="str">
        <f>OBRA!N710</f>
        <v>RENTA DE UNA RETROEXCAVADORA CATERPILLAR 416E 4X4 DE 77HP, PARA SER UTITLIZADO PARA LA CONSTRUCCIÓN DE BASE PARA COLOCACIÓN DE LETRAS MONUMENTALES EN LAS TROJES, MUNICIPIO DE JOCOTEPEC, JALISCO</v>
      </c>
      <c r="AD708" s="4">
        <f>OBRA!P710</f>
        <v>696</v>
      </c>
      <c r="AE708" s="6">
        <f>OBRA!Q710</f>
        <v>45133</v>
      </c>
      <c r="AF708" s="5">
        <f>OBRA!R710</f>
        <v>45139</v>
      </c>
      <c r="AG708" s="428">
        <f>OBRA!S710</f>
        <v>45148</v>
      </c>
      <c r="AH708" s="1014"/>
      <c r="AI708" s="169"/>
      <c r="AJ708" s="239"/>
      <c r="AK708" s="239"/>
      <c r="AL708" s="715"/>
      <c r="AM708" s="573">
        <f>GRAL!B874</f>
        <v>0</v>
      </c>
      <c r="AN708" s="448"/>
      <c r="AO708" s="13"/>
    </row>
    <row r="709" spans="1:41" ht="27" hidden="1" thickTop="1">
      <c r="A709" s="166">
        <f>OBRA!I711</f>
        <v>2023</v>
      </c>
      <c r="B709" s="2036"/>
      <c r="C709" s="1612"/>
      <c r="D709" s="171"/>
      <c r="E709" s="1393"/>
      <c r="F709" s="1393"/>
      <c r="G709" s="1394"/>
      <c r="H709" s="1395" t="str">
        <f>OBRA!AD711</f>
        <v>-</v>
      </c>
      <c r="I709" s="1396"/>
      <c r="J709" s="1613" t="str">
        <f>OBRA!AE711</f>
        <v>-</v>
      </c>
      <c r="K709" s="1397"/>
      <c r="L709" s="1395" t="str">
        <f>OBRA!AF711</f>
        <v>-</v>
      </c>
      <c r="M709" s="1398"/>
      <c r="N709" s="1395" t="str">
        <f>OBRA!AG711</f>
        <v>-</v>
      </c>
      <c r="O709" s="1395"/>
      <c r="P709" s="1395"/>
      <c r="Q709" s="1397"/>
      <c r="R709" s="479" t="str">
        <f>OBRA!AH711</f>
        <v>-</v>
      </c>
      <c r="S709" s="591"/>
      <c r="T709" s="446">
        <f>OBRA!U711</f>
        <v>0</v>
      </c>
      <c r="U709" s="447">
        <f>OBRA!V711</f>
        <v>0</v>
      </c>
      <c r="V709" s="1281"/>
      <c r="W709" s="20" t="str">
        <f>OBRA!L711</f>
        <v>C- OP 018/2023</v>
      </c>
      <c r="X709" s="1659"/>
      <c r="Y709" s="1659"/>
      <c r="Z709" s="448" t="str">
        <f>OBRA!K711</f>
        <v>CUENTA CORRIENTE</v>
      </c>
      <c r="AA709" s="1659"/>
      <c r="AB709" s="2" t="str">
        <f>OBRA!M711</f>
        <v>ARRENDAMIENTO</v>
      </c>
      <c r="AC709" s="3" t="str">
        <f>OBRA!N711</f>
        <v>-</v>
      </c>
      <c r="AD709" s="4">
        <f>OBRA!P711</f>
        <v>0</v>
      </c>
      <c r="AE709" s="6">
        <f>OBRA!Q711</f>
        <v>0</v>
      </c>
      <c r="AF709" s="5">
        <f>OBRA!R711</f>
        <v>0</v>
      </c>
      <c r="AG709" s="428">
        <f>OBRA!S711</f>
        <v>0</v>
      </c>
      <c r="AH709" s="1014"/>
      <c r="AI709" s="169"/>
      <c r="AJ709" s="239"/>
      <c r="AK709" s="239"/>
      <c r="AL709" s="715"/>
      <c r="AM709" s="573">
        <f>GRAL!B875</f>
        <v>0</v>
      </c>
      <c r="AN709" s="448"/>
      <c r="AO709" s="13"/>
    </row>
    <row r="710" spans="1:41" ht="27" hidden="1" thickTop="1">
      <c r="A710" s="166">
        <f>OBRA!I712</f>
        <v>2023</v>
      </c>
      <c r="B710" s="2036"/>
      <c r="C710" s="1612"/>
      <c r="D710" s="171"/>
      <c r="E710" s="1393"/>
      <c r="F710" s="1393"/>
      <c r="G710" s="1394"/>
      <c r="H710" s="1395" t="str">
        <f>OBRA!AD712</f>
        <v>-</v>
      </c>
      <c r="I710" s="1396"/>
      <c r="J710" s="1613" t="str">
        <f>OBRA!AE712</f>
        <v>-</v>
      </c>
      <c r="K710" s="1397"/>
      <c r="L710" s="1395" t="str">
        <f>OBRA!AF712</f>
        <v>-</v>
      </c>
      <c r="M710" s="1398"/>
      <c r="N710" s="1395" t="str">
        <f>OBRA!AG712</f>
        <v>-</v>
      </c>
      <c r="O710" s="1395"/>
      <c r="P710" s="1395"/>
      <c r="Q710" s="1397"/>
      <c r="R710" s="479" t="str">
        <f>OBRA!AH712</f>
        <v>-</v>
      </c>
      <c r="S710" s="591"/>
      <c r="T710" s="446">
        <f>OBRA!U712</f>
        <v>0</v>
      </c>
      <c r="U710" s="447">
        <f>OBRA!V712</f>
        <v>0</v>
      </c>
      <c r="V710" s="1281"/>
      <c r="W710" s="20" t="str">
        <f>OBRA!L712</f>
        <v>C- OP 019/2023</v>
      </c>
      <c r="X710" s="1659"/>
      <c r="Y710" s="1659"/>
      <c r="Z710" s="448" t="str">
        <f>OBRA!K712</f>
        <v>CUENTA CORRIENTE</v>
      </c>
      <c r="AA710" s="1659"/>
      <c r="AB710" s="2" t="str">
        <f>OBRA!M712</f>
        <v>ARRENDAMIENTO</v>
      </c>
      <c r="AC710" s="3" t="str">
        <f>OBRA!N712</f>
        <v>-</v>
      </c>
      <c r="AD710" s="4">
        <f>OBRA!P712</f>
        <v>0</v>
      </c>
      <c r="AE710" s="6">
        <f>OBRA!Q712</f>
        <v>0</v>
      </c>
      <c r="AF710" s="5">
        <f>OBRA!R712</f>
        <v>0</v>
      </c>
      <c r="AG710" s="428">
        <f>OBRA!S712</f>
        <v>0</v>
      </c>
      <c r="AH710" s="1014"/>
      <c r="AI710" s="169"/>
      <c r="AJ710" s="239"/>
      <c r="AK710" s="239"/>
      <c r="AL710" s="715"/>
      <c r="AM710" s="573">
        <f>GRAL!B876</f>
        <v>0</v>
      </c>
      <c r="AN710" s="448"/>
      <c r="AO710" s="13"/>
    </row>
    <row r="711" spans="1:41" ht="27" hidden="1" thickTop="1">
      <c r="A711" s="166">
        <f>OBRA!I713</f>
        <v>2023</v>
      </c>
      <c r="B711" s="2036"/>
      <c r="C711" s="1612"/>
      <c r="D711" s="171"/>
      <c r="E711" s="1393"/>
      <c r="F711" s="1393"/>
      <c r="G711" s="1394"/>
      <c r="H711" s="1395" t="str">
        <f>OBRA!AD713</f>
        <v>-</v>
      </c>
      <c r="I711" s="1396"/>
      <c r="J711" s="1613" t="str">
        <f>OBRA!AE713</f>
        <v>-</v>
      </c>
      <c r="K711" s="1397"/>
      <c r="L711" s="1395" t="str">
        <f>OBRA!AF713</f>
        <v>-</v>
      </c>
      <c r="M711" s="1398"/>
      <c r="N711" s="1395" t="str">
        <f>OBRA!AG713</f>
        <v>-</v>
      </c>
      <c r="O711" s="1395"/>
      <c r="P711" s="1395"/>
      <c r="Q711" s="1397"/>
      <c r="R711" s="479" t="str">
        <f>OBRA!AH713</f>
        <v>-</v>
      </c>
      <c r="S711" s="591"/>
      <c r="T711" s="446">
        <f>OBRA!U713</f>
        <v>0</v>
      </c>
      <c r="U711" s="447">
        <f>OBRA!V713</f>
        <v>0</v>
      </c>
      <c r="V711" s="1281"/>
      <c r="W711" s="20" t="str">
        <f>OBRA!L713</f>
        <v>C- OP 020/2023</v>
      </c>
      <c r="X711" s="1659"/>
      <c r="Y711" s="1659"/>
      <c r="Z711" s="448" t="str">
        <f>OBRA!K713</f>
        <v>CUENTA CORRIENTE</v>
      </c>
      <c r="AA711" s="1659"/>
      <c r="AB711" s="2" t="str">
        <f>OBRA!M713</f>
        <v>ARRENDAMIENTO</v>
      </c>
      <c r="AC711" s="3" t="str">
        <f>OBRA!N713</f>
        <v>-</v>
      </c>
      <c r="AD711" s="4">
        <f>OBRA!P713</f>
        <v>0</v>
      </c>
      <c r="AE711" s="6">
        <f>OBRA!Q713</f>
        <v>0</v>
      </c>
      <c r="AF711" s="5">
        <f>OBRA!R713</f>
        <v>0</v>
      </c>
      <c r="AG711" s="428">
        <f>OBRA!S713</f>
        <v>0</v>
      </c>
      <c r="AH711" s="1014"/>
      <c r="AI711" s="169"/>
      <c r="AJ711" s="239"/>
      <c r="AK711" s="239"/>
      <c r="AL711" s="715"/>
      <c r="AM711" s="573">
        <f>GRAL!B877</f>
        <v>0</v>
      </c>
      <c r="AN711" s="448"/>
      <c r="AO711" s="13"/>
    </row>
    <row r="712" spans="1:41" ht="90.75" hidden="1" thickTop="1">
      <c r="A712" s="166">
        <f>OBRA!I714</f>
        <v>2023</v>
      </c>
      <c r="B712" s="2036"/>
      <c r="C712" s="1612"/>
      <c r="D712" s="171"/>
      <c r="E712" s="1393"/>
      <c r="F712" s="1393"/>
      <c r="G712" s="1394"/>
      <c r="H712" s="1395" t="str">
        <f>OBRA!AD714</f>
        <v>-</v>
      </c>
      <c r="I712" s="1396"/>
      <c r="J712" s="1613" t="str">
        <f>OBRA!AE714</f>
        <v>-</v>
      </c>
      <c r="K712" s="1397"/>
      <c r="L712" s="1395" t="str">
        <f>OBRA!AF714</f>
        <v>-</v>
      </c>
      <c r="M712" s="1398"/>
      <c r="N712" s="1395" t="str">
        <f>OBRA!AG714</f>
        <v>-</v>
      </c>
      <c r="O712" s="1395"/>
      <c r="P712" s="1395"/>
      <c r="Q712" s="1397"/>
      <c r="R712" s="479" t="str">
        <f>OBRA!AH714</f>
        <v>-</v>
      </c>
      <c r="S712" s="591"/>
      <c r="T712" s="446" t="str">
        <f>OBRA!U714</f>
        <v>-</v>
      </c>
      <c r="U712" s="447" t="str">
        <f>OBRA!V714</f>
        <v>C. DANIEL RODRIGUEZ VALENZUELA</v>
      </c>
      <c r="V712" s="1281"/>
      <c r="W712" s="20" t="str">
        <f>OBRA!L714</f>
        <v>DOP/AD/001/2023</v>
      </c>
      <c r="X712" s="1659"/>
      <c r="Y712" s="1659"/>
      <c r="Z712" s="448" t="str">
        <f>OBRA!K714</f>
        <v>CUENTA CORRIENTE</v>
      </c>
      <c r="AA712" s="1659"/>
      <c r="AB712" s="2" t="str">
        <f>OBRA!M714</f>
        <v>ADMINISTRACIÓN DIRECTA</v>
      </c>
      <c r="AC712" s="3" t="str">
        <f>OBRA!N714</f>
        <v>"CONSTRUCCIÓN DE REDES HIDROSANITARIAS EN CALLE FILÓSOFOS ENTRE CALLE JOSEFA ORTÍZ DE DOMINGUEZ E HIDALGO", EN LA CABECERA MUNICIPAL DE JOCOTEPEC, JALISCO</v>
      </c>
      <c r="AD712" s="4">
        <f>OBRA!P714</f>
        <v>307647.35999999999</v>
      </c>
      <c r="AE712" s="6">
        <f>OBRA!Q714</f>
        <v>44967</v>
      </c>
      <c r="AF712" s="5">
        <f>OBRA!R714</f>
        <v>44968</v>
      </c>
      <c r="AG712" s="428">
        <f>OBRA!S714</f>
        <v>44985</v>
      </c>
      <c r="AH712" s="1014"/>
      <c r="AI712" s="169"/>
      <c r="AJ712" s="239"/>
      <c r="AK712" s="239"/>
      <c r="AL712" s="715"/>
      <c r="AM712" s="573">
        <f>GRAL!B868</f>
        <v>0</v>
      </c>
      <c r="AN712" s="448"/>
      <c r="AO712" s="13"/>
    </row>
    <row r="713" spans="1:41" ht="75.75" hidden="1" thickTop="1">
      <c r="A713" s="166">
        <f>OBRA!I715</f>
        <v>2023</v>
      </c>
      <c r="B713" s="2036"/>
      <c r="C713" s="1612"/>
      <c r="D713" s="171"/>
      <c r="E713" s="1393"/>
      <c r="F713" s="1393"/>
      <c r="G713" s="1394"/>
      <c r="H713" s="1395" t="str">
        <f>OBRA!AD715</f>
        <v>-</v>
      </c>
      <c r="I713" s="1396"/>
      <c r="J713" s="1613" t="str">
        <f>OBRA!AE715</f>
        <v>-</v>
      </c>
      <c r="K713" s="1397"/>
      <c r="L713" s="1395" t="str">
        <f>OBRA!AF715</f>
        <v>-</v>
      </c>
      <c r="M713" s="1398"/>
      <c r="N713" s="1395" t="str">
        <f>OBRA!AG715</f>
        <v>-</v>
      </c>
      <c r="O713" s="1395"/>
      <c r="P713" s="1395"/>
      <c r="Q713" s="1397"/>
      <c r="R713" s="479" t="str">
        <f>OBRA!AH715</f>
        <v>-</v>
      </c>
      <c r="S713" s="591"/>
      <c r="T713" s="446" t="str">
        <f>OBRA!U715</f>
        <v>-</v>
      </c>
      <c r="U713" s="447" t="str">
        <f>OBRA!V715</f>
        <v>ING. LUIS RIGOBERTO OLMEDO NAVARRO</v>
      </c>
      <c r="V713" s="1281"/>
      <c r="W713" s="20" t="str">
        <f>OBRA!L715</f>
        <v>DOP/AD/002/2023</v>
      </c>
      <c r="X713" s="1659"/>
      <c r="Y713" s="1659"/>
      <c r="Z713" s="448" t="str">
        <f>OBRA!K715</f>
        <v>REGULARIZACIÓN DE VEHÍCULOS DE PROCEDENCIA EXTRANJERA, 2022</v>
      </c>
      <c r="AA713" s="1659"/>
      <c r="AB713" s="2" t="str">
        <f>OBRA!M715</f>
        <v>ADMINISTRACIÓN DIRECTA</v>
      </c>
      <c r="AC713" s="3" t="str">
        <f>OBRA!N715</f>
        <v>"BACHEO SUPERFICIAL AISLADO EN CALLE INDEPENDENCIA NORTE ENTRE C. MORELOS Y C. DEGOLLADO", EN LA CABECERA MUNICIPAL DE JOCOTEPEC, JALISCO.</v>
      </c>
      <c r="AD713" s="4">
        <f>OBRA!P715</f>
        <v>27472.5</v>
      </c>
      <c r="AE713" s="6">
        <f>OBRA!Q715</f>
        <v>45033</v>
      </c>
      <c r="AF713" s="5">
        <f>OBRA!R715</f>
        <v>45036</v>
      </c>
      <c r="AG713" s="428">
        <f>OBRA!S715</f>
        <v>45038</v>
      </c>
      <c r="AH713" s="1014"/>
      <c r="AI713" s="169"/>
      <c r="AJ713" s="239"/>
      <c r="AK713" s="239"/>
      <c r="AL713" s="715"/>
      <c r="AM713" s="573">
        <f>GRAL!B869</f>
        <v>0</v>
      </c>
      <c r="AN713" s="448"/>
      <c r="AO713" s="13"/>
    </row>
    <row r="714" spans="1:41" ht="30.75" hidden="1" thickTop="1">
      <c r="A714" s="166">
        <f>OBRA!I716</f>
        <v>2023</v>
      </c>
      <c r="B714" s="2036"/>
      <c r="C714" s="1612"/>
      <c r="D714" s="171"/>
      <c r="E714" s="1393"/>
      <c r="F714" s="1393"/>
      <c r="G714" s="1394"/>
      <c r="H714" s="1395" t="str">
        <f>OBRA!AD716</f>
        <v>-</v>
      </c>
      <c r="I714" s="1396"/>
      <c r="J714" s="1613" t="str">
        <f>OBRA!AE716</f>
        <v>-</v>
      </c>
      <c r="K714" s="1397"/>
      <c r="L714" s="1395" t="str">
        <f>OBRA!AF716</f>
        <v>-</v>
      </c>
      <c r="M714" s="1398"/>
      <c r="N714" s="1395" t="str">
        <f>OBRA!AG716</f>
        <v>-</v>
      </c>
      <c r="O714" s="1395"/>
      <c r="P714" s="1395"/>
      <c r="Q714" s="1397"/>
      <c r="R714" s="479" t="str">
        <f>OBRA!AH716</f>
        <v>-</v>
      </c>
      <c r="S714" s="591"/>
      <c r="T714" s="446" t="str">
        <f>OBRA!U716</f>
        <v>-</v>
      </c>
      <c r="U714" s="447">
        <f>OBRA!V716</f>
        <v>0</v>
      </c>
      <c r="V714" s="1281"/>
      <c r="W714" s="20" t="str">
        <f>OBRA!L716</f>
        <v>DOP/AD/003/2023</v>
      </c>
      <c r="X714" s="1659"/>
      <c r="Y714" s="1659"/>
      <c r="Z714" s="448">
        <f>OBRA!K716</f>
        <v>0</v>
      </c>
      <c r="AA714" s="1659"/>
      <c r="AB714" s="2" t="str">
        <f>OBRA!M716</f>
        <v>ADMINISTRACIÓN DIRECTA</v>
      </c>
      <c r="AC714" s="3" t="str">
        <f>OBRA!N716</f>
        <v>-</v>
      </c>
      <c r="AD714" s="4">
        <f>OBRA!P716</f>
        <v>0</v>
      </c>
      <c r="AE714" s="6">
        <f>OBRA!Q716</f>
        <v>0</v>
      </c>
      <c r="AF714" s="5">
        <f>OBRA!R716</f>
        <v>0</v>
      </c>
      <c r="AG714" s="428">
        <f>OBRA!S716</f>
        <v>0</v>
      </c>
      <c r="AH714" s="1014"/>
      <c r="AI714" s="169"/>
      <c r="AJ714" s="239"/>
      <c r="AK714" s="239"/>
      <c r="AL714" s="715"/>
      <c r="AM714" s="573">
        <f>GRAL!B870</f>
        <v>0</v>
      </c>
      <c r="AN714" s="448"/>
      <c r="AO714" s="13"/>
    </row>
    <row r="715" spans="1:41" ht="30.75" hidden="1" thickTop="1">
      <c r="A715" s="166">
        <f>OBRA!I717</f>
        <v>2023</v>
      </c>
      <c r="B715" s="2036"/>
      <c r="C715" s="1612"/>
      <c r="D715" s="171"/>
      <c r="E715" s="1393"/>
      <c r="F715" s="1393"/>
      <c r="G715" s="1394"/>
      <c r="H715" s="1395" t="str">
        <f>OBRA!AD717</f>
        <v>-</v>
      </c>
      <c r="I715" s="1396"/>
      <c r="J715" s="1613" t="str">
        <f>OBRA!AE717</f>
        <v>-</v>
      </c>
      <c r="K715" s="1397"/>
      <c r="L715" s="1395" t="str">
        <f>OBRA!AF717</f>
        <v>-</v>
      </c>
      <c r="M715" s="1398"/>
      <c r="N715" s="1395" t="str">
        <f>OBRA!AG717</f>
        <v>-</v>
      </c>
      <c r="O715" s="1395"/>
      <c r="P715" s="1395"/>
      <c r="Q715" s="1397"/>
      <c r="R715" s="479" t="str">
        <f>OBRA!AH717</f>
        <v>-</v>
      </c>
      <c r="S715" s="591"/>
      <c r="T715" s="446" t="str">
        <f>OBRA!U717</f>
        <v>-</v>
      </c>
      <c r="U715" s="447">
        <f>OBRA!V717</f>
        <v>0</v>
      </c>
      <c r="V715" s="1281"/>
      <c r="W715" s="20" t="str">
        <f>OBRA!L717</f>
        <v>DOP/AD/004/2023</v>
      </c>
      <c r="X715" s="1659"/>
      <c r="Y715" s="1659"/>
      <c r="Z715" s="448">
        <f>OBRA!K717</f>
        <v>0</v>
      </c>
      <c r="AA715" s="1659"/>
      <c r="AB715" s="2" t="str">
        <f>OBRA!M717</f>
        <v>ADMINISTRACIÓN DIRECTA</v>
      </c>
      <c r="AC715" s="3" t="str">
        <f>OBRA!N717</f>
        <v>-</v>
      </c>
      <c r="AD715" s="4">
        <f>OBRA!P717</f>
        <v>0</v>
      </c>
      <c r="AE715" s="6">
        <f>OBRA!Q717</f>
        <v>0</v>
      </c>
      <c r="AF715" s="5">
        <f>OBRA!R717</f>
        <v>0</v>
      </c>
      <c r="AG715" s="428">
        <f>OBRA!S717</f>
        <v>0</v>
      </c>
      <c r="AH715" s="1014"/>
      <c r="AI715" s="169"/>
      <c r="AJ715" s="239"/>
      <c r="AK715" s="239"/>
      <c r="AL715" s="715"/>
      <c r="AM715" s="573">
        <f>GRAL!B871</f>
        <v>0</v>
      </c>
      <c r="AN715" s="448"/>
      <c r="AO715" s="13"/>
    </row>
    <row r="716" spans="1:41" ht="105.75" hidden="1" thickTop="1">
      <c r="A716" s="166">
        <f>OBRA!I718</f>
        <v>2023</v>
      </c>
      <c r="B716" s="2036"/>
      <c r="C716" s="1612"/>
      <c r="D716" s="171"/>
      <c r="E716" s="1393"/>
      <c r="F716" s="1393"/>
      <c r="G716" s="1394"/>
      <c r="H716" s="1395" t="str">
        <f>OBRA!AD718</f>
        <v>-</v>
      </c>
      <c r="I716" s="1396"/>
      <c r="J716" s="1613" t="str">
        <f>OBRA!AE718</f>
        <v>-</v>
      </c>
      <c r="K716" s="1397"/>
      <c r="L716" s="1395" t="str">
        <f>OBRA!AF718</f>
        <v>-</v>
      </c>
      <c r="M716" s="1398"/>
      <c r="N716" s="1395" t="str">
        <f>OBRA!AG718</f>
        <v>-</v>
      </c>
      <c r="O716" s="1395"/>
      <c r="P716" s="1395"/>
      <c r="Q716" s="1397"/>
      <c r="R716" s="479" t="str">
        <f>OBRA!AH718</f>
        <v>-</v>
      </c>
      <c r="S716" s="591"/>
      <c r="T716" s="446" t="str">
        <f>OBRA!U718</f>
        <v>-</v>
      </c>
      <c r="U716" s="447" t="str">
        <f>OBRA!V718</f>
        <v>ING. LUIS RIGOBERTO OLMEDO NAVARRO</v>
      </c>
      <c r="V716" s="1281"/>
      <c r="W716" s="20" t="str">
        <f>OBRA!L718</f>
        <v>DOP/AD/005/2023</v>
      </c>
      <c r="X716" s="1659"/>
      <c r="Y716" s="1659"/>
      <c r="Z716" s="448" t="str">
        <f>OBRA!K718</f>
        <v>REGULARIZACIÓN DE VEHÍCULOS DE PROCEDENCIA EXTRANJERA, 2022</v>
      </c>
      <c r="AA716" s="1659"/>
      <c r="AB716" s="2" t="str">
        <f>OBRA!M718</f>
        <v>ADMINISTRACIÓN DIRECTA</v>
      </c>
      <c r="AC716" s="3" t="str">
        <f>OBRA!N718</f>
        <v>"BACHEO SUPERFICIAL AISLADO DE MEZCLA ASFÁLTICA EN LA CALLE MORELOS ENTRE CALLE NIÑOS HÉROES YCALLE ZARAGOZA EN EL BARRIO LA CALABAZA" DE LA CABECERA MUNICIPAL DE JOCOTEPEC, MUNICIPIO DE JOCOTEPEC, JALISCO.</v>
      </c>
      <c r="AD716" s="4">
        <f>OBRA!P718</f>
        <v>92407.5</v>
      </c>
      <c r="AE716" s="6">
        <f>OBRA!Q718</f>
        <v>45244</v>
      </c>
      <c r="AF716" s="5">
        <f>OBRA!R718</f>
        <v>45264</v>
      </c>
      <c r="AG716" s="428">
        <f>OBRA!S718</f>
        <v>45268</v>
      </c>
      <c r="AH716" s="1014"/>
      <c r="AI716" s="169"/>
      <c r="AJ716" s="239"/>
      <c r="AK716" s="239"/>
      <c r="AL716" s="715"/>
      <c r="AM716" s="573">
        <f>GRAL!B872</f>
        <v>0</v>
      </c>
      <c r="AN716" s="448"/>
      <c r="AO716" s="13"/>
    </row>
    <row r="717" spans="1:41" ht="27" hidden="1" thickTop="1">
      <c r="A717" s="166">
        <f>OBRA!I719</f>
        <v>2023</v>
      </c>
      <c r="B717" s="2036"/>
      <c r="C717" s="1612"/>
      <c r="D717" s="171"/>
      <c r="E717" s="1393"/>
      <c r="F717" s="1393"/>
      <c r="G717" s="1394"/>
      <c r="H717" s="1395" t="str">
        <f>OBRA!AD719</f>
        <v>-</v>
      </c>
      <c r="I717" s="1396"/>
      <c r="J717" s="1613" t="str">
        <f>OBRA!AE719</f>
        <v>-</v>
      </c>
      <c r="K717" s="1397"/>
      <c r="L717" s="1395" t="str">
        <f>OBRA!AF719</f>
        <v>-</v>
      </c>
      <c r="M717" s="1398"/>
      <c r="N717" s="1395" t="str">
        <f>OBRA!AG719</f>
        <v>-</v>
      </c>
      <c r="O717" s="1395"/>
      <c r="P717" s="1395"/>
      <c r="Q717" s="1397"/>
      <c r="R717" s="479" t="str">
        <f>OBRA!AH719</f>
        <v>-</v>
      </c>
      <c r="S717" s="591"/>
      <c r="T717" s="446" t="str">
        <f>OBRA!U719</f>
        <v>-</v>
      </c>
      <c r="U717" s="447">
        <f>OBRA!V719</f>
        <v>0</v>
      </c>
      <c r="V717" s="1281"/>
      <c r="W717" s="20" t="str">
        <f>OBRA!L719</f>
        <v>DOP/AD/006/2023</v>
      </c>
      <c r="X717" s="1659"/>
      <c r="Y717" s="1659"/>
      <c r="Z717" s="448">
        <f>OBRA!K719</f>
        <v>0</v>
      </c>
      <c r="AA717" s="1659"/>
      <c r="AB717" s="2" t="str">
        <f>OBRA!M719</f>
        <v>CANCELADA</v>
      </c>
      <c r="AC717" s="3" t="str">
        <f>OBRA!N719</f>
        <v>-</v>
      </c>
      <c r="AD717" s="4">
        <f>OBRA!P719</f>
        <v>0</v>
      </c>
      <c r="AE717" s="6">
        <f>OBRA!Q719</f>
        <v>0</v>
      </c>
      <c r="AF717" s="5">
        <f>OBRA!R719</f>
        <v>0</v>
      </c>
      <c r="AG717" s="428">
        <f>OBRA!S719</f>
        <v>0</v>
      </c>
      <c r="AH717" s="1014"/>
      <c r="AI717" s="169"/>
      <c r="AJ717" s="239"/>
      <c r="AK717" s="239"/>
      <c r="AL717" s="715"/>
      <c r="AM717" s="573">
        <f>GRAL!B873</f>
        <v>0</v>
      </c>
      <c r="AN717" s="448"/>
      <c r="AO717" s="13"/>
    </row>
    <row r="718" spans="1:41" ht="27" hidden="1" thickTop="1">
      <c r="A718" s="166">
        <f>OBRA!I720</f>
        <v>2023</v>
      </c>
      <c r="B718" s="2036"/>
      <c r="C718" s="1612"/>
      <c r="D718" s="171"/>
      <c r="E718" s="1393"/>
      <c r="F718" s="1393"/>
      <c r="G718" s="1394"/>
      <c r="H718" s="1395" t="str">
        <f>OBRA!AD720</f>
        <v>-</v>
      </c>
      <c r="I718" s="1396"/>
      <c r="J718" s="1613" t="str">
        <f>OBRA!AE720</f>
        <v>-</v>
      </c>
      <c r="K718" s="1397"/>
      <c r="L718" s="1395" t="str">
        <f>OBRA!AF720</f>
        <v>-</v>
      </c>
      <c r="M718" s="1398"/>
      <c r="N718" s="1395" t="str">
        <f>OBRA!AG720</f>
        <v>-</v>
      </c>
      <c r="O718" s="1395"/>
      <c r="P718" s="1395"/>
      <c r="Q718" s="1397"/>
      <c r="R718" s="479" t="str">
        <f>OBRA!AH720</f>
        <v>-</v>
      </c>
      <c r="S718" s="591"/>
      <c r="T718" s="446" t="str">
        <f>OBRA!U720</f>
        <v>-</v>
      </c>
      <c r="U718" s="447">
        <f>OBRA!V720</f>
        <v>0</v>
      </c>
      <c r="V718" s="1281"/>
      <c r="W718" s="20" t="str">
        <f>OBRA!L720</f>
        <v>DOP/AD/007/2023</v>
      </c>
      <c r="X718" s="1659"/>
      <c r="Y718" s="1659"/>
      <c r="Z718" s="448">
        <f>OBRA!K720</f>
        <v>0</v>
      </c>
      <c r="AA718" s="1659"/>
      <c r="AB718" s="2" t="str">
        <f>OBRA!M720</f>
        <v>CANCELADA</v>
      </c>
      <c r="AC718" s="3" t="str">
        <f>OBRA!N720</f>
        <v>-</v>
      </c>
      <c r="AD718" s="4">
        <f>OBRA!P720</f>
        <v>0</v>
      </c>
      <c r="AE718" s="6">
        <f>OBRA!Q720</f>
        <v>0</v>
      </c>
      <c r="AF718" s="5">
        <f>OBRA!R720</f>
        <v>0</v>
      </c>
      <c r="AG718" s="428">
        <f>OBRA!S720</f>
        <v>0</v>
      </c>
      <c r="AH718" s="1014"/>
      <c r="AI718" s="169"/>
      <c r="AJ718" s="239"/>
      <c r="AK718" s="239"/>
      <c r="AL718" s="715"/>
      <c r="AM718" s="573">
        <f>GRAL!B874</f>
        <v>0</v>
      </c>
      <c r="AN718" s="448"/>
      <c r="AO718" s="13"/>
    </row>
    <row r="719" spans="1:41" ht="27" hidden="1" thickTop="1">
      <c r="A719" s="166">
        <f>OBRA!I721</f>
        <v>2023</v>
      </c>
      <c r="B719" s="2036"/>
      <c r="C719" s="1612"/>
      <c r="D719" s="171"/>
      <c r="E719" s="1393"/>
      <c r="F719" s="1393"/>
      <c r="G719" s="1394"/>
      <c r="H719" s="1395" t="str">
        <f>OBRA!AD721</f>
        <v>-</v>
      </c>
      <c r="I719" s="1396"/>
      <c r="J719" s="1613" t="str">
        <f>OBRA!AE721</f>
        <v>-</v>
      </c>
      <c r="K719" s="1397"/>
      <c r="L719" s="1395" t="str">
        <f>OBRA!AF721</f>
        <v>-</v>
      </c>
      <c r="M719" s="1398"/>
      <c r="N719" s="1395" t="str">
        <f>OBRA!AG721</f>
        <v>-</v>
      </c>
      <c r="O719" s="1395"/>
      <c r="P719" s="1395"/>
      <c r="Q719" s="1397"/>
      <c r="R719" s="479" t="str">
        <f>OBRA!AH721</f>
        <v>-</v>
      </c>
      <c r="S719" s="591"/>
      <c r="T719" s="446" t="str">
        <f>OBRA!U721</f>
        <v>-</v>
      </c>
      <c r="U719" s="447">
        <f>OBRA!V721</f>
        <v>0</v>
      </c>
      <c r="V719" s="1281"/>
      <c r="W719" s="20" t="str">
        <f>OBRA!L721</f>
        <v>DOP/AD/008/2023</v>
      </c>
      <c r="X719" s="1659"/>
      <c r="Y719" s="1659"/>
      <c r="Z719" s="448">
        <f>OBRA!K721</f>
        <v>0</v>
      </c>
      <c r="AA719" s="1659"/>
      <c r="AB719" s="2" t="str">
        <f>OBRA!M721</f>
        <v>CANCELADA</v>
      </c>
      <c r="AC719" s="3" t="str">
        <f>OBRA!N721</f>
        <v>-</v>
      </c>
      <c r="AD719" s="4">
        <f>OBRA!P721</f>
        <v>0</v>
      </c>
      <c r="AE719" s="6">
        <f>OBRA!Q721</f>
        <v>0</v>
      </c>
      <c r="AF719" s="5">
        <f>OBRA!R721</f>
        <v>0</v>
      </c>
      <c r="AG719" s="428">
        <f>OBRA!S721</f>
        <v>0</v>
      </c>
      <c r="AH719" s="1014"/>
      <c r="AI719" s="169"/>
      <c r="AJ719" s="239"/>
      <c r="AK719" s="239"/>
      <c r="AL719" s="715"/>
      <c r="AM719" s="573">
        <f>GRAL!B875</f>
        <v>0</v>
      </c>
      <c r="AN719" s="448"/>
      <c r="AO719" s="13"/>
    </row>
    <row r="720" spans="1:41" ht="27" hidden="1" thickTop="1">
      <c r="A720" s="166">
        <f>OBRA!I722</f>
        <v>2023</v>
      </c>
      <c r="B720" s="2036"/>
      <c r="C720" s="1612"/>
      <c r="D720" s="171"/>
      <c r="E720" s="1393"/>
      <c r="F720" s="1393"/>
      <c r="G720" s="1394"/>
      <c r="H720" s="1395" t="str">
        <f>OBRA!AD722</f>
        <v>-</v>
      </c>
      <c r="I720" s="1396"/>
      <c r="J720" s="1613" t="str">
        <f>OBRA!AE722</f>
        <v>-</v>
      </c>
      <c r="K720" s="1397"/>
      <c r="L720" s="1395" t="str">
        <f>OBRA!AF722</f>
        <v>-</v>
      </c>
      <c r="M720" s="1398"/>
      <c r="N720" s="1395" t="str">
        <f>OBRA!AG722</f>
        <v>-</v>
      </c>
      <c r="O720" s="1395"/>
      <c r="P720" s="1395"/>
      <c r="Q720" s="1397"/>
      <c r="R720" s="479" t="str">
        <f>OBRA!AH722</f>
        <v>-</v>
      </c>
      <c r="S720" s="591"/>
      <c r="T720" s="446" t="str">
        <f>OBRA!U722</f>
        <v>-</v>
      </c>
      <c r="U720" s="447">
        <f>OBRA!V722</f>
        <v>0</v>
      </c>
      <c r="V720" s="1281"/>
      <c r="W720" s="20" t="str">
        <f>OBRA!L722</f>
        <v>DOP/AD/009/2023</v>
      </c>
      <c r="X720" s="1659"/>
      <c r="Y720" s="1659"/>
      <c r="Z720" s="448">
        <f>OBRA!K722</f>
        <v>0</v>
      </c>
      <c r="AA720" s="1659"/>
      <c r="AB720" s="2" t="str">
        <f>OBRA!M722</f>
        <v>CANCELADA</v>
      </c>
      <c r="AC720" s="3" t="str">
        <f>OBRA!N722</f>
        <v>-</v>
      </c>
      <c r="AD720" s="4">
        <f>OBRA!P722</f>
        <v>0</v>
      </c>
      <c r="AE720" s="6">
        <f>OBRA!Q722</f>
        <v>0</v>
      </c>
      <c r="AF720" s="5">
        <f>OBRA!R722</f>
        <v>0</v>
      </c>
      <c r="AG720" s="428">
        <f>OBRA!S722</f>
        <v>0</v>
      </c>
      <c r="AH720" s="1014"/>
      <c r="AI720" s="169"/>
      <c r="AJ720" s="239"/>
      <c r="AK720" s="239"/>
      <c r="AL720" s="715"/>
      <c r="AM720" s="573">
        <f>GRAL!B876</f>
        <v>0</v>
      </c>
      <c r="AN720" s="448"/>
      <c r="AO720" s="13"/>
    </row>
    <row r="721" spans="1:41" ht="27" hidden="1" thickTop="1">
      <c r="A721" s="166">
        <f>OBRA!I723</f>
        <v>2023</v>
      </c>
      <c r="B721" s="2036"/>
      <c r="C721" s="1612"/>
      <c r="D721" s="171"/>
      <c r="E721" s="1393"/>
      <c r="F721" s="1393"/>
      <c r="G721" s="1394"/>
      <c r="H721" s="1395" t="str">
        <f>OBRA!AD723</f>
        <v>-</v>
      </c>
      <c r="I721" s="1396"/>
      <c r="J721" s="1613" t="str">
        <f>OBRA!AE723</f>
        <v>-</v>
      </c>
      <c r="K721" s="1397"/>
      <c r="L721" s="1395" t="str">
        <f>OBRA!AF723</f>
        <v>-</v>
      </c>
      <c r="M721" s="1398"/>
      <c r="N721" s="1395" t="str">
        <f>OBRA!AG723</f>
        <v>-</v>
      </c>
      <c r="O721" s="1395"/>
      <c r="P721" s="1395"/>
      <c r="Q721" s="1397"/>
      <c r="R721" s="479" t="str">
        <f>OBRA!AH723</f>
        <v>-</v>
      </c>
      <c r="S721" s="591"/>
      <c r="T721" s="446" t="str">
        <f>OBRA!U723</f>
        <v>-</v>
      </c>
      <c r="U721" s="447">
        <f>OBRA!V723</f>
        <v>0</v>
      </c>
      <c r="V721" s="1281"/>
      <c r="W721" s="20" t="str">
        <f>OBRA!L723</f>
        <v>DOP/AD/010/2023</v>
      </c>
      <c r="X721" s="1659"/>
      <c r="Y721" s="1659"/>
      <c r="Z721" s="448">
        <f>OBRA!K723</f>
        <v>0</v>
      </c>
      <c r="AA721" s="1659"/>
      <c r="AB721" s="2" t="str">
        <f>OBRA!M723</f>
        <v>CANCELADA</v>
      </c>
      <c r="AC721" s="3" t="str">
        <f>OBRA!N723</f>
        <v>-</v>
      </c>
      <c r="AD721" s="4">
        <f>OBRA!P723</f>
        <v>0</v>
      </c>
      <c r="AE721" s="6">
        <f>OBRA!Q723</f>
        <v>0</v>
      </c>
      <c r="AF721" s="5">
        <f>OBRA!R723</f>
        <v>0</v>
      </c>
      <c r="AG721" s="428">
        <f>OBRA!S723</f>
        <v>0</v>
      </c>
      <c r="AH721" s="1014"/>
      <c r="AI721" s="169"/>
      <c r="AJ721" s="239"/>
      <c r="AK721" s="239"/>
      <c r="AL721" s="715"/>
      <c r="AM721" s="573">
        <f>GRAL!B877</f>
        <v>0</v>
      </c>
      <c r="AN721" s="448"/>
      <c r="AO721" s="13"/>
    </row>
    <row r="722" spans="1:41" ht="120.75" hidden="1" thickTop="1">
      <c r="A722" s="166">
        <f>OBRA!I724</f>
        <v>2023</v>
      </c>
      <c r="B722" s="2036"/>
      <c r="C722" s="1612"/>
      <c r="D722" s="171"/>
      <c r="E722" s="1393"/>
      <c r="F722" s="1393"/>
      <c r="G722" s="1394"/>
      <c r="H722" s="1395" t="str">
        <f>OBRA!AD724</f>
        <v>-</v>
      </c>
      <c r="I722" s="1396"/>
      <c r="J722" s="1613" t="str">
        <f>OBRA!AE724</f>
        <v>-</v>
      </c>
      <c r="K722" s="1397"/>
      <c r="L722" s="1395" t="str">
        <f>OBRA!AF724</f>
        <v>-</v>
      </c>
      <c r="M722" s="1398"/>
      <c r="N722" s="1395" t="str">
        <f>OBRA!AG724</f>
        <v>-</v>
      </c>
      <c r="O722" s="1395"/>
      <c r="P722" s="1395"/>
      <c r="Q722" s="1397"/>
      <c r="R722" s="479" t="str">
        <f>OBRA!AH724</f>
        <v>-</v>
      </c>
      <c r="S722" s="591"/>
      <c r="T722" s="446" t="str">
        <f>OBRA!U724</f>
        <v>EDIFICACIONES Y TERRACERIAS CH, S.A. DE C.V.</v>
      </c>
      <c r="U722" s="447" t="str">
        <f>OBRA!V724</f>
        <v>C. DANIEL RODRIGUEZ VALENZUELA</v>
      </c>
      <c r="V722" s="1281"/>
      <c r="W722" s="20" t="str">
        <f>OBRA!L724</f>
        <v>GMJ 001C OP/2023</v>
      </c>
      <c r="X722" s="1659"/>
      <c r="Y722" s="1659"/>
      <c r="Z722" s="448" t="str">
        <f>OBRA!K724</f>
        <v>RAMO 33</v>
      </c>
      <c r="AA722" s="1659"/>
      <c r="AB722" s="2" t="str">
        <f>OBRA!M724</f>
        <v>ADJUDICACIÓN DIRECTA</v>
      </c>
      <c r="AC722" s="3" t="str">
        <f>OBRA!N724</f>
        <v>"CONSTRUCCIÓN DE LÍNEA DE DRENAJE SANITARIO, LÍNEA DE AGUA POTABLE, HUELLA DE CONCRETO Y EMPEDRADO AHOGADO EN CONCRETO EN LA CALLE JOSEFA ORTIZ DE DOMINGUEZ DE CALLE ALDAMA PONIENTE A CALLE FILÓSOFOS", EN LA CABECERA MUNICIPAL DE JOCOTEPEC, JALISCO.</v>
      </c>
      <c r="AD722" s="4">
        <f>OBRA!P724</f>
        <v>1211066.4099999999</v>
      </c>
      <c r="AE722" s="6">
        <f>OBRA!Q724</f>
        <v>44974</v>
      </c>
      <c r="AF722" s="5">
        <f>OBRA!R724</f>
        <v>44977</v>
      </c>
      <c r="AG722" s="428">
        <f>OBRA!S724</f>
        <v>45021</v>
      </c>
      <c r="AH722" s="1014"/>
      <c r="AI722" s="169"/>
      <c r="AJ722" s="239"/>
      <c r="AK722" s="239"/>
      <c r="AL722" s="715"/>
      <c r="AM722" s="573">
        <f>GRAL!B878</f>
        <v>0</v>
      </c>
      <c r="AN722" s="448"/>
      <c r="AO722" s="13"/>
    </row>
    <row r="723" spans="1:41" ht="105.75" hidden="1" thickTop="1">
      <c r="A723" s="166">
        <f>OBRA!I725</f>
        <v>2023</v>
      </c>
      <c r="B723" s="2036"/>
      <c r="C723" s="1612"/>
      <c r="D723" s="171"/>
      <c r="E723" s="1393"/>
      <c r="F723" s="1393"/>
      <c r="G723" s="1394"/>
      <c r="H723" s="1395" t="str">
        <f>OBRA!AD725</f>
        <v>-</v>
      </c>
      <c r="I723" s="1396"/>
      <c r="J723" s="1613" t="str">
        <f>OBRA!AE725</f>
        <v>-</v>
      </c>
      <c r="K723" s="1397"/>
      <c r="L723" s="1395" t="str">
        <f>OBRA!AF725</f>
        <v>-</v>
      </c>
      <c r="M723" s="1398"/>
      <c r="N723" s="1395" t="str">
        <f>OBRA!AG725</f>
        <v>-</v>
      </c>
      <c r="O723" s="1395"/>
      <c r="P723" s="1395"/>
      <c r="Q723" s="1397"/>
      <c r="R723" s="479" t="str">
        <f>OBRA!AH725</f>
        <v>-</v>
      </c>
      <c r="S723" s="591"/>
      <c r="T723" s="446" t="str">
        <f>OBRA!U725</f>
        <v>ING. SERGIO CABRERA</v>
      </c>
      <c r="U723" s="447" t="str">
        <f>OBRA!V725</f>
        <v>C. DANIEL RODRIGUEZ VALENZUELA</v>
      </c>
      <c r="V723" s="1281"/>
      <c r="W723" s="20" t="str">
        <f>OBRA!L725</f>
        <v>GMJ 002C OP/2023</v>
      </c>
      <c r="X723" s="1659"/>
      <c r="Y723" s="1659"/>
      <c r="Z723" s="448" t="str">
        <f>OBRA!K725</f>
        <v>RAMO 33</v>
      </c>
      <c r="AA723" s="1659"/>
      <c r="AB723" s="2" t="str">
        <f>OBRA!M725</f>
        <v>ADJUDICACIÓN DIRECTA</v>
      </c>
      <c r="AC723" s="3" t="str">
        <f>OBRA!N725</f>
        <v>"CONSTRUCCIÓN DE HUELLAS DE CONCRETO Y EMPEDRADO AHOGADO EN CEMENTO EN LA CALLE JOSEFA ORTIZ DE DOMINGUEZ DE CALLE ALDAMA PONIENTE A CALLE FILÓSOFOS", EN LA CABECERA MUNICIPAL DE JOCOTEPEC, JALISCO.</v>
      </c>
      <c r="AD723" s="4">
        <f>OBRA!P725</f>
        <v>1810170.95</v>
      </c>
      <c r="AE723" s="6">
        <f>OBRA!Q725</f>
        <v>45022</v>
      </c>
      <c r="AF723" s="5">
        <f>OBRA!R725</f>
        <v>45024</v>
      </c>
      <c r="AG723" s="428">
        <f>OBRA!S725</f>
        <v>45061</v>
      </c>
      <c r="AH723" s="1014"/>
      <c r="AI723" s="169"/>
      <c r="AJ723" s="239"/>
      <c r="AK723" s="239"/>
      <c r="AL723" s="715"/>
      <c r="AM723" s="573">
        <f>GRAL!B879</f>
        <v>0</v>
      </c>
      <c r="AN723" s="448"/>
      <c r="AO723" s="13"/>
    </row>
    <row r="724" spans="1:41" ht="174" customHeight="1" thickTop="1">
      <c r="A724" s="1868">
        <f>OBRA!I726</f>
        <v>2023</v>
      </c>
      <c r="B724" s="2087" t="str">
        <f>W724</f>
        <v>CSS-OP-CC-003/2023</v>
      </c>
      <c r="C724" s="1497" t="s">
        <v>5595</v>
      </c>
      <c r="D724" s="1927" t="s">
        <v>5992</v>
      </c>
      <c r="E724" s="2077" t="s">
        <v>5993</v>
      </c>
      <c r="F724" s="2077" t="s">
        <v>5990</v>
      </c>
      <c r="G724" s="553" t="s">
        <v>5595</v>
      </c>
      <c r="H724" s="643">
        <f>OBRA!AD726</f>
        <v>44967</v>
      </c>
      <c r="I724" s="552" t="s">
        <v>5595</v>
      </c>
      <c r="J724" s="644">
        <f>OBRA!AE726</f>
        <v>44970</v>
      </c>
      <c r="K724" s="580" t="s">
        <v>5595</v>
      </c>
      <c r="L724" s="643">
        <f>OBRA!AF726</f>
        <v>44970</v>
      </c>
      <c r="M724" s="603" t="s">
        <v>5595</v>
      </c>
      <c r="N724" s="643">
        <f>OBRA!AG726</f>
        <v>44977</v>
      </c>
      <c r="O724" s="176" t="s">
        <v>4644</v>
      </c>
      <c r="P724" s="2085">
        <v>0.41666666666666669</v>
      </c>
      <c r="Q724" s="580" t="s">
        <v>5595</v>
      </c>
      <c r="R724" s="642">
        <f>OBRA!AH726</f>
        <v>44967</v>
      </c>
      <c r="S724" s="1574" t="s">
        <v>5596</v>
      </c>
      <c r="T724" s="652" t="str">
        <f>OBRA!U726</f>
        <v>TERRACERÍAS Y PAVIMENTOS DE LA RIBERA, S.A. DE C.V.</v>
      </c>
      <c r="U724" s="718" t="str">
        <f>OBRA!V726</f>
        <v>C. DANIEL RODRIGUEZ VALENZUELA</v>
      </c>
      <c r="V724" s="650"/>
      <c r="W724" s="180" t="str">
        <f>OBRA!L726</f>
        <v>CSS-OP-CC-003/2023</v>
      </c>
      <c r="X724" s="1567" t="s">
        <v>5592</v>
      </c>
      <c r="Y724" s="329" t="s">
        <v>5462</v>
      </c>
      <c r="Z724" s="633" t="str">
        <f>OBRA!K726</f>
        <v>CUENTA CORRIENTE</v>
      </c>
      <c r="AA724" s="329" t="s">
        <v>2354</v>
      </c>
      <c r="AB724" s="202" t="str">
        <f>OBRA!M726</f>
        <v>CONCURSO SIMPLIFICADO SUMARIO</v>
      </c>
      <c r="AC724" s="328" t="str">
        <f>OBRA!N726</f>
        <v>“CONSTRUCCIÓN DE LINEA DE DRENAJE, LINEA DE AGUA POTABLE, HUELLA DE CONCRETO Y EMPEDRADO AHOGADO EN CONCRETO EN LA CALLE JOSEFA ORTIZ DE DOMINGUEZ DE CALLE FILÓSOFOS HASTA EL LIBRAMIENTO”, EN LA CABECERA MUNICIPAL DE JOCOTEPEC, JALISCO.</v>
      </c>
      <c r="AD724" s="85">
        <f>OBRA!P726</f>
        <v>4378573.75</v>
      </c>
      <c r="AE724" s="69">
        <f>OBRA!Q726</f>
        <v>44981</v>
      </c>
      <c r="AF724" s="255">
        <f>OBRA!R726</f>
        <v>44987</v>
      </c>
      <c r="AG724" s="245">
        <f>OBRA!S726</f>
        <v>45048</v>
      </c>
      <c r="AH724" s="1897" t="s">
        <v>4498</v>
      </c>
      <c r="AI724" s="329" t="s">
        <v>1177</v>
      </c>
      <c r="AJ724" s="545" t="s">
        <v>5595</v>
      </c>
      <c r="AK724" s="545" t="s">
        <v>5595</v>
      </c>
      <c r="AL724" s="806" t="s">
        <v>5595</v>
      </c>
      <c r="AM724" s="282" t="str">
        <f>GRAL!B728</f>
        <v>2021-2024</v>
      </c>
      <c r="AN724" s="329" t="s">
        <v>551</v>
      </c>
      <c r="AO724" s="13"/>
    </row>
    <row r="725" spans="1:41" ht="105" hidden="1">
      <c r="A725" s="166">
        <f>OBRA!I727</f>
        <v>2023</v>
      </c>
      <c r="B725" s="2036"/>
      <c r="C725" s="1612"/>
      <c r="D725" s="171"/>
      <c r="E725" s="1393"/>
      <c r="F725" s="1393"/>
      <c r="G725" s="1394"/>
      <c r="H725" s="1395" t="str">
        <f>OBRA!AD727</f>
        <v>-</v>
      </c>
      <c r="I725" s="1396"/>
      <c r="J725" s="1613" t="str">
        <f>OBRA!AE727</f>
        <v>-</v>
      </c>
      <c r="K725" s="1397"/>
      <c r="L725" s="1395" t="str">
        <f>OBRA!AF727</f>
        <v>-</v>
      </c>
      <c r="M725" s="1398"/>
      <c r="N725" s="1395" t="str">
        <f>OBRA!AG727</f>
        <v>-</v>
      </c>
      <c r="O725" s="1395"/>
      <c r="P725" s="1395"/>
      <c r="Q725" s="1397"/>
      <c r="R725" s="479" t="str">
        <f>OBRA!AH727</f>
        <v>-</v>
      </c>
      <c r="S725" s="591"/>
      <c r="T725" s="446" t="str">
        <f>OBRA!U727</f>
        <v>URBANIZADORA Y PAVIMENTADORA MONLE S.A. DE C.V.</v>
      </c>
      <c r="U725" s="447" t="str">
        <f>OBRA!V727</f>
        <v>ING. J. GUADALUPE IBARRA RAMIREZ</v>
      </c>
      <c r="V725" s="1281"/>
      <c r="W725" s="20" t="str">
        <f>OBRA!L727</f>
        <v>GMJ 004C OP/2023</v>
      </c>
      <c r="X725" s="1659"/>
      <c r="Y725" s="1659"/>
      <c r="Z725" s="448" t="str">
        <f>OBRA!K727</f>
        <v>RAMO 33</v>
      </c>
      <c r="AA725" s="1659"/>
      <c r="AB725" s="2" t="str">
        <f>OBRA!M727</f>
        <v>ADJUDICACIÓN DIRECTA</v>
      </c>
      <c r="AC725" s="3" t="str">
        <f>OBRA!N727</f>
        <v>"COMPLEMENTO DE OBRA: EQUIPAMIENTO, ELECTRIFICACIÓN, TREN DE DESCARGA, CASETA DE CLORACIÓN, CERCADO PERIMETRAL Y PUESTA EN MARCHA DEL POZO DE AGUA", EN LA LOCALIDAD DE CHANTEPEC DEL MUNICIPIO DE JOCOTEPEC, JALISCO.</v>
      </c>
      <c r="AD725" s="4">
        <f>OBRA!P727</f>
        <v>1196296.56</v>
      </c>
      <c r="AE725" s="6">
        <f>OBRA!Q727</f>
        <v>45036</v>
      </c>
      <c r="AF725" s="5">
        <f>OBRA!R727</f>
        <v>45048</v>
      </c>
      <c r="AG725" s="428">
        <f>OBRA!S727</f>
        <v>45079</v>
      </c>
      <c r="AH725" s="1014"/>
      <c r="AI725" s="169"/>
      <c r="AJ725" s="239"/>
      <c r="AK725" s="239"/>
      <c r="AL725" s="715"/>
      <c r="AM725" s="573">
        <f>GRAL!B881</f>
        <v>0</v>
      </c>
      <c r="AN725" s="448"/>
      <c r="AO725" s="13"/>
    </row>
    <row r="726" spans="1:41" ht="105" hidden="1">
      <c r="A726" s="166">
        <f>OBRA!I728</f>
        <v>2023</v>
      </c>
      <c r="B726" s="2036"/>
      <c r="C726" s="1612"/>
      <c r="D726" s="171"/>
      <c r="E726" s="1393"/>
      <c r="F726" s="1393"/>
      <c r="G726" s="1394"/>
      <c r="H726" s="1395" t="str">
        <f>OBRA!AD728</f>
        <v>-</v>
      </c>
      <c r="I726" s="1396"/>
      <c r="J726" s="1613" t="str">
        <f>OBRA!AE728</f>
        <v>-</v>
      </c>
      <c r="K726" s="1397"/>
      <c r="L726" s="1395" t="str">
        <f>OBRA!AF728</f>
        <v>-</v>
      </c>
      <c r="M726" s="1398"/>
      <c r="N726" s="1395" t="str">
        <f>OBRA!AG728</f>
        <v>-</v>
      </c>
      <c r="O726" s="1395"/>
      <c r="P726" s="1395"/>
      <c r="Q726" s="1397"/>
      <c r="R726" s="479" t="str">
        <f>OBRA!AH728</f>
        <v>-</v>
      </c>
      <c r="S726" s="591"/>
      <c r="T726" s="446" t="str">
        <f>OBRA!U728</f>
        <v>CONSTRUCTORA ELÉCTRICA DEL LAGO S.A. DE C.V.</v>
      </c>
      <c r="U726" s="447" t="str">
        <f>OBRA!V728</f>
        <v>ING. J. GUADALUPE IBARRA RAMIREZ</v>
      </c>
      <c r="V726" s="1281"/>
      <c r="W726" s="20" t="str">
        <f>OBRA!L728</f>
        <v>GMJ 005C OP/2023</v>
      </c>
      <c r="X726" s="1659"/>
      <c r="Y726" s="1659"/>
      <c r="Z726" s="448" t="str">
        <f>OBRA!K728</f>
        <v>RAMO 33</v>
      </c>
      <c r="AA726" s="1659"/>
      <c r="AB726" s="2" t="str">
        <f>OBRA!M728</f>
        <v>ADJUDICACIÓN DIRECTA</v>
      </c>
      <c r="AC726" s="3" t="str">
        <f>OBRA!N728</f>
        <v>"COMPLEMENTO DE OBRA: EQUIPAMIENTO, ELECTRIFICACIÓN, TREN DE DESCARGA, CASETA DE CLORACIÓN, CERCADO PERIMETRAL Y PUESTA EN MARCHA DEL POZO DE AGUA", EN LA LOCALIDAD DE CHANTEPEC DEL MUNICIPIO DE JOCOTEPEC, JALISCO.</v>
      </c>
      <c r="AD726" s="4">
        <f>OBRA!P728</f>
        <v>544139.78</v>
      </c>
      <c r="AE726" s="6">
        <f>OBRA!Q728</f>
        <v>45044</v>
      </c>
      <c r="AF726" s="5">
        <f>OBRA!R728</f>
        <v>45054</v>
      </c>
      <c r="AG726" s="428">
        <f>OBRA!S728</f>
        <v>45086</v>
      </c>
      <c r="AH726" s="1014"/>
      <c r="AI726" s="169"/>
      <c r="AJ726" s="239"/>
      <c r="AK726" s="239"/>
      <c r="AL726" s="715"/>
      <c r="AM726" s="573">
        <f>GRAL!B882</f>
        <v>0</v>
      </c>
      <c r="AN726" s="448"/>
      <c r="AO726" s="13"/>
    </row>
    <row r="727" spans="1:41" ht="120" hidden="1">
      <c r="A727" s="166">
        <f>OBRA!I729</f>
        <v>2023</v>
      </c>
      <c r="B727" s="2036"/>
      <c r="C727" s="1612"/>
      <c r="D727" s="171"/>
      <c r="E727" s="1393"/>
      <c r="F727" s="1393"/>
      <c r="G727" s="1394"/>
      <c r="H727" s="1395" t="str">
        <f>OBRA!AD729</f>
        <v>-</v>
      </c>
      <c r="I727" s="1396"/>
      <c r="J727" s="1613" t="str">
        <f>OBRA!AE729</f>
        <v>-</v>
      </c>
      <c r="K727" s="1397"/>
      <c r="L727" s="1395" t="str">
        <f>OBRA!AF729</f>
        <v>-</v>
      </c>
      <c r="M727" s="1398"/>
      <c r="N727" s="1395" t="str">
        <f>OBRA!AG729</f>
        <v>-</v>
      </c>
      <c r="O727" s="1395"/>
      <c r="P727" s="1395"/>
      <c r="Q727" s="1397"/>
      <c r="R727" s="479" t="str">
        <f>OBRA!AH729</f>
        <v>-</v>
      </c>
      <c r="S727" s="591"/>
      <c r="T727" s="446" t="str">
        <f>OBRA!U729</f>
        <v>ESTRUCTURAS PLANEADAS DE OCCIDENTE, S.A. DE C.V.</v>
      </c>
      <c r="U727" s="447" t="str">
        <f>OBRA!V729</f>
        <v>ARQ. JAIME CONDE GOMEZ</v>
      </c>
      <c r="V727" s="1281"/>
      <c r="W727" s="20" t="str">
        <f>OBRA!L729</f>
        <v>GMJ 006C OP/2023</v>
      </c>
      <c r="X727" s="1659"/>
      <c r="Y727" s="1659"/>
      <c r="Z727" s="448" t="str">
        <f>OBRA!K729</f>
        <v>CUENTA CORRIENTE</v>
      </c>
      <c r="AA727" s="1659"/>
      <c r="AB727" s="2" t="str">
        <f>OBRA!M729</f>
        <v>ADJUDICACIÓN DIRECTA</v>
      </c>
      <c r="AC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AD727" s="4">
        <f>OBRA!P729</f>
        <v>584259.75</v>
      </c>
      <c r="AE727" s="6">
        <f>OBRA!Q729</f>
        <v>45042</v>
      </c>
      <c r="AF727" s="5">
        <f>OBRA!R729</f>
        <v>45048</v>
      </c>
      <c r="AG727" s="428">
        <f>OBRA!S729</f>
        <v>45168</v>
      </c>
      <c r="AH727" s="1014"/>
      <c r="AI727" s="169"/>
      <c r="AJ727" s="239"/>
      <c r="AK727" s="239"/>
      <c r="AL727" s="715"/>
      <c r="AM727" s="573">
        <f>GRAL!B883</f>
        <v>0</v>
      </c>
      <c r="AN727" s="448"/>
      <c r="AO727" s="13"/>
    </row>
    <row r="728" spans="1:41" ht="90" hidden="1">
      <c r="A728" s="166">
        <f>OBRA!I730</f>
        <v>2023</v>
      </c>
      <c r="B728" s="2036"/>
      <c r="C728" s="1612"/>
      <c r="D728" s="171"/>
      <c r="E728" s="1393"/>
      <c r="F728" s="1393"/>
      <c r="G728" s="1394"/>
      <c r="H728" s="1395" t="str">
        <f>OBRA!AD730</f>
        <v>-</v>
      </c>
      <c r="I728" s="1396"/>
      <c r="J728" s="1613" t="str">
        <f>OBRA!AE730</f>
        <v>-</v>
      </c>
      <c r="K728" s="1397"/>
      <c r="L728" s="1395" t="str">
        <f>OBRA!AF730</f>
        <v>-</v>
      </c>
      <c r="M728" s="1398"/>
      <c r="N728" s="1395" t="str">
        <f>OBRA!AG730</f>
        <v>-</v>
      </c>
      <c r="O728" s="1395"/>
      <c r="P728" s="1395"/>
      <c r="Q728" s="1397"/>
      <c r="R728" s="479" t="str">
        <f>OBRA!AH730</f>
        <v>-</v>
      </c>
      <c r="S728" s="591"/>
      <c r="T728" s="446" t="str">
        <f>OBRA!U730</f>
        <v>EDIFICACIONES Y TERRACERIAS CH, S.A. DE C.V.</v>
      </c>
      <c r="U728" s="447" t="str">
        <f>OBRA!V730</f>
        <v>C. DANIEL RODRIGUEZ VALENZUELA</v>
      </c>
      <c r="V728" s="1281"/>
      <c r="W728" s="20" t="str">
        <f>OBRA!L730</f>
        <v>GMJ 007C OP/2023</v>
      </c>
      <c r="X728" s="1659"/>
      <c r="Y728" s="1659"/>
      <c r="Z728" s="448" t="str">
        <f>OBRA!K730</f>
        <v>CUENTA CORRIENTE</v>
      </c>
      <c r="AA728" s="1659"/>
      <c r="AB728" s="2" t="str">
        <f>OBRA!M730</f>
        <v>ADJUDICACIÓN DIRECTA</v>
      </c>
      <c r="AC728" s="3" t="str">
        <f>OBRA!N730</f>
        <v>“CONSTRUCCIÓN DE LÍNEA DE ABASTECIMIENTO DE AGUA POTABLE DE 6” EN CALLE JOSEFA ORTÍZ DE DOMINGUEZ DEL LIBRAMIENTO AL DEPÓSITO DE AGUA”, EN LA CABECERA MUNICIPAL DE JOCOTEPEC, JALISCO.</v>
      </c>
      <c r="AD728" s="4">
        <f>OBRA!P730</f>
        <v>387303.55</v>
      </c>
      <c r="AE728" s="6">
        <f>OBRA!Q730</f>
        <v>45056</v>
      </c>
      <c r="AF728" s="5">
        <f>OBRA!R730</f>
        <v>45061</v>
      </c>
      <c r="AG728" s="428">
        <f>OBRA!S730</f>
        <v>45090</v>
      </c>
      <c r="AH728" s="1014"/>
      <c r="AI728" s="169"/>
      <c r="AJ728" s="239"/>
      <c r="AK728" s="239"/>
      <c r="AL728" s="715"/>
      <c r="AM728" s="573">
        <f>GRAL!B884</f>
        <v>0</v>
      </c>
      <c r="AN728" s="448"/>
      <c r="AO728" s="13"/>
    </row>
    <row r="729" spans="1:41" ht="60" hidden="1">
      <c r="A729" s="166">
        <f>OBRA!I731</f>
        <v>2023</v>
      </c>
      <c r="B729" s="2036"/>
      <c r="C729" s="1612"/>
      <c r="D729" s="171"/>
      <c r="E729" s="1393"/>
      <c r="F729" s="1393"/>
      <c r="G729" s="1394"/>
      <c r="H729" s="1395" t="str">
        <f>OBRA!AD731</f>
        <v>-</v>
      </c>
      <c r="I729" s="1396"/>
      <c r="J729" s="1613" t="str">
        <f>OBRA!AE731</f>
        <v>-</v>
      </c>
      <c r="K729" s="1397"/>
      <c r="L729" s="1395" t="str">
        <f>OBRA!AF731</f>
        <v>-</v>
      </c>
      <c r="M729" s="1398"/>
      <c r="N729" s="1395" t="str">
        <f>OBRA!AG731</f>
        <v>-</v>
      </c>
      <c r="O729" s="1395"/>
      <c r="P729" s="1395"/>
      <c r="Q729" s="1397"/>
      <c r="R729" s="479" t="str">
        <f>OBRA!AH731</f>
        <v>-</v>
      </c>
      <c r="S729" s="591"/>
      <c r="T729" s="446" t="str">
        <f>OBRA!U731</f>
        <v>ESTRUCTURAS PLANEADAS DE OCCIDENTE, S.A. DE C.V.</v>
      </c>
      <c r="U729" s="447" t="str">
        <f>OBRA!V731</f>
        <v>ING. J. GUADALUPE IBARRA RAMIREZ</v>
      </c>
      <c r="V729" s="1281"/>
      <c r="W729" s="20" t="str">
        <f>OBRA!L731</f>
        <v>GMJ 008C OP/2023</v>
      </c>
      <c r="X729" s="1659"/>
      <c r="Y729" s="1659"/>
      <c r="Z729" s="448" t="str">
        <f>OBRA!K731</f>
        <v>CUENTA CORRIENTE</v>
      </c>
      <c r="AA729" s="1659"/>
      <c r="AB729" s="2" t="str">
        <f>OBRA!M731</f>
        <v>ADJUDICACIÓN DIRECTA</v>
      </c>
      <c r="AC729" s="3" t="str">
        <f>OBRA!N731</f>
        <v>“REPARACIÓN DE TANQUE ALMACENAMIENTO DE AGUA POTABLE ZONA NORTE”, EN LA CABECERA MUNICIPAL DE JOCOTEPEC, JALISCO</v>
      </c>
      <c r="AD729" s="4">
        <f>OBRA!P731</f>
        <v>374761.47</v>
      </c>
      <c r="AE729" s="6">
        <f>OBRA!Q731</f>
        <v>45056</v>
      </c>
      <c r="AF729" s="5">
        <f>OBRA!R731</f>
        <v>45061</v>
      </c>
      <c r="AG729" s="428">
        <f>OBRA!S731</f>
        <v>45086</v>
      </c>
      <c r="AH729" s="1014"/>
      <c r="AI729" s="169"/>
      <c r="AJ729" s="239"/>
      <c r="AK729" s="239"/>
      <c r="AL729" s="715"/>
      <c r="AM729" s="573">
        <f>GRAL!B885</f>
        <v>0</v>
      </c>
      <c r="AN729" s="448"/>
      <c r="AO729" s="13"/>
    </row>
    <row r="730" spans="1:41" ht="90" hidden="1">
      <c r="A730" s="166">
        <f>OBRA!I732</f>
        <v>2023</v>
      </c>
      <c r="B730" s="2036"/>
      <c r="C730" s="1612"/>
      <c r="D730" s="171"/>
      <c r="E730" s="1393"/>
      <c r="F730" s="1393"/>
      <c r="G730" s="1394"/>
      <c r="H730" s="1395" t="str">
        <f>OBRA!AD732</f>
        <v>-</v>
      </c>
      <c r="I730" s="1396"/>
      <c r="J730" s="1613" t="str">
        <f>OBRA!AE732</f>
        <v>-</v>
      </c>
      <c r="K730" s="1397"/>
      <c r="L730" s="1395" t="str">
        <f>OBRA!AF732</f>
        <v>-</v>
      </c>
      <c r="M730" s="1398"/>
      <c r="N730" s="1395" t="str">
        <f>OBRA!AG732</f>
        <v>-</v>
      </c>
      <c r="O730" s="1395"/>
      <c r="P730" s="1395"/>
      <c r="Q730" s="1397"/>
      <c r="R730" s="479" t="str">
        <f>OBRA!AH732</f>
        <v>-</v>
      </c>
      <c r="S730" s="591"/>
      <c r="T730" s="446" t="str">
        <f>OBRA!U732</f>
        <v>EDIFICACIONES Y TERRACERIAS CH, S.A. DE C.V.</v>
      </c>
      <c r="U730" s="447" t="str">
        <f>OBRA!V732</f>
        <v>C. DANIEL RODRIGUEZ VALENZUELA</v>
      </c>
      <c r="V730" s="1281"/>
      <c r="W730" s="20" t="str">
        <f>OBRA!L732</f>
        <v>GMJ 009C OP/2023</v>
      </c>
      <c r="X730" s="1659"/>
      <c r="Y730" s="1659"/>
      <c r="Z730" s="448" t="str">
        <f>OBRA!K732</f>
        <v>CUENTA CORRIENTE</v>
      </c>
      <c r="AA730" s="1659"/>
      <c r="AB730" s="2" t="str">
        <f>OBRA!M732</f>
        <v>ADJUDICACIÓN DIRECTA</v>
      </c>
      <c r="AC730" s="3" t="str">
        <f>OBRA!N732</f>
        <v>“CONSTRUCCIÓN DE LÍNEA DE ABASTECIMIENTO DE AGUA POTABLE DE 6” EN CALLE JOSEFA ORTÍZ DE DOMINGUEZ DEL LIBRAMIENTO A CALLE FILÓSOFOS”, EN LA CABECERA MUNICIPAL DE JOCOTEPEC, JALISCO</v>
      </c>
      <c r="AD730" s="4">
        <f>OBRA!P732</f>
        <v>835320.31999999995</v>
      </c>
      <c r="AE730" s="6">
        <f>OBRA!Q732</f>
        <v>45056</v>
      </c>
      <c r="AF730" s="5">
        <f>OBRA!R732</f>
        <v>45061</v>
      </c>
      <c r="AG730" s="428">
        <f>OBRA!S732</f>
        <v>45090</v>
      </c>
      <c r="AH730" s="1014"/>
      <c r="AI730" s="169"/>
      <c r="AJ730" s="239"/>
      <c r="AK730" s="239"/>
      <c r="AL730" s="715"/>
      <c r="AM730" s="573">
        <f>GRAL!B886</f>
        <v>0</v>
      </c>
      <c r="AN730" s="448"/>
      <c r="AO730" s="13"/>
    </row>
    <row r="731" spans="1:41" ht="75" hidden="1">
      <c r="A731" s="166">
        <f>OBRA!I733</f>
        <v>2023</v>
      </c>
      <c r="B731" s="2036"/>
      <c r="C731" s="1612"/>
      <c r="D731" s="171"/>
      <c r="E731" s="1393"/>
      <c r="F731" s="1393"/>
      <c r="G731" s="1394"/>
      <c r="H731" s="1395" t="str">
        <f>OBRA!AD733</f>
        <v>-</v>
      </c>
      <c r="I731" s="1396"/>
      <c r="J731" s="1613" t="str">
        <f>OBRA!AE733</f>
        <v>-</v>
      </c>
      <c r="K731" s="1397"/>
      <c r="L731" s="1395" t="str">
        <f>OBRA!AF733</f>
        <v>-</v>
      </c>
      <c r="M731" s="1398"/>
      <c r="N731" s="1395" t="str">
        <f>OBRA!AG733</f>
        <v>-</v>
      </c>
      <c r="O731" s="1395"/>
      <c r="P731" s="1395"/>
      <c r="Q731" s="1397"/>
      <c r="R731" s="479" t="str">
        <f>OBRA!AH733</f>
        <v>-</v>
      </c>
      <c r="S731" s="591"/>
      <c r="T731" s="446" t="str">
        <f>OBRA!U733</f>
        <v>ESTRUCTURAS PLANEADAS DE OCCIDENTE, S.A. DE C.V.</v>
      </c>
      <c r="U731" s="447" t="str">
        <f>OBRA!V733</f>
        <v>ING. J. GUADALUPE IBARRA RAMIREZ</v>
      </c>
      <c r="V731" s="1281"/>
      <c r="W731" s="20" t="str">
        <f>OBRA!L733</f>
        <v>GMJ 010C OP/2023</v>
      </c>
      <c r="X731" s="1659"/>
      <c r="Y731" s="1659"/>
      <c r="Z731" s="448" t="str">
        <f>OBRA!K733</f>
        <v>CUENTA CORRIENTE</v>
      </c>
      <c r="AA731" s="1659"/>
      <c r="AB731" s="2" t="str">
        <f>OBRA!M733</f>
        <v>ADJUDICACIÓN DIRECTA</v>
      </c>
      <c r="AC731" s="3" t="str">
        <f>OBRA!N733</f>
        <v>“REPARACIÓN DE TANQUE ALMACENAMIENTO DE AGUA POTABLE”, EN LA LOCALIDAD DE SAN CRISTÓBAL ZAPOTITLÁN DEL MUNICIPIO DE JOCOTEPEC, JALISCO</v>
      </c>
      <c r="AD731" s="4">
        <f>OBRA!P733</f>
        <v>168796.66</v>
      </c>
      <c r="AE731" s="6">
        <f>OBRA!Q733</f>
        <v>45059</v>
      </c>
      <c r="AF731" s="5">
        <f>OBRA!R733</f>
        <v>45075</v>
      </c>
      <c r="AG731" s="428">
        <f>OBRA!S733</f>
        <v>45094</v>
      </c>
      <c r="AH731" s="1014"/>
      <c r="AI731" s="169"/>
      <c r="AJ731" s="239"/>
      <c r="AK731" s="239"/>
      <c r="AL731" s="715"/>
      <c r="AM731" s="573">
        <f>GRAL!B887</f>
        <v>0</v>
      </c>
      <c r="AN731" s="448"/>
      <c r="AO731" s="13"/>
    </row>
    <row r="732" spans="1:41" ht="75" hidden="1">
      <c r="A732" s="166">
        <f>OBRA!I734</f>
        <v>2023</v>
      </c>
      <c r="B732" s="2036"/>
      <c r="C732" s="1612"/>
      <c r="D732" s="171"/>
      <c r="E732" s="1393"/>
      <c r="F732" s="1393"/>
      <c r="G732" s="1394"/>
      <c r="H732" s="1395" t="str">
        <f>OBRA!AD734</f>
        <v>-</v>
      </c>
      <c r="I732" s="1396"/>
      <c r="J732" s="1613" t="str">
        <f>OBRA!AE734</f>
        <v>-</v>
      </c>
      <c r="K732" s="1397"/>
      <c r="L732" s="1395" t="str">
        <f>OBRA!AF734</f>
        <v>-</v>
      </c>
      <c r="M732" s="1398"/>
      <c r="N732" s="1395" t="str">
        <f>OBRA!AG734</f>
        <v>-</v>
      </c>
      <c r="O732" s="1395"/>
      <c r="P732" s="1395"/>
      <c r="Q732" s="1397"/>
      <c r="R732" s="479" t="str">
        <f>OBRA!AH734</f>
        <v>-</v>
      </c>
      <c r="S732" s="591"/>
      <c r="T732" s="446" t="str">
        <f>OBRA!U734</f>
        <v>MANUEL PALOS VACA</v>
      </c>
      <c r="U732" s="447" t="str">
        <f>OBRA!V734</f>
        <v>C. DANIEL RODRIGUEZ VALENZUELA</v>
      </c>
      <c r="V732" s="1281"/>
      <c r="W732" s="20" t="str">
        <f>OBRA!L734</f>
        <v>GMJ 011C OP/2023</v>
      </c>
      <c r="X732" s="1659"/>
      <c r="Y732" s="1659"/>
      <c r="Z732" s="448" t="str">
        <f>OBRA!K734</f>
        <v>CUENTA CORRIENTE</v>
      </c>
      <c r="AA732" s="1659"/>
      <c r="AB732" s="2" t="str">
        <f>OBRA!M734</f>
        <v>ADJUDICACIÓN DIRECTA</v>
      </c>
      <c r="AC732" s="3" t="str">
        <f>OBRA!N734</f>
        <v>“CONSTRUCCIÓN DE REDES HIDROSANITARIAS EN CALLE FILÓSOFOS ENTRE CALLE HIDALGO NORTE Y CALLE ALLENDE”, EN LA CABECERA MUNICIPAL DE JOCOTEPEC, JALISCO</v>
      </c>
      <c r="AD732" s="4">
        <f>OBRA!P734</f>
        <v>254339.78</v>
      </c>
      <c r="AE732" s="6">
        <f>OBRA!Q734</f>
        <v>45141</v>
      </c>
      <c r="AF732" s="5">
        <f>OBRA!R734</f>
        <v>45187</v>
      </c>
      <c r="AG732" s="428">
        <f>OBRA!S734</f>
        <v>45219</v>
      </c>
      <c r="AH732" s="1014"/>
      <c r="AI732" s="169"/>
      <c r="AJ732" s="239"/>
      <c r="AK732" s="239"/>
      <c r="AL732" s="715"/>
      <c r="AM732" s="573">
        <f>GRAL!B888</f>
        <v>0</v>
      </c>
      <c r="AN732" s="448"/>
      <c r="AO732" s="13"/>
    </row>
    <row r="733" spans="1:41" ht="90" hidden="1">
      <c r="A733" s="166">
        <f>OBRA!I735</f>
        <v>2023</v>
      </c>
      <c r="B733" s="2036"/>
      <c r="C733" s="1612"/>
      <c r="D733" s="171"/>
      <c r="E733" s="1393"/>
      <c r="F733" s="1393"/>
      <c r="G733" s="1394"/>
      <c r="H733" s="1395" t="str">
        <f>OBRA!AD735</f>
        <v>-</v>
      </c>
      <c r="I733" s="1396"/>
      <c r="J733" s="1613" t="str">
        <f>OBRA!AE735</f>
        <v>-</v>
      </c>
      <c r="K733" s="1397"/>
      <c r="L733" s="1395" t="str">
        <f>OBRA!AF735</f>
        <v>-</v>
      </c>
      <c r="M733" s="1398"/>
      <c r="N733" s="1395" t="str">
        <f>OBRA!AG735</f>
        <v>-</v>
      </c>
      <c r="O733" s="1395"/>
      <c r="P733" s="1395"/>
      <c r="Q733" s="1397"/>
      <c r="R733" s="479" t="str">
        <f>OBRA!AH735</f>
        <v>-</v>
      </c>
      <c r="S733" s="591"/>
      <c r="T733" s="446" t="str">
        <f>OBRA!U735</f>
        <v>MANUEL PALOS VACA</v>
      </c>
      <c r="U733" s="447" t="str">
        <f>OBRA!V735</f>
        <v>C. DANIEL RODRIGUEZ VALENZUELA</v>
      </c>
      <c r="V733" s="1281"/>
      <c r="W733" s="20" t="str">
        <f>OBRA!L735</f>
        <v>GMJ 012C OP/2023</v>
      </c>
      <c r="X733" s="1659"/>
      <c r="Y733" s="1659"/>
      <c r="Z733" s="448" t="str">
        <f>OBRA!K735</f>
        <v>RAMO 33</v>
      </c>
      <c r="AA733" s="1659"/>
      <c r="AB733" s="2" t="str">
        <f>OBRA!M735</f>
        <v>ADJUDICACIÓN DIRECTA</v>
      </c>
      <c r="AC733" s="3" t="str">
        <f>OBRA!N735</f>
        <v>“CONSTRUCCIÓN DE REDES HIDROSANITARIAS EN CALLE FILÓSOFOS ENTRE CALLE INDEPENDENCIA Y CALLE JOSEFA ORTÍZ DE DOMÍNGUEZ”, EN LA CABECERA MUNICIPAL DE JOCOTEPEC, JALISCO</v>
      </c>
      <c r="AD733" s="4">
        <f>OBRA!P735</f>
        <v>553159.56000000006</v>
      </c>
      <c r="AE733" s="6">
        <f>OBRA!Q735</f>
        <v>45141</v>
      </c>
      <c r="AF733" s="5">
        <f>OBRA!R735</f>
        <v>45148</v>
      </c>
      <c r="AG733" s="428">
        <f>OBRA!S735</f>
        <v>45170</v>
      </c>
      <c r="AH733" s="1014"/>
      <c r="AI733" s="169"/>
      <c r="AJ733" s="239"/>
      <c r="AK733" s="239"/>
      <c r="AL733" s="715"/>
      <c r="AM733" s="573">
        <f>GRAL!B889</f>
        <v>0</v>
      </c>
      <c r="AN733" s="448"/>
      <c r="AO733" s="13"/>
    </row>
    <row r="734" spans="1:41" ht="75" hidden="1">
      <c r="A734" s="166">
        <f>OBRA!I736</f>
        <v>2023</v>
      </c>
      <c r="B734" s="2036"/>
      <c r="C734" s="1612"/>
      <c r="D734" s="171"/>
      <c r="E734" s="1393"/>
      <c r="F734" s="1393"/>
      <c r="G734" s="1394"/>
      <c r="H734" s="1395" t="str">
        <f>OBRA!AD736</f>
        <v>-</v>
      </c>
      <c r="I734" s="1396"/>
      <c r="J734" s="1613" t="str">
        <f>OBRA!AE736</f>
        <v>-</v>
      </c>
      <c r="K734" s="1397"/>
      <c r="L734" s="1395" t="str">
        <f>OBRA!AF736</f>
        <v>-</v>
      </c>
      <c r="M734" s="1398"/>
      <c r="N734" s="1395" t="str">
        <f>OBRA!AG736</f>
        <v>-</v>
      </c>
      <c r="O734" s="1395"/>
      <c r="P734" s="1395"/>
      <c r="Q734" s="1397"/>
      <c r="R734" s="479" t="str">
        <f>OBRA!AH736</f>
        <v>-</v>
      </c>
      <c r="S734" s="591"/>
      <c r="T734" s="446" t="str">
        <f>OBRA!U736</f>
        <v>EDIFICACIONES Y TERRACERIAS CH, S.A. DE C.V.</v>
      </c>
      <c r="U734" s="447" t="str">
        <f>OBRA!V736</f>
        <v>C. DANIEL RODRIGUEZ VALENZUELA</v>
      </c>
      <c r="V734" s="1281"/>
      <c r="W734" s="20" t="str">
        <f>OBRA!L736</f>
        <v>GMJ 013C OP/2023</v>
      </c>
      <c r="X734" s="1659"/>
      <c r="Y734" s="1659"/>
      <c r="Z734" s="448" t="str">
        <f>OBRA!K736</f>
        <v>RAMO 33</v>
      </c>
      <c r="AA734" s="1659"/>
      <c r="AB734" s="2" t="str">
        <f>OBRA!M736</f>
        <v>ADJUDICACIÓN DIRECTA</v>
      </c>
      <c r="AC734" s="3" t="str">
        <f>OBRA!N736</f>
        <v>“CONSTRUCCIÓN DE RED DE DRENAJE SANITARIO Y RED DE AGUA POTABLE EN CALLE PLAYAS DE LA LAGUNA”, EN LA LOCALIDAD DE CHANTEPEC DEL MUNICIPIO DE JOCOTEPEC, JALISCO</v>
      </c>
      <c r="AD734" s="4">
        <f>OBRA!P736</f>
        <v>724743.66</v>
      </c>
      <c r="AE734" s="6">
        <f>OBRA!Q736</f>
        <v>45105</v>
      </c>
      <c r="AF734" s="5">
        <f>OBRA!R736</f>
        <v>45110</v>
      </c>
      <c r="AG734" s="428">
        <f>OBRA!S736</f>
        <v>45141</v>
      </c>
      <c r="AH734" s="1014"/>
      <c r="AI734" s="169"/>
      <c r="AJ734" s="239"/>
      <c r="AK734" s="239"/>
      <c r="AL734" s="715"/>
      <c r="AM734" s="573">
        <f>GRAL!B890</f>
        <v>0</v>
      </c>
      <c r="AN734" s="448"/>
      <c r="AO734" s="13"/>
    </row>
    <row r="735" spans="1:41" ht="75" hidden="1">
      <c r="A735" s="166">
        <f>OBRA!I737</f>
        <v>2023</v>
      </c>
      <c r="B735" s="2036"/>
      <c r="C735" s="1612"/>
      <c r="D735" s="171"/>
      <c r="E735" s="1393"/>
      <c r="F735" s="1393"/>
      <c r="G735" s="1394"/>
      <c r="H735" s="1395" t="str">
        <f>OBRA!AD737</f>
        <v>-</v>
      </c>
      <c r="I735" s="1396"/>
      <c r="J735" s="1613" t="str">
        <f>OBRA!AE737</f>
        <v>-</v>
      </c>
      <c r="K735" s="1397"/>
      <c r="L735" s="1395" t="str">
        <f>OBRA!AF737</f>
        <v>-</v>
      </c>
      <c r="M735" s="1398"/>
      <c r="N735" s="1395" t="str">
        <f>OBRA!AG737</f>
        <v>-</v>
      </c>
      <c r="O735" s="1395"/>
      <c r="P735" s="1395"/>
      <c r="Q735" s="1397"/>
      <c r="R735" s="479" t="str">
        <f>OBRA!AH737</f>
        <v>-</v>
      </c>
      <c r="S735" s="591"/>
      <c r="T735" s="446" t="str">
        <f>OBRA!U737</f>
        <v>EDIFICACIONES Y TERRACERIAS CH, S.A. DE C.V.</v>
      </c>
      <c r="U735" s="447" t="str">
        <f>OBRA!V737</f>
        <v>C. DANIEL RODRIGUEZ VALENZUELA</v>
      </c>
      <c r="V735" s="1281"/>
      <c r="W735" s="20" t="str">
        <f>OBRA!L737</f>
        <v>GMJ 014C OP/2023</v>
      </c>
      <c r="X735" s="1659"/>
      <c r="Y735" s="1659"/>
      <c r="Z735" s="448" t="str">
        <f>OBRA!K737</f>
        <v>RAMO 33</v>
      </c>
      <c r="AA735" s="1659"/>
      <c r="AB735" s="2" t="str">
        <f>OBRA!M737</f>
        <v>ADJUDICACIÓN DIRECTA</v>
      </c>
      <c r="AC735" s="3" t="str">
        <f>OBRA!N737</f>
        <v>“CONSTRUCCIÓN DE RED DE DRENAJE SANITARIO Y RED DE AGUA POTABLE EN CALLE PLAYA AZUL”, EN LA LOCALIDAD DE CHANTEPEC DEL MUNICIPIO DE JOCOTEPEC, JALISCO</v>
      </c>
      <c r="AD735" s="4">
        <f>OBRA!P737</f>
        <v>543995.47</v>
      </c>
      <c r="AE735" s="6">
        <f>OBRA!Q737</f>
        <v>45105</v>
      </c>
      <c r="AF735" s="5">
        <f>OBRA!R737</f>
        <v>45110</v>
      </c>
      <c r="AG735" s="428">
        <f>OBRA!S737</f>
        <v>45141</v>
      </c>
      <c r="AH735" s="1014"/>
      <c r="AI735" s="169"/>
      <c r="AJ735" s="239"/>
      <c r="AK735" s="239"/>
      <c r="AL735" s="715"/>
      <c r="AM735" s="573">
        <f>GRAL!B891</f>
        <v>0</v>
      </c>
      <c r="AN735" s="448"/>
      <c r="AO735" s="13"/>
    </row>
    <row r="736" spans="1:41" ht="90" hidden="1">
      <c r="A736" s="166">
        <f>OBRA!I738</f>
        <v>2023</v>
      </c>
      <c r="B736" s="2036"/>
      <c r="C736" s="1612"/>
      <c r="D736" s="171"/>
      <c r="E736" s="1393"/>
      <c r="F736" s="1393"/>
      <c r="G736" s="1394"/>
      <c r="H736" s="1395" t="str">
        <f>OBRA!AD738</f>
        <v>-</v>
      </c>
      <c r="I736" s="1396"/>
      <c r="J736" s="1613" t="str">
        <f>OBRA!AE738</f>
        <v>-</v>
      </c>
      <c r="K736" s="1397"/>
      <c r="L736" s="1395" t="str">
        <f>OBRA!AF738</f>
        <v>-</v>
      </c>
      <c r="M736" s="1398"/>
      <c r="N736" s="1395" t="str">
        <f>OBRA!AG738</f>
        <v>-</v>
      </c>
      <c r="O736" s="1395"/>
      <c r="P736" s="1395"/>
      <c r="Q736" s="1397"/>
      <c r="R736" s="479" t="str">
        <f>OBRA!AH738</f>
        <v>-</v>
      </c>
      <c r="S736" s="591"/>
      <c r="T736" s="446" t="str">
        <f>OBRA!U738</f>
        <v>ALSERCON SA DE CV</v>
      </c>
      <c r="U736" s="447" t="str">
        <f>OBRA!V738</f>
        <v>C. DANIEL RODRIGUEZ VALENZUELA</v>
      </c>
      <c r="V736" s="1281"/>
      <c r="W736" s="20" t="str">
        <f>OBRA!L738</f>
        <v>GMJ 015C OP/2023</v>
      </c>
      <c r="X736" s="1659"/>
      <c r="Y736" s="1659"/>
      <c r="Z736" s="448" t="str">
        <f>OBRA!K738</f>
        <v>CUENTA CORRIENTE</v>
      </c>
      <c r="AA736" s="1659"/>
      <c r="AB736" s="2" t="str">
        <f>OBRA!M738</f>
        <v>ADJUDICACIÓN DIRECTA</v>
      </c>
      <c r="AC736" s="3" t="str">
        <f>OBRA!N738</f>
        <v>“TERMINACIÓN DE DEPÓSITO DE AGUA, LÍNEA DE LLENADO Y DISTRIBUCIÓN DE AGUA POTABLE EN CUARTEL DE LA GUARDIA NACIONAL (OBRA CIVIL)”, EN LA LOCALIDAD DE POTRERILLOS DEL MUNICIPIO DE JOCOTEPEC, JALISCO</v>
      </c>
      <c r="AD736" s="4">
        <f>OBRA!P738</f>
        <v>703136.32</v>
      </c>
      <c r="AE736" s="6">
        <f>OBRA!Q738</f>
        <v>45105</v>
      </c>
      <c r="AF736" s="5">
        <f>OBRA!R738</f>
        <v>45113</v>
      </c>
      <c r="AG736" s="428">
        <f>OBRA!S738</f>
        <v>45168</v>
      </c>
      <c r="AH736" s="1014"/>
      <c r="AI736" s="169"/>
      <c r="AJ736" s="239"/>
      <c r="AK736" s="239"/>
      <c r="AL736" s="715"/>
      <c r="AM736" s="573">
        <f>GRAL!B892</f>
        <v>0</v>
      </c>
      <c r="AN736" s="448"/>
      <c r="AO736" s="13"/>
    </row>
    <row r="737" spans="1:41" ht="60" hidden="1">
      <c r="A737" s="166">
        <f>OBRA!I739</f>
        <v>2023</v>
      </c>
      <c r="B737" s="2036"/>
      <c r="C737" s="1612"/>
      <c r="D737" s="171"/>
      <c r="E737" s="1393"/>
      <c r="F737" s="1393"/>
      <c r="G737" s="1394"/>
      <c r="H737" s="1395" t="str">
        <f>OBRA!AD739</f>
        <v>-</v>
      </c>
      <c r="I737" s="1396"/>
      <c r="J737" s="1613" t="str">
        <f>OBRA!AE739</f>
        <v>-</v>
      </c>
      <c r="K737" s="1397"/>
      <c r="L737" s="1395" t="str">
        <f>OBRA!AF739</f>
        <v>-</v>
      </c>
      <c r="M737" s="1398"/>
      <c r="N737" s="1395" t="str">
        <f>OBRA!AG739</f>
        <v>-</v>
      </c>
      <c r="O737" s="1395"/>
      <c r="P737" s="1395"/>
      <c r="Q737" s="1397"/>
      <c r="R737" s="479" t="str">
        <f>OBRA!AH739</f>
        <v>-</v>
      </c>
      <c r="S737" s="591"/>
      <c r="T737" s="446" t="str">
        <f>OBRA!U739</f>
        <v>C. ANA LUZ HIDALGO VELA</v>
      </c>
      <c r="U737" s="447" t="str">
        <f>OBRA!V739</f>
        <v>ARQ. JAIME CONDE GOMEZ</v>
      </c>
      <c r="V737" s="1281"/>
      <c r="W737" s="20" t="str">
        <f>OBRA!L739</f>
        <v>GMJ 016C OP/2023</v>
      </c>
      <c r="X737" s="1659"/>
      <c r="Y737" s="1659"/>
      <c r="Z737" s="448" t="str">
        <f>OBRA!K739</f>
        <v>CUENTA CORRIENTE</v>
      </c>
      <c r="AA737" s="1659"/>
      <c r="AB737" s="2" t="str">
        <f>OBRA!M739</f>
        <v>ADJUDICACIÓN DIRECTA</v>
      </c>
      <c r="AC737" s="3" t="str">
        <f>OBRA!N739</f>
        <v>“INTALACIÓN DE RIELERIA PARA EL PROCESO DE MATANZA EN RASTRO MUNICIPAL”, EN LA CABECERA MUNICIPAL DE JOCOTEPEC, JALISCO</v>
      </c>
      <c r="AD737" s="4">
        <f>OBRA!P739</f>
        <v>821212.44</v>
      </c>
      <c r="AE737" s="6">
        <f>OBRA!Q739</f>
        <v>45134</v>
      </c>
      <c r="AF737" s="5">
        <f>OBRA!R739</f>
        <v>45145</v>
      </c>
      <c r="AG737" s="428">
        <f>OBRA!S739</f>
        <v>45169</v>
      </c>
      <c r="AH737" s="1014"/>
      <c r="AI737" s="169"/>
      <c r="AJ737" s="239"/>
      <c r="AK737" s="239"/>
      <c r="AL737" s="715"/>
      <c r="AM737" s="573">
        <f>GRAL!B893</f>
        <v>0</v>
      </c>
      <c r="AN737" s="448"/>
      <c r="AO737" s="13"/>
    </row>
    <row r="738" spans="1:41" ht="133.5" customHeight="1">
      <c r="A738" s="1868">
        <f>OBRA!I740</f>
        <v>2023</v>
      </c>
      <c r="B738" s="2087" t="str">
        <f t="shared" ref="B738:B739" si="2">W738</f>
        <v>CSS-OP-CC-017/2023</v>
      </c>
      <c r="C738" s="1497" t="s">
        <v>5839</v>
      </c>
      <c r="D738" s="1927" t="s">
        <v>5992</v>
      </c>
      <c r="E738" s="2077" t="s">
        <v>5993</v>
      </c>
      <c r="F738" s="2077" t="s">
        <v>5990</v>
      </c>
      <c r="G738" s="2088"/>
      <c r="H738" s="176">
        <f>OBRA!AD740</f>
        <v>0</v>
      </c>
      <c r="I738" s="552" t="s">
        <v>5839</v>
      </c>
      <c r="J738" s="1925">
        <f>OBRA!AE740</f>
        <v>45139</v>
      </c>
      <c r="K738" s="580" t="s">
        <v>5839</v>
      </c>
      <c r="L738" s="176">
        <f>OBRA!AF740</f>
        <v>45139</v>
      </c>
      <c r="M738" s="603" t="s">
        <v>5839</v>
      </c>
      <c r="N738" s="176">
        <f>OBRA!AG740</f>
        <v>45142</v>
      </c>
      <c r="O738" s="176" t="s">
        <v>4644</v>
      </c>
      <c r="P738" s="2085">
        <v>0.41666666666666669</v>
      </c>
      <c r="Q738" s="580" t="s">
        <v>5839</v>
      </c>
      <c r="R738" s="642">
        <f>OBRA!AH740</f>
        <v>45148</v>
      </c>
      <c r="S738" s="1574" t="s">
        <v>6091</v>
      </c>
      <c r="T738" s="652" t="str">
        <f>OBRA!U740</f>
        <v>C. SERGIO CABRERA</v>
      </c>
      <c r="U738" s="718" t="str">
        <f>OBRA!V740</f>
        <v>C. DANIEL RODRIGUEZ VALENZUELA</v>
      </c>
      <c r="V738" s="650"/>
      <c r="W738" s="180" t="str">
        <f>OBRA!L740</f>
        <v>CSS-OP-CC-017/2023</v>
      </c>
      <c r="X738" s="1567" t="s">
        <v>5606</v>
      </c>
      <c r="Y738" s="329" t="s">
        <v>5851</v>
      </c>
      <c r="Z738" s="329" t="str">
        <f>OBRA!K740</f>
        <v>FOCOCI</v>
      </c>
      <c r="AA738" s="329" t="s">
        <v>2473</v>
      </c>
      <c r="AB738" s="202" t="str">
        <f>OBRA!M740</f>
        <v>CONCURSO SIMPLIFICADO SUMARIO</v>
      </c>
      <c r="AC738" s="328" t="str">
        <f>OBRA!N740</f>
        <v>“PAVIMENTACIÓN CON EMPEDRADO ZAMPEADO, EN CALLE LA PAZ EN LA DELEGACIÓN DE SAN JUAN COSALÁ, MUNICIPIO DE JOCOTEPEC, JALISCO”</v>
      </c>
      <c r="AD738" s="85">
        <f>OBRA!P740</f>
        <v>4998360.84</v>
      </c>
      <c r="AE738" s="69">
        <f>OBRA!Q740</f>
        <v>45152</v>
      </c>
      <c r="AF738" s="255">
        <f>OBRA!R740</f>
        <v>45155</v>
      </c>
      <c r="AG738" s="245">
        <f>OBRA!S740</f>
        <v>45274</v>
      </c>
      <c r="AH738" s="1897" t="s">
        <v>5840</v>
      </c>
      <c r="AI738" s="180"/>
      <c r="AJ738" s="545" t="s">
        <v>5839</v>
      </c>
      <c r="AK738" s="202"/>
      <c r="AL738" s="205"/>
      <c r="AM738" s="282" t="str">
        <f>GRAL!B742</f>
        <v>2021-2024</v>
      </c>
      <c r="AN738" s="329"/>
      <c r="AO738" s="13"/>
    </row>
    <row r="739" spans="1:41" ht="103.5" customHeight="1">
      <c r="A739" s="1868">
        <f>OBRA!I741</f>
        <v>2023</v>
      </c>
      <c r="B739" s="2087" t="str">
        <f t="shared" si="2"/>
        <v>CSS-OP-CC-018/2023</v>
      </c>
      <c r="C739" s="1497" t="s">
        <v>5978</v>
      </c>
      <c r="D739" s="1927" t="s">
        <v>5992</v>
      </c>
      <c r="E739" s="2077" t="s">
        <v>5993</v>
      </c>
      <c r="F739" s="2077" t="s">
        <v>5990</v>
      </c>
      <c r="G739" s="553" t="s">
        <v>5978</v>
      </c>
      <c r="H739" s="643">
        <f>OBRA!AD741</f>
        <v>45154</v>
      </c>
      <c r="I739" s="553" t="s">
        <v>5978</v>
      </c>
      <c r="J739" s="644">
        <f>OBRA!AE741</f>
        <v>45156</v>
      </c>
      <c r="K739" s="2086"/>
      <c r="L739" s="643">
        <f>OBRA!AF741</f>
        <v>0</v>
      </c>
      <c r="M739" s="553" t="s">
        <v>5978</v>
      </c>
      <c r="N739" s="643">
        <f>OBRA!AG741</f>
        <v>45162</v>
      </c>
      <c r="O739" s="176" t="s">
        <v>4644</v>
      </c>
      <c r="P739" s="604">
        <v>0.41666666666666669</v>
      </c>
      <c r="Q739" s="553" t="s">
        <v>5978</v>
      </c>
      <c r="R739" s="642">
        <f>OBRA!AH741</f>
        <v>45167</v>
      </c>
      <c r="S739" s="1574" t="s">
        <v>6090</v>
      </c>
      <c r="T739" s="652" t="str">
        <f>OBRA!U741</f>
        <v>ALSERCON SA DE CV</v>
      </c>
      <c r="U739" s="718" t="str">
        <f>OBRA!V741</f>
        <v>C. DANIEL RODRIGUEZ VALENZUELA</v>
      </c>
      <c r="V739" s="650"/>
      <c r="W739" s="180" t="str">
        <f>OBRA!L741</f>
        <v>CSS-OP-CC-018/2023</v>
      </c>
      <c r="X739" s="1567" t="s">
        <v>5606</v>
      </c>
      <c r="Y739" s="329" t="s">
        <v>5848</v>
      </c>
      <c r="Z739" s="329" t="str">
        <f>OBRA!K741</f>
        <v>RAMO 33</v>
      </c>
      <c r="AA739" s="329" t="s">
        <v>2354</v>
      </c>
      <c r="AB739" s="202" t="str">
        <f>OBRA!M741</f>
        <v>CONCURSO SIMPLIFICADO SUMARIO</v>
      </c>
      <c r="AC739" s="328" t="str">
        <f>OBRA!N741</f>
        <v>“CONSTRUCCIÓN DE SUPERFICIE DE RODAMIENTO EN CALLE PLAYAS DE LA LAGUNA”, EN LA LOCALIDAD DE CHANTEPEC, MUNICIPIO DE JOCOTEPEC, JALISCO</v>
      </c>
      <c r="AD739" s="85">
        <f>OBRA!P741</f>
        <v>2808816.17</v>
      </c>
      <c r="AE739" s="69">
        <f>OBRA!Q741</f>
        <v>45168</v>
      </c>
      <c r="AF739" s="255">
        <f>OBRA!R741</f>
        <v>45173</v>
      </c>
      <c r="AG739" s="245">
        <f>OBRA!S741</f>
        <v>45237</v>
      </c>
      <c r="AH739" s="1897" t="s">
        <v>5850</v>
      </c>
      <c r="AI739" s="180"/>
      <c r="AJ739" s="202"/>
      <c r="AK739" s="202"/>
      <c r="AL739" s="205"/>
      <c r="AM739" s="282" t="str">
        <f>GRAL!B743</f>
        <v>2021-2024</v>
      </c>
      <c r="AN739" s="329"/>
      <c r="AO739" s="13"/>
    </row>
    <row r="740" spans="1:41" ht="60" hidden="1" customHeight="1">
      <c r="A740" s="166">
        <f>OBRA!I742</f>
        <v>2023</v>
      </c>
      <c r="B740" s="2036"/>
      <c r="C740" s="1612"/>
      <c r="D740" s="171"/>
      <c r="E740" s="1393"/>
      <c r="F740" s="1393"/>
      <c r="G740" s="1394"/>
      <c r="H740" s="1395" t="str">
        <f>OBRA!AD742</f>
        <v>-</v>
      </c>
      <c r="I740" s="1396"/>
      <c r="J740" s="1613" t="str">
        <f>OBRA!AE742</f>
        <v>-</v>
      </c>
      <c r="K740" s="1397"/>
      <c r="L740" s="1395" t="str">
        <f>OBRA!AF742</f>
        <v>-</v>
      </c>
      <c r="M740" s="1398"/>
      <c r="N740" s="1395" t="str">
        <f>OBRA!AG742</f>
        <v>-</v>
      </c>
      <c r="O740" s="1395"/>
      <c r="P740" s="1395"/>
      <c r="Q740" s="1397"/>
      <c r="R740" s="479" t="str">
        <f>OBRA!AH742</f>
        <v>-</v>
      </c>
      <c r="S740" s="591"/>
      <c r="T740" s="446" t="str">
        <f>OBRA!U742</f>
        <v>C. REFUGIO GUTIÉRREZ NIEVES</v>
      </c>
      <c r="U740" s="447" t="str">
        <f>OBRA!V742</f>
        <v>C. DANIEL RODRIGUEZ VALENZUELA</v>
      </c>
      <c r="V740" s="1281"/>
      <c r="W740" s="20" t="str">
        <f>OBRA!L742</f>
        <v>GMJ 019C OP/2023</v>
      </c>
      <c r="X740" s="1659"/>
      <c r="Y740" s="1659"/>
      <c r="Z740" s="448" t="str">
        <f>OBRA!K742</f>
        <v>RAMO 33</v>
      </c>
      <c r="AA740" s="1659"/>
      <c r="AB740" s="2" t="str">
        <f>OBRA!M742</f>
        <v>ADJUDICACIÓN DIRECTA</v>
      </c>
      <c r="AC740" s="3" t="str">
        <f>OBRA!N742</f>
        <v>“CONSTRUCCIÓN DE SUPERFICIE DE RODAMIENTO EN CALLE PLAYA AZUL”, EN LA LOCALIDAD DE CHANTEPEC, MUNICIPIO DE JOCOTEPEC, JALISCO</v>
      </c>
      <c r="AD740" s="4">
        <f>OBRA!P742</f>
        <v>2049615.46</v>
      </c>
      <c r="AE740" s="6">
        <f>OBRA!Q742</f>
        <v>45168</v>
      </c>
      <c r="AF740" s="5">
        <f>OBRA!R742</f>
        <v>45180</v>
      </c>
      <c r="AG740" s="428">
        <f>OBRA!S742</f>
        <v>45230</v>
      </c>
      <c r="AH740" s="1014"/>
      <c r="AI740" s="169"/>
      <c r="AJ740" s="239"/>
      <c r="AK740" s="239"/>
      <c r="AL740" s="715"/>
      <c r="AM740" s="573">
        <f>GRAL!B896</f>
        <v>0</v>
      </c>
      <c r="AN740" s="448"/>
      <c r="AO740" s="13"/>
    </row>
    <row r="741" spans="1:41" ht="45" hidden="1" customHeight="1">
      <c r="A741" s="166">
        <f>OBRA!I743</f>
        <v>2023</v>
      </c>
      <c r="B741" s="2036"/>
      <c r="C741" s="1612"/>
      <c r="D741" s="171"/>
      <c r="E741" s="1393"/>
      <c r="F741" s="1393"/>
      <c r="G741" s="1394"/>
      <c r="H741" s="1395" t="str">
        <f>OBRA!AD743</f>
        <v>-</v>
      </c>
      <c r="I741" s="1396"/>
      <c r="J741" s="1613" t="str">
        <f>OBRA!AE743</f>
        <v>-</v>
      </c>
      <c r="K741" s="1397"/>
      <c r="L741" s="1395" t="str">
        <f>OBRA!AF743</f>
        <v>-</v>
      </c>
      <c r="M741" s="1398"/>
      <c r="N741" s="1395" t="str">
        <f>OBRA!AG743</f>
        <v>-</v>
      </c>
      <c r="O741" s="1395"/>
      <c r="P741" s="1395"/>
      <c r="Q741" s="1397"/>
      <c r="R741" s="479" t="str">
        <f>OBRA!AH743</f>
        <v>-</v>
      </c>
      <c r="S741" s="591"/>
      <c r="T741" s="446" t="str">
        <f>OBRA!U743</f>
        <v xml:space="preserve">DORIA &amp; SAMPIER CONSTRUCTORA, S.A. DE C.V. </v>
      </c>
      <c r="U741" s="447" t="str">
        <f>OBRA!V743</f>
        <v>ARQ. JAIME CONDE GOMEZ</v>
      </c>
      <c r="V741" s="1281"/>
      <c r="W741" s="20" t="str">
        <f>OBRA!L743</f>
        <v>GMJ 020C OP/2023</v>
      </c>
      <c r="X741" s="1659"/>
      <c r="Y741" s="1659"/>
      <c r="Z741" s="448" t="str">
        <f>OBRA!K743</f>
        <v>CUENTA CORRIENTE</v>
      </c>
      <c r="AA741" s="1659"/>
      <c r="AB741" s="2" t="str">
        <f>OBRA!M743</f>
        <v>ADJUDICACIÓN DIRECTA</v>
      </c>
      <c r="AC741" s="3" t="str">
        <f>OBRA!N743</f>
        <v>“REHABILITACIÓN DE PLAZA PRINCIPAL”, EN LA LOCALIDAD DE HUEJOTITÁN, MUNICIPIO DE JOCOTEPEC, JALISCO</v>
      </c>
      <c r="AD741" s="4">
        <f>OBRA!P743</f>
        <v>304838.93</v>
      </c>
      <c r="AE741" s="6">
        <f>OBRA!Q743</f>
        <v>45166</v>
      </c>
      <c r="AF741" s="5">
        <f>OBRA!R743</f>
        <v>45168</v>
      </c>
      <c r="AG741" s="428">
        <f>OBRA!S743</f>
        <v>45199</v>
      </c>
      <c r="AH741" s="1014"/>
      <c r="AI741" s="169"/>
      <c r="AJ741" s="239"/>
      <c r="AK741" s="239"/>
      <c r="AL741" s="715"/>
      <c r="AM741" s="573">
        <f>GRAL!B897</f>
        <v>0</v>
      </c>
      <c r="AN741" s="448"/>
      <c r="AO741" s="13"/>
    </row>
    <row r="742" spans="1:41" ht="105" hidden="1" customHeight="1">
      <c r="A742" s="166">
        <f>OBRA!I744</f>
        <v>2023</v>
      </c>
      <c r="B742" s="2036"/>
      <c r="C742" s="1612"/>
      <c r="D742" s="171"/>
      <c r="E742" s="1393"/>
      <c r="F742" s="1393"/>
      <c r="G742" s="1394"/>
      <c r="H742" s="1395" t="str">
        <f>OBRA!AD744</f>
        <v>-</v>
      </c>
      <c r="I742" s="1396"/>
      <c r="J742" s="1613" t="str">
        <f>OBRA!AE744</f>
        <v>-</v>
      </c>
      <c r="K742" s="1397"/>
      <c r="L742" s="1395" t="str">
        <f>OBRA!AF744</f>
        <v>-</v>
      </c>
      <c r="M742" s="1398"/>
      <c r="N742" s="1395" t="str">
        <f>OBRA!AG744</f>
        <v>-</v>
      </c>
      <c r="O742" s="1395"/>
      <c r="P742" s="1395"/>
      <c r="Q742" s="1397"/>
      <c r="R742" s="479" t="str">
        <f>OBRA!AH744</f>
        <v>-</v>
      </c>
      <c r="S742" s="591"/>
      <c r="T742" s="446" t="str">
        <f>OBRA!U744</f>
        <v>ING. SERGIO CABRERA</v>
      </c>
      <c r="U742" s="447" t="str">
        <f>OBRA!V744</f>
        <v>C. DANIEL RODRIGUEZ VALENZUELA</v>
      </c>
      <c r="V742" s="1281"/>
      <c r="W742" s="20" t="str">
        <f>OBRA!L744</f>
        <v>GMJ 021- OP/2023</v>
      </c>
      <c r="X742" s="1659"/>
      <c r="Y742" s="1659"/>
      <c r="Z742" s="448" t="str">
        <f>OBRA!K744</f>
        <v>RAMO 33</v>
      </c>
      <c r="AA742" s="1659"/>
      <c r="AB742" s="2" t="str">
        <f>OBRA!M744</f>
        <v>ADJUDICACIÓN DIRECTA</v>
      </c>
      <c r="AC742" s="3" t="str">
        <f>OBRA!N744</f>
        <v>"CONSTRUCCIÓN DE BANQUETAS E IMAGEN URBANA EN CALLE LA PAZ DE CALLE HIDALGO A CALLE ROTARIO Y CALLE ROTARIO DE CALLE LA PAZ A CARRETERA JOCOTEPEC-CHAPALA", EN LA LOCALIDAD DE SAN JUAN COSALÁ, MUNICIPIO DE JOCOTEPEC, JALISCO.</v>
      </c>
      <c r="AD742" s="4">
        <f>OBRA!P744</f>
        <v>853249.52</v>
      </c>
      <c r="AE742" s="6">
        <f>OBRA!Q744</f>
        <v>45203</v>
      </c>
      <c r="AF742" s="5">
        <f>OBRA!R744</f>
        <v>45209</v>
      </c>
      <c r="AG742" s="428">
        <f>OBRA!S744</f>
        <v>45222</v>
      </c>
      <c r="AH742" s="1014"/>
      <c r="AI742" s="169"/>
      <c r="AJ742" s="239"/>
      <c r="AK742" s="239"/>
      <c r="AL742" s="715"/>
      <c r="AM742" s="573">
        <f>GRAL!B898</f>
        <v>0</v>
      </c>
      <c r="AN742" s="448"/>
      <c r="AO742" s="13"/>
    </row>
    <row r="743" spans="1:41" ht="60" hidden="1">
      <c r="A743" s="166">
        <f>OBRA!I745</f>
        <v>2023</v>
      </c>
      <c r="B743" s="2036"/>
      <c r="C743" s="1612"/>
      <c r="D743" s="171"/>
      <c r="E743" s="1393"/>
      <c r="F743" s="1393"/>
      <c r="G743" s="1394"/>
      <c r="H743" s="1395" t="str">
        <f>OBRA!AD745</f>
        <v>-</v>
      </c>
      <c r="I743" s="1396"/>
      <c r="J743" s="1613" t="str">
        <f>OBRA!AE745</f>
        <v>-</v>
      </c>
      <c r="K743" s="1397"/>
      <c r="L743" s="1395" t="str">
        <f>OBRA!AF745</f>
        <v>-</v>
      </c>
      <c r="M743" s="1398"/>
      <c r="N743" s="1395" t="str">
        <f>OBRA!AG745</f>
        <v>-</v>
      </c>
      <c r="O743" s="1395"/>
      <c r="P743" s="1395"/>
      <c r="Q743" s="1397"/>
      <c r="R743" s="479" t="str">
        <f>OBRA!AH745</f>
        <v>-</v>
      </c>
      <c r="S743" s="591"/>
      <c r="T743" s="446" t="str">
        <f>OBRA!U745</f>
        <v>SOLEC ENERGY, S.A. DE C.V.</v>
      </c>
      <c r="U743" s="447" t="str">
        <f>OBRA!V745</f>
        <v>C. DANIEL RODRIGUEZ VALENZUELA</v>
      </c>
      <c r="V743" s="1281"/>
      <c r="W743" s="20" t="str">
        <f>OBRA!L745</f>
        <v>GMJ 022 OP/2023</v>
      </c>
      <c r="X743" s="1659"/>
      <c r="Y743" s="1659"/>
      <c r="Z743" s="448" t="str">
        <f>OBRA!K745</f>
        <v>CUENTA CORRIENTE</v>
      </c>
      <c r="AA743" s="1659"/>
      <c r="AB743" s="2" t="str">
        <f>OBRA!M745</f>
        <v>ADJUDICACIÓN DIRECTA</v>
      </c>
      <c r="AC743" s="3" t="str">
        <f>OBRA!N745</f>
        <v>"ELECTRIFICACIÓN DE POZO CAMICHINES UBICADO EN CALLE FRANCISCO VILLA", EN LA CABECERA MUNICIPAL DE JOCOTEPEC, JALISCO.</v>
      </c>
      <c r="AD743" s="4">
        <f>OBRA!P745</f>
        <v>247646.07999999999</v>
      </c>
      <c r="AE743" s="6">
        <f>OBRA!Q745</f>
        <v>45212</v>
      </c>
      <c r="AF743" s="5">
        <f>OBRA!R745</f>
        <v>45215</v>
      </c>
      <c r="AG743" s="428">
        <f>OBRA!S745</f>
        <v>45258</v>
      </c>
      <c r="AH743" s="1014"/>
      <c r="AI743" s="169"/>
      <c r="AJ743" s="239"/>
      <c r="AK743" s="239"/>
      <c r="AL743" s="715"/>
      <c r="AM743" s="573">
        <f>GRAL!B899</f>
        <v>0</v>
      </c>
      <c r="AN743" s="448"/>
      <c r="AO743" s="13"/>
    </row>
    <row r="744" spans="1:41" ht="60" hidden="1">
      <c r="A744" s="166">
        <f>OBRA!I746</f>
        <v>2023</v>
      </c>
      <c r="B744" s="2036"/>
      <c r="C744" s="1612"/>
      <c r="D744" s="171"/>
      <c r="E744" s="1393"/>
      <c r="F744" s="1393"/>
      <c r="G744" s="1394"/>
      <c r="H744" s="1395" t="str">
        <f>OBRA!AD746</f>
        <v>-</v>
      </c>
      <c r="I744" s="1396"/>
      <c r="J744" s="1613" t="str">
        <f>OBRA!AE746</f>
        <v>-</v>
      </c>
      <c r="K744" s="1397"/>
      <c r="L744" s="1395" t="str">
        <f>OBRA!AF746</f>
        <v>-</v>
      </c>
      <c r="M744" s="1398"/>
      <c r="N744" s="1395" t="str">
        <f>OBRA!AG746</f>
        <v>-</v>
      </c>
      <c r="O744" s="1395"/>
      <c r="P744" s="1395"/>
      <c r="Q744" s="1397"/>
      <c r="R744" s="479" t="str">
        <f>OBRA!AH746</f>
        <v>-</v>
      </c>
      <c r="S744" s="591"/>
      <c r="T744" s="446" t="str">
        <f>OBRA!U746</f>
        <v>SOLEC ENERGY, S.A. DE C.V.</v>
      </c>
      <c r="U744" s="447" t="str">
        <f>OBRA!V746</f>
        <v>C. DANIEL RODRIGUEZ VALENZUELA</v>
      </c>
      <c r="V744" s="1281"/>
      <c r="W744" s="20" t="str">
        <f>OBRA!L746</f>
        <v>GMJ 023 OP/2023</v>
      </c>
      <c r="X744" s="1659"/>
      <c r="Y744" s="1659"/>
      <c r="Z744" s="448" t="str">
        <f>OBRA!K746</f>
        <v>CUENTA CORRIENTE</v>
      </c>
      <c r="AA744" s="1659"/>
      <c r="AB744" s="2" t="str">
        <f>OBRA!M746</f>
        <v>ADJUDICACIÓN DIRECTA</v>
      </c>
      <c r="AC744" s="3" t="str">
        <f>OBRA!N746</f>
        <v>"ELECTRIFICACIÓN DE POZO EN PRIVADA GUADALUPE VICTORIA", EN LA LOCALIDAD DE SAN JUAN COSALÁ, MUNICIPIO DE JOCOTEPEC, JALISCO.</v>
      </c>
      <c r="AD744" s="4">
        <f>OBRA!P746</f>
        <v>330252</v>
      </c>
      <c r="AE744" s="6">
        <f>OBRA!Q746</f>
        <v>45212</v>
      </c>
      <c r="AF744" s="5">
        <f>OBRA!R746</f>
        <v>45222</v>
      </c>
      <c r="AG744" s="428">
        <f>OBRA!S746</f>
        <v>45282</v>
      </c>
      <c r="AH744" s="1014"/>
      <c r="AI744" s="169"/>
      <c r="AJ744" s="239"/>
      <c r="AK744" s="239"/>
      <c r="AL744" s="715"/>
      <c r="AM744" s="573">
        <f>GRAL!B900</f>
        <v>0</v>
      </c>
      <c r="AN744" s="448"/>
      <c r="AO744" s="13"/>
    </row>
    <row r="745" spans="1:41" ht="153" customHeight="1">
      <c r="A745" s="1868">
        <f>OBRA!I747</f>
        <v>2023</v>
      </c>
      <c r="B745" s="2087" t="str">
        <f t="shared" ref="B745:B747" si="3">W745</f>
        <v>CSS-OP-CC-024/2023</v>
      </c>
      <c r="C745" s="1497" t="s">
        <v>5989</v>
      </c>
      <c r="D745" s="1927" t="s">
        <v>5992</v>
      </c>
      <c r="E745" s="2077" t="s">
        <v>5993</v>
      </c>
      <c r="F745" s="2077" t="s">
        <v>5990</v>
      </c>
      <c r="G745" s="553" t="s">
        <v>5989</v>
      </c>
      <c r="H745" s="643">
        <f>OBRA!AD747</f>
        <v>45231</v>
      </c>
      <c r="I745" s="553" t="s">
        <v>5989</v>
      </c>
      <c r="J745" s="644">
        <f>OBRA!AE747</f>
        <v>45233</v>
      </c>
      <c r="K745" s="553" t="s">
        <v>5989</v>
      </c>
      <c r="L745" s="643">
        <f>OBRA!AF747</f>
        <v>45233</v>
      </c>
      <c r="M745" s="553" t="s">
        <v>5989</v>
      </c>
      <c r="N745" s="643">
        <f>OBRA!AG747</f>
        <v>45240</v>
      </c>
      <c r="O745" s="176" t="s">
        <v>4644</v>
      </c>
      <c r="P745" s="604">
        <v>0.41666666666666669</v>
      </c>
      <c r="Q745" s="553" t="s">
        <v>5989</v>
      </c>
      <c r="R745" s="642">
        <f>OBRA!AH747</f>
        <v>45244</v>
      </c>
      <c r="S745" s="1574" t="s">
        <v>6092</v>
      </c>
      <c r="T745" s="652" t="str">
        <f>OBRA!U747</f>
        <v>OCTAVA CUATRO VISITAS, S.A. DE C.V.</v>
      </c>
      <c r="U745" s="718" t="str">
        <f>OBRA!V747</f>
        <v>ING. J. GUADALUPE IBARRA RAMIREZ</v>
      </c>
      <c r="V745" s="650"/>
      <c r="W745" s="180" t="str">
        <f>OBRA!L747</f>
        <v>CSS-OP-CC-024/2023</v>
      </c>
      <c r="X745" s="1567" t="s">
        <v>5606</v>
      </c>
      <c r="Y745" s="329" t="s">
        <v>5983</v>
      </c>
      <c r="Z745" s="633" t="str">
        <f>OBRA!K747</f>
        <v>CUENTA CORRIENTE</v>
      </c>
      <c r="AA745" s="329" t="s">
        <v>2354</v>
      </c>
      <c r="AB745" s="202" t="str">
        <f>OBRA!M747</f>
        <v>CONCURSO SIMPLIFICADO SUMARIO</v>
      </c>
      <c r="AC745" s="328" t="str">
        <f>OBRA!N747</f>
        <v>"CONSTRUCCIÓN DE 29 LOCALES COMERCIALES EN PLAZOLETA", EN LA LOCALIDAD DE CHANTEPEC, MUNICIPIO DE JOCOTEPEC, JALISCO.</v>
      </c>
      <c r="AD745" s="85">
        <f>OBRA!P747</f>
        <v>5281923.58</v>
      </c>
      <c r="AE745" s="69">
        <f>OBRA!Q747</f>
        <v>45245</v>
      </c>
      <c r="AF745" s="255">
        <f>OBRA!R747</f>
        <v>45251</v>
      </c>
      <c r="AG745" s="245">
        <f>OBRA!S747</f>
        <v>45004</v>
      </c>
      <c r="AH745" s="1897" t="s">
        <v>4498</v>
      </c>
      <c r="AI745" s="180"/>
      <c r="AJ745" s="202"/>
      <c r="AK745" s="202"/>
      <c r="AL745" s="205"/>
      <c r="AM745" s="282" t="str">
        <f>GRAL!B749</f>
        <v>2021-2024</v>
      </c>
      <c r="AN745" s="329"/>
      <c r="AO745" s="13"/>
    </row>
    <row r="746" spans="1:41" ht="60" hidden="1">
      <c r="A746" s="166">
        <f>OBRA!I748</f>
        <v>2023</v>
      </c>
      <c r="B746" s="2036"/>
      <c r="C746" s="1612"/>
      <c r="D746" s="171"/>
      <c r="E746" s="1393"/>
      <c r="F746" s="1393"/>
      <c r="G746" s="1394"/>
      <c r="H746" s="1395" t="str">
        <f>OBRA!AD748</f>
        <v>-</v>
      </c>
      <c r="I746" s="1396"/>
      <c r="J746" s="1613" t="str">
        <f>OBRA!AE748</f>
        <v>-</v>
      </c>
      <c r="K746" s="1397"/>
      <c r="L746" s="1395" t="str">
        <f>OBRA!AF748</f>
        <v>-</v>
      </c>
      <c r="M746" s="1398"/>
      <c r="N746" s="1395" t="str">
        <f>OBRA!AG748</f>
        <v>-</v>
      </c>
      <c r="O746" s="1395"/>
      <c r="P746" s="1395"/>
      <c r="Q746" s="1397"/>
      <c r="R746" s="479" t="str">
        <f>OBRA!AH748</f>
        <v>-</v>
      </c>
      <c r="S746" s="591"/>
      <c r="T746" s="446" t="str">
        <f>OBRA!U748</f>
        <v xml:space="preserve">DORIA &amp; SAMPIER CONSTRUCTORA, S.A. DE C.V. </v>
      </c>
      <c r="U746" s="447" t="str">
        <f>OBRA!V748</f>
        <v>ARQ. JAIME CONDE GOMEZ</v>
      </c>
      <c r="V746" s="1281"/>
      <c r="W746" s="20" t="str">
        <f>OBRA!L748</f>
        <v>GMJ 025C OP/2023</v>
      </c>
      <c r="X746" s="1659"/>
      <c r="Y746" s="1659"/>
      <c r="Z746" s="448" t="str">
        <f>OBRA!K748</f>
        <v>CUENTA CORRIENTE</v>
      </c>
      <c r="AA746" s="1659"/>
      <c r="AB746" s="2" t="str">
        <f>OBRA!M748</f>
        <v>ADJUDICACIÓN DIRECTA</v>
      </c>
      <c r="AC746" s="3" t="str">
        <f>OBRA!N748</f>
        <v>"REHABILITACIÓN DE PLAZA PRINCIPAL (3RA ETAPA)", EN LA LOCALIDAD DE HUEJOTITÁN, MUNICIPIO DE JOCOTEPEC, JALISCO.</v>
      </c>
      <c r="AD746" s="4">
        <f>OBRA!P748</f>
        <v>441962.08</v>
      </c>
      <c r="AE746" s="6">
        <f>OBRA!Q748</f>
        <v>45247</v>
      </c>
      <c r="AF746" s="5">
        <f>OBRA!R748</f>
        <v>45245</v>
      </c>
      <c r="AG746" s="428">
        <f>OBRA!S748</f>
        <v>45290</v>
      </c>
      <c r="AH746" s="1014"/>
      <c r="AI746" s="169"/>
      <c r="AJ746" s="239"/>
      <c r="AK746" s="239"/>
      <c r="AL746" s="715"/>
      <c r="AM746" s="573">
        <f>GRAL!B902</f>
        <v>0</v>
      </c>
      <c r="AN746" s="448"/>
      <c r="AO746" s="13"/>
    </row>
    <row r="747" spans="1:41" ht="105">
      <c r="A747" s="1868">
        <f>OBRA!I749</f>
        <v>2023</v>
      </c>
      <c r="B747" s="2087" t="str">
        <f t="shared" si="3"/>
        <v>FAIS-RAMO33/CC-OP-CSS-026/2023</v>
      </c>
      <c r="C747" s="2089"/>
      <c r="D747" s="179"/>
      <c r="E747" s="178"/>
      <c r="F747" s="178"/>
      <c r="G747" s="2088"/>
      <c r="H747" s="643">
        <f>OBRA!AD749</f>
        <v>45254</v>
      </c>
      <c r="I747" s="2090"/>
      <c r="J747" s="644">
        <f>OBRA!AE749</f>
        <v>45257</v>
      </c>
      <c r="K747" s="2086"/>
      <c r="L747" s="643">
        <f>OBRA!AF749</f>
        <v>45257</v>
      </c>
      <c r="M747" s="2091"/>
      <c r="N747" s="643">
        <f>OBRA!AG749</f>
        <v>45264</v>
      </c>
      <c r="O747" s="643"/>
      <c r="P747" s="643"/>
      <c r="Q747" s="2086"/>
      <c r="R747" s="642">
        <f>OBRA!AH749</f>
        <v>45267</v>
      </c>
      <c r="S747" s="349"/>
      <c r="T747" s="652" t="str">
        <f>OBRA!U749</f>
        <v>EDIFICACIONES Y TERRACERIAS CH, S.A. DE C.V.</v>
      </c>
      <c r="U747" s="718" t="str">
        <f>OBRA!V749</f>
        <v>C. DANIEL RODRIGUEZ VALENZUELA</v>
      </c>
      <c r="V747" s="650"/>
      <c r="W747" s="180" t="str">
        <f>OBRA!L749</f>
        <v>FAIS-RAMO33/CC-OP-CSS-026/2023</v>
      </c>
      <c r="X747" s="329"/>
      <c r="Y747" s="329"/>
      <c r="Z747" s="633" t="str">
        <f>OBRA!K749</f>
        <v>CTA-CTE / RAMO 33</v>
      </c>
      <c r="AA747" s="329"/>
      <c r="AB747" s="202" t="str">
        <f>OBRA!M749</f>
        <v>CONCURSO SIMPLIFICADO SUMARIO CON RECURSOS CONCURRIDOS</v>
      </c>
      <c r="AC747" s="328" t="str">
        <f>OBRA!N749</f>
        <v>"CONSTRUCCIÓN DE UN CARCAMO DE BOMBEO EN LA ZONA DEL MALECÓN, CERCA DE LA PLANTA DE TRATAMIENTO DE AGUAS RESIDUALES, POR CALLE RIVERA DEL LAGO, ESQUINA CON CALLE JOSÉ SANTANA", EN LA CABECERA MUNICIPAL DE JOCOTEPEC, JALISCO.</v>
      </c>
      <c r="AD747" s="85">
        <f>OBRA!P749</f>
        <v>2969939.23</v>
      </c>
      <c r="AE747" s="69">
        <f>OBRA!Q749</f>
        <v>45268</v>
      </c>
      <c r="AF747" s="255">
        <f>OBRA!R749</f>
        <v>45271</v>
      </c>
      <c r="AG747" s="2092">
        <f>OBRA!S749</f>
        <v>45290</v>
      </c>
      <c r="AH747" s="1897" t="s">
        <v>5850</v>
      </c>
      <c r="AI747" s="180"/>
      <c r="AJ747" s="202"/>
      <c r="AK747" s="202"/>
      <c r="AL747" s="205"/>
      <c r="AM747" s="282" t="str">
        <f>GRAL!B751</f>
        <v>2021-2024</v>
      </c>
      <c r="AN747" s="329"/>
      <c r="AO747" s="13"/>
    </row>
    <row r="748" spans="1:41" ht="75" hidden="1">
      <c r="A748" s="166">
        <f>OBRA!I750</f>
        <v>2023</v>
      </c>
      <c r="B748" s="2036"/>
      <c r="C748" s="1612"/>
      <c r="D748" s="171"/>
      <c r="E748" s="1393"/>
      <c r="F748" s="1393"/>
      <c r="G748" s="1394"/>
      <c r="H748" s="1395" t="str">
        <f>OBRA!AD750</f>
        <v>-</v>
      </c>
      <c r="I748" s="1396"/>
      <c r="J748" s="1613" t="str">
        <f>OBRA!AE750</f>
        <v>-</v>
      </c>
      <c r="K748" s="1397"/>
      <c r="L748" s="1395" t="str">
        <f>OBRA!AF750</f>
        <v>-</v>
      </c>
      <c r="M748" s="1398"/>
      <c r="N748" s="1395" t="str">
        <f>OBRA!AG750</f>
        <v>-</v>
      </c>
      <c r="O748" s="1395"/>
      <c r="P748" s="1395"/>
      <c r="Q748" s="1397"/>
      <c r="R748" s="479" t="str">
        <f>OBRA!AH750</f>
        <v>-</v>
      </c>
      <c r="S748" s="591"/>
      <c r="T748" s="446" t="str">
        <f>OBRA!U750</f>
        <v xml:space="preserve">DESARROLLADORA FARAR, S.A. DE C.V. </v>
      </c>
      <c r="U748" s="447" t="str">
        <f>OBRA!V750</f>
        <v>C. DANIEL RODRIGUEZ VALENZUELA</v>
      </c>
      <c r="V748" s="1281"/>
      <c r="W748" s="20" t="str">
        <f>OBRA!L750</f>
        <v>GMJ 027C OP/2023</v>
      </c>
      <c r="X748" s="1659"/>
      <c r="Y748" s="1659"/>
      <c r="Z748" s="448" t="str">
        <f>OBRA!K750</f>
        <v>CUENTA CORRIENTE</v>
      </c>
      <c r="AA748" s="1659"/>
      <c r="AB748" s="2" t="str">
        <f>OBRA!M750</f>
        <v>ADJUDICACIÓN DIRECTA</v>
      </c>
      <c r="AC748" s="3" t="str">
        <f>OBRA!N750</f>
        <v>"CONSTRUCCIÓN DE CALLE, ESTACIONAMIENTO, MACHUELOS Y CANCHA DE UNIDAD DEPORTIVA", EN LA LOCALIDAD DE CHANTEPEC, MUNICIPIO DE JOCOTEPEC.</v>
      </c>
      <c r="AD748" s="4">
        <f>OBRA!P750</f>
        <v>1515153.08</v>
      </c>
      <c r="AE748" s="6">
        <f>OBRA!Q750</f>
        <v>45258</v>
      </c>
      <c r="AF748" s="5">
        <f>OBRA!R750</f>
        <v>45264</v>
      </c>
      <c r="AG748" s="428">
        <f>OBRA!S750</f>
        <v>45374</v>
      </c>
      <c r="AH748" s="1014"/>
      <c r="AI748" s="169"/>
      <c r="AJ748" s="239"/>
      <c r="AK748" s="239"/>
      <c r="AL748" s="715"/>
      <c r="AM748" s="573">
        <f>GRAL!B904</f>
        <v>0</v>
      </c>
      <c r="AN748" s="448"/>
      <c r="AO748" s="13"/>
    </row>
    <row r="749" spans="1:41" ht="90" hidden="1">
      <c r="A749" s="166">
        <f>OBRA!I751</f>
        <v>2023</v>
      </c>
      <c r="B749" s="2036"/>
      <c r="C749" s="1612"/>
      <c r="D749" s="171"/>
      <c r="E749" s="1393"/>
      <c r="F749" s="1393"/>
      <c r="G749" s="1394"/>
      <c r="H749" s="1395" t="str">
        <f>OBRA!AD751</f>
        <v>-</v>
      </c>
      <c r="I749" s="1396"/>
      <c r="J749" s="1613" t="str">
        <f>OBRA!AE751</f>
        <v>-</v>
      </c>
      <c r="K749" s="1397"/>
      <c r="L749" s="1395" t="str">
        <f>OBRA!AF751</f>
        <v>-</v>
      </c>
      <c r="M749" s="1398"/>
      <c r="N749" s="1395" t="str">
        <f>OBRA!AG751</f>
        <v>-</v>
      </c>
      <c r="O749" s="1395"/>
      <c r="P749" s="1395"/>
      <c r="Q749" s="1397"/>
      <c r="R749" s="479" t="str">
        <f>OBRA!AH751</f>
        <v>-</v>
      </c>
      <c r="S749" s="591"/>
      <c r="T749" s="446" t="str">
        <f>OBRA!U751</f>
        <v>ACROX CONSTRUCCIONES, S.A. DE C.V.</v>
      </c>
      <c r="U749" s="447" t="str">
        <f>OBRA!V751</f>
        <v>C. DANIEL RODRIGUEZ VALENZUELA</v>
      </c>
      <c r="V749" s="1281"/>
      <c r="W749" s="20" t="str">
        <f>OBRA!L751</f>
        <v>GMJ 028C OP/2023</v>
      </c>
      <c r="X749" s="1659"/>
      <c r="Y749" s="1659"/>
      <c r="Z749" s="448" t="str">
        <f>OBRA!K751</f>
        <v>CUENTA CORRIENTE</v>
      </c>
      <c r="AA749" s="1659"/>
      <c r="AB749" s="2" t="str">
        <f>OBRA!M751</f>
        <v>ADJUDICACIÓN DIRECTA</v>
      </c>
      <c r="AC749" s="3" t="str">
        <f>OBRA!N751</f>
        <v>"CONSTRUCCIÓN DE BAÑOS, VESTIDORES, LOCALES COMERCIALES, DRENAJE SANITARIO Y PLUVIALES EN UNIDAD DEPORTIVA", EN LA LOCALIDAD DE CHANTEPEC, MUNICIPIO DE JOCOTEPEC, JALISCO.</v>
      </c>
      <c r="AD749" s="4">
        <f>OBRA!P751</f>
        <v>1777367.51</v>
      </c>
      <c r="AE749" s="6">
        <f>OBRA!Q751</f>
        <v>45258</v>
      </c>
      <c r="AF749" s="5">
        <f>OBRA!R751</f>
        <v>45264</v>
      </c>
      <c r="AG749" s="428">
        <f>OBRA!S751</f>
        <v>45374</v>
      </c>
      <c r="AH749" s="1014"/>
      <c r="AI749" s="169"/>
      <c r="AJ749" s="239"/>
      <c r="AK749" s="239"/>
      <c r="AL749" s="715"/>
      <c r="AM749" s="573">
        <f>GRAL!B905</f>
        <v>0</v>
      </c>
      <c r="AN749" s="448"/>
      <c r="AO749" s="13"/>
    </row>
    <row r="750" spans="1:41" ht="105" hidden="1">
      <c r="A750" s="166">
        <f>OBRA!I752</f>
        <v>2023</v>
      </c>
      <c r="B750" s="2036"/>
      <c r="C750" s="1612"/>
      <c r="D750" s="171"/>
      <c r="E750" s="1393"/>
      <c r="F750" s="1393"/>
      <c r="G750" s="1394"/>
      <c r="H750" s="1395" t="str">
        <f>OBRA!AD752</f>
        <v>-</v>
      </c>
      <c r="I750" s="1396"/>
      <c r="J750" s="1613" t="str">
        <f>OBRA!AE752</f>
        <v>-</v>
      </c>
      <c r="K750" s="1397"/>
      <c r="L750" s="1395" t="str">
        <f>OBRA!AF752</f>
        <v>-</v>
      </c>
      <c r="M750" s="1398"/>
      <c r="N750" s="1395" t="str">
        <f>OBRA!AG752</f>
        <v>-</v>
      </c>
      <c r="O750" s="1395"/>
      <c r="P750" s="1395"/>
      <c r="Q750" s="1397"/>
      <c r="R750" s="479" t="str">
        <f>OBRA!AH752</f>
        <v>-</v>
      </c>
      <c r="S750" s="591"/>
      <c r="T750" s="446" t="str">
        <f>OBRA!U752</f>
        <v>TERRACERÍAS Y PAVIMENTOS DE LA RIBERA, S.A. DE C.V.</v>
      </c>
      <c r="U750" s="447" t="str">
        <f>OBRA!V752</f>
        <v>C. DANIEL RODRIGUEZ VALENZUELA</v>
      </c>
      <c r="V750" s="1281"/>
      <c r="W750" s="20" t="str">
        <f>OBRA!L752</f>
        <v>GMJ 029C OP/2023</v>
      </c>
      <c r="X750" s="1659"/>
      <c r="Y750" s="1659"/>
      <c r="Z750" s="448" t="str">
        <f>OBRA!K752</f>
        <v>RAMO 33</v>
      </c>
      <c r="AA750" s="1659"/>
      <c r="AB750" s="2" t="str">
        <f>OBRA!M752</f>
        <v>ADJUDICACIÓN DIRECTA</v>
      </c>
      <c r="AC750" s="3" t="str">
        <f>OBRA!N752</f>
        <v>"CONSTRUCCIÓN DE LÍNEA DE COLECTOR SANITARIO DE PVC DE 18 PULGADAS A NUEVO CARCAMOS DE BOMBEO Y LÍNEA DE BOMBEO DE ACERO DE 8 PULGADAS DE NUEVO CARCAMO A PLANTA DE TRATAMIENTO", EN LA CABECERA MUNICIPAL DE JOCOTEPEC, JALISCO.</v>
      </c>
      <c r="AD750" s="4">
        <f>OBRA!P752</f>
        <v>521271.1</v>
      </c>
      <c r="AE750" s="6">
        <f>OBRA!Q752</f>
        <v>45257</v>
      </c>
      <c r="AF750" s="5">
        <f>OBRA!R752</f>
        <v>45258</v>
      </c>
      <c r="AG750" s="428">
        <f>OBRA!S752</f>
        <v>45276</v>
      </c>
      <c r="AH750" s="1014"/>
      <c r="AI750" s="169"/>
      <c r="AJ750" s="239"/>
      <c r="AK750" s="239"/>
      <c r="AL750" s="715"/>
      <c r="AM750" s="573">
        <f>GRAL!B906</f>
        <v>0</v>
      </c>
      <c r="AN750" s="448"/>
      <c r="AO750" s="13"/>
    </row>
    <row r="751" spans="1:41" ht="90" hidden="1">
      <c r="A751" s="166">
        <f>OBRA!I753</f>
        <v>2023</v>
      </c>
      <c r="B751" s="2036"/>
      <c r="C751" s="1612"/>
      <c r="D751" s="171"/>
      <c r="E751" s="1393"/>
      <c r="F751" s="1393"/>
      <c r="G751" s="1394"/>
      <c r="H751" s="1395" t="str">
        <f>OBRA!AD753</f>
        <v>-</v>
      </c>
      <c r="I751" s="1396"/>
      <c r="J751" s="1613" t="str">
        <f>OBRA!AE753</f>
        <v>-</v>
      </c>
      <c r="K751" s="1397"/>
      <c r="L751" s="1395" t="str">
        <f>OBRA!AF753</f>
        <v>-</v>
      </c>
      <c r="M751" s="1398"/>
      <c r="N751" s="1395" t="str">
        <f>OBRA!AG753</f>
        <v>-</v>
      </c>
      <c r="O751" s="1395"/>
      <c r="P751" s="1395"/>
      <c r="Q751" s="1397"/>
      <c r="R751" s="479" t="str">
        <f>OBRA!AH753</f>
        <v>-</v>
      </c>
      <c r="S751" s="591"/>
      <c r="T751" s="446" t="str">
        <f>OBRA!U753</f>
        <v>ESTRUCTURAS PLANEADAS DE OCCIDENTE, S.A. DE C.V.</v>
      </c>
      <c r="U751" s="447" t="str">
        <f>OBRA!V753</f>
        <v>C. DANIEL RODRIGUEZ VALENZUELA</v>
      </c>
      <c r="V751" s="1281"/>
      <c r="W751" s="20" t="str">
        <f>OBRA!L753</f>
        <v>GMJ 030C OP/2023</v>
      </c>
      <c r="X751" s="1659"/>
      <c r="Y751" s="1659"/>
      <c r="Z751" s="448" t="str">
        <f>OBRA!K753</f>
        <v xml:space="preserve">FORTAMUN </v>
      </c>
      <c r="AA751" s="1659"/>
      <c r="AB751" s="2" t="str">
        <f>OBRA!M753</f>
        <v>ADJUDICACIÓN DIRECTA</v>
      </c>
      <c r="AC751" s="3" t="str">
        <f>OBRA!N753</f>
        <v>"CONSTRUCCIÓN DE LÍNEA DE ABASTECIMIENTO DEL POZO DE AGUA POTABLE EN PRIV. GUADALUPE VICTORIA A RED PRINCIPAL EN C. ZARAGOZA", EN LA LOCALIDAD DE SAN JUAN COSALÁ, MUNICIPIO DE JOCOTEPEC, JALISCO.</v>
      </c>
      <c r="AD751" s="4">
        <f>OBRA!P753</f>
        <v>810268.98</v>
      </c>
      <c r="AE751" s="6">
        <f>OBRA!Q753</f>
        <v>45269</v>
      </c>
      <c r="AF751" s="5">
        <f>OBRA!R753</f>
        <v>45271</v>
      </c>
      <c r="AG751" s="428">
        <f>OBRA!S753</f>
        <v>45290</v>
      </c>
      <c r="AH751" s="1014"/>
      <c r="AI751" s="169"/>
      <c r="AJ751" s="239"/>
      <c r="AK751" s="239"/>
      <c r="AL751" s="715"/>
      <c r="AM751" s="573">
        <f>GRAL!B907</f>
        <v>0</v>
      </c>
      <c r="AN751" s="448"/>
      <c r="AO751" s="13"/>
    </row>
    <row r="752" spans="1:41" hidden="1">
      <c r="A752" s="166">
        <f>OBRA!I754</f>
        <v>0</v>
      </c>
      <c r="B752" s="2036"/>
      <c r="C752" s="1612"/>
      <c r="D752" s="171"/>
      <c r="E752" s="1393"/>
      <c r="F752" s="1393"/>
      <c r="G752" s="1394"/>
      <c r="H752" s="1395">
        <f>OBRA!AD754</f>
        <v>0</v>
      </c>
      <c r="I752" s="1396"/>
      <c r="J752" s="1613">
        <f>OBRA!AE754</f>
        <v>0</v>
      </c>
      <c r="K752" s="1397"/>
      <c r="L752" s="1395">
        <f>OBRA!AF754</f>
        <v>0</v>
      </c>
      <c r="M752" s="1398"/>
      <c r="N752" s="1395">
        <f>OBRA!AG754</f>
        <v>0</v>
      </c>
      <c r="O752" s="1395"/>
      <c r="P752" s="1395"/>
      <c r="Q752" s="1397"/>
      <c r="R752" s="479">
        <f>OBRA!AH754</f>
        <v>0</v>
      </c>
      <c r="S752" s="591"/>
      <c r="T752" s="446">
        <f>OBRA!U754</f>
        <v>0</v>
      </c>
      <c r="U752" s="447">
        <f>OBRA!V754</f>
        <v>0</v>
      </c>
      <c r="V752" s="1281"/>
      <c r="W752" s="20">
        <f>OBRA!L754</f>
        <v>0</v>
      </c>
      <c r="X752" s="1659"/>
      <c r="Y752" s="1659"/>
      <c r="Z752" s="448">
        <f>OBRA!K754</f>
        <v>0</v>
      </c>
      <c r="AA752" s="1659"/>
      <c r="AB752" s="2">
        <f>OBRA!M754</f>
        <v>0</v>
      </c>
      <c r="AC752" s="3">
        <f>OBRA!N754</f>
        <v>0</v>
      </c>
      <c r="AD752" s="4">
        <f>OBRA!P754</f>
        <v>0</v>
      </c>
      <c r="AE752" s="6">
        <f>OBRA!Q754</f>
        <v>0</v>
      </c>
      <c r="AF752" s="5">
        <f>OBRA!R754</f>
        <v>0</v>
      </c>
      <c r="AG752" s="428">
        <f>OBRA!S754</f>
        <v>0</v>
      </c>
      <c r="AH752" s="1014"/>
      <c r="AI752" s="169"/>
      <c r="AJ752" s="239"/>
      <c r="AK752" s="239"/>
      <c r="AL752" s="715"/>
      <c r="AM752" s="573">
        <f>GRAL!B908</f>
        <v>0</v>
      </c>
      <c r="AN752" s="448"/>
      <c r="AO752" s="13"/>
    </row>
    <row r="753" spans="1:41" hidden="1">
      <c r="A753" s="166">
        <f>OBRA!I755</f>
        <v>0</v>
      </c>
      <c r="B753" s="2036"/>
      <c r="C753" s="1612"/>
      <c r="D753" s="171"/>
      <c r="E753" s="1393"/>
      <c r="F753" s="1393"/>
      <c r="G753" s="1394"/>
      <c r="H753" s="1395">
        <f>OBRA!AD755</f>
        <v>0</v>
      </c>
      <c r="I753" s="1396"/>
      <c r="J753" s="1613">
        <f>OBRA!AE755</f>
        <v>0</v>
      </c>
      <c r="K753" s="1397"/>
      <c r="L753" s="1395">
        <f>OBRA!AF755</f>
        <v>0</v>
      </c>
      <c r="M753" s="1398"/>
      <c r="N753" s="1395">
        <f>OBRA!AG755</f>
        <v>0</v>
      </c>
      <c r="O753" s="1395"/>
      <c r="P753" s="1395"/>
      <c r="Q753" s="1397"/>
      <c r="R753" s="479">
        <f>OBRA!AH755</f>
        <v>0</v>
      </c>
      <c r="S753" s="591"/>
      <c r="T753" s="446">
        <f>OBRA!U755</f>
        <v>0</v>
      </c>
      <c r="U753" s="447">
        <f>OBRA!V755</f>
        <v>0</v>
      </c>
      <c r="V753" s="1281"/>
      <c r="W753" s="20">
        <f>OBRA!L755</f>
        <v>0</v>
      </c>
      <c r="X753" s="1659"/>
      <c r="Y753" s="1659"/>
      <c r="Z753" s="448">
        <f>OBRA!K755</f>
        <v>0</v>
      </c>
      <c r="AA753" s="1659"/>
      <c r="AB753" s="2">
        <f>OBRA!M755</f>
        <v>0</v>
      </c>
      <c r="AC753" s="3">
        <f>OBRA!N755</f>
        <v>0</v>
      </c>
      <c r="AD753" s="4">
        <f>OBRA!P755</f>
        <v>0</v>
      </c>
      <c r="AE753" s="6">
        <f>OBRA!Q755</f>
        <v>0</v>
      </c>
      <c r="AF753" s="5">
        <f>OBRA!R755</f>
        <v>0</v>
      </c>
      <c r="AG753" s="428">
        <f>OBRA!S755</f>
        <v>0</v>
      </c>
      <c r="AH753" s="1014"/>
      <c r="AI753" s="169"/>
      <c r="AJ753" s="239"/>
      <c r="AK753" s="239"/>
      <c r="AL753" s="715"/>
      <c r="AM753" s="573">
        <f>GRAL!B909</f>
        <v>0</v>
      </c>
      <c r="AN753" s="448"/>
      <c r="AO753" s="13"/>
    </row>
    <row r="754" spans="1:41" hidden="1">
      <c r="A754" s="166">
        <f>OBRA!I756</f>
        <v>0</v>
      </c>
      <c r="B754" s="2036"/>
      <c r="C754" s="1612"/>
      <c r="D754" s="171"/>
      <c r="E754" s="1393"/>
      <c r="F754" s="1393"/>
      <c r="G754" s="1394"/>
      <c r="H754" s="1395">
        <f>OBRA!AD756</f>
        <v>0</v>
      </c>
      <c r="I754" s="1396"/>
      <c r="J754" s="1613">
        <f>OBRA!AE756</f>
        <v>0</v>
      </c>
      <c r="K754" s="1397"/>
      <c r="L754" s="1395">
        <f>OBRA!AF756</f>
        <v>0</v>
      </c>
      <c r="M754" s="1398"/>
      <c r="N754" s="1395">
        <f>OBRA!AG756</f>
        <v>0</v>
      </c>
      <c r="O754" s="1395"/>
      <c r="P754" s="1395"/>
      <c r="Q754" s="1397"/>
      <c r="R754" s="479">
        <f>OBRA!AH756</f>
        <v>0</v>
      </c>
      <c r="S754" s="591"/>
      <c r="T754" s="446">
        <f>OBRA!U756</f>
        <v>0</v>
      </c>
      <c r="U754" s="447">
        <f>OBRA!V756</f>
        <v>0</v>
      </c>
      <c r="V754" s="1281"/>
      <c r="W754" s="20">
        <f>OBRA!L756</f>
        <v>0</v>
      </c>
      <c r="X754" s="1659"/>
      <c r="Y754" s="1659"/>
      <c r="Z754" s="448">
        <f>OBRA!K756</f>
        <v>0</v>
      </c>
      <c r="AA754" s="1659"/>
      <c r="AB754" s="2">
        <f>OBRA!M756</f>
        <v>0</v>
      </c>
      <c r="AC754" s="3">
        <f>OBRA!N756</f>
        <v>0</v>
      </c>
      <c r="AD754" s="4">
        <f>OBRA!P756</f>
        <v>0</v>
      </c>
      <c r="AE754" s="6">
        <f>OBRA!Q756</f>
        <v>0</v>
      </c>
      <c r="AF754" s="5">
        <f>OBRA!R756</f>
        <v>0</v>
      </c>
      <c r="AG754" s="428">
        <f>OBRA!S756</f>
        <v>0</v>
      </c>
      <c r="AH754" s="1014"/>
      <c r="AI754" s="169"/>
      <c r="AJ754" s="239"/>
      <c r="AK754" s="239"/>
      <c r="AL754" s="715"/>
      <c r="AM754" s="573">
        <f>GRAL!B910</f>
        <v>0</v>
      </c>
      <c r="AN754" s="448"/>
      <c r="AO754" s="13"/>
    </row>
    <row r="755" spans="1:41" hidden="1">
      <c r="A755" s="166">
        <f>OBRA!I757</f>
        <v>0</v>
      </c>
      <c r="B755" s="2036"/>
      <c r="C755" s="1612"/>
      <c r="D755" s="171"/>
      <c r="E755" s="1393"/>
      <c r="F755" s="1393"/>
      <c r="G755" s="1394"/>
      <c r="H755" s="1395">
        <f>OBRA!AD757</f>
        <v>0</v>
      </c>
      <c r="I755" s="1396"/>
      <c r="J755" s="1613">
        <f>OBRA!AE757</f>
        <v>0</v>
      </c>
      <c r="K755" s="1397"/>
      <c r="L755" s="1395">
        <f>OBRA!AF757</f>
        <v>0</v>
      </c>
      <c r="M755" s="1398"/>
      <c r="N755" s="1395">
        <f>OBRA!AG757</f>
        <v>0</v>
      </c>
      <c r="O755" s="1395"/>
      <c r="P755" s="1395"/>
      <c r="Q755" s="1397"/>
      <c r="R755" s="479">
        <f>OBRA!AH757</f>
        <v>0</v>
      </c>
      <c r="S755" s="591"/>
      <c r="T755" s="446">
        <f>OBRA!U757</f>
        <v>0</v>
      </c>
      <c r="U755" s="447">
        <f>OBRA!V757</f>
        <v>0</v>
      </c>
      <c r="V755" s="1281"/>
      <c r="W755" s="20">
        <f>OBRA!L757</f>
        <v>0</v>
      </c>
      <c r="X755" s="1659"/>
      <c r="Y755" s="1659"/>
      <c r="Z755" s="448">
        <f>OBRA!K757</f>
        <v>0</v>
      </c>
      <c r="AA755" s="1659"/>
      <c r="AB755" s="2">
        <f>OBRA!M757</f>
        <v>0</v>
      </c>
      <c r="AC755" s="3">
        <f>OBRA!N757</f>
        <v>0</v>
      </c>
      <c r="AD755" s="4">
        <f>OBRA!P757</f>
        <v>0</v>
      </c>
      <c r="AE755" s="6">
        <f>OBRA!Q757</f>
        <v>0</v>
      </c>
      <c r="AF755" s="5">
        <f>OBRA!R757</f>
        <v>0</v>
      </c>
      <c r="AG755" s="428">
        <f>OBRA!S757</f>
        <v>0</v>
      </c>
      <c r="AH755" s="1014"/>
      <c r="AI755" s="169"/>
      <c r="AJ755" s="239"/>
      <c r="AK755" s="239"/>
      <c r="AL755" s="715"/>
      <c r="AM755" s="573">
        <f>GRAL!B911</f>
        <v>0</v>
      </c>
      <c r="AN755" s="448"/>
      <c r="AO755" s="13"/>
    </row>
    <row r="756" spans="1:41" hidden="1">
      <c r="A756" s="166">
        <f>OBRA!I758</f>
        <v>0</v>
      </c>
      <c r="B756" s="2036"/>
      <c r="C756" s="1612"/>
      <c r="D756" s="171"/>
      <c r="E756" s="1393"/>
      <c r="F756" s="1393"/>
      <c r="G756" s="1394"/>
      <c r="H756" s="1395">
        <f>OBRA!AD758</f>
        <v>0</v>
      </c>
      <c r="I756" s="1396"/>
      <c r="J756" s="1613">
        <f>OBRA!AE758</f>
        <v>0</v>
      </c>
      <c r="K756" s="1397"/>
      <c r="L756" s="1395">
        <f>OBRA!AF758</f>
        <v>0</v>
      </c>
      <c r="M756" s="1398"/>
      <c r="N756" s="1395">
        <f>OBRA!AG758</f>
        <v>0</v>
      </c>
      <c r="O756" s="1395"/>
      <c r="P756" s="1395"/>
      <c r="Q756" s="1397"/>
      <c r="R756" s="479">
        <f>OBRA!AH758</f>
        <v>0</v>
      </c>
      <c r="S756" s="591"/>
      <c r="T756" s="446">
        <f>OBRA!U758</f>
        <v>0</v>
      </c>
      <c r="U756" s="447">
        <f>OBRA!V758</f>
        <v>0</v>
      </c>
      <c r="V756" s="1281"/>
      <c r="W756" s="20">
        <f>OBRA!L758</f>
        <v>0</v>
      </c>
      <c r="X756" s="1659"/>
      <c r="Y756" s="1659"/>
      <c r="Z756" s="448">
        <f>OBRA!K758</f>
        <v>0</v>
      </c>
      <c r="AA756" s="1659"/>
      <c r="AB756" s="2">
        <f>OBRA!M758</f>
        <v>0</v>
      </c>
      <c r="AC756" s="3">
        <f>OBRA!N758</f>
        <v>0</v>
      </c>
      <c r="AD756" s="4">
        <f>OBRA!P758</f>
        <v>0</v>
      </c>
      <c r="AE756" s="6">
        <f>OBRA!Q758</f>
        <v>0</v>
      </c>
      <c r="AF756" s="5">
        <f>OBRA!R758</f>
        <v>0</v>
      </c>
      <c r="AG756" s="428">
        <f>OBRA!S758</f>
        <v>0</v>
      </c>
      <c r="AH756" s="1014"/>
      <c r="AI756" s="169"/>
      <c r="AJ756" s="239"/>
      <c r="AK756" s="239"/>
      <c r="AL756" s="715"/>
      <c r="AM756" s="573">
        <f>GRAL!B912</f>
        <v>0</v>
      </c>
      <c r="AN756" s="448"/>
      <c r="AO756" s="13"/>
    </row>
    <row r="757" spans="1:41" hidden="1">
      <c r="A757" s="166">
        <f>OBRA!I759</f>
        <v>0</v>
      </c>
      <c r="B757" s="2036"/>
      <c r="C757" s="1612"/>
      <c r="D757" s="171"/>
      <c r="E757" s="1393"/>
      <c r="F757" s="1393"/>
      <c r="G757" s="1394"/>
      <c r="H757" s="1395">
        <f>OBRA!AD759</f>
        <v>0</v>
      </c>
      <c r="I757" s="1396"/>
      <c r="J757" s="1613">
        <f>OBRA!AE759</f>
        <v>0</v>
      </c>
      <c r="K757" s="1397"/>
      <c r="L757" s="1395">
        <f>OBRA!AF759</f>
        <v>0</v>
      </c>
      <c r="M757" s="1398"/>
      <c r="N757" s="1395">
        <f>OBRA!AG759</f>
        <v>0</v>
      </c>
      <c r="O757" s="1395"/>
      <c r="P757" s="1395"/>
      <c r="Q757" s="1397"/>
      <c r="R757" s="479">
        <f>OBRA!AH759</f>
        <v>0</v>
      </c>
      <c r="S757" s="591"/>
      <c r="T757" s="446">
        <f>OBRA!U759</f>
        <v>0</v>
      </c>
      <c r="U757" s="447">
        <f>OBRA!V759</f>
        <v>0</v>
      </c>
      <c r="V757" s="1281"/>
      <c r="W757" s="20">
        <f>OBRA!L759</f>
        <v>0</v>
      </c>
      <c r="X757" s="1659"/>
      <c r="Y757" s="1659"/>
      <c r="Z757" s="448">
        <f>OBRA!K759</f>
        <v>0</v>
      </c>
      <c r="AA757" s="1659"/>
      <c r="AB757" s="2">
        <f>OBRA!M759</f>
        <v>0</v>
      </c>
      <c r="AC757" s="3">
        <f>OBRA!N759</f>
        <v>0</v>
      </c>
      <c r="AD757" s="4">
        <f>OBRA!P759</f>
        <v>0</v>
      </c>
      <c r="AE757" s="6">
        <f>OBRA!Q759</f>
        <v>0</v>
      </c>
      <c r="AF757" s="5">
        <f>OBRA!R759</f>
        <v>0</v>
      </c>
      <c r="AG757" s="428">
        <f>OBRA!S759</f>
        <v>0</v>
      </c>
      <c r="AH757" s="1014"/>
      <c r="AI757" s="169"/>
      <c r="AJ757" s="239"/>
      <c r="AK757" s="239"/>
      <c r="AL757" s="715"/>
      <c r="AM757" s="573">
        <f>GRAL!B913</f>
        <v>0</v>
      </c>
      <c r="AN757" s="448"/>
      <c r="AO757" s="13"/>
    </row>
    <row r="758" spans="1:41" hidden="1">
      <c r="A758" s="166">
        <f>OBRA!I760</f>
        <v>0</v>
      </c>
      <c r="B758" s="2036"/>
      <c r="C758" s="1612"/>
      <c r="D758" s="171"/>
      <c r="E758" s="1393"/>
      <c r="F758" s="1393"/>
      <c r="G758" s="1394"/>
      <c r="H758" s="1395">
        <f>OBRA!AD760</f>
        <v>0</v>
      </c>
      <c r="I758" s="1396"/>
      <c r="J758" s="1613">
        <f>OBRA!AE760</f>
        <v>0</v>
      </c>
      <c r="K758" s="1397"/>
      <c r="L758" s="1395">
        <f>OBRA!AF760</f>
        <v>0</v>
      </c>
      <c r="M758" s="1398"/>
      <c r="N758" s="1395">
        <f>OBRA!AG760</f>
        <v>0</v>
      </c>
      <c r="O758" s="1395"/>
      <c r="P758" s="1395"/>
      <c r="Q758" s="1397"/>
      <c r="R758" s="479">
        <f>OBRA!AH760</f>
        <v>0</v>
      </c>
      <c r="S758" s="591"/>
      <c r="T758" s="446">
        <f>OBRA!U760</f>
        <v>0</v>
      </c>
      <c r="U758" s="447">
        <f>OBRA!V760</f>
        <v>0</v>
      </c>
      <c r="V758" s="1281"/>
      <c r="W758" s="20">
        <f>OBRA!L760</f>
        <v>0</v>
      </c>
      <c r="X758" s="1659"/>
      <c r="Y758" s="1659"/>
      <c r="Z758" s="448">
        <f>OBRA!K760</f>
        <v>0</v>
      </c>
      <c r="AA758" s="1659"/>
      <c r="AB758" s="2">
        <f>OBRA!M760</f>
        <v>0</v>
      </c>
      <c r="AC758" s="3">
        <f>OBRA!N760</f>
        <v>0</v>
      </c>
      <c r="AD758" s="4">
        <f>OBRA!P760</f>
        <v>0</v>
      </c>
      <c r="AE758" s="6">
        <f>OBRA!Q760</f>
        <v>0</v>
      </c>
      <c r="AF758" s="5">
        <f>OBRA!R760</f>
        <v>0</v>
      </c>
      <c r="AG758" s="428">
        <f>OBRA!S760</f>
        <v>0</v>
      </c>
      <c r="AH758" s="1014"/>
      <c r="AI758" s="169"/>
      <c r="AJ758" s="239"/>
      <c r="AK758" s="239"/>
      <c r="AL758" s="715"/>
      <c r="AM758" s="573">
        <f>GRAL!B914</f>
        <v>0</v>
      </c>
      <c r="AN758" s="448"/>
      <c r="AO758" s="13"/>
    </row>
    <row r="759" spans="1:41" hidden="1">
      <c r="A759" s="166">
        <f>OBRA!I761</f>
        <v>0</v>
      </c>
      <c r="B759" s="2036"/>
      <c r="C759" s="1612"/>
      <c r="D759" s="171"/>
      <c r="E759" s="1393"/>
      <c r="F759" s="1393"/>
      <c r="G759" s="1394"/>
      <c r="H759" s="1395">
        <f>OBRA!AD761</f>
        <v>0</v>
      </c>
      <c r="I759" s="1396"/>
      <c r="J759" s="1613">
        <f>OBRA!AE761</f>
        <v>0</v>
      </c>
      <c r="K759" s="1397"/>
      <c r="L759" s="1395">
        <f>OBRA!AF761</f>
        <v>0</v>
      </c>
      <c r="M759" s="1398"/>
      <c r="N759" s="1395">
        <f>OBRA!AG761</f>
        <v>0</v>
      </c>
      <c r="O759" s="1395"/>
      <c r="P759" s="1395"/>
      <c r="Q759" s="1397"/>
      <c r="R759" s="479">
        <f>OBRA!AH761</f>
        <v>0</v>
      </c>
      <c r="S759" s="591"/>
      <c r="T759" s="446">
        <f>OBRA!U761</f>
        <v>0</v>
      </c>
      <c r="U759" s="447">
        <f>OBRA!V761</f>
        <v>0</v>
      </c>
      <c r="V759" s="1281"/>
      <c r="W759" s="20">
        <f>OBRA!L761</f>
        <v>0</v>
      </c>
      <c r="X759" s="1659"/>
      <c r="Y759" s="1659"/>
      <c r="Z759" s="448">
        <f>OBRA!K761</f>
        <v>0</v>
      </c>
      <c r="AA759" s="1659"/>
      <c r="AB759" s="2">
        <f>OBRA!M761</f>
        <v>0</v>
      </c>
      <c r="AC759" s="3">
        <f>OBRA!N761</f>
        <v>0</v>
      </c>
      <c r="AD759" s="4">
        <f>OBRA!P761</f>
        <v>0</v>
      </c>
      <c r="AE759" s="6">
        <f>OBRA!Q761</f>
        <v>0</v>
      </c>
      <c r="AF759" s="5">
        <f>OBRA!R761</f>
        <v>0</v>
      </c>
      <c r="AG759" s="428">
        <f>OBRA!S761</f>
        <v>0</v>
      </c>
      <c r="AH759" s="1014"/>
      <c r="AI759" s="169"/>
      <c r="AJ759" s="239"/>
      <c r="AK759" s="239"/>
      <c r="AL759" s="715"/>
      <c r="AM759" s="573">
        <f>GRAL!B915</f>
        <v>0</v>
      </c>
      <c r="AN759" s="448"/>
      <c r="AO759" s="13"/>
    </row>
    <row r="760" spans="1:41" hidden="1">
      <c r="A760" s="166">
        <f>OBRA!I762</f>
        <v>0</v>
      </c>
      <c r="B760" s="2036"/>
      <c r="C760" s="1612"/>
      <c r="D760" s="171"/>
      <c r="E760" s="1393"/>
      <c r="F760" s="1393"/>
      <c r="G760" s="1394"/>
      <c r="H760" s="1395">
        <f>OBRA!AD762</f>
        <v>0</v>
      </c>
      <c r="I760" s="1396"/>
      <c r="J760" s="1613">
        <f>OBRA!AE762</f>
        <v>0</v>
      </c>
      <c r="K760" s="1397"/>
      <c r="L760" s="1395">
        <f>OBRA!AF762</f>
        <v>0</v>
      </c>
      <c r="M760" s="1398"/>
      <c r="N760" s="1395">
        <f>OBRA!AG762</f>
        <v>0</v>
      </c>
      <c r="O760" s="1395"/>
      <c r="P760" s="1395"/>
      <c r="Q760" s="1397"/>
      <c r="R760" s="479">
        <f>OBRA!AH762</f>
        <v>0</v>
      </c>
      <c r="S760" s="591"/>
      <c r="T760" s="446">
        <f>OBRA!U762</f>
        <v>0</v>
      </c>
      <c r="U760" s="447">
        <f>OBRA!V762</f>
        <v>0</v>
      </c>
      <c r="V760" s="1281"/>
      <c r="W760" s="20">
        <f>OBRA!L762</f>
        <v>0</v>
      </c>
      <c r="X760" s="1659"/>
      <c r="Y760" s="1659"/>
      <c r="Z760" s="448">
        <f>OBRA!K762</f>
        <v>0</v>
      </c>
      <c r="AA760" s="1659"/>
      <c r="AB760" s="2">
        <f>OBRA!M762</f>
        <v>0</v>
      </c>
      <c r="AC760" s="3">
        <f>OBRA!N762</f>
        <v>0</v>
      </c>
      <c r="AD760" s="4">
        <f>OBRA!P762</f>
        <v>0</v>
      </c>
      <c r="AE760" s="6">
        <f>OBRA!Q762</f>
        <v>0</v>
      </c>
      <c r="AF760" s="5">
        <f>OBRA!R762</f>
        <v>0</v>
      </c>
      <c r="AG760" s="428">
        <f>OBRA!S762</f>
        <v>0</v>
      </c>
      <c r="AH760" s="1014"/>
      <c r="AI760" s="169"/>
      <c r="AJ760" s="239"/>
      <c r="AK760" s="239"/>
      <c r="AL760" s="715"/>
      <c r="AM760" s="573">
        <f>GRAL!B916</f>
        <v>0</v>
      </c>
      <c r="AN760" s="448"/>
      <c r="AO760" s="13"/>
    </row>
    <row r="761" spans="1:41" hidden="1">
      <c r="A761" s="166">
        <f>OBRA!I763</f>
        <v>0</v>
      </c>
      <c r="B761" s="2036"/>
      <c r="C761" s="1612"/>
      <c r="D761" s="171"/>
      <c r="E761" s="1393"/>
      <c r="F761" s="1393"/>
      <c r="G761" s="1394"/>
      <c r="H761" s="1395">
        <f>OBRA!AD763</f>
        <v>0</v>
      </c>
      <c r="I761" s="1396"/>
      <c r="J761" s="1613">
        <f>OBRA!AE763</f>
        <v>0</v>
      </c>
      <c r="K761" s="1397"/>
      <c r="L761" s="1395">
        <f>OBRA!AF763</f>
        <v>0</v>
      </c>
      <c r="M761" s="1398"/>
      <c r="N761" s="1395">
        <f>OBRA!AG763</f>
        <v>0</v>
      </c>
      <c r="O761" s="1395"/>
      <c r="P761" s="1395"/>
      <c r="Q761" s="1397"/>
      <c r="R761" s="479">
        <f>OBRA!AH763</f>
        <v>0</v>
      </c>
      <c r="S761" s="591"/>
      <c r="T761" s="446">
        <f>OBRA!U763</f>
        <v>0</v>
      </c>
      <c r="U761" s="447">
        <f>OBRA!V763</f>
        <v>0</v>
      </c>
      <c r="V761" s="1281"/>
      <c r="W761" s="20">
        <f>OBRA!L763</f>
        <v>0</v>
      </c>
      <c r="X761" s="1659"/>
      <c r="Y761" s="1659"/>
      <c r="Z761" s="448">
        <f>OBRA!K763</f>
        <v>0</v>
      </c>
      <c r="AA761" s="1659"/>
      <c r="AB761" s="2">
        <f>OBRA!M763</f>
        <v>0</v>
      </c>
      <c r="AC761" s="3">
        <f>OBRA!N763</f>
        <v>0</v>
      </c>
      <c r="AD761" s="4">
        <f>OBRA!P763</f>
        <v>0</v>
      </c>
      <c r="AE761" s="6">
        <f>OBRA!Q763</f>
        <v>0</v>
      </c>
      <c r="AF761" s="5">
        <f>OBRA!R763</f>
        <v>0</v>
      </c>
      <c r="AG761" s="428">
        <f>OBRA!S763</f>
        <v>0</v>
      </c>
      <c r="AH761" s="1014"/>
      <c r="AI761" s="169"/>
      <c r="AJ761" s="239"/>
      <c r="AK761" s="239"/>
      <c r="AL761" s="715"/>
      <c r="AM761" s="573">
        <f>GRAL!B917</f>
        <v>0</v>
      </c>
      <c r="AN761" s="448"/>
      <c r="AO761" s="13"/>
    </row>
    <row r="762" spans="1:41" hidden="1">
      <c r="A762" s="166">
        <f>OBRA!I764</f>
        <v>0</v>
      </c>
      <c r="B762" s="2036"/>
      <c r="C762" s="1612"/>
      <c r="D762" s="171"/>
      <c r="E762" s="1393"/>
      <c r="F762" s="1393"/>
      <c r="G762" s="1394"/>
      <c r="H762" s="1395">
        <f>OBRA!AD764</f>
        <v>0</v>
      </c>
      <c r="I762" s="1396"/>
      <c r="J762" s="1613">
        <f>OBRA!AE764</f>
        <v>0</v>
      </c>
      <c r="K762" s="1397"/>
      <c r="L762" s="1395">
        <f>OBRA!AF764</f>
        <v>0</v>
      </c>
      <c r="M762" s="1398"/>
      <c r="N762" s="1395">
        <f>OBRA!AG764</f>
        <v>0</v>
      </c>
      <c r="O762" s="1395"/>
      <c r="P762" s="1395"/>
      <c r="Q762" s="1397"/>
      <c r="R762" s="479">
        <f>OBRA!AH764</f>
        <v>0</v>
      </c>
      <c r="S762" s="591"/>
      <c r="T762" s="446">
        <f>OBRA!U764</f>
        <v>0</v>
      </c>
      <c r="U762" s="447">
        <f>OBRA!V764</f>
        <v>0</v>
      </c>
      <c r="V762" s="1281"/>
      <c r="W762" s="20">
        <f>OBRA!L764</f>
        <v>0</v>
      </c>
      <c r="X762" s="1659"/>
      <c r="Y762" s="1659"/>
      <c r="Z762" s="448">
        <f>OBRA!K764</f>
        <v>0</v>
      </c>
      <c r="AA762" s="1659"/>
      <c r="AB762" s="2">
        <f>OBRA!M764</f>
        <v>0</v>
      </c>
      <c r="AC762" s="3">
        <f>OBRA!N764</f>
        <v>0</v>
      </c>
      <c r="AD762" s="4">
        <f>OBRA!P764</f>
        <v>0</v>
      </c>
      <c r="AE762" s="6">
        <f>OBRA!Q764</f>
        <v>0</v>
      </c>
      <c r="AF762" s="5">
        <f>OBRA!R764</f>
        <v>0</v>
      </c>
      <c r="AG762" s="428">
        <f>OBRA!S764</f>
        <v>0</v>
      </c>
      <c r="AH762" s="1014"/>
      <c r="AI762" s="169"/>
      <c r="AJ762" s="239"/>
      <c r="AK762" s="239"/>
      <c r="AL762" s="715"/>
      <c r="AM762" s="573">
        <f>GRAL!B918</f>
        <v>0</v>
      </c>
      <c r="AN762" s="448"/>
      <c r="AO762" s="13"/>
    </row>
    <row r="763" spans="1:41" hidden="1">
      <c r="A763" s="166">
        <f>OBRA!I765</f>
        <v>0</v>
      </c>
      <c r="B763" s="2036"/>
      <c r="C763" s="1612"/>
      <c r="D763" s="171"/>
      <c r="E763" s="1393"/>
      <c r="F763" s="1393"/>
      <c r="G763" s="1394"/>
      <c r="H763" s="1395">
        <f>OBRA!AD765</f>
        <v>0</v>
      </c>
      <c r="I763" s="1396"/>
      <c r="J763" s="1613">
        <f>OBRA!AE765</f>
        <v>0</v>
      </c>
      <c r="K763" s="1397"/>
      <c r="L763" s="1395">
        <f>OBRA!AF765</f>
        <v>0</v>
      </c>
      <c r="M763" s="1398"/>
      <c r="N763" s="1395">
        <f>OBRA!AG765</f>
        <v>0</v>
      </c>
      <c r="O763" s="1395"/>
      <c r="P763" s="1395"/>
      <c r="Q763" s="1397"/>
      <c r="R763" s="479">
        <f>OBRA!AH765</f>
        <v>0</v>
      </c>
      <c r="S763" s="591"/>
      <c r="T763" s="446">
        <f>OBRA!U765</f>
        <v>0</v>
      </c>
      <c r="U763" s="447">
        <f>OBRA!V765</f>
        <v>0</v>
      </c>
      <c r="V763" s="1281"/>
      <c r="W763" s="20">
        <f>OBRA!L765</f>
        <v>0</v>
      </c>
      <c r="X763" s="1659"/>
      <c r="Y763" s="1659"/>
      <c r="Z763" s="448">
        <f>OBRA!K765</f>
        <v>0</v>
      </c>
      <c r="AA763" s="1659"/>
      <c r="AB763" s="2">
        <f>OBRA!M765</f>
        <v>0</v>
      </c>
      <c r="AC763" s="3">
        <f>OBRA!N765</f>
        <v>0</v>
      </c>
      <c r="AD763" s="4">
        <f>OBRA!P765</f>
        <v>0</v>
      </c>
      <c r="AE763" s="6">
        <f>OBRA!Q765</f>
        <v>0</v>
      </c>
      <c r="AF763" s="5">
        <f>OBRA!R765</f>
        <v>0</v>
      </c>
      <c r="AG763" s="428">
        <f>OBRA!S765</f>
        <v>0</v>
      </c>
      <c r="AH763" s="1014"/>
      <c r="AI763" s="169"/>
      <c r="AJ763" s="239"/>
      <c r="AK763" s="239"/>
      <c r="AL763" s="715"/>
      <c r="AM763" s="573">
        <f>GRAL!B919</f>
        <v>0</v>
      </c>
      <c r="AN763" s="448"/>
      <c r="AO763" s="13"/>
    </row>
    <row r="764" spans="1:41" hidden="1">
      <c r="A764" s="166">
        <f>OBRA!I766</f>
        <v>0</v>
      </c>
      <c r="B764" s="2036"/>
      <c r="C764" s="1612"/>
      <c r="D764" s="171"/>
      <c r="E764" s="1393"/>
      <c r="F764" s="1393"/>
      <c r="G764" s="1394"/>
      <c r="H764" s="1395">
        <f>OBRA!AD766</f>
        <v>0</v>
      </c>
      <c r="I764" s="1396"/>
      <c r="J764" s="1613">
        <f>OBRA!AE766</f>
        <v>0</v>
      </c>
      <c r="K764" s="1397"/>
      <c r="L764" s="1395">
        <f>OBRA!AF766</f>
        <v>0</v>
      </c>
      <c r="M764" s="1398"/>
      <c r="N764" s="1395">
        <f>OBRA!AG766</f>
        <v>0</v>
      </c>
      <c r="O764" s="1395"/>
      <c r="P764" s="1395"/>
      <c r="Q764" s="1397"/>
      <c r="R764" s="479">
        <f>OBRA!AH766</f>
        <v>0</v>
      </c>
      <c r="S764" s="591"/>
      <c r="T764" s="446">
        <f>OBRA!U766</f>
        <v>0</v>
      </c>
      <c r="U764" s="447">
        <f>OBRA!V766</f>
        <v>0</v>
      </c>
      <c r="V764" s="1281"/>
      <c r="W764" s="20">
        <f>OBRA!L766</f>
        <v>0</v>
      </c>
      <c r="X764" s="1659"/>
      <c r="Y764" s="1659"/>
      <c r="Z764" s="448">
        <f>OBRA!K766</f>
        <v>0</v>
      </c>
      <c r="AA764" s="1659"/>
      <c r="AB764" s="2">
        <f>OBRA!M766</f>
        <v>0</v>
      </c>
      <c r="AC764" s="3">
        <f>OBRA!N766</f>
        <v>0</v>
      </c>
      <c r="AD764" s="4">
        <f>OBRA!P766</f>
        <v>0</v>
      </c>
      <c r="AE764" s="6">
        <f>OBRA!Q766</f>
        <v>0</v>
      </c>
      <c r="AF764" s="5">
        <f>OBRA!R766</f>
        <v>0</v>
      </c>
      <c r="AG764" s="428">
        <f>OBRA!S766</f>
        <v>0</v>
      </c>
      <c r="AH764" s="1014"/>
      <c r="AI764" s="169"/>
      <c r="AJ764" s="239"/>
      <c r="AK764" s="239"/>
      <c r="AL764" s="715"/>
      <c r="AM764" s="573">
        <f>GRAL!B920</f>
        <v>0</v>
      </c>
      <c r="AN764" s="448"/>
      <c r="AO764" s="13"/>
    </row>
    <row r="765" spans="1:41" hidden="1">
      <c r="A765" s="166">
        <f>OBRA!I767</f>
        <v>0</v>
      </c>
      <c r="B765" s="2036"/>
      <c r="C765" s="1612"/>
      <c r="D765" s="171"/>
      <c r="E765" s="1393"/>
      <c r="F765" s="1393"/>
      <c r="G765" s="1394"/>
      <c r="H765" s="1395">
        <f>OBRA!AD767</f>
        <v>0</v>
      </c>
      <c r="I765" s="1396"/>
      <c r="J765" s="1613">
        <f>OBRA!AE767</f>
        <v>0</v>
      </c>
      <c r="K765" s="1397"/>
      <c r="L765" s="1395">
        <f>OBRA!AF767</f>
        <v>0</v>
      </c>
      <c r="M765" s="1398"/>
      <c r="N765" s="1395">
        <f>OBRA!AG767</f>
        <v>0</v>
      </c>
      <c r="O765" s="1395"/>
      <c r="P765" s="1395"/>
      <c r="Q765" s="1397"/>
      <c r="R765" s="479">
        <f>OBRA!AH767</f>
        <v>0</v>
      </c>
      <c r="S765" s="591"/>
      <c r="T765" s="446">
        <f>OBRA!U767</f>
        <v>0</v>
      </c>
      <c r="U765" s="447">
        <f>OBRA!V767</f>
        <v>0</v>
      </c>
      <c r="V765" s="1281"/>
      <c r="W765" s="20">
        <f>OBRA!L767</f>
        <v>0</v>
      </c>
      <c r="X765" s="1659"/>
      <c r="Y765" s="1659"/>
      <c r="Z765" s="448">
        <f>OBRA!K767</f>
        <v>0</v>
      </c>
      <c r="AA765" s="1659"/>
      <c r="AB765" s="2">
        <f>OBRA!M767</f>
        <v>0</v>
      </c>
      <c r="AC765" s="3">
        <f>OBRA!N767</f>
        <v>0</v>
      </c>
      <c r="AD765" s="4">
        <f>OBRA!P767</f>
        <v>0</v>
      </c>
      <c r="AE765" s="6">
        <f>OBRA!Q767</f>
        <v>0</v>
      </c>
      <c r="AF765" s="5">
        <f>OBRA!R767</f>
        <v>0</v>
      </c>
      <c r="AG765" s="428">
        <f>OBRA!S767</f>
        <v>0</v>
      </c>
      <c r="AH765" s="1014"/>
      <c r="AI765" s="169"/>
      <c r="AJ765" s="239"/>
      <c r="AK765" s="239"/>
      <c r="AL765" s="715"/>
      <c r="AM765" s="573">
        <f>GRAL!B921</f>
        <v>0</v>
      </c>
      <c r="AN765" s="448"/>
      <c r="AO765" s="13"/>
    </row>
    <row r="766" spans="1:41" hidden="1">
      <c r="A766" s="166">
        <f>OBRA!I768</f>
        <v>0</v>
      </c>
      <c r="B766" s="2036"/>
      <c r="C766" s="1612"/>
      <c r="D766" s="171"/>
      <c r="E766" s="1393"/>
      <c r="F766" s="1393"/>
      <c r="G766" s="1394"/>
      <c r="H766" s="1395">
        <f>OBRA!AD768</f>
        <v>0</v>
      </c>
      <c r="I766" s="1396"/>
      <c r="J766" s="1613">
        <f>OBRA!AE768</f>
        <v>0</v>
      </c>
      <c r="K766" s="1397"/>
      <c r="L766" s="1395">
        <f>OBRA!AF768</f>
        <v>0</v>
      </c>
      <c r="M766" s="1398"/>
      <c r="N766" s="1395">
        <f>OBRA!AG768</f>
        <v>0</v>
      </c>
      <c r="O766" s="1395"/>
      <c r="P766" s="1395"/>
      <c r="Q766" s="1397"/>
      <c r="R766" s="479">
        <f>OBRA!AH768</f>
        <v>0</v>
      </c>
      <c r="S766" s="591"/>
      <c r="T766" s="446">
        <f>OBRA!U768</f>
        <v>0</v>
      </c>
      <c r="U766" s="447">
        <f>OBRA!V768</f>
        <v>0</v>
      </c>
      <c r="V766" s="1281"/>
      <c r="W766" s="20">
        <f>OBRA!L768</f>
        <v>0</v>
      </c>
      <c r="X766" s="1659"/>
      <c r="Y766" s="1659"/>
      <c r="Z766" s="448">
        <f>OBRA!K768</f>
        <v>0</v>
      </c>
      <c r="AA766" s="1659"/>
      <c r="AB766" s="2">
        <f>OBRA!M768</f>
        <v>0</v>
      </c>
      <c r="AC766" s="3">
        <f>OBRA!N768</f>
        <v>0</v>
      </c>
      <c r="AD766" s="4">
        <f>OBRA!P768</f>
        <v>0</v>
      </c>
      <c r="AE766" s="6">
        <f>OBRA!Q768</f>
        <v>0</v>
      </c>
      <c r="AF766" s="5">
        <f>OBRA!R768</f>
        <v>0</v>
      </c>
      <c r="AG766" s="428">
        <f>OBRA!S768</f>
        <v>0</v>
      </c>
      <c r="AH766" s="1014"/>
      <c r="AI766" s="169"/>
      <c r="AJ766" s="239"/>
      <c r="AK766" s="239"/>
      <c r="AL766" s="715"/>
      <c r="AM766" s="573">
        <f>GRAL!B922</f>
        <v>0</v>
      </c>
      <c r="AN766" s="448"/>
      <c r="AO766" s="13"/>
    </row>
    <row r="767" spans="1:41" hidden="1">
      <c r="A767" s="166">
        <f>OBRA!I769</f>
        <v>0</v>
      </c>
      <c r="B767" s="2036"/>
      <c r="C767" s="1612"/>
      <c r="D767" s="171"/>
      <c r="E767" s="1393"/>
      <c r="F767" s="1393"/>
      <c r="G767" s="1394"/>
      <c r="H767" s="1395">
        <f>OBRA!AD769</f>
        <v>0</v>
      </c>
      <c r="I767" s="1396"/>
      <c r="J767" s="1613">
        <f>OBRA!AE769</f>
        <v>0</v>
      </c>
      <c r="K767" s="1397"/>
      <c r="L767" s="1395">
        <f>OBRA!AF769</f>
        <v>0</v>
      </c>
      <c r="M767" s="1398"/>
      <c r="N767" s="1395">
        <f>OBRA!AG769</f>
        <v>0</v>
      </c>
      <c r="O767" s="1395"/>
      <c r="P767" s="1395"/>
      <c r="Q767" s="1397"/>
      <c r="R767" s="479">
        <f>OBRA!AH769</f>
        <v>0</v>
      </c>
      <c r="S767" s="591"/>
      <c r="T767" s="446">
        <f>OBRA!U769</f>
        <v>0</v>
      </c>
      <c r="U767" s="447">
        <f>OBRA!V769</f>
        <v>0</v>
      </c>
      <c r="V767" s="1281"/>
      <c r="W767" s="20">
        <f>OBRA!L769</f>
        <v>0</v>
      </c>
      <c r="X767" s="1659"/>
      <c r="Y767" s="1659"/>
      <c r="Z767" s="448">
        <f>OBRA!K769</f>
        <v>0</v>
      </c>
      <c r="AA767" s="1659"/>
      <c r="AB767" s="2">
        <f>OBRA!M769</f>
        <v>0</v>
      </c>
      <c r="AC767" s="3">
        <f>OBRA!N769</f>
        <v>0</v>
      </c>
      <c r="AD767" s="4">
        <f>OBRA!P769</f>
        <v>0</v>
      </c>
      <c r="AE767" s="6">
        <f>OBRA!Q769</f>
        <v>0</v>
      </c>
      <c r="AF767" s="5">
        <f>OBRA!R769</f>
        <v>0</v>
      </c>
      <c r="AG767" s="428">
        <f>OBRA!S769</f>
        <v>0</v>
      </c>
      <c r="AH767" s="1014"/>
      <c r="AI767" s="169"/>
      <c r="AJ767" s="239"/>
      <c r="AK767" s="239"/>
      <c r="AL767" s="715"/>
      <c r="AM767" s="573">
        <f>GRAL!B923</f>
        <v>0</v>
      </c>
      <c r="AN767" s="448"/>
      <c r="AO767" s="13"/>
    </row>
    <row r="768" spans="1:41" hidden="1">
      <c r="A768" s="166">
        <f>OBRA!I770</f>
        <v>0</v>
      </c>
      <c r="B768" s="2036"/>
      <c r="C768" s="1612"/>
      <c r="D768" s="171"/>
      <c r="E768" s="1393"/>
      <c r="F768" s="1393"/>
      <c r="G768" s="1394"/>
      <c r="H768" s="1395">
        <f>OBRA!AD770</f>
        <v>0</v>
      </c>
      <c r="I768" s="1396"/>
      <c r="J768" s="1613">
        <f>OBRA!AE770</f>
        <v>0</v>
      </c>
      <c r="K768" s="1397"/>
      <c r="L768" s="1395">
        <f>OBRA!AF770</f>
        <v>0</v>
      </c>
      <c r="M768" s="1398"/>
      <c r="N768" s="1395">
        <f>OBRA!AG770</f>
        <v>0</v>
      </c>
      <c r="O768" s="1395"/>
      <c r="P768" s="1395"/>
      <c r="Q768" s="1397"/>
      <c r="R768" s="479">
        <f>OBRA!AH770</f>
        <v>0</v>
      </c>
      <c r="S768" s="591"/>
      <c r="T768" s="446">
        <f>OBRA!U770</f>
        <v>0</v>
      </c>
      <c r="U768" s="447">
        <f>OBRA!V770</f>
        <v>0</v>
      </c>
      <c r="V768" s="1281"/>
      <c r="W768" s="20">
        <f>OBRA!L770</f>
        <v>0</v>
      </c>
      <c r="X768" s="1659"/>
      <c r="Y768" s="1659"/>
      <c r="Z768" s="448">
        <f>OBRA!K770</f>
        <v>0</v>
      </c>
      <c r="AA768" s="1659"/>
      <c r="AB768" s="2">
        <f>OBRA!M770</f>
        <v>0</v>
      </c>
      <c r="AC768" s="3">
        <f>OBRA!N770</f>
        <v>0</v>
      </c>
      <c r="AD768" s="4">
        <f>OBRA!P770</f>
        <v>0</v>
      </c>
      <c r="AE768" s="6">
        <f>OBRA!Q770</f>
        <v>0</v>
      </c>
      <c r="AF768" s="5">
        <f>OBRA!R770</f>
        <v>0</v>
      </c>
      <c r="AG768" s="428">
        <f>OBRA!S770</f>
        <v>0</v>
      </c>
      <c r="AH768" s="1014"/>
      <c r="AI768" s="169"/>
      <c r="AJ768" s="239"/>
      <c r="AK768" s="239"/>
      <c r="AL768" s="715"/>
      <c r="AM768" s="573">
        <f>GRAL!B924</f>
        <v>0</v>
      </c>
      <c r="AN768" s="448"/>
      <c r="AO768" s="13"/>
    </row>
    <row r="769" spans="1:41" hidden="1">
      <c r="A769" s="166">
        <f>OBRA!I771</f>
        <v>0</v>
      </c>
      <c r="B769" s="2036"/>
      <c r="C769" s="1612"/>
      <c r="D769" s="171"/>
      <c r="E769" s="1393"/>
      <c r="F769" s="1393"/>
      <c r="G769" s="1394"/>
      <c r="H769" s="1395">
        <f>OBRA!AD771</f>
        <v>0</v>
      </c>
      <c r="I769" s="1396"/>
      <c r="J769" s="1613">
        <f>OBRA!AE771</f>
        <v>0</v>
      </c>
      <c r="K769" s="1397"/>
      <c r="L769" s="1395">
        <f>OBRA!AF771</f>
        <v>0</v>
      </c>
      <c r="M769" s="1398"/>
      <c r="N769" s="1395">
        <f>OBRA!AG771</f>
        <v>0</v>
      </c>
      <c r="O769" s="1395"/>
      <c r="P769" s="1395"/>
      <c r="Q769" s="1397"/>
      <c r="R769" s="479">
        <f>OBRA!AH771</f>
        <v>0</v>
      </c>
      <c r="S769" s="591"/>
      <c r="T769" s="446">
        <f>OBRA!U771</f>
        <v>0</v>
      </c>
      <c r="U769" s="447">
        <f>OBRA!V771</f>
        <v>0</v>
      </c>
      <c r="V769" s="1281"/>
      <c r="W769" s="20">
        <f>OBRA!L771</f>
        <v>0</v>
      </c>
      <c r="X769" s="1659"/>
      <c r="Y769" s="1659"/>
      <c r="Z769" s="448">
        <f>OBRA!K771</f>
        <v>0</v>
      </c>
      <c r="AA769" s="1659"/>
      <c r="AB769" s="2">
        <f>OBRA!M771</f>
        <v>0</v>
      </c>
      <c r="AC769" s="3">
        <f>OBRA!N771</f>
        <v>0</v>
      </c>
      <c r="AD769" s="4">
        <f>OBRA!P771</f>
        <v>0</v>
      </c>
      <c r="AE769" s="6">
        <f>OBRA!Q771</f>
        <v>0</v>
      </c>
      <c r="AF769" s="5">
        <f>OBRA!R771</f>
        <v>0</v>
      </c>
      <c r="AG769" s="428">
        <f>OBRA!S771</f>
        <v>0</v>
      </c>
      <c r="AH769" s="1014"/>
      <c r="AI769" s="169"/>
      <c r="AJ769" s="239"/>
      <c r="AK769" s="239"/>
      <c r="AL769" s="715"/>
      <c r="AM769" s="573">
        <f>GRAL!B925</f>
        <v>0</v>
      </c>
      <c r="AN769" s="448"/>
      <c r="AO769" s="13"/>
    </row>
    <row r="770" spans="1:41" hidden="1">
      <c r="A770" s="166">
        <f>OBRA!I772</f>
        <v>0</v>
      </c>
      <c r="B770" s="2036"/>
      <c r="C770" s="1612"/>
      <c r="D770" s="171"/>
      <c r="E770" s="1393"/>
      <c r="F770" s="1393"/>
      <c r="G770" s="1394"/>
      <c r="H770" s="1395">
        <f>OBRA!AD772</f>
        <v>0</v>
      </c>
      <c r="I770" s="1396"/>
      <c r="J770" s="1613">
        <f>OBRA!AE772</f>
        <v>0</v>
      </c>
      <c r="K770" s="1397"/>
      <c r="L770" s="1395">
        <f>OBRA!AF772</f>
        <v>0</v>
      </c>
      <c r="M770" s="1398"/>
      <c r="N770" s="1395">
        <f>OBRA!AG772</f>
        <v>0</v>
      </c>
      <c r="O770" s="1395"/>
      <c r="P770" s="1395"/>
      <c r="Q770" s="1397"/>
      <c r="R770" s="479">
        <f>OBRA!AH772</f>
        <v>0</v>
      </c>
      <c r="S770" s="591"/>
      <c r="T770" s="446">
        <f>OBRA!U772</f>
        <v>0</v>
      </c>
      <c r="U770" s="447">
        <f>OBRA!V772</f>
        <v>0</v>
      </c>
      <c r="V770" s="1281"/>
      <c r="W770" s="20">
        <f>OBRA!L772</f>
        <v>0</v>
      </c>
      <c r="X770" s="1659"/>
      <c r="Y770" s="1659"/>
      <c r="Z770" s="448">
        <f>OBRA!K772</f>
        <v>0</v>
      </c>
      <c r="AA770" s="1659"/>
      <c r="AB770" s="2">
        <f>OBRA!M772</f>
        <v>0</v>
      </c>
      <c r="AC770" s="3">
        <f>OBRA!N772</f>
        <v>0</v>
      </c>
      <c r="AD770" s="4">
        <f>OBRA!P772</f>
        <v>0</v>
      </c>
      <c r="AE770" s="6">
        <f>OBRA!Q772</f>
        <v>0</v>
      </c>
      <c r="AF770" s="5">
        <f>OBRA!R772</f>
        <v>0</v>
      </c>
      <c r="AG770" s="428">
        <f>OBRA!S772</f>
        <v>0</v>
      </c>
      <c r="AH770" s="1014"/>
      <c r="AI770" s="169"/>
      <c r="AJ770" s="239"/>
      <c r="AK770" s="239"/>
      <c r="AL770" s="715"/>
      <c r="AM770" s="573">
        <f>GRAL!B926</f>
        <v>0</v>
      </c>
      <c r="AN770" s="448"/>
      <c r="AO770" s="13"/>
    </row>
    <row r="771" spans="1:41" hidden="1">
      <c r="A771" s="166">
        <f>OBRA!I773</f>
        <v>0</v>
      </c>
      <c r="B771" s="2036"/>
      <c r="C771" s="1612"/>
      <c r="D771" s="171"/>
      <c r="E771" s="1393"/>
      <c r="F771" s="1393"/>
      <c r="G771" s="1394"/>
      <c r="H771" s="1395">
        <f>OBRA!AD773</f>
        <v>0</v>
      </c>
      <c r="I771" s="1396"/>
      <c r="J771" s="1613">
        <f>OBRA!AE773</f>
        <v>0</v>
      </c>
      <c r="K771" s="1397"/>
      <c r="L771" s="1395">
        <f>OBRA!AF773</f>
        <v>0</v>
      </c>
      <c r="M771" s="1398"/>
      <c r="N771" s="1395">
        <f>OBRA!AG773</f>
        <v>0</v>
      </c>
      <c r="O771" s="1395"/>
      <c r="P771" s="1395"/>
      <c r="Q771" s="1397"/>
      <c r="R771" s="479">
        <f>OBRA!AH773</f>
        <v>0</v>
      </c>
      <c r="S771" s="591"/>
      <c r="T771" s="446">
        <f>OBRA!U773</f>
        <v>0</v>
      </c>
      <c r="U771" s="447">
        <f>OBRA!V773</f>
        <v>0</v>
      </c>
      <c r="V771" s="1281"/>
      <c r="W771" s="20">
        <f>OBRA!L773</f>
        <v>0</v>
      </c>
      <c r="X771" s="1659"/>
      <c r="Y771" s="1659"/>
      <c r="Z771" s="448">
        <f>OBRA!K773</f>
        <v>0</v>
      </c>
      <c r="AA771" s="1659"/>
      <c r="AB771" s="2">
        <f>OBRA!M773</f>
        <v>0</v>
      </c>
      <c r="AC771" s="3">
        <f>OBRA!N773</f>
        <v>0</v>
      </c>
      <c r="AD771" s="4">
        <f>OBRA!P773</f>
        <v>0</v>
      </c>
      <c r="AE771" s="6">
        <f>OBRA!Q773</f>
        <v>0</v>
      </c>
      <c r="AF771" s="5">
        <f>OBRA!R773</f>
        <v>0</v>
      </c>
      <c r="AG771" s="428">
        <f>OBRA!S773</f>
        <v>0</v>
      </c>
      <c r="AH771" s="1014"/>
      <c r="AI771" s="169"/>
      <c r="AJ771" s="239"/>
      <c r="AK771" s="239"/>
      <c r="AL771" s="715"/>
      <c r="AM771" s="573">
        <f>GRAL!B927</f>
        <v>0</v>
      </c>
      <c r="AN771" s="448"/>
      <c r="AO771" s="13"/>
    </row>
    <row r="772" spans="1:41" hidden="1">
      <c r="A772" s="166">
        <f>OBRA!I774</f>
        <v>0</v>
      </c>
      <c r="B772" s="2036"/>
      <c r="C772" s="1612"/>
      <c r="D772" s="171"/>
      <c r="E772" s="1393"/>
      <c r="F772" s="1393"/>
      <c r="G772" s="1394"/>
      <c r="H772" s="1395">
        <f>OBRA!AD774</f>
        <v>0</v>
      </c>
      <c r="I772" s="1396"/>
      <c r="J772" s="1613">
        <f>OBRA!AE774</f>
        <v>0</v>
      </c>
      <c r="K772" s="1397"/>
      <c r="L772" s="1395">
        <f>OBRA!AF774</f>
        <v>0</v>
      </c>
      <c r="M772" s="1398"/>
      <c r="N772" s="1395">
        <f>OBRA!AG774</f>
        <v>0</v>
      </c>
      <c r="O772" s="1395"/>
      <c r="P772" s="1395"/>
      <c r="Q772" s="1397"/>
      <c r="R772" s="479">
        <f>OBRA!AH774</f>
        <v>0</v>
      </c>
      <c r="S772" s="591"/>
      <c r="T772" s="446">
        <f>OBRA!U774</f>
        <v>0</v>
      </c>
      <c r="U772" s="447">
        <f>OBRA!V774</f>
        <v>0</v>
      </c>
      <c r="V772" s="1281"/>
      <c r="W772" s="20">
        <f>OBRA!L774</f>
        <v>0</v>
      </c>
      <c r="X772" s="1659"/>
      <c r="Y772" s="1659"/>
      <c r="Z772" s="448">
        <f>OBRA!K774</f>
        <v>0</v>
      </c>
      <c r="AA772" s="1659"/>
      <c r="AB772" s="2">
        <f>OBRA!M774</f>
        <v>0</v>
      </c>
      <c r="AC772" s="3">
        <f>OBRA!N774</f>
        <v>0</v>
      </c>
      <c r="AD772" s="4">
        <f>OBRA!P774</f>
        <v>0</v>
      </c>
      <c r="AE772" s="6">
        <f>OBRA!Q774</f>
        <v>0</v>
      </c>
      <c r="AF772" s="5">
        <f>OBRA!R774</f>
        <v>0</v>
      </c>
      <c r="AG772" s="428">
        <f>OBRA!S774</f>
        <v>0</v>
      </c>
      <c r="AH772" s="1014"/>
      <c r="AI772" s="169"/>
      <c r="AJ772" s="239"/>
      <c r="AK772" s="239"/>
      <c r="AL772" s="715"/>
      <c r="AM772" s="573">
        <f>GRAL!B928</f>
        <v>0</v>
      </c>
      <c r="AN772" s="448"/>
      <c r="AO772" s="13"/>
    </row>
    <row r="773" spans="1:41" hidden="1">
      <c r="A773" s="166">
        <f>OBRA!I775</f>
        <v>0</v>
      </c>
      <c r="B773" s="2036"/>
      <c r="C773" s="1612"/>
      <c r="D773" s="171"/>
      <c r="E773" s="1393"/>
      <c r="F773" s="1393"/>
      <c r="G773" s="1394"/>
      <c r="H773" s="1395">
        <f>OBRA!AD775</f>
        <v>0</v>
      </c>
      <c r="I773" s="1396"/>
      <c r="J773" s="1613">
        <f>OBRA!AE775</f>
        <v>0</v>
      </c>
      <c r="K773" s="1397"/>
      <c r="L773" s="1395">
        <f>OBRA!AF775</f>
        <v>0</v>
      </c>
      <c r="M773" s="1398"/>
      <c r="N773" s="1395">
        <f>OBRA!AG775</f>
        <v>0</v>
      </c>
      <c r="O773" s="1395"/>
      <c r="P773" s="1395"/>
      <c r="Q773" s="1397"/>
      <c r="R773" s="479">
        <f>OBRA!AH775</f>
        <v>0</v>
      </c>
      <c r="S773" s="591"/>
      <c r="T773" s="446">
        <f>OBRA!U775</f>
        <v>0</v>
      </c>
      <c r="U773" s="447">
        <f>OBRA!V775</f>
        <v>0</v>
      </c>
      <c r="V773" s="1281"/>
      <c r="W773" s="20">
        <f>OBRA!L775</f>
        <v>0</v>
      </c>
      <c r="X773" s="1659"/>
      <c r="Y773" s="1659"/>
      <c r="Z773" s="448">
        <f>OBRA!K775</f>
        <v>0</v>
      </c>
      <c r="AA773" s="1659"/>
      <c r="AB773" s="2">
        <f>OBRA!M775</f>
        <v>0</v>
      </c>
      <c r="AC773" s="3">
        <f>OBRA!N775</f>
        <v>0</v>
      </c>
      <c r="AD773" s="4">
        <f>OBRA!P775</f>
        <v>0</v>
      </c>
      <c r="AE773" s="6">
        <f>OBRA!Q775</f>
        <v>0</v>
      </c>
      <c r="AF773" s="5">
        <f>OBRA!R775</f>
        <v>0</v>
      </c>
      <c r="AG773" s="428">
        <f>OBRA!S775</f>
        <v>0</v>
      </c>
      <c r="AH773" s="1014"/>
      <c r="AI773" s="169"/>
      <c r="AJ773" s="239"/>
      <c r="AK773" s="239"/>
      <c r="AL773" s="715"/>
      <c r="AM773" s="573">
        <f>GRAL!B929</f>
        <v>0</v>
      </c>
      <c r="AN773" s="448"/>
      <c r="AO773" s="13"/>
    </row>
    <row r="774" spans="1:41" hidden="1">
      <c r="A774" s="166">
        <f>OBRA!I776</f>
        <v>0</v>
      </c>
      <c r="B774" s="2036"/>
      <c r="C774" s="1612"/>
      <c r="D774" s="171"/>
      <c r="E774" s="1393"/>
      <c r="F774" s="1393"/>
      <c r="G774" s="1394"/>
      <c r="H774" s="1395">
        <f>OBRA!AD776</f>
        <v>0</v>
      </c>
      <c r="I774" s="1396"/>
      <c r="J774" s="1613">
        <f>OBRA!AE776</f>
        <v>0</v>
      </c>
      <c r="K774" s="1397"/>
      <c r="L774" s="1395">
        <f>OBRA!AF776</f>
        <v>0</v>
      </c>
      <c r="M774" s="1398"/>
      <c r="N774" s="1395">
        <f>OBRA!AG776</f>
        <v>0</v>
      </c>
      <c r="O774" s="1395"/>
      <c r="P774" s="1395"/>
      <c r="Q774" s="1397"/>
      <c r="R774" s="479">
        <f>OBRA!AH776</f>
        <v>0</v>
      </c>
      <c r="S774" s="591"/>
      <c r="T774" s="446">
        <f>OBRA!U776</f>
        <v>0</v>
      </c>
      <c r="U774" s="447">
        <f>OBRA!V776</f>
        <v>0</v>
      </c>
      <c r="V774" s="1281"/>
      <c r="W774" s="20">
        <f>OBRA!L776</f>
        <v>0</v>
      </c>
      <c r="X774" s="1659"/>
      <c r="Y774" s="1659"/>
      <c r="Z774" s="448">
        <f>OBRA!K776</f>
        <v>0</v>
      </c>
      <c r="AA774" s="1659"/>
      <c r="AB774" s="2">
        <f>OBRA!M776</f>
        <v>0</v>
      </c>
      <c r="AC774" s="3">
        <f>OBRA!N776</f>
        <v>0</v>
      </c>
      <c r="AD774" s="4">
        <f>OBRA!P776</f>
        <v>0</v>
      </c>
      <c r="AE774" s="6">
        <f>OBRA!Q776</f>
        <v>0</v>
      </c>
      <c r="AF774" s="5">
        <f>OBRA!R776</f>
        <v>0</v>
      </c>
      <c r="AG774" s="428">
        <f>OBRA!S776</f>
        <v>0</v>
      </c>
      <c r="AH774" s="1014"/>
      <c r="AI774" s="169"/>
      <c r="AJ774" s="239"/>
      <c r="AK774" s="239"/>
      <c r="AL774" s="715"/>
      <c r="AM774" s="573">
        <f>GRAL!B930</f>
        <v>0</v>
      </c>
      <c r="AN774" s="448"/>
      <c r="AO774" s="13"/>
    </row>
    <row r="775" spans="1:41" hidden="1">
      <c r="A775" s="166">
        <f>OBRA!I777</f>
        <v>0</v>
      </c>
      <c r="B775" s="2036"/>
      <c r="C775" s="1612"/>
      <c r="D775" s="171"/>
      <c r="E775" s="1393"/>
      <c r="F775" s="1393"/>
      <c r="G775" s="1394"/>
      <c r="H775" s="1395">
        <f>OBRA!AD777</f>
        <v>0</v>
      </c>
      <c r="I775" s="1396"/>
      <c r="J775" s="1613">
        <f>OBRA!AE777</f>
        <v>0</v>
      </c>
      <c r="K775" s="1397"/>
      <c r="L775" s="1395">
        <f>OBRA!AF777</f>
        <v>0</v>
      </c>
      <c r="M775" s="1398"/>
      <c r="N775" s="1395">
        <f>OBRA!AG777</f>
        <v>0</v>
      </c>
      <c r="O775" s="1395"/>
      <c r="P775" s="1395"/>
      <c r="Q775" s="1397"/>
      <c r="R775" s="479">
        <f>OBRA!AH777</f>
        <v>0</v>
      </c>
      <c r="S775" s="591"/>
      <c r="T775" s="446">
        <f>OBRA!U777</f>
        <v>0</v>
      </c>
      <c r="U775" s="447">
        <f>OBRA!V777</f>
        <v>0</v>
      </c>
      <c r="V775" s="1281"/>
      <c r="W775" s="20">
        <f>OBRA!L777</f>
        <v>0</v>
      </c>
      <c r="X775" s="1659"/>
      <c r="Y775" s="1659"/>
      <c r="Z775" s="448">
        <f>OBRA!K777</f>
        <v>0</v>
      </c>
      <c r="AA775" s="1659"/>
      <c r="AB775" s="2">
        <f>OBRA!M777</f>
        <v>0</v>
      </c>
      <c r="AC775" s="3">
        <f>OBRA!N777</f>
        <v>0</v>
      </c>
      <c r="AD775" s="4">
        <f>OBRA!P777</f>
        <v>0</v>
      </c>
      <c r="AE775" s="6">
        <f>OBRA!Q777</f>
        <v>0</v>
      </c>
      <c r="AF775" s="5">
        <f>OBRA!R777</f>
        <v>0</v>
      </c>
      <c r="AG775" s="428">
        <f>OBRA!S777</f>
        <v>0</v>
      </c>
      <c r="AH775" s="1014"/>
      <c r="AI775" s="169"/>
      <c r="AJ775" s="239"/>
      <c r="AK775" s="239"/>
      <c r="AL775" s="715"/>
      <c r="AM775" s="573">
        <f>GRAL!B931</f>
        <v>0</v>
      </c>
      <c r="AN775" s="448"/>
      <c r="AO775" s="13"/>
    </row>
    <row r="776" spans="1:41" hidden="1">
      <c r="A776" s="166">
        <f>OBRA!I778</f>
        <v>0</v>
      </c>
      <c r="B776" s="2036"/>
      <c r="C776" s="1612"/>
      <c r="D776" s="171"/>
      <c r="E776" s="1393"/>
      <c r="F776" s="1393"/>
      <c r="G776" s="1394"/>
      <c r="H776" s="1395">
        <f>OBRA!AD778</f>
        <v>0</v>
      </c>
      <c r="I776" s="1396"/>
      <c r="J776" s="1613">
        <f>OBRA!AE778</f>
        <v>0</v>
      </c>
      <c r="K776" s="1397"/>
      <c r="L776" s="1395">
        <f>OBRA!AF778</f>
        <v>0</v>
      </c>
      <c r="M776" s="1398"/>
      <c r="N776" s="1395">
        <f>OBRA!AG778</f>
        <v>0</v>
      </c>
      <c r="O776" s="1395"/>
      <c r="P776" s="1395"/>
      <c r="Q776" s="1397"/>
      <c r="R776" s="479">
        <f>OBRA!AH778</f>
        <v>0</v>
      </c>
      <c r="S776" s="591"/>
      <c r="T776" s="446">
        <f>OBRA!U778</f>
        <v>0</v>
      </c>
      <c r="U776" s="447">
        <f>OBRA!V778</f>
        <v>0</v>
      </c>
      <c r="V776" s="1281"/>
      <c r="W776" s="20">
        <f>OBRA!L778</f>
        <v>0</v>
      </c>
      <c r="X776" s="1659"/>
      <c r="Y776" s="1659"/>
      <c r="Z776" s="448">
        <f>OBRA!K778</f>
        <v>0</v>
      </c>
      <c r="AA776" s="1659"/>
      <c r="AB776" s="2">
        <f>OBRA!M778</f>
        <v>0</v>
      </c>
      <c r="AC776" s="3">
        <f>OBRA!N778</f>
        <v>0</v>
      </c>
      <c r="AD776" s="4">
        <f>OBRA!P778</f>
        <v>0</v>
      </c>
      <c r="AE776" s="6">
        <f>OBRA!Q778</f>
        <v>0</v>
      </c>
      <c r="AF776" s="5">
        <f>OBRA!R778</f>
        <v>0</v>
      </c>
      <c r="AG776" s="428">
        <f>OBRA!S778</f>
        <v>0</v>
      </c>
      <c r="AH776" s="1014"/>
      <c r="AI776" s="169"/>
      <c r="AJ776" s="239"/>
      <c r="AK776" s="239"/>
      <c r="AL776" s="715"/>
      <c r="AM776" s="573">
        <f>GRAL!B932</f>
        <v>0</v>
      </c>
      <c r="AN776" s="448"/>
      <c r="AO776" s="13"/>
    </row>
    <row r="777" spans="1:41" hidden="1">
      <c r="A777" s="166">
        <f>OBRA!I779</f>
        <v>0</v>
      </c>
      <c r="B777" s="2036"/>
      <c r="C777" s="1612"/>
      <c r="D777" s="171"/>
      <c r="E777" s="1393"/>
      <c r="F777" s="1393"/>
      <c r="G777" s="1394"/>
      <c r="H777" s="1395">
        <f>OBRA!AD779</f>
        <v>0</v>
      </c>
      <c r="I777" s="1396"/>
      <c r="J777" s="1613">
        <f>OBRA!AE779</f>
        <v>0</v>
      </c>
      <c r="K777" s="1397"/>
      <c r="L777" s="1395">
        <f>OBRA!AF779</f>
        <v>0</v>
      </c>
      <c r="M777" s="1398"/>
      <c r="N777" s="1395">
        <f>OBRA!AG779</f>
        <v>0</v>
      </c>
      <c r="O777" s="1395"/>
      <c r="P777" s="1395"/>
      <c r="Q777" s="1397"/>
      <c r="R777" s="479">
        <f>OBRA!AH779</f>
        <v>0</v>
      </c>
      <c r="S777" s="591"/>
      <c r="T777" s="446">
        <f>OBRA!U779</f>
        <v>0</v>
      </c>
      <c r="U777" s="447">
        <f>OBRA!V779</f>
        <v>0</v>
      </c>
      <c r="V777" s="1281"/>
      <c r="W777" s="20">
        <f>OBRA!L779</f>
        <v>0</v>
      </c>
      <c r="X777" s="1659"/>
      <c r="Y777" s="1659"/>
      <c r="Z777" s="448">
        <f>OBRA!K779</f>
        <v>0</v>
      </c>
      <c r="AA777" s="1659"/>
      <c r="AB777" s="2">
        <f>OBRA!M779</f>
        <v>0</v>
      </c>
      <c r="AC777" s="3">
        <f>OBRA!N779</f>
        <v>0</v>
      </c>
      <c r="AD777" s="4">
        <f>OBRA!P779</f>
        <v>0</v>
      </c>
      <c r="AE777" s="6">
        <f>OBRA!Q779</f>
        <v>0</v>
      </c>
      <c r="AF777" s="5">
        <f>OBRA!R779</f>
        <v>0</v>
      </c>
      <c r="AG777" s="428">
        <f>OBRA!S779</f>
        <v>0</v>
      </c>
      <c r="AH777" s="1014"/>
      <c r="AI777" s="169"/>
      <c r="AJ777" s="239"/>
      <c r="AK777" s="239"/>
      <c r="AL777" s="715"/>
      <c r="AM777" s="573">
        <f>GRAL!B933</f>
        <v>0</v>
      </c>
      <c r="AN777" s="448"/>
      <c r="AO777" s="13"/>
    </row>
    <row r="778" spans="1:41" hidden="1">
      <c r="A778" s="166">
        <f>OBRA!I780</f>
        <v>0</v>
      </c>
      <c r="B778" s="2036"/>
      <c r="C778" s="1612"/>
      <c r="D778" s="171"/>
      <c r="E778" s="1393"/>
      <c r="F778" s="1393"/>
      <c r="G778" s="1394"/>
      <c r="H778" s="1395">
        <f>OBRA!AD780</f>
        <v>0</v>
      </c>
      <c r="I778" s="1396"/>
      <c r="J778" s="1613">
        <f>OBRA!AE780</f>
        <v>0</v>
      </c>
      <c r="K778" s="1397"/>
      <c r="L778" s="1395">
        <f>OBRA!AF780</f>
        <v>0</v>
      </c>
      <c r="M778" s="1398"/>
      <c r="N778" s="1395">
        <f>OBRA!AG780</f>
        <v>0</v>
      </c>
      <c r="O778" s="1395"/>
      <c r="P778" s="1395"/>
      <c r="Q778" s="1397"/>
      <c r="R778" s="479">
        <f>OBRA!AH780</f>
        <v>0</v>
      </c>
      <c r="S778" s="591"/>
      <c r="T778" s="446">
        <f>OBRA!U780</f>
        <v>0</v>
      </c>
      <c r="U778" s="447">
        <f>OBRA!V780</f>
        <v>0</v>
      </c>
      <c r="V778" s="1281"/>
      <c r="W778" s="20">
        <f>OBRA!L780</f>
        <v>0</v>
      </c>
      <c r="X778" s="1659"/>
      <c r="Y778" s="1659"/>
      <c r="Z778" s="448">
        <f>OBRA!K780</f>
        <v>0</v>
      </c>
      <c r="AA778" s="1659"/>
      <c r="AB778" s="2">
        <f>OBRA!M780</f>
        <v>0</v>
      </c>
      <c r="AC778" s="3">
        <f>OBRA!N780</f>
        <v>0</v>
      </c>
      <c r="AD778" s="4">
        <f>OBRA!P780</f>
        <v>0</v>
      </c>
      <c r="AE778" s="6">
        <f>OBRA!Q780</f>
        <v>0</v>
      </c>
      <c r="AF778" s="5">
        <f>OBRA!R780</f>
        <v>0</v>
      </c>
      <c r="AG778" s="428">
        <f>OBRA!S780</f>
        <v>0</v>
      </c>
      <c r="AH778" s="1014"/>
      <c r="AI778" s="169"/>
      <c r="AJ778" s="239"/>
      <c r="AK778" s="239"/>
      <c r="AL778" s="715"/>
      <c r="AM778" s="573">
        <f>GRAL!B934</f>
        <v>0</v>
      </c>
      <c r="AN778" s="448"/>
      <c r="AO778" s="13"/>
    </row>
    <row r="779" spans="1:41" hidden="1">
      <c r="A779" s="166">
        <f>OBRA!I781</f>
        <v>0</v>
      </c>
      <c r="B779" s="2036"/>
      <c r="C779" s="1612"/>
      <c r="D779" s="171"/>
      <c r="E779" s="1393"/>
      <c r="F779" s="1393"/>
      <c r="G779" s="1394"/>
      <c r="H779" s="1395">
        <f>OBRA!AD781</f>
        <v>0</v>
      </c>
      <c r="I779" s="1396"/>
      <c r="J779" s="1613">
        <f>OBRA!AE781</f>
        <v>0</v>
      </c>
      <c r="K779" s="1397"/>
      <c r="L779" s="1395">
        <f>OBRA!AF781</f>
        <v>0</v>
      </c>
      <c r="M779" s="1398"/>
      <c r="N779" s="1395">
        <f>OBRA!AG781</f>
        <v>0</v>
      </c>
      <c r="O779" s="1395"/>
      <c r="P779" s="1395"/>
      <c r="Q779" s="1397"/>
      <c r="R779" s="479">
        <f>OBRA!AH781</f>
        <v>0</v>
      </c>
      <c r="S779" s="591"/>
      <c r="T779" s="446">
        <f>OBRA!U781</f>
        <v>0</v>
      </c>
      <c r="U779" s="447">
        <f>OBRA!V781</f>
        <v>0</v>
      </c>
      <c r="V779" s="1281"/>
      <c r="W779" s="20">
        <f>OBRA!L781</f>
        <v>0</v>
      </c>
      <c r="X779" s="1659"/>
      <c r="Y779" s="1659"/>
      <c r="Z779" s="448">
        <f>OBRA!K781</f>
        <v>0</v>
      </c>
      <c r="AA779" s="1659"/>
      <c r="AB779" s="2">
        <f>OBRA!M781</f>
        <v>0</v>
      </c>
      <c r="AC779" s="3">
        <f>OBRA!N781</f>
        <v>0</v>
      </c>
      <c r="AD779" s="4">
        <f>OBRA!P781</f>
        <v>0</v>
      </c>
      <c r="AE779" s="6">
        <f>OBRA!Q781</f>
        <v>0</v>
      </c>
      <c r="AF779" s="5">
        <f>OBRA!R781</f>
        <v>0</v>
      </c>
      <c r="AG779" s="428">
        <f>OBRA!S781</f>
        <v>0</v>
      </c>
      <c r="AH779" s="1014"/>
      <c r="AI779" s="169"/>
      <c r="AJ779" s="239"/>
      <c r="AK779" s="239"/>
      <c r="AL779" s="715"/>
      <c r="AM779" s="573">
        <f>GRAL!B935</f>
        <v>0</v>
      </c>
      <c r="AN779" s="448"/>
      <c r="AO779" s="13"/>
    </row>
    <row r="780" spans="1:41" hidden="1">
      <c r="A780" s="166">
        <f>OBRA!I782</f>
        <v>0</v>
      </c>
      <c r="B780" s="2036"/>
      <c r="C780" s="1612"/>
      <c r="D780" s="171"/>
      <c r="E780" s="1393"/>
      <c r="F780" s="1393"/>
      <c r="G780" s="1394"/>
      <c r="H780" s="1395">
        <f>OBRA!AD782</f>
        <v>0</v>
      </c>
      <c r="I780" s="1396"/>
      <c r="J780" s="1613">
        <f>OBRA!AE782</f>
        <v>0</v>
      </c>
      <c r="K780" s="1397"/>
      <c r="L780" s="1395">
        <f>OBRA!AF782</f>
        <v>0</v>
      </c>
      <c r="M780" s="1398"/>
      <c r="N780" s="1395">
        <f>OBRA!AG782</f>
        <v>0</v>
      </c>
      <c r="O780" s="1395"/>
      <c r="P780" s="1395"/>
      <c r="Q780" s="1397"/>
      <c r="R780" s="479">
        <f>OBRA!AH782</f>
        <v>0</v>
      </c>
      <c r="S780" s="591"/>
      <c r="T780" s="446">
        <f>OBRA!U782</f>
        <v>0</v>
      </c>
      <c r="U780" s="447">
        <f>OBRA!V782</f>
        <v>0</v>
      </c>
      <c r="V780" s="1281"/>
      <c r="W780" s="20">
        <f>OBRA!L782</f>
        <v>0</v>
      </c>
      <c r="X780" s="1659"/>
      <c r="Y780" s="1659"/>
      <c r="Z780" s="448">
        <f>OBRA!K782</f>
        <v>0</v>
      </c>
      <c r="AA780" s="1659"/>
      <c r="AB780" s="2">
        <f>OBRA!M782</f>
        <v>0</v>
      </c>
      <c r="AC780" s="3">
        <f>OBRA!N782</f>
        <v>0</v>
      </c>
      <c r="AD780" s="4">
        <f>OBRA!P782</f>
        <v>0</v>
      </c>
      <c r="AE780" s="6">
        <f>OBRA!Q782</f>
        <v>0</v>
      </c>
      <c r="AF780" s="5">
        <f>OBRA!R782</f>
        <v>0</v>
      </c>
      <c r="AG780" s="428">
        <f>OBRA!S782</f>
        <v>0</v>
      </c>
      <c r="AH780" s="1014"/>
      <c r="AI780" s="169"/>
      <c r="AJ780" s="239"/>
      <c r="AK780" s="239"/>
      <c r="AL780" s="715"/>
      <c r="AM780" s="573">
        <f>GRAL!B936</f>
        <v>0</v>
      </c>
      <c r="AN780" s="448"/>
      <c r="AO780" s="13"/>
    </row>
    <row r="781" spans="1:41" hidden="1">
      <c r="A781" s="166">
        <f>OBRA!I783</f>
        <v>0</v>
      </c>
      <c r="B781" s="2036"/>
      <c r="C781" s="1612"/>
      <c r="D781" s="171"/>
      <c r="E781" s="1393"/>
      <c r="F781" s="1393"/>
      <c r="G781" s="1394"/>
      <c r="H781" s="1395">
        <f>OBRA!AD783</f>
        <v>0</v>
      </c>
      <c r="I781" s="1396"/>
      <c r="J781" s="1613">
        <f>OBRA!AE783</f>
        <v>0</v>
      </c>
      <c r="K781" s="1397"/>
      <c r="L781" s="1395">
        <f>OBRA!AF783</f>
        <v>0</v>
      </c>
      <c r="M781" s="1398"/>
      <c r="N781" s="1395">
        <f>OBRA!AG783</f>
        <v>0</v>
      </c>
      <c r="O781" s="1395"/>
      <c r="P781" s="1395"/>
      <c r="Q781" s="1397"/>
      <c r="R781" s="479">
        <f>OBRA!AH783</f>
        <v>0</v>
      </c>
      <c r="S781" s="591"/>
      <c r="T781" s="446">
        <f>OBRA!U783</f>
        <v>0</v>
      </c>
      <c r="U781" s="447">
        <f>OBRA!V783</f>
        <v>0</v>
      </c>
      <c r="V781" s="1281"/>
      <c r="W781" s="20">
        <f>OBRA!L783</f>
        <v>0</v>
      </c>
      <c r="X781" s="1659"/>
      <c r="Y781" s="1659"/>
      <c r="Z781" s="448">
        <f>OBRA!K783</f>
        <v>0</v>
      </c>
      <c r="AA781" s="1659"/>
      <c r="AB781" s="2">
        <f>OBRA!M783</f>
        <v>0</v>
      </c>
      <c r="AC781" s="3">
        <f>OBRA!N783</f>
        <v>0</v>
      </c>
      <c r="AD781" s="4">
        <f>OBRA!P783</f>
        <v>0</v>
      </c>
      <c r="AE781" s="6">
        <f>OBRA!Q783</f>
        <v>0</v>
      </c>
      <c r="AF781" s="5">
        <f>OBRA!R783</f>
        <v>0</v>
      </c>
      <c r="AG781" s="428">
        <f>OBRA!S783</f>
        <v>0</v>
      </c>
      <c r="AH781" s="1014"/>
      <c r="AI781" s="169"/>
      <c r="AJ781" s="239"/>
      <c r="AK781" s="239"/>
      <c r="AL781" s="715"/>
      <c r="AM781" s="573">
        <f>GRAL!B937</f>
        <v>0</v>
      </c>
      <c r="AN781" s="448"/>
      <c r="AO781" s="13"/>
    </row>
    <row r="782" spans="1:41" hidden="1">
      <c r="A782" s="166">
        <f>OBRA!I784</f>
        <v>0</v>
      </c>
      <c r="B782" s="2036"/>
      <c r="C782" s="1612"/>
      <c r="D782" s="171"/>
      <c r="E782" s="1393"/>
      <c r="F782" s="1393"/>
      <c r="G782" s="1394"/>
      <c r="H782" s="1395">
        <f>OBRA!AD784</f>
        <v>0</v>
      </c>
      <c r="I782" s="1396"/>
      <c r="J782" s="1613">
        <f>OBRA!AE784</f>
        <v>0</v>
      </c>
      <c r="K782" s="1397"/>
      <c r="L782" s="1395">
        <f>OBRA!AF784</f>
        <v>0</v>
      </c>
      <c r="M782" s="1398"/>
      <c r="N782" s="1395">
        <f>OBRA!AG784</f>
        <v>0</v>
      </c>
      <c r="O782" s="1395"/>
      <c r="P782" s="1395"/>
      <c r="Q782" s="1397"/>
      <c r="R782" s="479">
        <f>OBRA!AH784</f>
        <v>0</v>
      </c>
      <c r="S782" s="591"/>
      <c r="T782" s="446">
        <f>OBRA!U784</f>
        <v>0</v>
      </c>
      <c r="U782" s="447">
        <f>OBRA!V784</f>
        <v>0</v>
      </c>
      <c r="V782" s="1281"/>
      <c r="W782" s="20">
        <f>OBRA!L784</f>
        <v>0</v>
      </c>
      <c r="X782" s="1659"/>
      <c r="Y782" s="1659"/>
      <c r="Z782" s="448">
        <f>OBRA!K784</f>
        <v>0</v>
      </c>
      <c r="AA782" s="1659"/>
      <c r="AB782" s="2">
        <f>OBRA!M784</f>
        <v>0</v>
      </c>
      <c r="AC782" s="3">
        <f>OBRA!N784</f>
        <v>0</v>
      </c>
      <c r="AD782" s="4">
        <f>OBRA!P784</f>
        <v>0</v>
      </c>
      <c r="AE782" s="6">
        <f>OBRA!Q784</f>
        <v>0</v>
      </c>
      <c r="AF782" s="5">
        <f>OBRA!R784</f>
        <v>0</v>
      </c>
      <c r="AG782" s="428">
        <f>OBRA!S784</f>
        <v>0</v>
      </c>
      <c r="AH782" s="1014"/>
      <c r="AI782" s="169"/>
      <c r="AJ782" s="239"/>
      <c r="AK782" s="239"/>
      <c r="AL782" s="715"/>
      <c r="AM782" s="573">
        <f>GRAL!B938</f>
        <v>0</v>
      </c>
      <c r="AN782" s="448"/>
      <c r="AO782" s="13"/>
    </row>
    <row r="783" spans="1:41" hidden="1">
      <c r="A783" s="166">
        <f>OBRA!I785</f>
        <v>0</v>
      </c>
      <c r="B783" s="2036"/>
      <c r="C783" s="1612"/>
      <c r="D783" s="171"/>
      <c r="E783" s="1393"/>
      <c r="F783" s="1393"/>
      <c r="G783" s="1394"/>
      <c r="H783" s="1395">
        <f>OBRA!AD785</f>
        <v>0</v>
      </c>
      <c r="I783" s="1396"/>
      <c r="J783" s="1613">
        <f>OBRA!AE785</f>
        <v>0</v>
      </c>
      <c r="K783" s="1397"/>
      <c r="L783" s="1395">
        <f>OBRA!AF785</f>
        <v>0</v>
      </c>
      <c r="M783" s="1398"/>
      <c r="N783" s="1395">
        <f>OBRA!AG785</f>
        <v>0</v>
      </c>
      <c r="O783" s="1395"/>
      <c r="P783" s="1395"/>
      <c r="Q783" s="1397"/>
      <c r="R783" s="479">
        <f>OBRA!AH785</f>
        <v>0</v>
      </c>
      <c r="S783" s="591"/>
      <c r="T783" s="446">
        <f>OBRA!U785</f>
        <v>0</v>
      </c>
      <c r="U783" s="447">
        <f>OBRA!V785</f>
        <v>0</v>
      </c>
      <c r="V783" s="1281"/>
      <c r="W783" s="20">
        <f>OBRA!L785</f>
        <v>0</v>
      </c>
      <c r="X783" s="1659"/>
      <c r="Y783" s="1659"/>
      <c r="Z783" s="448">
        <f>OBRA!K785</f>
        <v>0</v>
      </c>
      <c r="AA783" s="1659"/>
      <c r="AB783" s="2">
        <f>OBRA!M785</f>
        <v>0</v>
      </c>
      <c r="AC783" s="3">
        <f>OBRA!N785</f>
        <v>0</v>
      </c>
      <c r="AD783" s="4">
        <f>OBRA!P785</f>
        <v>0</v>
      </c>
      <c r="AE783" s="6">
        <f>OBRA!Q785</f>
        <v>0</v>
      </c>
      <c r="AF783" s="5">
        <f>OBRA!R785</f>
        <v>0</v>
      </c>
      <c r="AG783" s="428">
        <f>OBRA!S785</f>
        <v>0</v>
      </c>
      <c r="AH783" s="1014"/>
      <c r="AI783" s="169"/>
      <c r="AJ783" s="239"/>
      <c r="AK783" s="239"/>
      <c r="AL783" s="715"/>
      <c r="AM783" s="573">
        <f>GRAL!B939</f>
        <v>0</v>
      </c>
      <c r="AN783" s="448"/>
      <c r="AO783" s="13"/>
    </row>
    <row r="784" spans="1:41" hidden="1">
      <c r="A784" s="166">
        <f>OBRA!I786</f>
        <v>0</v>
      </c>
      <c r="B784" s="2036"/>
      <c r="C784" s="1612"/>
      <c r="D784" s="171"/>
      <c r="E784" s="1393"/>
      <c r="F784" s="1393"/>
      <c r="G784" s="1394"/>
      <c r="H784" s="1395">
        <f>OBRA!AD786</f>
        <v>0</v>
      </c>
      <c r="I784" s="1396"/>
      <c r="J784" s="1613">
        <f>OBRA!AE786</f>
        <v>0</v>
      </c>
      <c r="K784" s="1397"/>
      <c r="L784" s="1395">
        <f>OBRA!AF786</f>
        <v>0</v>
      </c>
      <c r="M784" s="1398"/>
      <c r="N784" s="1395">
        <f>OBRA!AG786</f>
        <v>0</v>
      </c>
      <c r="O784" s="1395"/>
      <c r="P784" s="1395"/>
      <c r="Q784" s="1397"/>
      <c r="R784" s="479">
        <f>OBRA!AH786</f>
        <v>0</v>
      </c>
      <c r="S784" s="591"/>
      <c r="T784" s="446">
        <f>OBRA!U786</f>
        <v>0</v>
      </c>
      <c r="U784" s="447">
        <f>OBRA!V786</f>
        <v>0</v>
      </c>
      <c r="V784" s="1281"/>
      <c r="W784" s="20" t="str">
        <f>OBRA!L786</f>
        <v>ULTIMA ACTUALIZACION</v>
      </c>
      <c r="X784" s="1659"/>
      <c r="Y784" s="1659"/>
      <c r="Z784" s="448">
        <f>OBRA!K786</f>
        <v>0</v>
      </c>
      <c r="AA784" s="1659"/>
      <c r="AB784" s="2">
        <f>OBRA!M786</f>
        <v>0</v>
      </c>
      <c r="AC784" s="3">
        <f>OBRA!N786</f>
        <v>45302</v>
      </c>
      <c r="AD784" s="4">
        <f>OBRA!P786</f>
        <v>0</v>
      </c>
      <c r="AE784" s="6">
        <f>OBRA!Q786</f>
        <v>0</v>
      </c>
      <c r="AF784" s="5" t="str">
        <f>OBRA!R786</f>
        <v xml:space="preserve"> </v>
      </c>
      <c r="AG784" s="428">
        <f>OBRA!S786</f>
        <v>0</v>
      </c>
      <c r="AH784" s="1014"/>
      <c r="AI784" s="169"/>
      <c r="AJ784" s="239"/>
      <c r="AK784" s="239"/>
      <c r="AL784" s="715"/>
      <c r="AM784" s="573">
        <f>GRAL!B940</f>
        <v>0</v>
      </c>
      <c r="AN784" s="448"/>
      <c r="AO784" s="13"/>
    </row>
    <row r="785" spans="1:40">
      <c r="J785" s="31"/>
      <c r="K785" s="31"/>
      <c r="S785" s="31"/>
      <c r="X785" s="197"/>
      <c r="AA785" s="197"/>
      <c r="AJ785" s="197"/>
      <c r="AK785" s="197"/>
      <c r="AL785" s="197"/>
      <c r="AM785" s="197"/>
      <c r="AN785" s="197"/>
    </row>
    <row r="786" spans="1:40">
      <c r="J786" s="31"/>
      <c r="K786" s="31"/>
      <c r="S786" s="31"/>
      <c r="X786" s="197"/>
      <c r="AJ786" s="197"/>
      <c r="AK786" s="197"/>
      <c r="AL786" s="197"/>
      <c r="AM786" s="197"/>
      <c r="AN786" s="197"/>
    </row>
    <row r="787" spans="1:40" ht="18.75">
      <c r="C787" s="2218" t="s">
        <v>2476</v>
      </c>
      <c r="D787" s="2219"/>
      <c r="E787" s="2219"/>
      <c r="F787" s="2219"/>
      <c r="J787" s="31"/>
      <c r="K787" s="31"/>
      <c r="S787" s="31"/>
      <c r="X787" s="197"/>
      <c r="AJ787" s="197"/>
      <c r="AK787" s="197"/>
      <c r="AL787" s="197"/>
      <c r="AM787" s="197"/>
      <c r="AN787" s="197"/>
    </row>
    <row r="788" spans="1:40">
      <c r="C788" s="465"/>
      <c r="D788" s="31"/>
      <c r="E788" s="31"/>
      <c r="F788" s="419"/>
      <c r="J788" s="31"/>
      <c r="K788" s="31"/>
      <c r="S788" s="31"/>
      <c r="X788" s="197"/>
      <c r="AD788" s="197"/>
      <c r="AJ788" s="197"/>
      <c r="AK788" s="197"/>
      <c r="AL788" s="197"/>
      <c r="AM788" s="197"/>
      <c r="AN788" s="197"/>
    </row>
    <row r="789" spans="1:40" ht="18.75">
      <c r="A789" s="464"/>
      <c r="B789" s="464"/>
      <c r="C789" s="466">
        <v>4</v>
      </c>
      <c r="D789" s="31" t="s">
        <v>2308</v>
      </c>
      <c r="E789" s="31"/>
      <c r="F789" s="419"/>
      <c r="J789" s="31"/>
      <c r="K789" s="31"/>
      <c r="S789" s="31"/>
      <c r="X789" s="197"/>
      <c r="AJ789" s="197"/>
      <c r="AK789" s="197"/>
      <c r="AL789" s="197"/>
      <c r="AM789" s="197"/>
      <c r="AN789" s="197"/>
    </row>
    <row r="790" spans="1:40" ht="18.75">
      <c r="A790" s="464"/>
      <c r="B790" s="464"/>
      <c r="C790" s="466">
        <v>5</v>
      </c>
      <c r="D790" s="31" t="s">
        <v>2477</v>
      </c>
      <c r="E790" s="31"/>
      <c r="F790" s="419"/>
      <c r="J790" s="31"/>
      <c r="K790" s="31"/>
      <c r="S790" s="31"/>
      <c r="AJ790" s="197"/>
      <c r="AK790" s="197"/>
      <c r="AL790" s="197"/>
      <c r="AM790" s="197"/>
      <c r="AN790" s="197"/>
    </row>
    <row r="791" spans="1:40" ht="18.75">
      <c r="A791" s="464"/>
      <c r="B791" s="464"/>
      <c r="C791" s="467"/>
      <c r="D791" s="468"/>
      <c r="E791" s="468"/>
      <c r="F791" s="419"/>
      <c r="J791" s="31"/>
      <c r="K791" s="31"/>
      <c r="S791" s="31"/>
      <c r="AD791" s="555"/>
      <c r="AJ791" s="197"/>
      <c r="AK791" s="197"/>
      <c r="AL791" s="197"/>
      <c r="AM791" s="197"/>
      <c r="AN791" s="197"/>
    </row>
    <row r="792" spans="1:40">
      <c r="F792" s="562"/>
      <c r="J792" s="31"/>
      <c r="K792" s="31"/>
      <c r="S792" s="31"/>
      <c r="AJ792" s="197"/>
      <c r="AK792" s="197"/>
      <c r="AL792" s="197"/>
      <c r="AM792" s="197"/>
      <c r="AN792" s="197"/>
    </row>
    <row r="793" spans="1:40" s="170" customFormat="1" ht="46.5">
      <c r="C793" s="1113" t="s">
        <v>2935</v>
      </c>
      <c r="F793" s="1114"/>
      <c r="J793" s="1114"/>
      <c r="K793" s="1114"/>
      <c r="S793" s="1114"/>
      <c r="V793" s="1731"/>
    </row>
    <row r="794" spans="1:40">
      <c r="F794" s="31"/>
      <c r="J794" s="31"/>
      <c r="K794" s="31"/>
      <c r="S794" s="31"/>
      <c r="AJ794" s="197"/>
      <c r="AK794" s="197"/>
      <c r="AL794" s="197"/>
      <c r="AM794" s="197"/>
      <c r="AN794" s="197"/>
    </row>
    <row r="795" spans="1:40" ht="15.75" thickBot="1">
      <c r="J795" s="31"/>
      <c r="K795" s="31"/>
      <c r="S795" s="31"/>
      <c r="AJ795" s="197"/>
      <c r="AK795" s="197"/>
      <c r="AL795" s="197"/>
      <c r="AM795" s="197"/>
      <c r="AN795" s="197"/>
    </row>
    <row r="796" spans="1:40" ht="21">
      <c r="D796" s="1185" t="s">
        <v>2207</v>
      </c>
      <c r="J796" s="31"/>
      <c r="K796" s="31"/>
      <c r="T796" s="31"/>
      <c r="AJ796" s="197"/>
      <c r="AK796" s="197"/>
      <c r="AL796" s="197"/>
      <c r="AM796" s="197"/>
      <c r="AN796" s="197"/>
    </row>
    <row r="797" spans="1:40" ht="29.25" thickBot="1">
      <c r="D797" s="1186">
        <f>OBRA!N786</f>
        <v>45302</v>
      </c>
      <c r="E797" s="167"/>
      <c r="F797" s="167"/>
      <c r="G797" s="167"/>
      <c r="J797" s="31"/>
      <c r="K797" s="31"/>
      <c r="AJ797" s="197"/>
      <c r="AK797" s="197"/>
      <c r="AL797" s="197"/>
      <c r="AM797" s="197"/>
      <c r="AN797" s="197"/>
    </row>
    <row r="798" spans="1:40">
      <c r="J798" s="31"/>
      <c r="K798" s="31"/>
      <c r="T798" s="789"/>
      <c r="AJ798" s="197"/>
      <c r="AK798" s="197"/>
      <c r="AL798" s="197"/>
      <c r="AM798" s="197"/>
      <c r="AN798" s="197"/>
    </row>
    <row r="799" spans="1:40" s="724" customFormat="1">
      <c r="D799" s="724" t="s">
        <v>2478</v>
      </c>
      <c r="J799" s="1067"/>
      <c r="K799" s="1067"/>
      <c r="T799" s="1068"/>
      <c r="U799" s="724" t="s">
        <v>2478</v>
      </c>
      <c r="V799" s="1732"/>
    </row>
    <row r="800" spans="1:40" s="724" customFormat="1">
      <c r="D800" s="1069" t="s">
        <v>2479</v>
      </c>
      <c r="J800" s="1067"/>
      <c r="K800" s="1067"/>
      <c r="U800" s="1069" t="s">
        <v>2479</v>
      </c>
      <c r="V800" s="1733"/>
    </row>
    <row r="801" spans="10:34" s="197" customFormat="1">
      <c r="J801" s="1010"/>
      <c r="K801" s="1010"/>
      <c r="V801" s="1734"/>
      <c r="AD801" s="677"/>
      <c r="AF801" s="679"/>
      <c r="AG801" s="677"/>
      <c r="AH801" s="677"/>
    </row>
    <row r="802" spans="10:34">
      <c r="J802" s="31"/>
      <c r="K802" s="31"/>
    </row>
    <row r="803" spans="10:34">
      <c r="J803" s="31"/>
      <c r="K803" s="31"/>
    </row>
    <row r="804" spans="10:34">
      <c r="J804" s="31"/>
      <c r="K804" s="31"/>
    </row>
    <row r="805" spans="10:34">
      <c r="J805" s="31"/>
      <c r="K805" s="31"/>
    </row>
    <row r="806" spans="10:34">
      <c r="J806" s="31"/>
      <c r="K806" s="31"/>
    </row>
    <row r="807" spans="10:34">
      <c r="J807" s="31"/>
      <c r="K807" s="31"/>
    </row>
    <row r="808" spans="10:34">
      <c r="J808" s="31"/>
      <c r="K808" s="31"/>
    </row>
    <row r="809" spans="10:34">
      <c r="J809" s="31"/>
      <c r="K809" s="31"/>
    </row>
    <row r="810" spans="10:34">
      <c r="J810" s="31"/>
      <c r="K810" s="31"/>
    </row>
    <row r="811" spans="10:34">
      <c r="J811" s="31"/>
      <c r="K811" s="31"/>
    </row>
    <row r="812" spans="10:34">
      <c r="J812" s="31"/>
      <c r="K812" s="31"/>
    </row>
    <row r="813" spans="10:34">
      <c r="J813" s="31"/>
      <c r="K813" s="31"/>
    </row>
    <row r="814" spans="10:34">
      <c r="J814" s="31"/>
      <c r="K814" s="31"/>
    </row>
    <row r="815" spans="10:34">
      <c r="J815" s="31"/>
      <c r="K815" s="31"/>
    </row>
    <row r="816" spans="10:34">
      <c r="J816" s="31"/>
      <c r="K816" s="31"/>
    </row>
    <row r="817" spans="10:11">
      <c r="J817" s="31"/>
      <c r="K817" s="31"/>
    </row>
    <row r="818" spans="10:11">
      <c r="J818" s="31"/>
      <c r="K818" s="31"/>
    </row>
    <row r="819" spans="10:11">
      <c r="J819" s="31"/>
      <c r="K819" s="31"/>
    </row>
    <row r="820" spans="10:11">
      <c r="J820" s="31"/>
      <c r="K820" s="31"/>
    </row>
    <row r="821" spans="10:11">
      <c r="J821" s="31"/>
      <c r="K821" s="31"/>
    </row>
    <row r="822" spans="10:11">
      <c r="J822" s="31"/>
      <c r="K822" s="31"/>
    </row>
    <row r="823" spans="10:11">
      <c r="J823" s="31"/>
      <c r="K823" s="31"/>
    </row>
    <row r="824" spans="10:11">
      <c r="J824" s="31"/>
      <c r="K824" s="31"/>
    </row>
    <row r="825" spans="10:11">
      <c r="J825" s="31"/>
      <c r="K825" s="31"/>
    </row>
    <row r="826" spans="10:11">
      <c r="J826" s="31"/>
      <c r="K826" s="31"/>
    </row>
    <row r="827" spans="10:11">
      <c r="J827" s="31"/>
      <c r="K827" s="31"/>
    </row>
    <row r="828" spans="10:11">
      <c r="J828" s="31"/>
      <c r="K828" s="31"/>
    </row>
    <row r="829" spans="10:11">
      <c r="J829" s="31"/>
      <c r="K829" s="31"/>
    </row>
    <row r="830" spans="10:11">
      <c r="J830" s="31"/>
      <c r="K830" s="31"/>
    </row>
    <row r="831" spans="10:11">
      <c r="J831" s="31"/>
      <c r="K831" s="31"/>
    </row>
    <row r="832" spans="10:11">
      <c r="J832" s="31"/>
      <c r="K832" s="31"/>
    </row>
    <row r="833" spans="10:11">
      <c r="J833" s="31"/>
      <c r="K833" s="31"/>
    </row>
    <row r="834" spans="10:11">
      <c r="J834" s="31"/>
      <c r="K834" s="31"/>
    </row>
    <row r="835" spans="10:11">
      <c r="J835" s="31"/>
      <c r="K835" s="31"/>
    </row>
    <row r="836" spans="10:11">
      <c r="J836" s="31"/>
      <c r="K836" s="31"/>
    </row>
    <row r="837" spans="10:11">
      <c r="J837" s="31"/>
      <c r="K837" s="31"/>
    </row>
    <row r="838" spans="10:11">
      <c r="J838" s="31"/>
      <c r="K838" s="31"/>
    </row>
    <row r="839" spans="10:11">
      <c r="J839" s="31"/>
      <c r="K839" s="31"/>
    </row>
    <row r="840" spans="10:11">
      <c r="J840" s="31"/>
      <c r="K840" s="31"/>
    </row>
    <row r="841" spans="10:11">
      <c r="J841" s="31"/>
      <c r="K841" s="31"/>
    </row>
    <row r="842" spans="10:11">
      <c r="J842" s="31"/>
      <c r="K842" s="31"/>
    </row>
    <row r="843" spans="10:11">
      <c r="J843" s="31"/>
      <c r="K843" s="31"/>
    </row>
    <row r="844" spans="10:11">
      <c r="J844" s="31"/>
      <c r="K844" s="31"/>
    </row>
    <row r="845" spans="10:11">
      <c r="J845" s="31"/>
      <c r="K845" s="31"/>
    </row>
    <row r="846" spans="10:11">
      <c r="J846" s="31"/>
      <c r="K846" s="31"/>
    </row>
    <row r="847" spans="10:11">
      <c r="J847" s="31"/>
      <c r="K847" s="31"/>
    </row>
    <row r="848" spans="10:11">
      <c r="J848" s="31"/>
      <c r="K848" s="31"/>
    </row>
    <row r="849" spans="10:11">
      <c r="J849" s="31"/>
      <c r="K849" s="31"/>
    </row>
    <row r="850" spans="10:11">
      <c r="J850" s="31"/>
      <c r="K850" s="31"/>
    </row>
    <row r="851" spans="10:11">
      <c r="J851" s="31"/>
      <c r="K851" s="31"/>
    </row>
    <row r="852" spans="10:11">
      <c r="J852" s="31"/>
      <c r="K852" s="31"/>
    </row>
    <row r="853" spans="10:11">
      <c r="J853" s="31"/>
      <c r="K853" s="31"/>
    </row>
    <row r="854" spans="10:11">
      <c r="J854" s="31"/>
      <c r="K854" s="31"/>
    </row>
    <row r="855" spans="10:11">
      <c r="J855" s="31"/>
      <c r="K855" s="31"/>
    </row>
    <row r="856" spans="10:11">
      <c r="J856" s="31"/>
      <c r="K856" s="31"/>
    </row>
    <row r="857" spans="10:11">
      <c r="J857" s="31"/>
      <c r="K857" s="31"/>
    </row>
    <row r="858" spans="10:11">
      <c r="J858" s="31"/>
      <c r="K858" s="31"/>
    </row>
    <row r="859" spans="10:11">
      <c r="J859" s="31"/>
      <c r="K859" s="31"/>
    </row>
    <row r="860" spans="10:11">
      <c r="J860" s="31"/>
      <c r="K860" s="31"/>
    </row>
    <row r="861" spans="10:11">
      <c r="J861" s="31"/>
      <c r="K861" s="31"/>
    </row>
    <row r="862" spans="10:11">
      <c r="J862" s="31"/>
      <c r="K862" s="31"/>
    </row>
    <row r="863" spans="10:11">
      <c r="J863" s="31"/>
      <c r="K863" s="31"/>
    </row>
    <row r="864" spans="10:11">
      <c r="J864" s="31"/>
      <c r="K864" s="31"/>
    </row>
    <row r="865" spans="10:11">
      <c r="J865" s="31"/>
      <c r="K865" s="31"/>
    </row>
    <row r="866" spans="10:11">
      <c r="J866" s="31"/>
      <c r="K866" s="31"/>
    </row>
    <row r="867" spans="10:11">
      <c r="J867" s="31"/>
      <c r="K867" s="31"/>
    </row>
    <row r="868" spans="10:11">
      <c r="J868" s="31"/>
      <c r="K868" s="31"/>
    </row>
    <row r="869" spans="10:11">
      <c r="J869" s="31"/>
      <c r="K869" s="31"/>
    </row>
    <row r="870" spans="10:11">
      <c r="J870" s="31"/>
      <c r="K870" s="31"/>
    </row>
    <row r="871" spans="10:11">
      <c r="J871" s="31"/>
      <c r="K871" s="31"/>
    </row>
    <row r="872" spans="10:11">
      <c r="J872" s="31"/>
      <c r="K872" s="31"/>
    </row>
  </sheetData>
  <autoFilter ref="A6:AN784">
    <filterColumn colId="0">
      <filters>
        <filter val="2023"/>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787:F787"/>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hyperlink ref="Q74" display="http://www.jocotepec.gob.mx/transparencia/index.php/ayuntamiento/informacion-fundamental/v-la-informacion-financiera-patrimonial-y-administrativa/p-la-informacion-sobre-concursos-por-invitacion-y-licitaciones-publicas-en-materia-de-adquisiciones-obra-publ"/>
    <hyperlink ref="I74" display="http://www.jocotepec.gob.mx/transparencia/index.php/ayuntamiento/informacion-fundamental/v-la-informacion-financiera-patrimonial-y-administrativa/p-la-informacion-sobre-concursos-por-invitacion-y-licitaciones-publicas-en-materia-de-adquisiciones-obra-publ"/>
    <hyperlink ref="I81" display="http://www.jocotepec.gob.mx/transparencia/index.php/ayuntamiento/informacion-fundamental/v-la-informacion-financiera-patrimonial-y-administrativa/p-la-informacion-sobre-concursos-por-invitacion-y-licitaciones-publicas-en-materia-de-adquisiciones-obra-publ"/>
    <hyperlink ref="AJ187" display="http://www.jocotepec.gob.mx/transparencia/index.php/ayuntamiento/informacion-fundamental/v-la-informacion-financiera-patrimonial-y-administrativa/p-la-informacion-sobre-concursos-por-invitacion-y-licitaciones-publicas-en-materia-de-adquisiciones-obra-publ"/>
    <hyperlink ref="AK193" display="http://www.jocotepec.gob.mx/transparencia/index.php/ayuntamiento/informacion-fundamental/v-la-informacion-financiera-patrimonial-y-administrativa/p-la-informacion-sobre-concursos-por-invitacion-y-licitaciones-publicas-en-materia-de-adquisiciones-obra-publ"/>
    <hyperlink ref="G181" display="http://www.jocotepec.gob.mx/transparencia/index.php/ayuntamiento/informacion-fundamental/v-la-informacion-financiera-patrimonial-y-administrativa/p-la-informacion-sobre-concursos-por-invitacion-y-licitaciones-publicas-en-materia-de-adquisiciones-obra-publ"/>
    <hyperlink ref="X181" display="http://www.jocotepec.gob.mx/transparencia/index.php/ayuntamiento/articulo-15-informacion-fundamental-ayuntamiento/xiii-los-convenios-y-contratos-celebrados-para-la-realizacion-de-obra-publica/2016-2/contratos/692-contrato-gmj-012c-op-2016-loza-de-concreto"/>
    <hyperlink ref="AK181" display="http://www.jocotepec.gob.mx/transparencia/index.php/ayuntamiento/informacion-fundamental/v-la-informacion-financiera-patrimonial-y-administrativa/p-la-informacion-sobre-concursos-por-invitacion-y-licitaciones-publicas-en-materia-de-adquisiciones-obra-publ"/>
    <hyperlink ref="AL181" display="http://www.jocotepec.gob.mx/transparencia/index.php/ayuntamiento/informacion-fundamental/v-la-informacion-financiera-patrimonial-y-administrativa/p-la-informacion-sobre-concursos-por-invitacion-y-licitaciones-publicas-en-materia-de-adquisiciones-obra-publ"/>
    <hyperlink ref="G185" display="http://www.jocotepec.gob.mx/transparencia/index.php/ayuntamiento/informacion-fundamental/v-la-informacion-financiera-patrimonial-y-administrativa/p-la-informacion-sobre-concursos-por-invitacion-y-licitaciones-publicas-en-materia-de-adquisiciones-obra-publ"/>
    <hyperlink ref="X185" display="http://www.jocotepec.gob.mx/transparencia/index.php/ayuntamiento/articulo-15-informacion-fundamental-ayuntamiento/xiii-los-convenios-y-contratos-celebrados-para-la-realizacion-de-obra-publica/2016-2/contratos/696-contrato-gmj-016c-op-2016-agua-drenaje-y-l"/>
    <hyperlink ref="AK185" display="http://www.jocotepec.gob.mx/transparencia/index.php/ayuntamiento/informacion-fundamental/v-la-informacion-financiera-patrimonial-y-administrativa/p-la-informacion-sobre-concursos-por-invitacion-y-licitaciones-publicas-en-materia-de-adquisiciones-obra-publ"/>
    <hyperlink ref="AL185" display="http://www.jocotepec.gob.mx/transparencia/index.php/ayuntamiento/informacion-fundamental/v-la-informacion-financiera-patrimonial-y-administrativa/p-la-informacion-sobre-concursos-por-invitacion-y-licitaciones-publicas-en-materia-de-adquisiciones-obra-publ"/>
    <hyperlink ref="G186" display="http://www.jocotepec.gob.mx/transparencia/index.php/ayuntamiento/informacion-fundamental/v-la-informacion-financiera-patrimonial-y-administrativa/p-la-informacion-sobre-concursos-por-invitacion-y-licitaciones-publicas-en-materia-de-adquisiciones-obra-publ"/>
    <hyperlink ref="X186" display="http://www.jocotepec.gob.mx/transparencia/index.php/ayuntamiento/articulo-15-informacion-fundamental-ayuntamiento/xiii-los-convenios-y-contratos-celebrados-para-la-realizacion-de-obra-publica/2016-2/contratos/697-contrato-gmj-017c-op-2016-agua-drenaje-loz"/>
    <hyperlink ref="AK186" display="http://www.jocotepec.gob.mx/transparencia/index.php/ayuntamiento/informacion-fundamental/v-la-informacion-financiera-patrimonial-y-administrativa/p-la-informacion-sobre-concursos-por-invitacion-y-licitaciones-publicas-en-materia-de-adquisiciones-obra-publ"/>
    <hyperlink ref="AL186" display="http://www.jocotepec.gob.mx/transparencia/index.php/ayuntamiento/informacion-fundamental/v-la-informacion-financiera-patrimonial-y-administrativa/p-la-informacion-sobre-concursos-por-invitacion-y-licitaciones-publicas-en-materia-de-adquisiciones-obra-publ"/>
    <hyperlink ref="G187" display="http://www.jocotepec.gob.mx/transparencia/index.php/ayuntamiento/informacion-fundamental/v-la-informacion-financiera-patrimonial-y-administrativa/p-la-informacion-sobre-concursos-por-invitacion-y-licitaciones-publicas-en-materia-de-adquisiciones-obra-publ"/>
    <hyperlink ref="X187" display="http://www.jocotepec.gob.mx/transparencia/index.php/ayuntamiento/articulo-15-informacion-fundamental-ayuntamiento/xiii-los-convenios-y-contratos-celebrados-para-la-realizacion-de-obra-publica/2016-2/contratos/698-contrato-gmj-018c-op-2016-construccion-de-"/>
    <hyperlink ref="AK187" display="http://www.jocotepec.gob.mx/transparencia/index.php/ayuntamiento/informacion-fundamental/v-la-informacion-financiera-patrimonial-y-administrativa/p-la-informacion-sobre-concursos-por-invitacion-y-licitaciones-publicas-en-materia-de-adquisiciones-obra-publ"/>
    <hyperlink ref="AL187" display="http://www.jocotepec.gob.mx/transparencia/index.php/ayuntamiento/informacion-fundamental/v-la-informacion-financiera-patrimonial-y-administrativa/p-la-informacion-sobre-concursos-por-invitacion-y-licitaciones-publicas-en-materia-de-adquisiciones-obra-publ"/>
    <hyperlink ref="G194" display="http://www.jocotepec.gob.mx/transparencia/index.php/ayuntamiento/informacion-fundamental/v-la-informacion-financiera-patrimonial-y-administrativa/p-la-informacion-sobre-concursos-por-invitacion-y-licitaciones-publicas-en-materia-de-adquisiciones-obra-publ"/>
    <hyperlink ref="G60" display="http://www.jocotepec.gob.mx/transparencia/index.php/ayuntamiento/informacion-fundamental/v-la-informacion-financiera-patrimonial-y-administrativa/p-la-informacion-sobre-concursos-por-invitacion-y-licitaciones-publicas-en-materia-de-adquisiciones-obra-publ"/>
    <hyperlink ref="X60" display="http://www.jocotepec.gob.mx/transparencia/index.php/ayuntamiento/articulo-15-informacion-fundamental-ayuntamiento/xiii-los-convenios-y-contratos-celebrados-para-la-realizacion-de-obra-publica/2014-2/623-contrato-gmj-002c-op-2014-redes-c-morelos-r33-fodim-"/>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AL60" display="http://www.jocotepec.gob.mx/transparencia/index.php/ayuntamiento/informacion-fundamental/v-la-informacion-financiera-patrimonial-y-administrativa/p-la-informacion-sobre-concursos-por-invitacion-y-licitaciones-publicas-en-materia-de-adquisiciones-obra-publ"/>
    <hyperlink ref="X74" display="http://www.jocotepec.gob.mx/transparencia/index.php/ayuntamiento/articulo-15-informacion-fundamental-ayuntamiento/xiii-los-convenios-y-contratos-celebrados-para-la-realizacion-de-obra-publica/2014-2/624-contrato-gmj-003c-op-2014-colocacion-de-adoquin-y-re"/>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AL74" display="http://www.jocotepec.gob.mx/transparencia/index.php/ayuntamiento/informacion-fundamental/v-la-informacion-financiera-patrimonial-y-administrativa/p-la-informacion-sobre-concursos-por-invitacion-y-licitaciones-publicas-en-materia-de-adquisiciones-obra-publ"/>
    <hyperlink ref="G81" display="http://www.jocotepec.gob.mx/transparencia/index.php/ayuntamiento/informacion-fundamental/v-la-informacion-financiera-patrimonial-y-administrativa/p-la-informacion-sobre-concursos-por-invitacion-y-licitaciones-publicas-en-materia-de-adquisiciones-obra-publ"/>
    <hyperlink ref="X81" display="http://www.jocotepec.gob.mx/transparencia/index.php/ayuntamiento/articulo-15-informacion-fundamental-ayuntamiento/xiii-los-convenios-y-contratos-celebrados-para-la-realizacion-de-obra-publica/2014-2/625-contrato-gmj-004c-op-2014-terminacion-de-guarderia-m"/>
    <hyperlink ref="AK81" display="http://www.jocotepec.gob.mx/transparencia/index.php/ayuntamiento/informacion-fundamental/v-la-informacion-financiera-patrimonial-y-administrativa/p-la-informacion-sobre-concursos-por-invitacion-y-licitaciones-publicas-en-materia-de-adquisiciones-obra-publ"/>
    <hyperlink ref="AL81" display="http://www.jocotepec.gob.mx/transparencia/index.php/ayuntamiento/informacion-fundamental/v-la-informacion-financiera-patrimonial-y-administrativa/p-la-informacion-sobre-concursos-por-invitacion-y-licitaciones-publicas-en-materia-de-adquisiciones-obra-publ"/>
    <hyperlink ref="Q60" display="http://www.jocotepec.gob.mx/transparencia/index.php/ayuntamiento/informacion-fundamental/v-la-informacion-financiera-patrimonial-y-administrativa/p-la-informacion-sobre-concursos-por-invitacion-y-licitaciones-publicas-en-materia-de-adquisiciones-obra-publ"/>
    <hyperlink ref="Q81" display="http://www.jocotepec.gob.mx/transparencia/index.php/ayuntamiento/informacion-fundamental/v-la-informacion-financiera-patrimonial-y-administrativa/p-la-informacion-sobre-concursos-por-invitacion-y-licitaciones-publicas-en-materia-de-adquisiciones-obra-publ"/>
    <hyperlink ref="Q181" display="http://www.jocotepec.gob.mx/transparencia/index.php/ayuntamiento/informacion-fundamental/v-la-informacion-financiera-patrimonial-y-administrativa/p-la-informacion-sobre-concursos-por-invitacion-y-licitaciones-publicas-en-materia-de-adquisiciones-obra-publ"/>
    <hyperlink ref="Q185" display="http://www.jocotepec.gob.mx/transparencia/index.php/ayuntamiento/informacion-fundamental/v-la-informacion-financiera-patrimonial-y-administrativa/p-la-informacion-sobre-concursos-por-invitacion-y-licitaciones-publicas-en-materia-de-adquisiciones-obra-publ"/>
    <hyperlink ref="Q186" display="http://www.jocotepec.gob.mx/transparencia/index.php/ayuntamiento/informacion-fundamental/v-la-informacion-financiera-patrimonial-y-administrativa/p-la-informacion-sobre-concursos-por-invitacion-y-licitaciones-publicas-en-materia-de-adquisiciones-obra-publ"/>
    <hyperlink ref="Q187" display="http://www.jocotepec.gob.mx/transparencia/index.php/ayuntamiento/informacion-fundamental/v-la-informacion-financiera-patrimonial-y-administrativa/p-la-informacion-sobre-concursos-por-invitacion-y-licitaciones-publicas-en-materia-de-adquisiciones-obra-publ"/>
    <hyperlink ref="K181" display="http://www.jocotepec.gob.mx/transparencia/index.php/ayuntamiento/informacion-fundamental/v-la-informacion-financiera-patrimonial-y-administrativa/p-la-informacion-sobre-concursos-por-invitacion-y-licitaciones-publicas-en-materia-de-adquisiciones-obra-publ"/>
    <hyperlink ref="K185" display="http://www.jocotepec.gob.mx/transparencia/index.php/ayuntamiento/informacion-fundamental/v-la-informacion-financiera-patrimonial-y-administrativa/p-la-informacion-sobre-concursos-por-invitacion-y-licitaciones-publicas-en-materia-de-adquisiciones-obra-publ"/>
    <hyperlink ref="K186" display="http://www.jocotepec.gob.mx/transparencia/index.php/ayuntamiento/informacion-fundamental/v-la-informacion-financiera-patrimonial-y-administrativa/p-la-informacion-sobre-concursos-por-invitacion-y-licitaciones-publicas-en-materia-de-adquisiciones-obra-publ"/>
    <hyperlink ref="K187" display="http://www.jocotepec.gob.mx/transparencia/index.php/ayuntamiento/informacion-fundamental/v-la-informacion-financiera-patrimonial-y-administrativa/p-la-informacion-sobre-concursos-por-invitacion-y-licitaciones-publicas-en-materia-de-adquisiciones-obra-publ"/>
    <hyperlink ref="K194" display="http://www.jocotepec.gob.mx/transparencia/index.php/ayuntamiento/informacion-fundamental/v-la-informacion-financiera-patrimonial-y-administrativa/p-la-informacion-sobre-concursos-por-invitacion-y-licitaciones-publicas-en-materia-de-adquisiciones-obra-publ"/>
    <hyperlink ref="C194" display="http://www.jocotepec.gob.mx/transparencia/index.php/ayuntamiento/informacion-fundamental/v-la-informacion-financiera-patrimonial-y-administrativa/p-la-informacion-sobre-concursos-por-invitacion-y-licitaciones-publicas-en-materia-de-adquisiciones-obra-publ"/>
    <hyperlink ref="I98" display="http://www.jocotepec.gob.mx/transparencia/index.php/ayuntamiento/informacion-fundamental/v-la-informacion-financiera-patrimonial-y-administrativa/p-la-informacion-sobre-concursos-por-invitacion-y-licitaciones-publicas-en-materia-de-adquisiciones-obra-publ"/>
    <hyperlink ref="X98" display="http://www.jocotepec.gob.mx/transparencia/index.php/ayuntamiento/articulo-15-informacion-fundamental-ayuntamiento/xiii-los-convenios-y-contratos-celebrados-para-la-realizacion-de-obra-publica/2015-2/631-contrato-gmj-003c-op-2015-perforacion-de-pozo-profun"/>
    <hyperlink ref="AL98" display="http://www.jocotepec.gob.mx/transparencia/index.php/ayuntamiento/informacion-fundamental/v-la-informacion-financiera-patrimonial-y-administrativa/p-la-informacion-sobre-concursos-por-invitacion-y-licitaciones-publicas-en-materia-de-adquisiciones-obra-publ"/>
    <hyperlink ref="G61" display="http://www.jocotepec.gob.mx/transparencia/index.php/ayuntamiento/informacion-fundamental/v-la-informacion-financiera-patrimonial-y-administrativa/p-la-informacion-sobre-concursos-por-invitacion-y-licitaciones-publicas-en-materia-de-adquisiciones-obra-publ"/>
    <hyperlink ref="AK61" display="http://www.jocotepec.gob.mx/transparencia/index.php/ayuntamiento/informacion-fundamental/v-la-informacion-financiera-patrimonial-y-administrativa/p-la-informacion-sobre-concursos-por-invitacion-y-licitaciones-publicas-en-materia-de-adquisiciones-obra-publ"/>
    <hyperlink ref="M194" display="http://www.jocotepec.gob.mx/transparencia/index.php/ayuntamiento/informacion-fundamental/v-la-informacion-financiera-patrimonial-y-administrativa/p-la-informacion-sobre-concursos-por-invitacion-y-licitaciones-publicas-en-materia-de-adquisiciones-obra-publ"/>
    <hyperlink ref="X194" display="http://www.jocotepec.gob.mx/transparencia/index.php/ayuntamiento/articulo-15-informacion-fundamental-ayuntamiento/xiii-los-convenios-y-contratos-celebrados-para-la-realizacion-de-obra-publica/2016-2/contratos/3071-contrato-025c-2016-restauracion-de-parroq"/>
    <hyperlink ref="AL61" display="http://www.jocotepec.gob.mx/transparencia/index.php/ayuntamiento/informacion-fundamental/v-la-informacion-financiera-patrimonial-y-administrativa/p-la-informacion-sobre-concursos-por-invitacion-y-licitaciones-publicas-en-materia-de-adquisiciones-obra-publ"/>
    <hyperlink ref="M61" display="http://www.jocotepec.gob.mx/transparencia/index.php/ayuntamiento/informacion-fundamental/v-la-informacion-financiera-patrimonial-y-administrativa/p-la-informacion-sobre-concursos-por-invitacion-y-licitaciones-publicas-en-materia-de-adquisiciones-obra-publ"/>
    <hyperlink ref="X61" display="http://www.jocotepec.gob.mx/transparencia/index.php/ayuntamiento/articulo-15-informacion-fundamental-ayuntamiento/xiii-los-convenios-y-contratos-celebrados-para-la-realizacion-de-obra-publica/2014-2/3317-gmj-001c-op-2014-linea-de-conexion-entre-pozo-y-red"/>
    <hyperlink ref="G98" display="http://www.jocotepec.gob.mx/transparencia/index.php/ayuntamiento/informacion-fundamental/v-la-informacion-financiera-patrimonial-y-administrativa/p-la-informacion-sobre-concursos-por-invitacion-y-licitaciones-publicas-en-materia-de-adquisiciones-obra-publ"/>
    <hyperlink ref="Q98" display="http://www.jocotepec.gob.mx/transparencia/index.php/ayuntamiento/informacion-fundamental/v-la-informacion-financiera-patrimonial-y-administrativa/p-la-informacion-sobre-concursos-por-invitacion-y-licitaciones-publicas-en-materia-de-adquisiciones-obra-publ"/>
    <hyperlink ref="AK98" display="http://www.jocotepec.gob.mx/transparencia/index.php/ayuntamiento/informacion-fundamental/v-la-informacion-financiera-patrimonial-y-administrativa/p-la-informacion-sobre-concursos-por-invitacion-y-licitaciones-publicas-en-materia-de-adquisiciones-obra-publ"/>
    <hyperlink ref="K193" display="http://www.jocotepec.gob.mx/transparencia/index.php/ayuntamiento/informacion-fundamental/v-la-informacion-financiera-patrimonial-y-administrativa/p-la-informacion-sobre-concursos-por-invitacion-y-licitaciones-publicas-en-materia-de-adquisiciones-obra-publ"/>
    <hyperlink ref="AJ194" display="http://www.jocotepec.gob.mx/transparencia/index.php/ayuntamiento/informacion-fundamental/v-la-informacion-financiera-patrimonial-y-administrativa/p-la-informacion-sobre-concursos-por-invitacion-y-licitaciones-publicas-en-materia-de-adquisiciones-obra-publ"/>
    <hyperlink ref="D800" display="http://www.jocotepec.gob.mx/transparencia/index.php/ayuntamiento/informacion-fundamental/v-la-informacion-financiera-patrimonial-y-administrativa/p-la-informacion-sobre-concursos-por-invitacion-y-licitaciones-publicas-en-materia-de-adquisiciones-obra-publ"/>
    <hyperlink ref="U800" display="http://www.jocotepec.gob.mx/transparencia/index.php/ayuntamiento/informacion-fundamental/v-la-informacion-financiera-patrimonial-y-administrativa/p-la-informacion-sobre-concursos-por-invitacion-y-licitaciones-publicas-en-materia-de-adquisiciones-obra-publ"/>
    <hyperlink ref="I515" r:id="rId1"/>
    <hyperlink ref="C517" r:id="rId2"/>
    <hyperlink ref="G517" r:id="rId3"/>
    <hyperlink ref="I517" r:id="rId4"/>
    <hyperlink ref="K517" r:id="rId5"/>
    <hyperlink ref="M517" r:id="rId6"/>
    <hyperlink ref="Q517" r:id="rId7"/>
    <hyperlink ref="Q516" r:id="rId8"/>
    <hyperlink ref="C518" r:id="rId9"/>
    <hyperlink ref="G518" r:id="rId10"/>
    <hyperlink ref="M515" r:id="rId11"/>
    <hyperlink ref="AL516" r:id="rId12"/>
    <hyperlink ref="AL515" r:id="rId13"/>
    <hyperlink ref="AK316" r:id="rId14"/>
    <hyperlink ref="G515" r:id="rId15"/>
    <hyperlink ref="C516" r:id="rId16"/>
    <hyperlink ref="G516" r:id="rId17"/>
    <hyperlink ref="G567" r:id="rId18" display="https://portaltransparencia.jocotepec.gob.mx/informacion/2946"/>
    <hyperlink ref="I567" r:id="rId19"/>
    <hyperlink ref="K567" r:id="rId20"/>
    <hyperlink ref="X567" r:id="rId21"/>
    <hyperlink ref="X565" r:id="rId22"/>
    <hyperlink ref="C565" r:id="rId23"/>
    <hyperlink ref="G565" r:id="rId24"/>
    <hyperlink ref="K565" r:id="rId25"/>
    <hyperlink ref="M565" r:id="rId26"/>
    <hyperlink ref="X573" r:id="rId27"/>
    <hyperlink ref="X574" r:id="rId28"/>
    <hyperlink ref="AJ516" r:id="rId29"/>
    <hyperlink ref="AK515" r:id="rId30"/>
    <hyperlink ref="X572" r:id="rId31"/>
    <hyperlink ref="I518" r:id="rId32"/>
    <hyperlink ref="M573" r:id="rId33"/>
    <hyperlink ref="AJ517" r:id="rId34"/>
    <hyperlink ref="AJ518" r:id="rId35"/>
    <hyperlink ref="AK518" r:id="rId36"/>
    <hyperlink ref="C567" r:id="rId37"/>
    <hyperlink ref="AK567" r:id="rId38"/>
    <hyperlink ref="AL567" r:id="rId39"/>
    <hyperlink ref="I565" r:id="rId40"/>
    <hyperlink ref="AK565" r:id="rId41"/>
    <hyperlink ref="AL565" r:id="rId42"/>
    <hyperlink ref="Q565" r:id="rId43"/>
    <hyperlink ref="C572" r:id="rId44"/>
    <hyperlink ref="I572" r:id="rId45"/>
    <hyperlink ref="K572" r:id="rId46"/>
    <hyperlink ref="M572" r:id="rId47"/>
    <hyperlink ref="Q572" r:id="rId48"/>
    <hyperlink ref="AK572" r:id="rId49"/>
    <hyperlink ref="AL572" r:id="rId50"/>
    <hyperlink ref="Q574" r:id="rId51"/>
    <hyperlink ref="G573" r:id="rId52"/>
    <hyperlink ref="Q573" r:id="rId53"/>
    <hyperlink ref="K573" r:id="rId54"/>
    <hyperlink ref="X646" r:id="rId55"/>
    <hyperlink ref="X647:X648" r:id="rId56" display="https://portaltransparencia.jocotepec.gob.mx/informacion/4457"/>
    <hyperlink ref="X650:X651" r:id="rId57" display="https://portaltransparencia.jocotepec.gob.mx/informacion/4457"/>
    <hyperlink ref="I646" r:id="rId58"/>
    <hyperlink ref="K646" r:id="rId59"/>
    <hyperlink ref="M646" r:id="rId60"/>
    <hyperlink ref="Q646" r:id="rId61"/>
    <hyperlink ref="C646" r:id="rId62"/>
    <hyperlink ref="C651" r:id="rId63"/>
    <hyperlink ref="I651" r:id="rId64"/>
    <hyperlink ref="K651" r:id="rId65"/>
    <hyperlink ref="M651" r:id="rId66"/>
    <hyperlink ref="Q651" r:id="rId67"/>
    <hyperlink ref="I647" r:id="rId68"/>
    <hyperlink ref="G648" r:id="rId69"/>
    <hyperlink ref="M648" r:id="rId70"/>
    <hyperlink ref="C647" r:id="rId71"/>
    <hyperlink ref="G647" r:id="rId72"/>
    <hyperlink ref="K647" r:id="rId73"/>
    <hyperlink ref="M647" r:id="rId74"/>
    <hyperlink ref="Q647" r:id="rId75"/>
    <hyperlink ref="Q648" r:id="rId76"/>
    <hyperlink ref="C650" r:id="rId77"/>
    <hyperlink ref="G650" r:id="rId78"/>
    <hyperlink ref="I650" r:id="rId79"/>
    <hyperlink ref="K650" r:id="rId80"/>
    <hyperlink ref="M650" r:id="rId81"/>
    <hyperlink ref="Q650" r:id="rId82"/>
    <hyperlink ref="G646" r:id="rId83"/>
    <hyperlink ref="G572" r:id="rId84"/>
    <hyperlink ref="G574" r:id="rId85"/>
    <hyperlink ref="K574" r:id="rId86"/>
    <hyperlink ref="X514" r:id="rId87"/>
    <hyperlink ref="C514" r:id="rId88"/>
    <hyperlink ref="G514" r:id="rId89"/>
    <hyperlink ref="I514" r:id="rId90"/>
    <hyperlink ref="K514" r:id="rId91"/>
    <hyperlink ref="M514" r:id="rId92"/>
    <hyperlink ref="Q514" r:id="rId93"/>
    <hyperlink ref="AJ514" r:id="rId94"/>
    <hyperlink ref="AK514" r:id="rId95"/>
    <hyperlink ref="AL514" r:id="rId96"/>
    <hyperlink ref="AJ646" r:id="rId97"/>
    <hyperlink ref="AK646" r:id="rId98"/>
    <hyperlink ref="AL646" r:id="rId99"/>
    <hyperlink ref="AJ647" r:id="rId100"/>
    <hyperlink ref="AK647" r:id="rId101"/>
    <hyperlink ref="AL647" r:id="rId102"/>
    <hyperlink ref="C648" r:id="rId103"/>
    <hyperlink ref="I648" r:id="rId104"/>
    <hyperlink ref="K648" r:id="rId105"/>
    <hyperlink ref="AK648" r:id="rId106"/>
    <hyperlink ref="AL648" r:id="rId107"/>
    <hyperlink ref="AJ650" r:id="rId108"/>
    <hyperlink ref="AK650" r:id="rId109"/>
    <hyperlink ref="AL650" r:id="rId110"/>
    <hyperlink ref="G651" r:id="rId111"/>
    <hyperlink ref="AK651" r:id="rId112"/>
    <hyperlink ref="AL651" r:id="rId113"/>
    <hyperlink ref="X724" r:id="rId114"/>
    <hyperlink ref="C724" r:id="rId115"/>
    <hyperlink ref="G724" r:id="rId116"/>
    <hyperlink ref="K724" r:id="rId117"/>
    <hyperlink ref="M724" r:id="rId118"/>
    <hyperlink ref="Q724" r:id="rId119"/>
    <hyperlink ref="I724" r:id="rId120"/>
    <hyperlink ref="C738" r:id="rId121"/>
    <hyperlink ref="I738" r:id="rId122"/>
    <hyperlink ref="K738" r:id="rId123"/>
    <hyperlink ref="M738" r:id="rId124"/>
    <hyperlink ref="Q738" r:id="rId125"/>
    <hyperlink ref="X738" r:id="rId126"/>
    <hyperlink ref="X739" r:id="rId127"/>
    <hyperlink ref="C739" r:id="rId128"/>
    <hyperlink ref="G739" r:id="rId129"/>
    <hyperlink ref="I739" r:id="rId130"/>
    <hyperlink ref="M739" r:id="rId131"/>
    <hyperlink ref="Q739" r:id="rId132"/>
    <hyperlink ref="C745" r:id="rId133"/>
    <hyperlink ref="G745" r:id="rId134"/>
    <hyperlink ref="I745" r:id="rId135"/>
    <hyperlink ref="K745" r:id="rId136"/>
    <hyperlink ref="M745" r:id="rId137"/>
    <hyperlink ref="Q745" r:id="rId138"/>
    <hyperlink ref="X745" r:id="rId139"/>
    <hyperlink ref="AJ724" r:id="rId140"/>
    <hyperlink ref="AK724" r:id="rId141"/>
    <hyperlink ref="AL724" r:id="rId142"/>
    <hyperlink ref="I574" r:id="rId143"/>
    <hyperlink ref="AJ573" r:id="rId144"/>
    <hyperlink ref="AK573" r:id="rId145"/>
    <hyperlink ref="AL573" r:id="rId146"/>
    <hyperlink ref="C574" r:id="rId147"/>
    <hyperlink ref="AJ574" r:id="rId148"/>
    <hyperlink ref="AK574" r:id="rId149"/>
    <hyperlink ref="AL574" r:id="rId150"/>
    <hyperlink ref="AI574" r:id="rId151"/>
    <hyperlink ref="C573" r:id="rId152"/>
    <hyperlink ref="AJ651" r:id="rId153"/>
    <hyperlink ref="AJ738" r:id="rId154"/>
  </hyperlinks>
  <pageMargins left="0.23622047244094491" right="0.23622047244094491" top="0.47244094488188981" bottom="0.31496062992125984" header="0.31496062992125984" footer="0.31496062992125984"/>
  <pageSetup scale="34" orientation="landscape" r:id="rId155"/>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6"/>
      <c r="C2" s="1096"/>
      <c r="D2" s="1096"/>
      <c r="E2" s="1096"/>
      <c r="F2" s="1096"/>
      <c r="G2" s="1096"/>
      <c r="H2" s="1096"/>
      <c r="I2" s="1096"/>
      <c r="J2" s="1097" t="s">
        <v>2480</v>
      </c>
      <c r="K2" s="1096"/>
      <c r="L2" s="1096"/>
      <c r="M2" s="1096"/>
      <c r="N2" s="1096"/>
      <c r="O2" s="1096"/>
      <c r="P2" s="1096"/>
      <c r="Q2" s="1096"/>
      <c r="R2" s="1096"/>
    </row>
    <row r="3" spans="1:19" ht="15.75" thickBot="1"/>
    <row r="4" spans="1:19" s="1092" customFormat="1" ht="18" customHeight="1">
      <c r="A4" s="2231"/>
      <c r="B4" s="2236" t="s">
        <v>1410</v>
      </c>
      <c r="C4" s="2236" t="s">
        <v>19</v>
      </c>
      <c r="D4" s="2229" t="s">
        <v>2481</v>
      </c>
      <c r="E4" s="2229" t="s">
        <v>2239</v>
      </c>
      <c r="F4" s="2229" t="s">
        <v>2482</v>
      </c>
      <c r="G4" s="2238" t="s">
        <v>2483</v>
      </c>
      <c r="H4" s="2229" t="s">
        <v>1413</v>
      </c>
      <c r="I4" s="2229" t="s">
        <v>25</v>
      </c>
      <c r="J4" s="2235" t="s">
        <v>28</v>
      </c>
      <c r="K4" s="2235"/>
      <c r="L4" s="2235" t="s">
        <v>2484</v>
      </c>
      <c r="M4" s="2235"/>
      <c r="N4" s="2235"/>
      <c r="O4" s="2229" t="s">
        <v>2485</v>
      </c>
      <c r="P4" s="2229" t="s">
        <v>2486</v>
      </c>
      <c r="Q4" s="2229" t="s">
        <v>2487</v>
      </c>
      <c r="R4" s="2229" t="s">
        <v>2488</v>
      </c>
      <c r="S4" s="2233"/>
    </row>
    <row r="5" spans="1:19" s="1092" customFormat="1" ht="13.5" customHeight="1">
      <c r="A5" s="2232"/>
      <c r="B5" s="2237"/>
      <c r="C5" s="2237"/>
      <c r="D5" s="2230"/>
      <c r="E5" s="2230"/>
      <c r="F5" s="2230"/>
      <c r="G5" s="2239"/>
      <c r="H5" s="2230"/>
      <c r="I5" s="2230"/>
      <c r="J5" s="1093" t="s">
        <v>2489</v>
      </c>
      <c r="K5" s="1094" t="s">
        <v>2490</v>
      </c>
      <c r="L5" s="1093" t="s">
        <v>2491</v>
      </c>
      <c r="M5" s="1095" t="s">
        <v>2492</v>
      </c>
      <c r="N5" s="1094" t="s">
        <v>2493</v>
      </c>
      <c r="O5" s="2230"/>
      <c r="P5" s="2230"/>
      <c r="Q5" s="2230"/>
      <c r="R5" s="2230"/>
      <c r="S5" s="2234"/>
    </row>
    <row r="6" spans="1:19" s="833" customFormat="1" ht="9" customHeight="1">
      <c r="A6" s="1099"/>
      <c r="B6" s="1098"/>
      <c r="C6" s="1098"/>
      <c r="D6" s="1098"/>
      <c r="E6" s="1098"/>
      <c r="F6" s="1098"/>
      <c r="G6" s="1098"/>
      <c r="H6" s="1098"/>
      <c r="I6" s="1098"/>
      <c r="J6" s="1098"/>
      <c r="K6" s="1098"/>
      <c r="L6" s="1098"/>
      <c r="M6" s="1098"/>
      <c r="N6" s="1098"/>
      <c r="O6" s="1098"/>
      <c r="P6" s="1098"/>
      <c r="Q6" s="1098"/>
      <c r="R6" s="1098"/>
      <c r="S6" s="1100"/>
    </row>
    <row r="7" spans="1:19" s="1104" customFormat="1">
      <c r="A7" s="1101"/>
      <c r="B7" s="1102" t="s">
        <v>2494</v>
      </c>
      <c r="C7" s="1102">
        <v>2019</v>
      </c>
      <c r="D7" s="1102"/>
      <c r="E7" s="1078"/>
      <c r="F7" s="1102">
        <v>1</v>
      </c>
      <c r="G7" s="1078"/>
      <c r="H7" s="1078"/>
      <c r="I7" s="1108"/>
      <c r="J7" s="1102"/>
      <c r="K7" s="1102"/>
      <c r="L7" s="1102"/>
      <c r="M7" s="1108"/>
      <c r="N7" s="1108"/>
      <c r="O7" s="1078"/>
      <c r="P7" s="1111"/>
      <c r="Q7" s="1111">
        <f>P7*1.16</f>
        <v>0</v>
      </c>
      <c r="R7" s="1102"/>
      <c r="S7" s="1103"/>
    </row>
    <row r="8" spans="1:19" s="1104" customFormat="1">
      <c r="A8" s="1101"/>
      <c r="B8" s="1102" t="s">
        <v>2494</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c r="A9" s="1101"/>
      <c r="B9" s="1102" t="s">
        <v>2494</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c r="A10" s="1101"/>
      <c r="B10" s="1102" t="s">
        <v>2494</v>
      </c>
      <c r="C10" s="1102">
        <v>2019</v>
      </c>
      <c r="D10" s="1102" t="s">
        <v>1159</v>
      </c>
      <c r="E10" s="1078" t="str">
        <f>OBRA!N346</f>
        <v>"CONSTRUCCIÓN DE LÍNEA DE AGUA POTABLE EN CALLE EL DOMINGUILLO (RED DE ABASTECIMIENTO)", EN LA LOCALIDAD DE SAN JUAN COSALA, DEL MUNICIPIO DE JOCOTEPEC, JALISCO</v>
      </c>
      <c r="F10" s="1102" t="s">
        <v>2495</v>
      </c>
      <c r="G10" s="1078" t="s">
        <v>2496</v>
      </c>
      <c r="H10" s="1115" t="s">
        <v>2497</v>
      </c>
      <c r="I10" s="1108">
        <v>43544</v>
      </c>
      <c r="J10" s="1102" t="s">
        <v>68</v>
      </c>
      <c r="K10" s="1102" t="s">
        <v>69</v>
      </c>
      <c r="L10" s="1102" t="s">
        <v>2498</v>
      </c>
      <c r="M10" s="1108" t="s">
        <v>68</v>
      </c>
      <c r="N10" s="1108" t="s">
        <v>68</v>
      </c>
      <c r="O10" s="1078" t="s">
        <v>2499</v>
      </c>
      <c r="P10" s="1111">
        <v>700</v>
      </c>
      <c r="Q10" s="1111">
        <f t="shared" si="0"/>
        <v>812</v>
      </c>
      <c r="R10" s="1102"/>
      <c r="S10" s="1103"/>
    </row>
    <row r="11" spans="1:19" s="1104" customFormat="1">
      <c r="A11" s="1101"/>
      <c r="B11" s="1102" t="s">
        <v>2494</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c r="A12" s="1101"/>
      <c r="B12" s="1102" t="s">
        <v>2494</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c r="A13" s="1101"/>
      <c r="B13" s="1102" t="s">
        <v>2494</v>
      </c>
      <c r="C13" s="1102">
        <v>2019</v>
      </c>
      <c r="D13" s="1102" t="s">
        <v>1175</v>
      </c>
      <c r="E13" s="1078" t="str">
        <f>OBRA!N359</f>
        <v>"MANTENIMIENTO Y CONSERVACIÓN CON MAQUINARIA PESADA DE CALLES Y CAMINOS EN LAS AGENCIAS, DELEGACIONES Y CABECERA DEL MUNICIPIO DE JOCOTEPEC, JALISCO"</v>
      </c>
      <c r="F13" s="1102" t="s">
        <v>2500</v>
      </c>
      <c r="G13" s="1078" t="s">
        <v>2501</v>
      </c>
      <c r="H13" s="1115" t="s">
        <v>2502</v>
      </c>
      <c r="I13" s="1108">
        <v>43657</v>
      </c>
      <c r="J13" s="1102" t="s">
        <v>68</v>
      </c>
      <c r="K13" s="1078" t="s">
        <v>2503</v>
      </c>
      <c r="L13" s="1102" t="s">
        <v>2504</v>
      </c>
      <c r="M13" s="1108" t="s">
        <v>68</v>
      </c>
      <c r="N13" s="1108" t="s">
        <v>68</v>
      </c>
      <c r="O13" s="1078" t="s">
        <v>2499</v>
      </c>
      <c r="P13" s="1111">
        <v>4000</v>
      </c>
      <c r="Q13" s="1111">
        <f t="shared" si="0"/>
        <v>4640</v>
      </c>
      <c r="R13" s="1102"/>
      <c r="S13" s="1103"/>
    </row>
    <row r="14" spans="1:19" s="1104" customFormat="1">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c r="D129" t="s">
        <v>2505</v>
      </c>
    </row>
    <row r="130" spans="4:5">
      <c r="D130" s="2228">
        <v>43741</v>
      </c>
      <c r="E130" s="2228"/>
    </row>
  </sheetData>
  <autoFilter ref="A6:S127"/>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1090" customWidth="1"/>
    <col min="16" max="17" width="19.5703125" customWidth="1"/>
    <col min="18" max="18" width="34.7109375" customWidth="1"/>
    <col min="19" max="20" width="34.28515625" customWidth="1"/>
    <col min="21" max="21" width="6.140625" customWidth="1"/>
  </cols>
  <sheetData>
    <row r="1" spans="1:21" ht="26.25">
      <c r="A1" s="2240" t="s">
        <v>2934</v>
      </c>
      <c r="B1" s="2240"/>
      <c r="C1" s="2240"/>
      <c r="D1" s="2240"/>
      <c r="E1" s="2240"/>
      <c r="F1" s="2240"/>
      <c r="G1" s="2240"/>
      <c r="H1" s="2240"/>
      <c r="I1" s="2240"/>
      <c r="J1" s="2240"/>
      <c r="K1" s="2240"/>
      <c r="L1" s="2240"/>
      <c r="M1" s="2240"/>
      <c r="N1" s="2240"/>
      <c r="O1" s="2240"/>
      <c r="P1" s="2240"/>
      <c r="Q1" s="2240"/>
      <c r="R1" s="2240"/>
      <c r="S1" s="2240"/>
      <c r="T1" s="2240"/>
      <c r="U1" s="2240"/>
    </row>
    <row r="2" spans="1:21">
      <c r="A2" s="2241" t="str">
        <f>GRAL!A2</f>
        <v>DEL 01 DE ENERO 2023 A FECHA ACTUAL</v>
      </c>
      <c r="B2" s="2241"/>
      <c r="C2" s="2241"/>
      <c r="D2" s="2241"/>
      <c r="E2" s="2241"/>
      <c r="F2" s="2241"/>
      <c r="G2" s="2241"/>
      <c r="H2" s="2241"/>
      <c r="I2" s="2241"/>
      <c r="J2" s="2241"/>
      <c r="K2" s="2241"/>
      <c r="L2" s="2241"/>
      <c r="M2" s="2241"/>
      <c r="N2" s="2241"/>
      <c r="O2" s="2241"/>
      <c r="P2" s="2241"/>
      <c r="Q2" s="2241"/>
      <c r="R2" s="2241"/>
      <c r="S2" s="2241"/>
      <c r="T2" s="2241"/>
      <c r="U2" s="2241"/>
    </row>
    <row r="3" spans="1:21" ht="15.75">
      <c r="A3" s="1302" t="s">
        <v>2891</v>
      </c>
      <c r="B3" s="2242">
        <v>45209</v>
      </c>
      <c r="C3" s="2242"/>
      <c r="D3" s="2242"/>
      <c r="E3" s="2242"/>
      <c r="F3" s="2242"/>
      <c r="G3" s="2242"/>
      <c r="H3" s="1301"/>
      <c r="I3" s="1301"/>
      <c r="J3" s="2066"/>
      <c r="K3" s="1301"/>
      <c r="L3" s="1301"/>
      <c r="M3" s="1301"/>
      <c r="N3" s="1301"/>
      <c r="O3" s="1826"/>
      <c r="P3" s="1301"/>
      <c r="Q3" s="1301"/>
      <c r="R3" s="1301"/>
      <c r="S3" s="1301"/>
      <c r="T3" s="1301"/>
      <c r="U3" s="1301"/>
    </row>
    <row r="5" spans="1:21" s="1090" customFormat="1" ht="60" customHeight="1">
      <c r="A5" s="1089" t="s">
        <v>2506</v>
      </c>
      <c r="B5" s="1089" t="s">
        <v>25</v>
      </c>
      <c r="C5" s="1089" t="s">
        <v>2507</v>
      </c>
      <c r="D5" s="1089" t="s">
        <v>2508</v>
      </c>
      <c r="E5" s="1073" t="s">
        <v>2509</v>
      </c>
      <c r="F5" s="1380" t="s">
        <v>3095</v>
      </c>
      <c r="G5" s="1089" t="s">
        <v>2239</v>
      </c>
      <c r="H5" s="1091" t="s">
        <v>2510</v>
      </c>
      <c r="I5" s="1091" t="s">
        <v>3092</v>
      </c>
      <c r="J5" s="1073" t="s">
        <v>5959</v>
      </c>
      <c r="K5" s="1091" t="s">
        <v>3093</v>
      </c>
      <c r="L5" s="1091" t="s">
        <v>3094</v>
      </c>
      <c r="M5" s="1089" t="s">
        <v>2511</v>
      </c>
      <c r="N5" s="1089" t="s">
        <v>2998</v>
      </c>
      <c r="O5" s="1089" t="s">
        <v>2226</v>
      </c>
      <c r="P5" s="1089" t="s">
        <v>2996</v>
      </c>
      <c r="Q5" s="1089" t="s">
        <v>2997</v>
      </c>
      <c r="R5" s="1089" t="s">
        <v>2512</v>
      </c>
      <c r="S5" s="1089" t="s">
        <v>2513</v>
      </c>
      <c r="T5" s="1089" t="s">
        <v>3706</v>
      </c>
      <c r="U5" s="1089"/>
    </row>
    <row r="6" spans="1:21">
      <c r="A6" s="1074"/>
      <c r="B6" s="1074"/>
      <c r="C6" s="1074"/>
      <c r="D6" s="1074"/>
      <c r="E6" s="1075"/>
      <c r="F6" s="1075"/>
      <c r="G6" s="1074"/>
      <c r="H6" s="1074"/>
      <c r="I6" s="1074"/>
      <c r="J6" s="2071"/>
      <c r="K6" s="2068"/>
      <c r="L6" s="2069"/>
      <c r="M6" s="1074"/>
      <c r="N6" s="1074"/>
      <c r="O6" s="1827"/>
      <c r="P6" s="1074"/>
      <c r="Q6" s="1074"/>
      <c r="R6" s="1074"/>
      <c r="S6" s="1074"/>
      <c r="T6" s="1074"/>
      <c r="U6" s="1074"/>
    </row>
    <row r="7" spans="1:21" s="197" customFormat="1" ht="57" hidden="1" customHeight="1">
      <c r="A7" s="1088" t="s">
        <v>2512</v>
      </c>
      <c r="B7" s="1378"/>
      <c r="C7" s="1088"/>
      <c r="D7" s="1088"/>
      <c r="E7" s="1086"/>
      <c r="F7" s="1088"/>
      <c r="G7" s="1382"/>
      <c r="H7" s="1379"/>
      <c r="I7" s="1379"/>
      <c r="J7" s="2072"/>
      <c r="K7" s="664"/>
      <c r="L7" s="255"/>
      <c r="M7" s="1381"/>
      <c r="N7" s="328"/>
      <c r="O7" s="1379"/>
      <c r="P7" s="1378"/>
      <c r="Q7" s="1378"/>
      <c r="R7" s="1195" t="s">
        <v>4265</v>
      </c>
      <c r="S7" s="1083"/>
      <c r="T7" s="1829"/>
      <c r="U7" s="1088"/>
    </row>
    <row r="8" spans="1:21" s="197" customFormat="1" ht="42" customHeight="1">
      <c r="A8" s="1088" t="s">
        <v>2512</v>
      </c>
      <c r="B8" s="1378">
        <v>45043</v>
      </c>
      <c r="C8" s="1088">
        <v>5</v>
      </c>
      <c r="D8" s="1088">
        <v>4</v>
      </c>
      <c r="E8" s="1086"/>
      <c r="F8" s="1088">
        <v>1</v>
      </c>
      <c r="G8" s="1382" t="s">
        <v>5870</v>
      </c>
      <c r="H8" s="1379"/>
      <c r="I8" s="1379"/>
      <c r="J8" s="2072"/>
      <c r="K8" s="664"/>
      <c r="L8" s="255"/>
      <c r="M8" s="1381" t="s">
        <v>5871</v>
      </c>
      <c r="N8" s="328" t="s">
        <v>2560</v>
      </c>
      <c r="O8" s="1379" t="s">
        <v>3148</v>
      </c>
      <c r="P8" s="1378">
        <v>45043</v>
      </c>
      <c r="Q8" s="1378">
        <v>45043</v>
      </c>
      <c r="R8" s="1195" t="s">
        <v>4265</v>
      </c>
      <c r="S8" s="1083"/>
      <c r="T8" s="1829"/>
      <c r="U8" s="1088"/>
    </row>
    <row r="9" spans="1:21" s="197" customFormat="1" ht="40.5" customHeight="1">
      <c r="A9" s="1088" t="s">
        <v>2512</v>
      </c>
      <c r="B9" s="1378">
        <v>45043</v>
      </c>
      <c r="C9" s="1088">
        <f>C8</f>
        <v>5</v>
      </c>
      <c r="D9" s="1088">
        <f>D8</f>
        <v>4</v>
      </c>
      <c r="E9" s="1086"/>
      <c r="F9" s="1088">
        <f>F8+1</f>
        <v>2</v>
      </c>
      <c r="G9" s="1382" t="s">
        <v>5872</v>
      </c>
      <c r="H9" s="1379"/>
      <c r="I9" s="1379"/>
      <c r="J9" s="2072"/>
      <c r="K9" s="664"/>
      <c r="L9" s="255"/>
      <c r="M9" s="1381" t="s">
        <v>4800</v>
      </c>
      <c r="N9" s="328" t="s">
        <v>2574</v>
      </c>
      <c r="O9" s="1379" t="s">
        <v>166</v>
      </c>
      <c r="P9" s="1378">
        <v>45043</v>
      </c>
      <c r="Q9" s="1378">
        <v>45043</v>
      </c>
      <c r="R9" s="1195" t="s">
        <v>4265</v>
      </c>
      <c r="S9" s="1083"/>
      <c r="T9" s="1829"/>
      <c r="U9" s="1088"/>
    </row>
    <row r="10" spans="1:21" s="197" customFormat="1" ht="40.5" customHeight="1">
      <c r="A10" s="1088" t="s">
        <v>2512</v>
      </c>
      <c r="B10" s="1378">
        <v>45043</v>
      </c>
      <c r="C10" s="1088">
        <f t="shared" ref="C10:C73" si="0">C9</f>
        <v>5</v>
      </c>
      <c r="D10" s="1088">
        <f t="shared" ref="D10:D73" si="1">D9</f>
        <v>4</v>
      </c>
      <c r="E10" s="1086"/>
      <c r="F10" s="1088">
        <f t="shared" ref="F10:F73" si="2">F9+1</f>
        <v>3</v>
      </c>
      <c r="G10" s="1382" t="s">
        <v>5873</v>
      </c>
      <c r="H10" s="1379"/>
      <c r="I10" s="1379"/>
      <c r="J10" s="2072"/>
      <c r="K10" s="664"/>
      <c r="L10" s="255"/>
      <c r="M10" s="1381" t="s">
        <v>4800</v>
      </c>
      <c r="N10" s="328" t="s">
        <v>2574</v>
      </c>
      <c r="O10" s="1379" t="s">
        <v>166</v>
      </c>
      <c r="P10" s="1378">
        <v>45043</v>
      </c>
      <c r="Q10" s="1378">
        <v>45043</v>
      </c>
      <c r="R10" s="1195" t="s">
        <v>4265</v>
      </c>
      <c r="S10" s="1083"/>
      <c r="T10" s="1829"/>
      <c r="U10" s="1088"/>
    </row>
    <row r="11" spans="1:21" s="197" customFormat="1" ht="36.75" customHeight="1">
      <c r="A11" s="1088" t="s">
        <v>2512</v>
      </c>
      <c r="B11" s="1378">
        <v>45043</v>
      </c>
      <c r="C11" s="1088">
        <f t="shared" si="0"/>
        <v>5</v>
      </c>
      <c r="D11" s="1088">
        <f t="shared" si="1"/>
        <v>4</v>
      </c>
      <c r="E11" s="1086"/>
      <c r="F11" s="1088">
        <f t="shared" si="2"/>
        <v>4</v>
      </c>
      <c r="G11" s="1382" t="s">
        <v>5874</v>
      </c>
      <c r="H11" s="1379"/>
      <c r="I11" s="1379"/>
      <c r="J11" s="2072"/>
      <c r="K11" s="664"/>
      <c r="L11" s="255"/>
      <c r="M11" s="1381"/>
      <c r="N11" s="328" t="s">
        <v>2699</v>
      </c>
      <c r="O11" s="1379" t="s">
        <v>166</v>
      </c>
      <c r="P11" s="1378">
        <v>45043</v>
      </c>
      <c r="Q11" s="1378">
        <v>45043</v>
      </c>
      <c r="R11" s="1195" t="s">
        <v>4265</v>
      </c>
      <c r="S11" s="1083"/>
      <c r="T11" s="1829"/>
      <c r="U11" s="1088"/>
    </row>
    <row r="12" spans="1:21" s="197" customFormat="1" ht="57" customHeight="1">
      <c r="A12" s="1088" t="s">
        <v>2512</v>
      </c>
      <c r="B12" s="1378">
        <v>45043</v>
      </c>
      <c r="C12" s="1088">
        <f t="shared" si="0"/>
        <v>5</v>
      </c>
      <c r="D12" s="1088">
        <f t="shared" si="1"/>
        <v>4</v>
      </c>
      <c r="E12" s="1086" t="s">
        <v>5468</v>
      </c>
      <c r="F12" s="1088">
        <f t="shared" si="2"/>
        <v>5</v>
      </c>
      <c r="G12" s="1382" t="s">
        <v>5875</v>
      </c>
      <c r="H12" s="1379"/>
      <c r="I12" s="1379" t="s">
        <v>551</v>
      </c>
      <c r="J12" s="2072"/>
      <c r="K12" s="664">
        <v>44987</v>
      </c>
      <c r="L12" s="255">
        <v>45048</v>
      </c>
      <c r="M12" s="1381" t="s">
        <v>5384</v>
      </c>
      <c r="N12" s="328" t="s">
        <v>1979</v>
      </c>
      <c r="O12" s="1379" t="s">
        <v>166</v>
      </c>
      <c r="P12" s="1378">
        <v>45043</v>
      </c>
      <c r="Q12" s="1378">
        <v>45043</v>
      </c>
      <c r="R12" s="1195" t="s">
        <v>4265</v>
      </c>
      <c r="S12" s="1083"/>
      <c r="T12" s="1829"/>
      <c r="U12" s="1088"/>
    </row>
    <row r="13" spans="1:21" s="197" customFormat="1" ht="70.5" customHeight="1">
      <c r="A13" s="1088" t="s">
        <v>2512</v>
      </c>
      <c r="B13" s="1378">
        <v>45043</v>
      </c>
      <c r="C13" s="1088">
        <f t="shared" si="0"/>
        <v>5</v>
      </c>
      <c r="D13" s="1088">
        <f t="shared" si="1"/>
        <v>4</v>
      </c>
      <c r="E13" s="1086" t="s">
        <v>5468</v>
      </c>
      <c r="F13" s="1088">
        <f t="shared" si="2"/>
        <v>6</v>
      </c>
      <c r="G13" s="1382" t="s">
        <v>5876</v>
      </c>
      <c r="H13" s="1379"/>
      <c r="I13" s="1379" t="s">
        <v>551</v>
      </c>
      <c r="J13" s="2072"/>
      <c r="K13" s="664">
        <v>44987</v>
      </c>
      <c r="L13" s="255">
        <v>45048</v>
      </c>
      <c r="M13" s="1381" t="s">
        <v>5384</v>
      </c>
      <c r="N13" s="328" t="s">
        <v>1979</v>
      </c>
      <c r="O13" s="1379" t="s">
        <v>166</v>
      </c>
      <c r="P13" s="1378">
        <v>45043</v>
      </c>
      <c r="Q13" s="1378">
        <v>45043</v>
      </c>
      <c r="R13" s="1195" t="s">
        <v>4265</v>
      </c>
      <c r="S13" s="1083"/>
      <c r="T13" s="1829"/>
      <c r="U13" s="1088"/>
    </row>
    <row r="14" spans="1:21" s="197" customFormat="1" ht="45" customHeight="1">
      <c r="A14" s="1088" t="s">
        <v>2512</v>
      </c>
      <c r="B14" s="1378">
        <v>45043</v>
      </c>
      <c r="C14" s="1088">
        <f t="shared" si="0"/>
        <v>5</v>
      </c>
      <c r="D14" s="1088">
        <f t="shared" si="1"/>
        <v>4</v>
      </c>
      <c r="E14" s="1086"/>
      <c r="F14" s="1088">
        <f t="shared" si="2"/>
        <v>7</v>
      </c>
      <c r="G14" s="1382" t="s">
        <v>5877</v>
      </c>
      <c r="H14" s="1379"/>
      <c r="I14" s="1379"/>
      <c r="J14" s="2072"/>
      <c r="K14" s="664"/>
      <c r="L14" s="255"/>
      <c r="M14" s="1381"/>
      <c r="N14" s="328" t="s">
        <v>1979</v>
      </c>
      <c r="O14" s="1379" t="s">
        <v>166</v>
      </c>
      <c r="P14" s="1378">
        <v>45043</v>
      </c>
      <c r="Q14" s="1378">
        <v>45043</v>
      </c>
      <c r="R14" s="1195" t="s">
        <v>4265</v>
      </c>
      <c r="S14" s="1083"/>
      <c r="T14" s="1829"/>
      <c r="U14" s="1088"/>
    </row>
    <row r="15" spans="1:21" s="197" customFormat="1" ht="45" customHeight="1">
      <c r="A15" s="1088" t="s">
        <v>2512</v>
      </c>
      <c r="B15" s="1378">
        <v>45043</v>
      </c>
      <c r="C15" s="1088">
        <f t="shared" si="0"/>
        <v>5</v>
      </c>
      <c r="D15" s="1088">
        <f t="shared" si="1"/>
        <v>4</v>
      </c>
      <c r="E15" s="1086"/>
      <c r="F15" s="1088">
        <f t="shared" si="2"/>
        <v>8</v>
      </c>
      <c r="G15" s="1382" t="s">
        <v>5878</v>
      </c>
      <c r="H15" s="1379"/>
      <c r="I15" s="1379"/>
      <c r="J15" s="2072"/>
      <c r="K15" s="664"/>
      <c r="L15" s="255"/>
      <c r="M15" s="1381" t="s">
        <v>5379</v>
      </c>
      <c r="N15" s="328" t="s">
        <v>1979</v>
      </c>
      <c r="O15" s="1379" t="s">
        <v>166</v>
      </c>
      <c r="P15" s="1378">
        <v>45043</v>
      </c>
      <c r="Q15" s="1378">
        <v>45043</v>
      </c>
      <c r="R15" s="1195" t="s">
        <v>4265</v>
      </c>
      <c r="S15" s="1083"/>
      <c r="T15" s="1829"/>
      <c r="U15" s="1088"/>
    </row>
    <row r="16" spans="1:21" s="197" customFormat="1" ht="40.5" customHeight="1">
      <c r="A16" s="1088" t="s">
        <v>2512</v>
      </c>
      <c r="B16" s="1378">
        <v>45043</v>
      </c>
      <c r="C16" s="1088">
        <f t="shared" si="0"/>
        <v>5</v>
      </c>
      <c r="D16" s="1088">
        <f t="shared" si="1"/>
        <v>4</v>
      </c>
      <c r="E16" s="1086"/>
      <c r="F16" s="1088">
        <f t="shared" si="2"/>
        <v>9</v>
      </c>
      <c r="G16" s="1382" t="s">
        <v>5879</v>
      </c>
      <c r="H16" s="1379"/>
      <c r="I16" s="1379"/>
      <c r="J16" s="2072"/>
      <c r="K16" s="664"/>
      <c r="L16" s="255"/>
      <c r="M16" s="1381" t="s">
        <v>2515</v>
      </c>
      <c r="N16" s="328" t="s">
        <v>1979</v>
      </c>
      <c r="O16" s="1379" t="s">
        <v>166</v>
      </c>
      <c r="P16" s="1378">
        <v>45043</v>
      </c>
      <c r="Q16" s="1378">
        <v>45043</v>
      </c>
      <c r="R16" s="1195" t="s">
        <v>4265</v>
      </c>
      <c r="S16" s="1083"/>
      <c r="T16" s="1829"/>
      <c r="U16" s="1088"/>
    </row>
    <row r="17" spans="1:21" s="197" customFormat="1" ht="57" customHeight="1">
      <c r="A17" s="1088" t="s">
        <v>2512</v>
      </c>
      <c r="B17" s="1378">
        <v>45043</v>
      </c>
      <c r="C17" s="1088">
        <f t="shared" si="0"/>
        <v>5</v>
      </c>
      <c r="D17" s="1088">
        <f t="shared" si="1"/>
        <v>4</v>
      </c>
      <c r="E17" s="1086"/>
      <c r="F17" s="1088">
        <f t="shared" si="2"/>
        <v>10</v>
      </c>
      <c r="G17" s="1382" t="s">
        <v>5880</v>
      </c>
      <c r="H17" s="1379"/>
      <c r="I17" s="1379" t="s">
        <v>551</v>
      </c>
      <c r="J17" s="2072"/>
      <c r="K17" s="664"/>
      <c r="L17" s="255"/>
      <c r="M17" s="1381" t="s">
        <v>5379</v>
      </c>
      <c r="N17" s="328" t="s">
        <v>1979</v>
      </c>
      <c r="O17" s="1379" t="s">
        <v>166</v>
      </c>
      <c r="P17" s="1378">
        <v>45043</v>
      </c>
      <c r="Q17" s="1378">
        <v>45043</v>
      </c>
      <c r="R17" s="1195" t="s">
        <v>4265</v>
      </c>
      <c r="S17" s="1083"/>
      <c r="T17" s="1829"/>
      <c r="U17" s="1088"/>
    </row>
    <row r="18" spans="1:21" s="197" customFormat="1" ht="42" customHeight="1">
      <c r="A18" s="1088" t="s">
        <v>2512</v>
      </c>
      <c r="B18" s="1378">
        <v>45043</v>
      </c>
      <c r="C18" s="1088">
        <f t="shared" si="0"/>
        <v>5</v>
      </c>
      <c r="D18" s="1088">
        <f t="shared" si="1"/>
        <v>4</v>
      </c>
      <c r="E18" s="1086"/>
      <c r="F18" s="1088">
        <f t="shared" si="2"/>
        <v>11</v>
      </c>
      <c r="G18" s="1382" t="s">
        <v>5881</v>
      </c>
      <c r="H18" s="1379"/>
      <c r="I18" s="1379" t="s">
        <v>551</v>
      </c>
      <c r="J18" s="2072"/>
      <c r="K18" s="664"/>
      <c r="L18" s="255"/>
      <c r="M18" s="1381" t="s">
        <v>4823</v>
      </c>
      <c r="N18" s="328" t="s">
        <v>1979</v>
      </c>
      <c r="O18" s="1379" t="s">
        <v>166</v>
      </c>
      <c r="P18" s="1378">
        <v>45043</v>
      </c>
      <c r="Q18" s="1378">
        <v>45043</v>
      </c>
      <c r="R18" s="1195" t="s">
        <v>4265</v>
      </c>
      <c r="S18" s="1083"/>
      <c r="T18" s="1829"/>
      <c r="U18" s="1088"/>
    </row>
    <row r="19" spans="1:21" s="197" customFormat="1" ht="43.5" customHeight="1">
      <c r="A19" s="1088" t="s">
        <v>2512</v>
      </c>
      <c r="B19" s="1378">
        <v>45043</v>
      </c>
      <c r="C19" s="1088">
        <f t="shared" si="0"/>
        <v>5</v>
      </c>
      <c r="D19" s="1088">
        <f t="shared" si="1"/>
        <v>4</v>
      </c>
      <c r="E19" s="1086"/>
      <c r="F19" s="1088">
        <f t="shared" si="2"/>
        <v>12</v>
      </c>
      <c r="G19" s="1382" t="s">
        <v>5882</v>
      </c>
      <c r="H19" s="1379"/>
      <c r="I19" s="1379" t="s">
        <v>551</v>
      </c>
      <c r="J19" s="2072"/>
      <c r="K19" s="664"/>
      <c r="L19" s="255"/>
      <c r="M19" s="1381" t="s">
        <v>4823</v>
      </c>
      <c r="N19" s="328" t="s">
        <v>1979</v>
      </c>
      <c r="O19" s="1379" t="s">
        <v>166</v>
      </c>
      <c r="P19" s="1378">
        <v>45043</v>
      </c>
      <c r="Q19" s="1378">
        <v>45043</v>
      </c>
      <c r="R19" s="1195" t="s">
        <v>4265</v>
      </c>
      <c r="S19" s="1083"/>
      <c r="T19" s="1829"/>
      <c r="U19" s="1088"/>
    </row>
    <row r="20" spans="1:21" s="197" customFormat="1" ht="57" customHeight="1">
      <c r="A20" s="1088" t="s">
        <v>2512</v>
      </c>
      <c r="B20" s="1378">
        <v>45043</v>
      </c>
      <c r="C20" s="1088">
        <f t="shared" si="0"/>
        <v>5</v>
      </c>
      <c r="D20" s="1088">
        <f t="shared" si="1"/>
        <v>4</v>
      </c>
      <c r="E20" s="1086"/>
      <c r="F20" s="1088">
        <f t="shared" si="2"/>
        <v>13</v>
      </c>
      <c r="G20" s="1382" t="s">
        <v>5883</v>
      </c>
      <c r="H20" s="1379"/>
      <c r="I20" s="1379" t="s">
        <v>551</v>
      </c>
      <c r="J20" s="2072"/>
      <c r="K20" s="664"/>
      <c r="L20" s="255"/>
      <c r="M20" s="1381" t="s">
        <v>4823</v>
      </c>
      <c r="N20" s="328" t="s">
        <v>1979</v>
      </c>
      <c r="O20" s="1379" t="s">
        <v>166</v>
      </c>
      <c r="P20" s="1378">
        <v>45043</v>
      </c>
      <c r="Q20" s="1378">
        <v>45043</v>
      </c>
      <c r="R20" s="1195" t="s">
        <v>4265</v>
      </c>
      <c r="S20" s="1083"/>
      <c r="T20" s="1829"/>
      <c r="U20" s="1088"/>
    </row>
    <row r="21" spans="1:21" s="197" customFormat="1" ht="40.5" customHeight="1">
      <c r="A21" s="1088" t="s">
        <v>2512</v>
      </c>
      <c r="B21" s="1378">
        <v>45043</v>
      </c>
      <c r="C21" s="1088">
        <f t="shared" si="0"/>
        <v>5</v>
      </c>
      <c r="D21" s="1088">
        <f t="shared" si="1"/>
        <v>4</v>
      </c>
      <c r="E21" s="1086" t="s">
        <v>4790</v>
      </c>
      <c r="F21" s="1088">
        <f t="shared" si="2"/>
        <v>14</v>
      </c>
      <c r="G21" s="1382" t="s">
        <v>5884</v>
      </c>
      <c r="H21" s="1379"/>
      <c r="I21" s="1379" t="s">
        <v>551</v>
      </c>
      <c r="J21" s="2072"/>
      <c r="K21" s="664"/>
      <c r="L21" s="255"/>
      <c r="M21" s="1381" t="s">
        <v>5885</v>
      </c>
      <c r="N21" s="328" t="s">
        <v>2551</v>
      </c>
      <c r="O21" s="1379" t="s">
        <v>166</v>
      </c>
      <c r="P21" s="1378">
        <v>45043</v>
      </c>
      <c r="Q21" s="1378">
        <v>45043</v>
      </c>
      <c r="R21" s="1195" t="s">
        <v>4265</v>
      </c>
      <c r="S21" s="1083"/>
      <c r="T21" s="1829"/>
      <c r="U21" s="1088"/>
    </row>
    <row r="22" spans="1:21" s="197" customFormat="1" ht="36.75" customHeight="1">
      <c r="A22" s="1088" t="s">
        <v>2512</v>
      </c>
      <c r="B22" s="1378">
        <v>45043</v>
      </c>
      <c r="C22" s="1088">
        <f t="shared" si="0"/>
        <v>5</v>
      </c>
      <c r="D22" s="1088">
        <f t="shared" si="1"/>
        <v>4</v>
      </c>
      <c r="E22" s="1086"/>
      <c r="F22" s="1088">
        <f t="shared" si="2"/>
        <v>15</v>
      </c>
      <c r="G22" s="1382" t="s">
        <v>5886</v>
      </c>
      <c r="H22" s="1379"/>
      <c r="I22" s="1379"/>
      <c r="J22" s="2072"/>
      <c r="K22" s="664"/>
      <c r="L22" s="255"/>
      <c r="M22" s="1381"/>
      <c r="N22" s="328" t="s">
        <v>2649</v>
      </c>
      <c r="O22" s="1379" t="s">
        <v>166</v>
      </c>
      <c r="P22" s="1378">
        <v>45043</v>
      </c>
      <c r="Q22" s="1378">
        <v>45043</v>
      </c>
      <c r="R22" s="1195" t="s">
        <v>4265</v>
      </c>
      <c r="S22" s="1083"/>
      <c r="T22" s="1829"/>
      <c r="U22" s="1088"/>
    </row>
    <row r="23" spans="1:21" s="197" customFormat="1" ht="38.25" customHeight="1">
      <c r="A23" s="1088" t="s">
        <v>2512</v>
      </c>
      <c r="B23" s="1378">
        <v>45043</v>
      </c>
      <c r="C23" s="1088">
        <f t="shared" si="0"/>
        <v>5</v>
      </c>
      <c r="D23" s="1088">
        <f t="shared" si="1"/>
        <v>4</v>
      </c>
      <c r="E23" s="1086"/>
      <c r="F23" s="1088">
        <f t="shared" si="2"/>
        <v>16</v>
      </c>
      <c r="G23" s="1382" t="s">
        <v>5887</v>
      </c>
      <c r="H23" s="1379"/>
      <c r="I23" s="1379" t="s">
        <v>551</v>
      </c>
      <c r="J23" s="2072"/>
      <c r="K23" s="664"/>
      <c r="L23" s="255"/>
      <c r="M23" s="1381" t="s">
        <v>2690</v>
      </c>
      <c r="N23" s="328" t="s">
        <v>1979</v>
      </c>
      <c r="O23" s="1379" t="s">
        <v>166</v>
      </c>
      <c r="P23" s="1378">
        <v>45043</v>
      </c>
      <c r="Q23" s="1378">
        <v>45043</v>
      </c>
      <c r="R23" s="1195" t="s">
        <v>4265</v>
      </c>
      <c r="S23" s="1083"/>
      <c r="T23" s="1829"/>
      <c r="U23" s="1088"/>
    </row>
    <row r="24" spans="1:21" s="197" customFormat="1" ht="57" customHeight="1">
      <c r="A24" s="1088" t="s">
        <v>2512</v>
      </c>
      <c r="B24" s="1378">
        <v>45043</v>
      </c>
      <c r="C24" s="1088">
        <f t="shared" si="0"/>
        <v>5</v>
      </c>
      <c r="D24" s="1088">
        <f t="shared" si="1"/>
        <v>4</v>
      </c>
      <c r="E24" s="1084" t="s">
        <v>5446</v>
      </c>
      <c r="F24" s="1088">
        <f t="shared" si="2"/>
        <v>17</v>
      </c>
      <c r="G24" s="1382" t="s">
        <v>5888</v>
      </c>
      <c r="H24" s="1379"/>
      <c r="I24" s="1379" t="s">
        <v>551</v>
      </c>
      <c r="J24" s="2072"/>
      <c r="K24" s="664">
        <v>45148</v>
      </c>
      <c r="L24" s="255">
        <v>45170</v>
      </c>
      <c r="M24" s="1381" t="s">
        <v>5384</v>
      </c>
      <c r="N24" s="328" t="s">
        <v>1979</v>
      </c>
      <c r="O24" s="1379" t="s">
        <v>166</v>
      </c>
      <c r="P24" s="1378">
        <v>45043</v>
      </c>
      <c r="Q24" s="1378">
        <v>45043</v>
      </c>
      <c r="R24" s="1195" t="s">
        <v>4265</v>
      </c>
      <c r="S24" s="1083"/>
      <c r="T24" s="1829" t="s">
        <v>5945</v>
      </c>
      <c r="U24" s="1088"/>
    </row>
    <row r="25" spans="1:21" s="197" customFormat="1" ht="45.75" customHeight="1">
      <c r="A25" s="1088" t="s">
        <v>2512</v>
      </c>
      <c r="B25" s="1378">
        <v>45043</v>
      </c>
      <c r="C25" s="1088">
        <f t="shared" si="0"/>
        <v>5</v>
      </c>
      <c r="D25" s="1088">
        <f t="shared" si="1"/>
        <v>4</v>
      </c>
      <c r="E25" s="1086"/>
      <c r="F25" s="1088">
        <f t="shared" si="2"/>
        <v>18</v>
      </c>
      <c r="G25" s="1382" t="s">
        <v>5889</v>
      </c>
      <c r="H25" s="1379"/>
      <c r="I25" s="1379" t="s">
        <v>551</v>
      </c>
      <c r="J25" s="2072"/>
      <c r="K25" s="664"/>
      <c r="L25" s="255"/>
      <c r="M25" s="1381" t="s">
        <v>5384</v>
      </c>
      <c r="N25" s="328" t="s">
        <v>1979</v>
      </c>
      <c r="O25" s="1379" t="s">
        <v>166</v>
      </c>
      <c r="P25" s="1378">
        <v>45043</v>
      </c>
      <c r="Q25" s="1378">
        <v>45043</v>
      </c>
      <c r="R25" s="1195" t="s">
        <v>4265</v>
      </c>
      <c r="S25" s="1083"/>
      <c r="T25" s="1829"/>
      <c r="U25" s="1088"/>
    </row>
    <row r="26" spans="1:21" s="197" customFormat="1" ht="47.25" customHeight="1">
      <c r="A26" s="1088" t="s">
        <v>2512</v>
      </c>
      <c r="B26" s="1378">
        <v>45043</v>
      </c>
      <c r="C26" s="1088">
        <f t="shared" si="0"/>
        <v>5</v>
      </c>
      <c r="D26" s="1088">
        <f t="shared" si="1"/>
        <v>4</v>
      </c>
      <c r="E26" s="1086" t="s">
        <v>4790</v>
      </c>
      <c r="F26" s="1088">
        <f t="shared" si="2"/>
        <v>19</v>
      </c>
      <c r="G26" s="1382" t="s">
        <v>5890</v>
      </c>
      <c r="H26" s="1379"/>
      <c r="I26" s="1379" t="s">
        <v>551</v>
      </c>
      <c r="J26" s="2072"/>
      <c r="K26" s="664"/>
      <c r="L26" s="255"/>
      <c r="M26" s="1381"/>
      <c r="N26" s="328" t="s">
        <v>1980</v>
      </c>
      <c r="O26" s="1379" t="s">
        <v>166</v>
      </c>
      <c r="P26" s="1378">
        <v>45043</v>
      </c>
      <c r="Q26" s="1378">
        <v>45043</v>
      </c>
      <c r="R26" s="1195" t="s">
        <v>4265</v>
      </c>
      <c r="S26" s="1083"/>
      <c r="T26" s="1829"/>
      <c r="U26" s="1088"/>
    </row>
    <row r="27" spans="1:21" s="197" customFormat="1" ht="57" customHeight="1">
      <c r="A27" s="1088" t="s">
        <v>2512</v>
      </c>
      <c r="B27" s="1378">
        <v>45043</v>
      </c>
      <c r="C27" s="1088">
        <f t="shared" si="0"/>
        <v>5</v>
      </c>
      <c r="D27" s="1088">
        <f t="shared" si="1"/>
        <v>4</v>
      </c>
      <c r="E27" s="1086" t="s">
        <v>4790</v>
      </c>
      <c r="F27" s="1088">
        <f t="shared" si="2"/>
        <v>20</v>
      </c>
      <c r="G27" s="1382" t="s">
        <v>5891</v>
      </c>
      <c r="H27" s="1379"/>
      <c r="I27" s="1379" t="s">
        <v>551</v>
      </c>
      <c r="J27" s="2072"/>
      <c r="K27" s="664" t="s">
        <v>4534</v>
      </c>
      <c r="L27" s="255"/>
      <c r="M27" s="1381"/>
      <c r="N27" s="328" t="s">
        <v>1979</v>
      </c>
      <c r="O27" s="1379" t="s">
        <v>166</v>
      </c>
      <c r="P27" s="1378">
        <v>45043</v>
      </c>
      <c r="Q27" s="1378">
        <v>45043</v>
      </c>
      <c r="R27" s="1195" t="s">
        <v>4265</v>
      </c>
      <c r="S27" s="1083"/>
      <c r="T27" s="1829"/>
      <c r="U27" s="1088"/>
    </row>
    <row r="28" spans="1:21" s="197" customFormat="1" ht="42" customHeight="1">
      <c r="A28" s="1088" t="s">
        <v>2512</v>
      </c>
      <c r="B28" s="1378">
        <v>45043</v>
      </c>
      <c r="C28" s="1088">
        <f t="shared" si="0"/>
        <v>5</v>
      </c>
      <c r="D28" s="1088">
        <f t="shared" si="1"/>
        <v>4</v>
      </c>
      <c r="E28" s="1086"/>
      <c r="F28" s="1088">
        <f t="shared" si="2"/>
        <v>21</v>
      </c>
      <c r="G28" s="1382" t="s">
        <v>5892</v>
      </c>
      <c r="H28" s="1379"/>
      <c r="I28" s="1379"/>
      <c r="J28" s="2072"/>
      <c r="K28" s="664"/>
      <c r="L28" s="255"/>
      <c r="M28" s="1381"/>
      <c r="N28" s="328" t="s">
        <v>2568</v>
      </c>
      <c r="O28" s="1379" t="s">
        <v>166</v>
      </c>
      <c r="P28" s="1378">
        <v>45043</v>
      </c>
      <c r="Q28" s="1378">
        <v>45043</v>
      </c>
      <c r="R28" s="1195" t="s">
        <v>4265</v>
      </c>
      <c r="S28" s="1083"/>
      <c r="T28" s="1829"/>
      <c r="U28" s="1088"/>
    </row>
    <row r="29" spans="1:21" s="197" customFormat="1" ht="42" customHeight="1">
      <c r="A29" s="1088" t="s">
        <v>2512</v>
      </c>
      <c r="B29" s="1378">
        <v>45043</v>
      </c>
      <c r="C29" s="1088">
        <f t="shared" si="0"/>
        <v>5</v>
      </c>
      <c r="D29" s="1088">
        <f t="shared" si="1"/>
        <v>4</v>
      </c>
      <c r="E29" s="1086"/>
      <c r="F29" s="1088">
        <f t="shared" si="2"/>
        <v>22</v>
      </c>
      <c r="G29" s="1382" t="s">
        <v>5865</v>
      </c>
      <c r="H29" s="1379"/>
      <c r="I29" s="1379"/>
      <c r="J29" s="2072"/>
      <c r="K29" s="664"/>
      <c r="L29" s="255"/>
      <c r="M29" s="1381"/>
      <c r="N29" s="328" t="s">
        <v>1979</v>
      </c>
      <c r="O29" s="1379" t="s">
        <v>5893</v>
      </c>
      <c r="P29" s="1378">
        <v>45043</v>
      </c>
      <c r="Q29" s="1378">
        <v>45043</v>
      </c>
      <c r="R29" s="1195" t="s">
        <v>4265</v>
      </c>
      <c r="S29" s="1083"/>
      <c r="T29" s="1829"/>
      <c r="U29" s="1088"/>
    </row>
    <row r="30" spans="1:21" s="197" customFormat="1" ht="39" customHeight="1">
      <c r="A30" s="1088" t="s">
        <v>2512</v>
      </c>
      <c r="B30" s="1378">
        <v>45043</v>
      </c>
      <c r="C30" s="1088">
        <f t="shared" si="0"/>
        <v>5</v>
      </c>
      <c r="D30" s="1088">
        <f t="shared" si="1"/>
        <v>4</v>
      </c>
      <c r="E30" s="1086"/>
      <c r="F30" s="1088">
        <f t="shared" si="2"/>
        <v>23</v>
      </c>
      <c r="G30" s="1382" t="s">
        <v>5894</v>
      </c>
      <c r="H30" s="1379" t="s">
        <v>3175</v>
      </c>
      <c r="I30" s="1379"/>
      <c r="J30" s="2072"/>
      <c r="K30" s="664"/>
      <c r="L30" s="255"/>
      <c r="M30" s="1381" t="s">
        <v>2536</v>
      </c>
      <c r="N30" s="328" t="s">
        <v>1979</v>
      </c>
      <c r="O30" s="1379" t="s">
        <v>5893</v>
      </c>
      <c r="P30" s="1378">
        <v>45043</v>
      </c>
      <c r="Q30" s="1378">
        <v>45043</v>
      </c>
      <c r="R30" s="1195" t="s">
        <v>4265</v>
      </c>
      <c r="S30" s="1083"/>
      <c r="T30" s="1829"/>
      <c r="U30" s="1088"/>
    </row>
    <row r="31" spans="1:21" s="197" customFormat="1" ht="40.5" customHeight="1">
      <c r="A31" s="1088" t="s">
        <v>2512</v>
      </c>
      <c r="B31" s="1378">
        <v>45043</v>
      </c>
      <c r="C31" s="1088">
        <f t="shared" si="0"/>
        <v>5</v>
      </c>
      <c r="D31" s="1088">
        <f t="shared" si="1"/>
        <v>4</v>
      </c>
      <c r="E31" s="1086"/>
      <c r="F31" s="1088">
        <f t="shared" si="2"/>
        <v>24</v>
      </c>
      <c r="G31" s="1382" t="s">
        <v>5896</v>
      </c>
      <c r="H31" s="1379"/>
      <c r="I31" s="1379" t="s">
        <v>551</v>
      </c>
      <c r="J31" s="2072"/>
      <c r="K31" s="664"/>
      <c r="L31" s="255"/>
      <c r="M31" s="1381" t="s">
        <v>2672</v>
      </c>
      <c r="N31" s="328" t="s">
        <v>2560</v>
      </c>
      <c r="O31" s="1379" t="s">
        <v>247</v>
      </c>
      <c r="P31" s="1378">
        <v>45043</v>
      </c>
      <c r="Q31" s="1378">
        <v>45043</v>
      </c>
      <c r="R31" s="1195" t="s">
        <v>4265</v>
      </c>
      <c r="S31" s="1083"/>
      <c r="T31" s="1829"/>
      <c r="U31" s="1088"/>
    </row>
    <row r="32" spans="1:21" s="197" customFormat="1" ht="43.5" customHeight="1">
      <c r="A32" s="1088" t="s">
        <v>2512</v>
      </c>
      <c r="B32" s="1378">
        <v>45043</v>
      </c>
      <c r="C32" s="1088">
        <f t="shared" si="0"/>
        <v>5</v>
      </c>
      <c r="D32" s="1088">
        <f t="shared" si="1"/>
        <v>4</v>
      </c>
      <c r="E32" s="1086"/>
      <c r="F32" s="1088">
        <f t="shared" si="2"/>
        <v>25</v>
      </c>
      <c r="G32" s="1382" t="s">
        <v>5897</v>
      </c>
      <c r="H32" s="1379"/>
      <c r="I32" s="1379" t="s">
        <v>551</v>
      </c>
      <c r="J32" s="2072"/>
      <c r="K32" s="664"/>
      <c r="L32" s="255"/>
      <c r="M32" s="1381" t="s">
        <v>2524</v>
      </c>
      <c r="N32" s="328" t="s">
        <v>1979</v>
      </c>
      <c r="O32" s="1379" t="s">
        <v>247</v>
      </c>
      <c r="P32" s="1378">
        <v>45043</v>
      </c>
      <c r="Q32" s="1378">
        <v>45043</v>
      </c>
      <c r="R32" s="1195" t="s">
        <v>4265</v>
      </c>
      <c r="S32" s="1083"/>
      <c r="T32" s="1829" t="s">
        <v>5898</v>
      </c>
      <c r="U32" s="1088"/>
    </row>
    <row r="33" spans="1:21" s="197" customFormat="1" ht="45" customHeight="1">
      <c r="A33" s="1088" t="s">
        <v>2512</v>
      </c>
      <c r="B33" s="1378">
        <v>45043</v>
      </c>
      <c r="C33" s="1088">
        <f t="shared" si="0"/>
        <v>5</v>
      </c>
      <c r="D33" s="1088">
        <f t="shared" si="1"/>
        <v>4</v>
      </c>
      <c r="E33" s="1086"/>
      <c r="F33" s="1088">
        <f t="shared" si="2"/>
        <v>26</v>
      </c>
      <c r="G33" s="1382" t="s">
        <v>5899</v>
      </c>
      <c r="H33" s="1379"/>
      <c r="I33" s="1379" t="s">
        <v>551</v>
      </c>
      <c r="J33" s="2072"/>
      <c r="K33" s="664"/>
      <c r="L33" s="255"/>
      <c r="M33" s="1381" t="s">
        <v>4824</v>
      </c>
      <c r="N33" s="328" t="s">
        <v>2560</v>
      </c>
      <c r="O33" s="1379" t="s">
        <v>247</v>
      </c>
      <c r="P33" s="1378">
        <v>45043</v>
      </c>
      <c r="Q33" s="1378">
        <v>45043</v>
      </c>
      <c r="R33" s="1195" t="s">
        <v>4265</v>
      </c>
      <c r="S33" s="1083"/>
      <c r="T33" s="1829" t="s">
        <v>5898</v>
      </c>
      <c r="U33" s="1088"/>
    </row>
    <row r="34" spans="1:21" s="197" customFormat="1" ht="57" customHeight="1">
      <c r="A34" s="1088" t="s">
        <v>2512</v>
      </c>
      <c r="B34" s="1378">
        <v>45043</v>
      </c>
      <c r="C34" s="1088">
        <f t="shared" si="0"/>
        <v>5</v>
      </c>
      <c r="D34" s="1088">
        <v>5</v>
      </c>
      <c r="E34" s="1086"/>
      <c r="F34" s="1088">
        <f t="shared" si="2"/>
        <v>27</v>
      </c>
      <c r="G34" s="1382" t="s">
        <v>5900</v>
      </c>
      <c r="H34" s="1379"/>
      <c r="I34" s="1379" t="s">
        <v>551</v>
      </c>
      <c r="J34" s="2072"/>
      <c r="K34" s="664"/>
      <c r="L34" s="255"/>
      <c r="M34" s="1381" t="s">
        <v>3181</v>
      </c>
      <c r="N34" s="328" t="s">
        <v>1979</v>
      </c>
      <c r="O34" s="1379" t="s">
        <v>867</v>
      </c>
      <c r="P34" s="1378">
        <v>45043</v>
      </c>
      <c r="Q34" s="1378">
        <v>45043</v>
      </c>
      <c r="R34" s="1195" t="s">
        <v>4265</v>
      </c>
      <c r="S34" s="1083"/>
      <c r="T34" s="1829" t="s">
        <v>5898</v>
      </c>
      <c r="U34" s="1088"/>
    </row>
    <row r="35" spans="1:21" s="197" customFormat="1" ht="57" customHeight="1">
      <c r="A35" s="1088" t="s">
        <v>2512</v>
      </c>
      <c r="B35" s="1378">
        <v>45043</v>
      </c>
      <c r="C35" s="1088">
        <f t="shared" si="0"/>
        <v>5</v>
      </c>
      <c r="D35" s="1088">
        <f t="shared" si="1"/>
        <v>5</v>
      </c>
      <c r="E35" s="1086"/>
      <c r="F35" s="1088">
        <f t="shared" si="2"/>
        <v>28</v>
      </c>
      <c r="G35" s="1382" t="s">
        <v>5901</v>
      </c>
      <c r="H35" s="1379"/>
      <c r="I35" s="1379" t="s">
        <v>551</v>
      </c>
      <c r="J35" s="2072"/>
      <c r="K35" s="664"/>
      <c r="L35" s="255"/>
      <c r="M35" s="1381" t="s">
        <v>2677</v>
      </c>
      <c r="N35" s="328" t="s">
        <v>2574</v>
      </c>
      <c r="O35" s="1379" t="s">
        <v>77</v>
      </c>
      <c r="P35" s="1378">
        <v>45043</v>
      </c>
      <c r="Q35" s="1378">
        <v>45043</v>
      </c>
      <c r="R35" s="1195" t="s">
        <v>4265</v>
      </c>
      <c r="S35" s="1083"/>
      <c r="T35" s="1829"/>
      <c r="U35" s="1088"/>
    </row>
    <row r="36" spans="1:21" s="197" customFormat="1" ht="69" customHeight="1">
      <c r="A36" s="1088" t="s">
        <v>2512</v>
      </c>
      <c r="B36" s="1378">
        <v>45043</v>
      </c>
      <c r="C36" s="1088">
        <f t="shared" si="0"/>
        <v>5</v>
      </c>
      <c r="D36" s="1088">
        <f t="shared" si="1"/>
        <v>5</v>
      </c>
      <c r="E36" s="1086"/>
      <c r="F36" s="1088">
        <f t="shared" si="2"/>
        <v>29</v>
      </c>
      <c r="G36" s="1382" t="s">
        <v>5902</v>
      </c>
      <c r="H36" s="1379"/>
      <c r="I36" s="1379"/>
      <c r="J36" s="2072"/>
      <c r="K36" s="664"/>
      <c r="L36" s="255"/>
      <c r="M36" s="1381" t="s">
        <v>5481</v>
      </c>
      <c r="N36" s="328" t="s">
        <v>2574</v>
      </c>
      <c r="O36" s="1379" t="s">
        <v>77</v>
      </c>
      <c r="P36" s="1378">
        <v>45043</v>
      </c>
      <c r="Q36" s="1378">
        <v>45043</v>
      </c>
      <c r="R36" s="1195" t="s">
        <v>4265</v>
      </c>
      <c r="S36" s="1083"/>
      <c r="T36" s="1829"/>
      <c r="U36" s="1088"/>
    </row>
    <row r="37" spans="1:21" s="197" customFormat="1" ht="72" customHeight="1">
      <c r="A37" s="1088" t="s">
        <v>2512</v>
      </c>
      <c r="B37" s="1378">
        <v>45043</v>
      </c>
      <c r="C37" s="1088">
        <f t="shared" si="0"/>
        <v>5</v>
      </c>
      <c r="D37" s="1088">
        <f t="shared" si="1"/>
        <v>5</v>
      </c>
      <c r="E37" s="1086"/>
      <c r="F37" s="1088">
        <f t="shared" si="2"/>
        <v>30</v>
      </c>
      <c r="G37" s="1382" t="s">
        <v>5903</v>
      </c>
      <c r="H37" s="1379"/>
      <c r="I37" s="1379"/>
      <c r="J37" s="2072"/>
      <c r="K37" s="664"/>
      <c r="L37" s="255"/>
      <c r="M37" s="1381" t="s">
        <v>2655</v>
      </c>
      <c r="N37" s="328" t="s">
        <v>2560</v>
      </c>
      <c r="O37" s="1379" t="s">
        <v>77</v>
      </c>
      <c r="P37" s="1378">
        <v>45043</v>
      </c>
      <c r="Q37" s="1378">
        <v>45043</v>
      </c>
      <c r="R37" s="1195" t="s">
        <v>4265</v>
      </c>
      <c r="S37" s="1083"/>
      <c r="T37" s="1829"/>
      <c r="U37" s="1088"/>
    </row>
    <row r="38" spans="1:21" s="197" customFormat="1" ht="57" customHeight="1">
      <c r="A38" s="1088" t="s">
        <v>2512</v>
      </c>
      <c r="B38" s="1378">
        <v>45043</v>
      </c>
      <c r="C38" s="1088">
        <f t="shared" si="0"/>
        <v>5</v>
      </c>
      <c r="D38" s="1088">
        <f t="shared" si="1"/>
        <v>5</v>
      </c>
      <c r="E38" s="1086"/>
      <c r="F38" s="1088">
        <f t="shared" si="2"/>
        <v>31</v>
      </c>
      <c r="G38" s="1382" t="s">
        <v>5904</v>
      </c>
      <c r="H38" s="1379"/>
      <c r="I38" s="1379"/>
      <c r="J38" s="2072"/>
      <c r="K38" s="664"/>
      <c r="L38" s="255"/>
      <c r="M38" s="1381" t="s">
        <v>2571</v>
      </c>
      <c r="N38" s="328" t="s">
        <v>2560</v>
      </c>
      <c r="O38" s="1379" t="s">
        <v>77</v>
      </c>
      <c r="P38" s="1378">
        <v>45043</v>
      </c>
      <c r="Q38" s="1378">
        <v>45043</v>
      </c>
      <c r="R38" s="1195" t="s">
        <v>4265</v>
      </c>
      <c r="S38" s="1083"/>
      <c r="T38" s="1829"/>
      <c r="U38" s="1088"/>
    </row>
    <row r="39" spans="1:21" s="197" customFormat="1" ht="57" customHeight="1">
      <c r="A39" s="1088" t="s">
        <v>2512</v>
      </c>
      <c r="B39" s="1378">
        <v>45043</v>
      </c>
      <c r="C39" s="1088">
        <f t="shared" si="0"/>
        <v>5</v>
      </c>
      <c r="D39" s="1088">
        <f t="shared" si="1"/>
        <v>5</v>
      </c>
      <c r="E39" s="1086"/>
      <c r="F39" s="1088">
        <f t="shared" si="2"/>
        <v>32</v>
      </c>
      <c r="G39" s="1382" t="s">
        <v>5905</v>
      </c>
      <c r="H39" s="1379"/>
      <c r="I39" s="1379"/>
      <c r="J39" s="2072"/>
      <c r="K39" s="664"/>
      <c r="L39" s="255"/>
      <c r="M39" s="1381" t="s">
        <v>2571</v>
      </c>
      <c r="N39" s="328" t="s">
        <v>2560</v>
      </c>
      <c r="O39" s="1379" t="s">
        <v>77</v>
      </c>
      <c r="P39" s="1378">
        <v>45043</v>
      </c>
      <c r="Q39" s="1378">
        <v>45043</v>
      </c>
      <c r="R39" s="1195" t="s">
        <v>4265</v>
      </c>
      <c r="S39" s="1083"/>
      <c r="T39" s="1829"/>
      <c r="U39" s="1088"/>
    </row>
    <row r="40" spans="1:21" s="197" customFormat="1" ht="57" customHeight="1">
      <c r="A40" s="1088" t="s">
        <v>2512</v>
      </c>
      <c r="B40" s="1378">
        <v>45043</v>
      </c>
      <c r="C40" s="1088">
        <f t="shared" si="0"/>
        <v>5</v>
      </c>
      <c r="D40" s="1088">
        <f t="shared" si="1"/>
        <v>5</v>
      </c>
      <c r="E40" s="1086"/>
      <c r="F40" s="1088">
        <f t="shared" si="2"/>
        <v>33</v>
      </c>
      <c r="G40" s="1382" t="s">
        <v>5906</v>
      </c>
      <c r="H40" s="1379"/>
      <c r="I40" s="1379"/>
      <c r="J40" s="2072"/>
      <c r="K40" s="664"/>
      <c r="L40" s="255"/>
      <c r="M40" s="1381" t="s">
        <v>2571</v>
      </c>
      <c r="N40" s="328" t="s">
        <v>2560</v>
      </c>
      <c r="O40" s="1379" t="s">
        <v>77</v>
      </c>
      <c r="P40" s="1378">
        <v>45043</v>
      </c>
      <c r="Q40" s="1378">
        <v>45043</v>
      </c>
      <c r="R40" s="1195" t="s">
        <v>4265</v>
      </c>
      <c r="S40" s="1083"/>
      <c r="T40" s="1829"/>
      <c r="U40" s="1088"/>
    </row>
    <row r="41" spans="1:21" s="197" customFormat="1" ht="57" customHeight="1">
      <c r="A41" s="1088" t="s">
        <v>2512</v>
      </c>
      <c r="B41" s="1378">
        <v>45043</v>
      </c>
      <c r="C41" s="1088">
        <f t="shared" si="0"/>
        <v>5</v>
      </c>
      <c r="D41" s="1088">
        <f t="shared" si="1"/>
        <v>5</v>
      </c>
      <c r="E41" s="1086"/>
      <c r="F41" s="1088">
        <f t="shared" si="2"/>
        <v>34</v>
      </c>
      <c r="G41" s="1382" t="s">
        <v>5907</v>
      </c>
      <c r="H41" s="1379"/>
      <c r="I41" s="1379"/>
      <c r="J41" s="2072"/>
      <c r="K41" s="664"/>
      <c r="L41" s="255"/>
      <c r="M41" s="1381" t="s">
        <v>5384</v>
      </c>
      <c r="N41" s="328" t="s">
        <v>1979</v>
      </c>
      <c r="O41" s="1379" t="s">
        <v>77</v>
      </c>
      <c r="P41" s="1378">
        <v>45043</v>
      </c>
      <c r="Q41" s="1378">
        <v>45043</v>
      </c>
      <c r="R41" s="1195" t="s">
        <v>4265</v>
      </c>
      <c r="S41" s="1083"/>
      <c r="T41" s="1829"/>
      <c r="U41" s="1088"/>
    </row>
    <row r="42" spans="1:21" s="197" customFormat="1" ht="57" customHeight="1">
      <c r="A42" s="1088" t="s">
        <v>2512</v>
      </c>
      <c r="B42" s="1378">
        <v>45043</v>
      </c>
      <c r="C42" s="1088">
        <f t="shared" si="0"/>
        <v>5</v>
      </c>
      <c r="D42" s="1088">
        <f t="shared" si="1"/>
        <v>5</v>
      </c>
      <c r="E42" s="1086"/>
      <c r="F42" s="1088">
        <f t="shared" si="2"/>
        <v>35</v>
      </c>
      <c r="G42" s="1382" t="s">
        <v>5908</v>
      </c>
      <c r="H42" s="1379"/>
      <c r="I42" s="1379"/>
      <c r="J42" s="2072"/>
      <c r="K42" s="664"/>
      <c r="L42" s="255"/>
      <c r="M42" s="1381" t="s">
        <v>2602</v>
      </c>
      <c r="N42" s="328" t="s">
        <v>2613</v>
      </c>
      <c r="O42" s="1379" t="s">
        <v>77</v>
      </c>
      <c r="P42" s="1378">
        <v>45043</v>
      </c>
      <c r="Q42" s="1378">
        <v>45043</v>
      </c>
      <c r="R42" s="1195" t="s">
        <v>4265</v>
      </c>
      <c r="S42" s="1083"/>
      <c r="T42" s="1829"/>
      <c r="U42" s="1088"/>
    </row>
    <row r="43" spans="1:21" s="197" customFormat="1" ht="57" customHeight="1">
      <c r="A43" s="1088" t="s">
        <v>2512</v>
      </c>
      <c r="B43" s="1378">
        <v>45043</v>
      </c>
      <c r="C43" s="1088">
        <f t="shared" si="0"/>
        <v>5</v>
      </c>
      <c r="D43" s="1088">
        <f t="shared" si="1"/>
        <v>5</v>
      </c>
      <c r="E43" s="1086"/>
      <c r="F43" s="1088">
        <f t="shared" si="2"/>
        <v>36</v>
      </c>
      <c r="G43" s="1382" t="s">
        <v>5909</v>
      </c>
      <c r="H43" s="1379"/>
      <c r="I43" s="1379"/>
      <c r="J43" s="2072"/>
      <c r="K43" s="664"/>
      <c r="L43" s="255"/>
      <c r="M43" s="1381" t="s">
        <v>2571</v>
      </c>
      <c r="N43" s="328" t="s">
        <v>1979</v>
      </c>
      <c r="O43" s="1379" t="s">
        <v>77</v>
      </c>
      <c r="P43" s="1378">
        <v>45043</v>
      </c>
      <c r="Q43" s="1378">
        <v>45043</v>
      </c>
      <c r="R43" s="1195" t="s">
        <v>4265</v>
      </c>
      <c r="S43" s="1083"/>
      <c r="T43" s="1829"/>
      <c r="U43" s="1088"/>
    </row>
    <row r="44" spans="1:21" s="197" customFormat="1" ht="57" customHeight="1">
      <c r="A44" s="1088" t="s">
        <v>2512</v>
      </c>
      <c r="B44" s="1378">
        <v>45043</v>
      </c>
      <c r="C44" s="1088">
        <f t="shared" si="0"/>
        <v>5</v>
      </c>
      <c r="D44" s="1088">
        <f t="shared" si="1"/>
        <v>5</v>
      </c>
      <c r="E44" s="1086"/>
      <c r="F44" s="1088">
        <f t="shared" si="2"/>
        <v>37</v>
      </c>
      <c r="G44" s="1382" t="s">
        <v>5910</v>
      </c>
      <c r="H44" s="1379"/>
      <c r="I44" s="1379"/>
      <c r="J44" s="2072"/>
      <c r="K44" s="664"/>
      <c r="L44" s="255"/>
      <c r="M44" s="1381" t="s">
        <v>2750</v>
      </c>
      <c r="N44" s="328" t="s">
        <v>1979</v>
      </c>
      <c r="O44" s="1379" t="s">
        <v>77</v>
      </c>
      <c r="P44" s="1378">
        <v>45043</v>
      </c>
      <c r="Q44" s="1378">
        <v>45043</v>
      </c>
      <c r="R44" s="1195" t="s">
        <v>4265</v>
      </c>
      <c r="S44" s="1083"/>
      <c r="T44" s="1829"/>
      <c r="U44" s="1088"/>
    </row>
    <row r="45" spans="1:21" s="197" customFormat="1" ht="57" customHeight="1">
      <c r="A45" s="1088" t="s">
        <v>2512</v>
      </c>
      <c r="B45" s="1378">
        <v>45043</v>
      </c>
      <c r="C45" s="1088">
        <f t="shared" si="0"/>
        <v>5</v>
      </c>
      <c r="D45" s="1088">
        <f t="shared" si="1"/>
        <v>5</v>
      </c>
      <c r="E45" s="1086"/>
      <c r="F45" s="1088">
        <f t="shared" si="2"/>
        <v>38</v>
      </c>
      <c r="G45" s="1382" t="s">
        <v>5911</v>
      </c>
      <c r="H45" s="1379"/>
      <c r="I45" s="1379"/>
      <c r="J45" s="2072"/>
      <c r="K45" s="664"/>
      <c r="L45" s="255"/>
      <c r="M45" s="1381" t="s">
        <v>4833</v>
      </c>
      <c r="N45" s="328" t="s">
        <v>1980</v>
      </c>
      <c r="O45" s="1379" t="s">
        <v>77</v>
      </c>
      <c r="P45" s="1378">
        <v>45043</v>
      </c>
      <c r="Q45" s="1378">
        <v>45043</v>
      </c>
      <c r="R45" s="1195" t="s">
        <v>4265</v>
      </c>
      <c r="S45" s="1083"/>
      <c r="T45" s="1829"/>
      <c r="U45" s="1088"/>
    </row>
    <row r="46" spans="1:21" s="197" customFormat="1" ht="57" customHeight="1">
      <c r="A46" s="1088" t="s">
        <v>2512</v>
      </c>
      <c r="B46" s="1378">
        <v>45043</v>
      </c>
      <c r="C46" s="1088">
        <f t="shared" si="0"/>
        <v>5</v>
      </c>
      <c r="D46" s="1088">
        <f t="shared" si="1"/>
        <v>5</v>
      </c>
      <c r="E46" s="1086"/>
      <c r="F46" s="1088">
        <f t="shared" si="2"/>
        <v>39</v>
      </c>
      <c r="G46" s="1382" t="s">
        <v>5912</v>
      </c>
      <c r="H46" s="1379"/>
      <c r="I46" s="1379" t="s">
        <v>551</v>
      </c>
      <c r="J46" s="2072"/>
      <c r="K46" s="664"/>
      <c r="L46" s="255"/>
      <c r="M46" s="1381" t="s">
        <v>4955</v>
      </c>
      <c r="N46" s="328" t="s">
        <v>2574</v>
      </c>
      <c r="O46" s="1379" t="s">
        <v>77</v>
      </c>
      <c r="P46" s="1378">
        <v>45043</v>
      </c>
      <c r="Q46" s="1378">
        <v>45043</v>
      </c>
      <c r="R46" s="1195" t="s">
        <v>4265</v>
      </c>
      <c r="S46" s="1083"/>
      <c r="T46" s="1829"/>
      <c r="U46" s="1088"/>
    </row>
    <row r="47" spans="1:21" s="197" customFormat="1" ht="57" customHeight="1">
      <c r="A47" s="1088" t="s">
        <v>2512</v>
      </c>
      <c r="B47" s="1378">
        <v>45043</v>
      </c>
      <c r="C47" s="1088">
        <f t="shared" si="0"/>
        <v>5</v>
      </c>
      <c r="D47" s="1088">
        <f t="shared" si="1"/>
        <v>5</v>
      </c>
      <c r="E47" s="1086"/>
      <c r="F47" s="1088">
        <f t="shared" si="2"/>
        <v>40</v>
      </c>
      <c r="G47" s="1382" t="s">
        <v>5913</v>
      </c>
      <c r="H47" s="1379"/>
      <c r="I47" s="1379" t="s">
        <v>551</v>
      </c>
      <c r="J47" s="2072"/>
      <c r="K47" s="664"/>
      <c r="L47" s="255"/>
      <c r="M47" s="1381" t="s">
        <v>5384</v>
      </c>
      <c r="N47" s="328" t="s">
        <v>1979</v>
      </c>
      <c r="O47" s="1379" t="s">
        <v>77</v>
      </c>
      <c r="P47" s="1378">
        <v>45043</v>
      </c>
      <c r="Q47" s="1378">
        <v>45043</v>
      </c>
      <c r="R47" s="1195" t="s">
        <v>4265</v>
      </c>
      <c r="S47" s="1083"/>
      <c r="T47" s="1829"/>
      <c r="U47" s="1088"/>
    </row>
    <row r="48" spans="1:21" s="197" customFormat="1" ht="57" customHeight="1">
      <c r="A48" s="1088" t="s">
        <v>2512</v>
      </c>
      <c r="B48" s="1378">
        <v>45043</v>
      </c>
      <c r="C48" s="1088">
        <f t="shared" si="0"/>
        <v>5</v>
      </c>
      <c r="D48" s="1088">
        <f t="shared" si="1"/>
        <v>5</v>
      </c>
      <c r="E48" s="1086"/>
      <c r="F48" s="1088">
        <f t="shared" si="2"/>
        <v>41</v>
      </c>
      <c r="G48" s="1382" t="s">
        <v>5914</v>
      </c>
      <c r="H48" s="1379"/>
      <c r="I48" s="1379"/>
      <c r="J48" s="2072"/>
      <c r="K48" s="664"/>
      <c r="L48" s="255"/>
      <c r="M48" s="1381" t="s">
        <v>5481</v>
      </c>
      <c r="N48" s="328" t="s">
        <v>2574</v>
      </c>
      <c r="O48" s="1379" t="s">
        <v>77</v>
      </c>
      <c r="P48" s="1378">
        <v>45043</v>
      </c>
      <c r="Q48" s="1378">
        <v>45043</v>
      </c>
      <c r="R48" s="1195" t="s">
        <v>4265</v>
      </c>
      <c r="S48" s="1083"/>
      <c r="T48" s="1829"/>
      <c r="U48" s="1088"/>
    </row>
    <row r="49" spans="1:21" s="197" customFormat="1" ht="57" customHeight="1">
      <c r="A49" s="1088" t="s">
        <v>2512</v>
      </c>
      <c r="B49" s="1378">
        <v>45043</v>
      </c>
      <c r="C49" s="1088">
        <f t="shared" si="0"/>
        <v>5</v>
      </c>
      <c r="D49" s="1088">
        <f t="shared" si="1"/>
        <v>5</v>
      </c>
      <c r="E49" s="1086"/>
      <c r="F49" s="1088">
        <f t="shared" si="2"/>
        <v>42</v>
      </c>
      <c r="G49" s="1382" t="s">
        <v>5915</v>
      </c>
      <c r="H49" s="1379"/>
      <c r="I49" s="1379"/>
      <c r="J49" s="2072"/>
      <c r="K49" s="664"/>
      <c r="L49" s="255"/>
      <c r="M49" s="1381" t="s">
        <v>4143</v>
      </c>
      <c r="N49" s="328" t="s">
        <v>2611</v>
      </c>
      <c r="O49" s="1379" t="s">
        <v>5108</v>
      </c>
      <c r="P49" s="1378">
        <v>45043</v>
      </c>
      <c r="Q49" s="1378">
        <v>45043</v>
      </c>
      <c r="R49" s="1195" t="s">
        <v>4265</v>
      </c>
      <c r="S49" s="1083"/>
      <c r="T49" s="1829"/>
      <c r="U49" s="1088"/>
    </row>
    <row r="50" spans="1:21" s="197" customFormat="1" ht="57" customHeight="1">
      <c r="A50" s="1088" t="s">
        <v>2512</v>
      </c>
      <c r="B50" s="1378">
        <v>45043</v>
      </c>
      <c r="C50" s="1088">
        <f t="shared" si="0"/>
        <v>5</v>
      </c>
      <c r="D50" s="1088">
        <f t="shared" si="1"/>
        <v>5</v>
      </c>
      <c r="E50" s="1086"/>
      <c r="F50" s="1088">
        <f t="shared" si="2"/>
        <v>43</v>
      </c>
      <c r="G50" s="1382" t="s">
        <v>5916</v>
      </c>
      <c r="H50" s="1379"/>
      <c r="I50" s="1379"/>
      <c r="J50" s="2072"/>
      <c r="K50" s="664"/>
      <c r="L50" s="255"/>
      <c r="M50" s="1381" t="s">
        <v>5917</v>
      </c>
      <c r="N50" s="328" t="s">
        <v>2542</v>
      </c>
      <c r="O50" s="1379" t="s">
        <v>5918</v>
      </c>
      <c r="P50" s="1378">
        <v>45043</v>
      </c>
      <c r="Q50" s="1378">
        <v>45043</v>
      </c>
      <c r="R50" s="1195" t="s">
        <v>4265</v>
      </c>
      <c r="S50" s="1083"/>
      <c r="T50" s="1829"/>
      <c r="U50" s="1088"/>
    </row>
    <row r="51" spans="1:21" s="197" customFormat="1" ht="57" customHeight="1">
      <c r="A51" s="1088" t="s">
        <v>2512</v>
      </c>
      <c r="B51" s="1378">
        <v>45043</v>
      </c>
      <c r="C51" s="1088">
        <f t="shared" si="0"/>
        <v>5</v>
      </c>
      <c r="D51" s="1088">
        <f t="shared" si="1"/>
        <v>5</v>
      </c>
      <c r="E51" s="1086"/>
      <c r="F51" s="1088">
        <f t="shared" si="2"/>
        <v>44</v>
      </c>
      <c r="G51" s="1382" t="s">
        <v>5919</v>
      </c>
      <c r="H51" s="1379"/>
      <c r="I51" s="1379"/>
      <c r="J51" s="2072"/>
      <c r="K51" s="664"/>
      <c r="L51" s="255"/>
      <c r="M51" s="1381" t="s">
        <v>4748</v>
      </c>
      <c r="N51" s="328" t="s">
        <v>2542</v>
      </c>
      <c r="O51" s="1379" t="s">
        <v>5918</v>
      </c>
      <c r="P51" s="1378">
        <v>45043</v>
      </c>
      <c r="Q51" s="1378">
        <v>45043</v>
      </c>
      <c r="R51" s="1195" t="s">
        <v>4265</v>
      </c>
      <c r="S51" s="1083"/>
      <c r="T51" s="1829"/>
      <c r="U51" s="1088"/>
    </row>
    <row r="52" spans="1:21" s="197" customFormat="1" ht="57" customHeight="1">
      <c r="A52" s="1088" t="s">
        <v>2512</v>
      </c>
      <c r="B52" s="1378">
        <v>45043</v>
      </c>
      <c r="C52" s="1088">
        <f t="shared" si="0"/>
        <v>5</v>
      </c>
      <c r="D52" s="1088">
        <f t="shared" si="1"/>
        <v>5</v>
      </c>
      <c r="E52" s="1086"/>
      <c r="F52" s="1088">
        <f t="shared" si="2"/>
        <v>45</v>
      </c>
      <c r="G52" s="1382" t="s">
        <v>5920</v>
      </c>
      <c r="H52" s="1379"/>
      <c r="I52" s="1379"/>
      <c r="J52" s="2072"/>
      <c r="K52" s="664"/>
      <c r="L52" s="255"/>
      <c r="M52" s="1381" t="s">
        <v>5921</v>
      </c>
      <c r="N52" s="328" t="s">
        <v>2699</v>
      </c>
      <c r="O52" s="1379" t="s">
        <v>5918</v>
      </c>
      <c r="P52" s="1378">
        <v>45043</v>
      </c>
      <c r="Q52" s="1378">
        <v>45043</v>
      </c>
      <c r="R52" s="1195" t="s">
        <v>4265</v>
      </c>
      <c r="S52" s="1083"/>
      <c r="T52" s="1829"/>
      <c r="U52" s="1088"/>
    </row>
    <row r="53" spans="1:21" s="197" customFormat="1" ht="72" customHeight="1">
      <c r="A53" s="1088" t="s">
        <v>2512</v>
      </c>
      <c r="B53" s="1378">
        <v>45043</v>
      </c>
      <c r="C53" s="1088">
        <f t="shared" si="0"/>
        <v>5</v>
      </c>
      <c r="D53" s="1088">
        <f t="shared" si="1"/>
        <v>5</v>
      </c>
      <c r="E53" s="1086"/>
      <c r="F53" s="1088">
        <f t="shared" si="2"/>
        <v>46</v>
      </c>
      <c r="G53" s="1382" t="s">
        <v>5922</v>
      </c>
      <c r="H53" s="1379"/>
      <c r="I53" s="1379"/>
      <c r="J53" s="2072"/>
      <c r="K53" s="664"/>
      <c r="L53" s="255"/>
      <c r="M53" s="1381" t="s">
        <v>5885</v>
      </c>
      <c r="N53" s="328" t="s">
        <v>2699</v>
      </c>
      <c r="O53" s="1379" t="s">
        <v>5918</v>
      </c>
      <c r="P53" s="1378">
        <v>45043</v>
      </c>
      <c r="Q53" s="1378">
        <v>45043</v>
      </c>
      <c r="R53" s="1195" t="s">
        <v>4265</v>
      </c>
      <c r="S53" s="1083"/>
      <c r="T53" s="1829"/>
      <c r="U53" s="1088"/>
    </row>
    <row r="54" spans="1:21" s="197" customFormat="1" ht="57" customHeight="1">
      <c r="A54" s="1088" t="s">
        <v>2512</v>
      </c>
      <c r="B54" s="1378">
        <v>45043</v>
      </c>
      <c r="C54" s="1088">
        <f t="shared" si="0"/>
        <v>5</v>
      </c>
      <c r="D54" s="1088">
        <f t="shared" si="1"/>
        <v>5</v>
      </c>
      <c r="E54" s="1086"/>
      <c r="F54" s="1088">
        <f t="shared" si="2"/>
        <v>47</v>
      </c>
      <c r="G54" s="1382" t="s">
        <v>5923</v>
      </c>
      <c r="H54" s="1379"/>
      <c r="I54" s="1379"/>
      <c r="J54" s="2072"/>
      <c r="K54" s="664"/>
      <c r="L54" s="255"/>
      <c r="M54" s="1381" t="s">
        <v>4739</v>
      </c>
      <c r="N54" s="328" t="s">
        <v>2542</v>
      </c>
      <c r="O54" s="1379" t="s">
        <v>352</v>
      </c>
      <c r="P54" s="1378">
        <v>45043</v>
      </c>
      <c r="Q54" s="1378">
        <v>45043</v>
      </c>
      <c r="R54" s="1195" t="s">
        <v>4265</v>
      </c>
      <c r="S54" s="1083"/>
      <c r="T54" s="1829"/>
      <c r="U54" s="1088"/>
    </row>
    <row r="55" spans="1:21" s="197" customFormat="1" ht="57" customHeight="1">
      <c r="A55" s="1088" t="s">
        <v>2512</v>
      </c>
      <c r="B55" s="1378">
        <v>45043</v>
      </c>
      <c r="C55" s="1088">
        <f t="shared" si="0"/>
        <v>5</v>
      </c>
      <c r="D55" s="1088">
        <f t="shared" si="1"/>
        <v>5</v>
      </c>
      <c r="E55" s="1086"/>
      <c r="F55" s="1088">
        <f t="shared" si="2"/>
        <v>48</v>
      </c>
      <c r="G55" s="1382" t="s">
        <v>5924</v>
      </c>
      <c r="H55" s="1379"/>
      <c r="I55" s="1379"/>
      <c r="J55" s="2072"/>
      <c r="K55" s="664"/>
      <c r="L55" s="255"/>
      <c r="M55" s="1381"/>
      <c r="N55" s="328" t="s">
        <v>2542</v>
      </c>
      <c r="O55" s="1379" t="s">
        <v>352</v>
      </c>
      <c r="P55" s="1378">
        <v>45043</v>
      </c>
      <c r="Q55" s="1378">
        <v>45043</v>
      </c>
      <c r="R55" s="1195" t="s">
        <v>4265</v>
      </c>
      <c r="S55" s="1083"/>
      <c r="T55" s="1829"/>
      <c r="U55" s="1088"/>
    </row>
    <row r="56" spans="1:21" s="197" customFormat="1" ht="57" customHeight="1">
      <c r="A56" s="1088" t="s">
        <v>2512</v>
      </c>
      <c r="B56" s="1378">
        <v>45043</v>
      </c>
      <c r="C56" s="1088">
        <f t="shared" si="0"/>
        <v>5</v>
      </c>
      <c r="D56" s="1088">
        <f t="shared" si="1"/>
        <v>5</v>
      </c>
      <c r="E56" s="1086"/>
      <c r="F56" s="1088">
        <f t="shared" si="2"/>
        <v>49</v>
      </c>
      <c r="G56" s="1382" t="s">
        <v>5924</v>
      </c>
      <c r="H56" s="1379"/>
      <c r="I56" s="1379"/>
      <c r="J56" s="2072"/>
      <c r="K56" s="664"/>
      <c r="L56" s="255"/>
      <c r="M56" s="1381"/>
      <c r="N56" s="328" t="s">
        <v>2699</v>
      </c>
      <c r="O56" s="1379" t="s">
        <v>352</v>
      </c>
      <c r="P56" s="1378">
        <v>45043</v>
      </c>
      <c r="Q56" s="1378">
        <v>45043</v>
      </c>
      <c r="R56" s="1195" t="s">
        <v>4265</v>
      </c>
      <c r="S56" s="1083"/>
      <c r="T56" s="1829"/>
      <c r="U56" s="1088"/>
    </row>
    <row r="57" spans="1:21" s="197" customFormat="1" ht="57" customHeight="1">
      <c r="A57" s="1088" t="s">
        <v>2512</v>
      </c>
      <c r="B57" s="1378">
        <v>45043</v>
      </c>
      <c r="C57" s="1088">
        <f t="shared" si="0"/>
        <v>5</v>
      </c>
      <c r="D57" s="1088">
        <f t="shared" si="1"/>
        <v>5</v>
      </c>
      <c r="E57" s="1086"/>
      <c r="F57" s="1088">
        <f t="shared" si="2"/>
        <v>50</v>
      </c>
      <c r="G57" s="1382" t="s">
        <v>5925</v>
      </c>
      <c r="H57" s="1379"/>
      <c r="I57" s="1379"/>
      <c r="J57" s="2072"/>
      <c r="K57" s="664"/>
      <c r="L57" s="255"/>
      <c r="M57" s="1381" t="s">
        <v>5402</v>
      </c>
      <c r="N57" s="328" t="s">
        <v>2574</v>
      </c>
      <c r="O57" s="1379" t="s">
        <v>352</v>
      </c>
      <c r="P57" s="1378">
        <v>45043</v>
      </c>
      <c r="Q57" s="1378">
        <v>45043</v>
      </c>
      <c r="R57" s="1195" t="s">
        <v>4265</v>
      </c>
      <c r="S57" s="1083"/>
      <c r="T57" s="1829"/>
      <c r="U57" s="1088"/>
    </row>
    <row r="58" spans="1:21" s="197" customFormat="1" ht="57" customHeight="1">
      <c r="A58" s="1088" t="s">
        <v>2512</v>
      </c>
      <c r="B58" s="1378">
        <v>45043</v>
      </c>
      <c r="C58" s="1088">
        <f t="shared" si="0"/>
        <v>5</v>
      </c>
      <c r="D58" s="1088">
        <f t="shared" si="1"/>
        <v>5</v>
      </c>
      <c r="E58" s="1086"/>
      <c r="F58" s="1088">
        <f t="shared" si="2"/>
        <v>51</v>
      </c>
      <c r="G58" s="1382" t="s">
        <v>5926</v>
      </c>
      <c r="H58" s="1379"/>
      <c r="I58" s="1379"/>
      <c r="J58" s="2072"/>
      <c r="K58" s="664"/>
      <c r="L58" s="255"/>
      <c r="M58" s="1381" t="s">
        <v>4800</v>
      </c>
      <c r="N58" s="328" t="s">
        <v>2560</v>
      </c>
      <c r="O58" s="1379" t="s">
        <v>352</v>
      </c>
      <c r="P58" s="1378">
        <v>45043</v>
      </c>
      <c r="Q58" s="1378">
        <v>45043</v>
      </c>
      <c r="R58" s="1195" t="s">
        <v>4265</v>
      </c>
      <c r="S58" s="1083"/>
      <c r="T58" s="1829"/>
      <c r="U58" s="1088"/>
    </row>
    <row r="59" spans="1:21" s="197" customFormat="1" ht="57" customHeight="1">
      <c r="A59" s="1088" t="s">
        <v>2512</v>
      </c>
      <c r="B59" s="1378">
        <v>45043</v>
      </c>
      <c r="C59" s="1088">
        <f t="shared" si="0"/>
        <v>5</v>
      </c>
      <c r="D59" s="1088">
        <f t="shared" si="1"/>
        <v>5</v>
      </c>
      <c r="E59" s="1086"/>
      <c r="F59" s="1088">
        <f t="shared" si="2"/>
        <v>52</v>
      </c>
      <c r="G59" s="1382" t="s">
        <v>5927</v>
      </c>
      <c r="H59" s="1379"/>
      <c r="I59" s="1379"/>
      <c r="J59" s="2072"/>
      <c r="K59" s="664"/>
      <c r="L59" s="255"/>
      <c r="M59" s="1381" t="s">
        <v>3199</v>
      </c>
      <c r="N59" s="328" t="s">
        <v>1979</v>
      </c>
      <c r="O59" s="1379" t="s">
        <v>352</v>
      </c>
      <c r="P59" s="1378">
        <v>45043</v>
      </c>
      <c r="Q59" s="1378">
        <v>45043</v>
      </c>
      <c r="R59" s="1195" t="s">
        <v>4265</v>
      </c>
      <c r="S59" s="1083"/>
      <c r="T59" s="1829"/>
      <c r="U59" s="1088"/>
    </row>
    <row r="60" spans="1:21" s="197" customFormat="1" ht="57" customHeight="1">
      <c r="A60" s="1088" t="s">
        <v>2512</v>
      </c>
      <c r="B60" s="1378">
        <v>45043</v>
      </c>
      <c r="C60" s="1088">
        <f t="shared" si="0"/>
        <v>5</v>
      </c>
      <c r="D60" s="1088">
        <f t="shared" si="1"/>
        <v>5</v>
      </c>
      <c r="E60" s="1086"/>
      <c r="F60" s="1088">
        <f t="shared" si="2"/>
        <v>53</v>
      </c>
      <c r="G60" s="1382" t="s">
        <v>5928</v>
      </c>
      <c r="H60" s="1379"/>
      <c r="I60" s="1379"/>
      <c r="J60" s="2072"/>
      <c r="K60" s="664"/>
      <c r="L60" s="255"/>
      <c r="M60" s="1381" t="s">
        <v>5383</v>
      </c>
      <c r="N60" s="328" t="s">
        <v>1979</v>
      </c>
      <c r="O60" s="1379" t="s">
        <v>352</v>
      </c>
      <c r="P60" s="1378">
        <v>45043</v>
      </c>
      <c r="Q60" s="1378">
        <v>45043</v>
      </c>
      <c r="R60" s="1195" t="s">
        <v>4265</v>
      </c>
      <c r="S60" s="1083"/>
      <c r="T60" s="1829"/>
      <c r="U60" s="1088"/>
    </row>
    <row r="61" spans="1:21" s="197" customFormat="1" ht="57" customHeight="1">
      <c r="A61" s="1088" t="s">
        <v>2512</v>
      </c>
      <c r="B61" s="1378">
        <v>45043</v>
      </c>
      <c r="C61" s="1088">
        <f t="shared" si="0"/>
        <v>5</v>
      </c>
      <c r="D61" s="1088">
        <f t="shared" si="1"/>
        <v>5</v>
      </c>
      <c r="E61" s="1086"/>
      <c r="F61" s="1088">
        <f t="shared" si="2"/>
        <v>54</v>
      </c>
      <c r="G61" s="1382" t="s">
        <v>5929</v>
      </c>
      <c r="H61" s="1379"/>
      <c r="I61" s="1379"/>
      <c r="J61" s="2072"/>
      <c r="K61" s="664"/>
      <c r="L61" s="255"/>
      <c r="M61" s="1381" t="s">
        <v>5375</v>
      </c>
      <c r="N61" s="328" t="s">
        <v>1979</v>
      </c>
      <c r="O61" s="1379" t="s">
        <v>352</v>
      </c>
      <c r="P61" s="1378">
        <v>45043</v>
      </c>
      <c r="Q61" s="1378">
        <v>45043</v>
      </c>
      <c r="R61" s="1195" t="s">
        <v>4265</v>
      </c>
      <c r="S61" s="1083"/>
      <c r="T61" s="1829"/>
      <c r="U61" s="1088"/>
    </row>
    <row r="62" spans="1:21" s="197" customFormat="1" ht="57" customHeight="1">
      <c r="A62" s="1088" t="s">
        <v>2512</v>
      </c>
      <c r="B62" s="1378">
        <v>45043</v>
      </c>
      <c r="C62" s="1088">
        <f t="shared" si="0"/>
        <v>5</v>
      </c>
      <c r="D62" s="1088">
        <f t="shared" si="1"/>
        <v>5</v>
      </c>
      <c r="E62" s="1086"/>
      <c r="F62" s="1088">
        <f t="shared" si="2"/>
        <v>55</v>
      </c>
      <c r="G62" s="1382" t="s">
        <v>5930</v>
      </c>
      <c r="H62" s="1379"/>
      <c r="I62" s="1379"/>
      <c r="J62" s="2072"/>
      <c r="K62" s="664"/>
      <c r="L62" s="255"/>
      <c r="M62" s="1381"/>
      <c r="N62" s="328" t="s">
        <v>1979</v>
      </c>
      <c r="O62" s="1379" t="s">
        <v>352</v>
      </c>
      <c r="P62" s="1378">
        <v>45043</v>
      </c>
      <c r="Q62" s="1378">
        <v>45043</v>
      </c>
      <c r="R62" s="1195" t="s">
        <v>4265</v>
      </c>
      <c r="S62" s="1083"/>
      <c r="T62" s="1829"/>
      <c r="U62" s="1088"/>
    </row>
    <row r="63" spans="1:21" s="197" customFormat="1" ht="57" customHeight="1">
      <c r="A63" s="1088" t="s">
        <v>2512</v>
      </c>
      <c r="B63" s="1378">
        <v>45043</v>
      </c>
      <c r="C63" s="1088">
        <f t="shared" si="0"/>
        <v>5</v>
      </c>
      <c r="D63" s="1088">
        <f t="shared" si="1"/>
        <v>5</v>
      </c>
      <c r="E63" s="1086"/>
      <c r="F63" s="1088">
        <f t="shared" si="2"/>
        <v>56</v>
      </c>
      <c r="G63" s="1382" t="s">
        <v>5931</v>
      </c>
      <c r="H63" s="1379"/>
      <c r="I63" s="1379"/>
      <c r="J63" s="2072"/>
      <c r="K63" s="664"/>
      <c r="L63" s="255"/>
      <c r="M63" s="1381" t="s">
        <v>4860</v>
      </c>
      <c r="N63" s="328" t="s">
        <v>1979</v>
      </c>
      <c r="O63" s="1379" t="s">
        <v>352</v>
      </c>
      <c r="P63" s="1378">
        <v>45043</v>
      </c>
      <c r="Q63" s="1378">
        <v>45043</v>
      </c>
      <c r="R63" s="1195" t="s">
        <v>4265</v>
      </c>
      <c r="S63" s="1083"/>
      <c r="T63" s="1829"/>
      <c r="U63" s="1088"/>
    </row>
    <row r="64" spans="1:21" s="197" customFormat="1" ht="57" customHeight="1">
      <c r="A64" s="1088" t="s">
        <v>2512</v>
      </c>
      <c r="B64" s="1378">
        <v>45043</v>
      </c>
      <c r="C64" s="1088">
        <f t="shared" si="0"/>
        <v>5</v>
      </c>
      <c r="D64" s="1088">
        <f t="shared" si="1"/>
        <v>5</v>
      </c>
      <c r="E64" s="1086"/>
      <c r="F64" s="1088">
        <f t="shared" si="2"/>
        <v>57</v>
      </c>
      <c r="G64" s="1382" t="s">
        <v>5932</v>
      </c>
      <c r="H64" s="1379"/>
      <c r="I64" s="1379"/>
      <c r="J64" s="2072"/>
      <c r="K64" s="664"/>
      <c r="L64" s="255"/>
      <c r="M64" s="1381" t="s">
        <v>5382</v>
      </c>
      <c r="N64" s="328" t="s">
        <v>1979</v>
      </c>
      <c r="O64" s="1379" t="s">
        <v>352</v>
      </c>
      <c r="P64" s="1378">
        <v>45043</v>
      </c>
      <c r="Q64" s="1378">
        <v>45043</v>
      </c>
      <c r="R64" s="1195" t="s">
        <v>4265</v>
      </c>
      <c r="S64" s="1083"/>
      <c r="T64" s="1829"/>
      <c r="U64" s="1088"/>
    </row>
    <row r="65" spans="1:21" s="197" customFormat="1" ht="57" customHeight="1">
      <c r="A65" s="1088" t="s">
        <v>2512</v>
      </c>
      <c r="B65" s="1378">
        <v>45043</v>
      </c>
      <c r="C65" s="1088">
        <f t="shared" si="0"/>
        <v>5</v>
      </c>
      <c r="D65" s="1088">
        <f t="shared" si="1"/>
        <v>5</v>
      </c>
      <c r="E65" s="1086"/>
      <c r="F65" s="1088">
        <f t="shared" si="2"/>
        <v>58</v>
      </c>
      <c r="G65" s="1382" t="s">
        <v>5933</v>
      </c>
      <c r="H65" s="1379"/>
      <c r="I65" s="1379"/>
      <c r="J65" s="2072"/>
      <c r="K65" s="664"/>
      <c r="L65" s="255"/>
      <c r="M65" s="1381"/>
      <c r="N65" s="328" t="s">
        <v>1979</v>
      </c>
      <c r="O65" s="1379" t="s">
        <v>352</v>
      </c>
      <c r="P65" s="1378">
        <v>45043</v>
      </c>
      <c r="Q65" s="1378">
        <v>45043</v>
      </c>
      <c r="R65" s="1195" t="s">
        <v>4265</v>
      </c>
      <c r="S65" s="1083"/>
      <c r="T65" s="1829"/>
      <c r="U65" s="1088"/>
    </row>
    <row r="66" spans="1:21" s="197" customFormat="1" ht="57" customHeight="1">
      <c r="A66" s="1088" t="s">
        <v>2512</v>
      </c>
      <c r="B66" s="1378">
        <v>45043</v>
      </c>
      <c r="C66" s="1088">
        <f t="shared" si="0"/>
        <v>5</v>
      </c>
      <c r="D66" s="1088">
        <v>6</v>
      </c>
      <c r="E66" s="1086"/>
      <c r="F66" s="1088">
        <f t="shared" si="2"/>
        <v>59</v>
      </c>
      <c r="G66" s="1382" t="s">
        <v>5934</v>
      </c>
      <c r="H66" s="1379"/>
      <c r="I66" s="1379"/>
      <c r="J66" s="2072"/>
      <c r="K66" s="664"/>
      <c r="L66" s="255"/>
      <c r="M66" s="1381"/>
      <c r="N66" s="328" t="s">
        <v>2640</v>
      </c>
      <c r="O66" s="1379" t="s">
        <v>352</v>
      </c>
      <c r="P66" s="1378">
        <v>45043</v>
      </c>
      <c r="Q66" s="1378">
        <v>45043</v>
      </c>
      <c r="R66" s="1195" t="s">
        <v>4265</v>
      </c>
      <c r="S66" s="1083"/>
      <c r="T66" s="1829"/>
      <c r="U66" s="1088"/>
    </row>
    <row r="67" spans="1:21" s="197" customFormat="1" ht="57" customHeight="1">
      <c r="A67" s="1088" t="s">
        <v>2512</v>
      </c>
      <c r="B67" s="1378">
        <v>45043</v>
      </c>
      <c r="C67" s="1088">
        <f t="shared" si="0"/>
        <v>5</v>
      </c>
      <c r="D67" s="1088">
        <f t="shared" si="1"/>
        <v>6</v>
      </c>
      <c r="E67" s="1086"/>
      <c r="F67" s="1088">
        <f t="shared" si="2"/>
        <v>60</v>
      </c>
      <c r="G67" s="1382" t="s">
        <v>5935</v>
      </c>
      <c r="H67" s="1379"/>
      <c r="I67" s="1379"/>
      <c r="J67" s="2072"/>
      <c r="K67" s="664"/>
      <c r="L67" s="255"/>
      <c r="M67" s="1381" t="s">
        <v>3459</v>
      </c>
      <c r="N67" s="328" t="s">
        <v>2640</v>
      </c>
      <c r="O67" s="1379" t="s">
        <v>352</v>
      </c>
      <c r="P67" s="1378">
        <v>45043</v>
      </c>
      <c r="Q67" s="1378">
        <v>45043</v>
      </c>
      <c r="R67" s="1195" t="s">
        <v>4265</v>
      </c>
      <c r="S67" s="1083"/>
      <c r="T67" s="1829"/>
      <c r="U67" s="1088"/>
    </row>
    <row r="68" spans="1:21" s="197" customFormat="1" ht="57" customHeight="1">
      <c r="A68" s="1088" t="s">
        <v>2512</v>
      </c>
      <c r="B68" s="1378">
        <v>45043</v>
      </c>
      <c r="C68" s="1088">
        <f t="shared" si="0"/>
        <v>5</v>
      </c>
      <c r="D68" s="1088">
        <f t="shared" si="1"/>
        <v>6</v>
      </c>
      <c r="E68" s="1086"/>
      <c r="F68" s="1088">
        <f t="shared" si="2"/>
        <v>61</v>
      </c>
      <c r="G68" s="1382" t="s">
        <v>5936</v>
      </c>
      <c r="H68" s="1379"/>
      <c r="I68" s="1379"/>
      <c r="J68" s="2072"/>
      <c r="K68" s="664"/>
      <c r="L68" s="255"/>
      <c r="M68" s="1381"/>
      <c r="N68" s="328" t="s">
        <v>2548</v>
      </c>
      <c r="O68" s="1379" t="s">
        <v>352</v>
      </c>
      <c r="P68" s="1378">
        <v>45043</v>
      </c>
      <c r="Q68" s="1378">
        <v>45043</v>
      </c>
      <c r="R68" s="1195" t="s">
        <v>4265</v>
      </c>
      <c r="S68" s="1083"/>
      <c r="T68" s="1829"/>
      <c r="U68" s="1088"/>
    </row>
    <row r="69" spans="1:21" s="197" customFormat="1" ht="57" customHeight="1">
      <c r="A69" s="1088" t="s">
        <v>2512</v>
      </c>
      <c r="B69" s="1378">
        <v>45043</v>
      </c>
      <c r="C69" s="1088">
        <f t="shared" si="0"/>
        <v>5</v>
      </c>
      <c r="D69" s="1088">
        <f t="shared" si="1"/>
        <v>6</v>
      </c>
      <c r="E69" s="1086"/>
      <c r="F69" s="1088">
        <f t="shared" si="2"/>
        <v>62</v>
      </c>
      <c r="G69" s="1382" t="s">
        <v>5937</v>
      </c>
      <c r="H69" s="1379"/>
      <c r="I69" s="1379"/>
      <c r="J69" s="2072"/>
      <c r="K69" s="664"/>
      <c r="L69" s="255"/>
      <c r="M69" s="1381"/>
      <c r="N69" s="328" t="s">
        <v>2574</v>
      </c>
      <c r="O69" s="1379" t="s">
        <v>5938</v>
      </c>
      <c r="P69" s="1378">
        <v>45043</v>
      </c>
      <c r="Q69" s="1378">
        <v>45043</v>
      </c>
      <c r="R69" s="1195" t="s">
        <v>4265</v>
      </c>
      <c r="S69" s="1083"/>
      <c r="T69" s="1829"/>
      <c r="U69" s="1088"/>
    </row>
    <row r="70" spans="1:21" s="197" customFormat="1" ht="57" customHeight="1">
      <c r="A70" s="1088" t="s">
        <v>2512</v>
      </c>
      <c r="B70" s="1378">
        <v>45043</v>
      </c>
      <c r="C70" s="1088">
        <f t="shared" si="0"/>
        <v>5</v>
      </c>
      <c r="D70" s="1088">
        <f t="shared" si="1"/>
        <v>6</v>
      </c>
      <c r="E70" s="1086"/>
      <c r="F70" s="1088">
        <f t="shared" si="2"/>
        <v>63</v>
      </c>
      <c r="G70" s="1382" t="s">
        <v>5939</v>
      </c>
      <c r="H70" s="1379"/>
      <c r="I70" s="1379"/>
      <c r="J70" s="2072"/>
      <c r="K70" s="664"/>
      <c r="L70" s="255"/>
      <c r="M70" s="1381"/>
      <c r="N70" s="328" t="s">
        <v>2560</v>
      </c>
      <c r="O70" s="1379" t="s">
        <v>5940</v>
      </c>
      <c r="P70" s="1378">
        <v>45043</v>
      </c>
      <c r="Q70" s="1378">
        <v>45043</v>
      </c>
      <c r="R70" s="1195" t="s">
        <v>4265</v>
      </c>
      <c r="S70" s="1083"/>
      <c r="T70" s="1829"/>
      <c r="U70" s="1088"/>
    </row>
    <row r="71" spans="1:21" s="197" customFormat="1" ht="57" customHeight="1">
      <c r="A71" s="1088" t="s">
        <v>2512</v>
      </c>
      <c r="B71" s="1378">
        <v>45043</v>
      </c>
      <c r="C71" s="1088">
        <f t="shared" si="0"/>
        <v>5</v>
      </c>
      <c r="D71" s="1088">
        <f t="shared" si="1"/>
        <v>6</v>
      </c>
      <c r="E71" s="1086"/>
      <c r="F71" s="1088">
        <f t="shared" si="2"/>
        <v>64</v>
      </c>
      <c r="G71" s="1382" t="s">
        <v>5941</v>
      </c>
      <c r="H71" s="1379"/>
      <c r="I71" s="1379"/>
      <c r="J71" s="2072"/>
      <c r="K71" s="664"/>
      <c r="L71" s="255"/>
      <c r="M71" s="1381"/>
      <c r="N71" s="328" t="s">
        <v>2568</v>
      </c>
      <c r="O71" s="1379" t="s">
        <v>5940</v>
      </c>
      <c r="P71" s="1378">
        <v>45043</v>
      </c>
      <c r="Q71" s="1378">
        <v>45043</v>
      </c>
      <c r="R71" s="1195" t="s">
        <v>4265</v>
      </c>
      <c r="S71" s="1083"/>
      <c r="T71" s="1829"/>
      <c r="U71" s="1088"/>
    </row>
    <row r="72" spans="1:21" s="197" customFormat="1" ht="57" customHeight="1">
      <c r="A72" s="1088" t="s">
        <v>2512</v>
      </c>
      <c r="B72" s="1378">
        <v>45043</v>
      </c>
      <c r="C72" s="1088">
        <f t="shared" si="0"/>
        <v>5</v>
      </c>
      <c r="D72" s="1088">
        <f t="shared" si="1"/>
        <v>6</v>
      </c>
      <c r="E72" s="1086"/>
      <c r="F72" s="1088">
        <f t="shared" si="2"/>
        <v>65</v>
      </c>
      <c r="G72" s="1382" t="s">
        <v>5942</v>
      </c>
      <c r="H72" s="1379"/>
      <c r="I72" s="1379"/>
      <c r="J72" s="2072"/>
      <c r="K72" s="664"/>
      <c r="L72" s="255"/>
      <c r="M72" s="1381"/>
      <c r="N72" s="328" t="s">
        <v>1979</v>
      </c>
      <c r="O72" s="1379" t="s">
        <v>5940</v>
      </c>
      <c r="P72" s="1378">
        <v>45043</v>
      </c>
      <c r="Q72" s="1378">
        <v>45043</v>
      </c>
      <c r="R72" s="1195" t="s">
        <v>4265</v>
      </c>
      <c r="S72" s="1083"/>
      <c r="T72" s="1829"/>
      <c r="U72" s="1088"/>
    </row>
    <row r="73" spans="1:21" s="197" customFormat="1" ht="57" customHeight="1">
      <c r="A73" s="1088" t="s">
        <v>2512</v>
      </c>
      <c r="B73" s="1378">
        <v>45043</v>
      </c>
      <c r="C73" s="1088">
        <f t="shared" si="0"/>
        <v>5</v>
      </c>
      <c r="D73" s="1088">
        <f t="shared" si="1"/>
        <v>6</v>
      </c>
      <c r="E73" s="1086"/>
      <c r="F73" s="1088">
        <f t="shared" si="2"/>
        <v>66</v>
      </c>
      <c r="G73" s="1382" t="s">
        <v>5943</v>
      </c>
      <c r="H73" s="1379"/>
      <c r="I73" s="1379"/>
      <c r="J73" s="2072"/>
      <c r="K73" s="664"/>
      <c r="L73" s="255"/>
      <c r="M73" s="1381" t="s">
        <v>2530</v>
      </c>
      <c r="N73" s="328" t="s">
        <v>2560</v>
      </c>
      <c r="O73" s="1379" t="s">
        <v>5944</v>
      </c>
      <c r="P73" s="1378">
        <v>45043</v>
      </c>
      <c r="Q73" s="1378">
        <v>45043</v>
      </c>
      <c r="R73" s="1195" t="s">
        <v>4265</v>
      </c>
      <c r="S73" s="1083"/>
      <c r="T73" s="1829"/>
      <c r="U73" s="1088"/>
    </row>
    <row r="74" spans="1:21" s="197" customFormat="1" ht="57" customHeight="1">
      <c r="A74" s="1088" t="s">
        <v>2512</v>
      </c>
      <c r="B74" s="1378">
        <v>44909</v>
      </c>
      <c r="C74" s="1088">
        <v>4</v>
      </c>
      <c r="D74" s="1088">
        <v>4</v>
      </c>
      <c r="E74" s="1086"/>
      <c r="F74" s="1088">
        <v>1</v>
      </c>
      <c r="G74" s="1382" t="s">
        <v>5160</v>
      </c>
      <c r="H74" s="1379"/>
      <c r="I74" s="1379"/>
      <c r="J74" s="2072"/>
      <c r="K74" s="664"/>
      <c r="L74" s="255"/>
      <c r="M74" s="1381" t="s">
        <v>3199</v>
      </c>
      <c r="N74" s="328" t="s">
        <v>1979</v>
      </c>
      <c r="O74" s="1379" t="s">
        <v>5855</v>
      </c>
      <c r="P74" s="1378">
        <v>44909</v>
      </c>
      <c r="Q74" s="1378">
        <v>44909</v>
      </c>
      <c r="R74" s="1195" t="s">
        <v>4265</v>
      </c>
      <c r="S74" s="1083"/>
      <c r="T74" s="2067"/>
      <c r="U74" s="1088"/>
    </row>
    <row r="75" spans="1:21" s="197" customFormat="1" ht="57" customHeight="1">
      <c r="A75" s="1088" t="s">
        <v>2512</v>
      </c>
      <c r="B75" s="1378">
        <v>44694</v>
      </c>
      <c r="C75" s="1088">
        <v>2</v>
      </c>
      <c r="D75" s="1088">
        <f t="shared" ref="D75:D94" si="3">D74</f>
        <v>4</v>
      </c>
      <c r="E75" s="560" t="s">
        <v>5429</v>
      </c>
      <c r="F75" s="1088">
        <f t="shared" ref="F75:F94" si="4">F74+1</f>
        <v>2</v>
      </c>
      <c r="G75" s="1382" t="s">
        <v>5210</v>
      </c>
      <c r="H75" s="1379"/>
      <c r="I75" s="1379" t="s">
        <v>551</v>
      </c>
      <c r="J75" s="2072" t="s">
        <v>5964</v>
      </c>
      <c r="K75" s="664">
        <v>44968</v>
      </c>
      <c r="L75" s="255">
        <v>44985</v>
      </c>
      <c r="M75" s="1381" t="s">
        <v>4823</v>
      </c>
      <c r="N75" s="328" t="s">
        <v>1979</v>
      </c>
      <c r="O75" s="1379" t="s">
        <v>77</v>
      </c>
      <c r="P75" s="1378">
        <v>44694</v>
      </c>
      <c r="Q75" s="1378">
        <v>44694</v>
      </c>
      <c r="R75" s="1195" t="s">
        <v>4265</v>
      </c>
      <c r="S75" s="1083"/>
      <c r="T75" s="2067" t="s">
        <v>5950</v>
      </c>
      <c r="U75" s="1088"/>
    </row>
    <row r="76" spans="1:21" s="197" customFormat="1" ht="77.25" customHeight="1">
      <c r="A76" s="1088" t="s">
        <v>2512</v>
      </c>
      <c r="B76" s="1378">
        <v>44909</v>
      </c>
      <c r="C76" s="1088">
        <v>4</v>
      </c>
      <c r="D76" s="1088">
        <f t="shared" si="3"/>
        <v>4</v>
      </c>
      <c r="E76" s="1086"/>
      <c r="F76" s="1088">
        <f t="shared" si="4"/>
        <v>3</v>
      </c>
      <c r="G76" s="1382" t="s">
        <v>5269</v>
      </c>
      <c r="H76" s="1379"/>
      <c r="I76" s="1379"/>
      <c r="J76" s="2072"/>
      <c r="K76" s="664"/>
      <c r="L76" s="255"/>
      <c r="M76" s="1381" t="s">
        <v>4739</v>
      </c>
      <c r="N76" s="328" t="s">
        <v>2542</v>
      </c>
      <c r="O76" s="1379" t="s">
        <v>5855</v>
      </c>
      <c r="P76" s="1378">
        <v>44909</v>
      </c>
      <c r="Q76" s="1378">
        <v>44909</v>
      </c>
      <c r="R76" s="1195" t="s">
        <v>4265</v>
      </c>
      <c r="S76" s="1083"/>
      <c r="T76" s="1829"/>
      <c r="U76" s="1088"/>
    </row>
    <row r="77" spans="1:21" s="197" customFormat="1" ht="57" customHeight="1">
      <c r="A77" s="1088" t="s">
        <v>2512</v>
      </c>
      <c r="B77" s="1378">
        <v>44909</v>
      </c>
      <c r="C77" s="1088">
        <v>4</v>
      </c>
      <c r="D77" s="1088">
        <f t="shared" si="3"/>
        <v>4</v>
      </c>
      <c r="E77" s="560" t="s">
        <v>5468</v>
      </c>
      <c r="F77" s="1088">
        <f t="shared" si="4"/>
        <v>4</v>
      </c>
      <c r="G77" s="1382" t="s">
        <v>5856</v>
      </c>
      <c r="H77" s="1379"/>
      <c r="I77" s="1379" t="s">
        <v>551</v>
      </c>
      <c r="J77" s="2072" t="s">
        <v>5962</v>
      </c>
      <c r="K77" s="664">
        <v>44987</v>
      </c>
      <c r="L77" s="255">
        <v>45048</v>
      </c>
      <c r="M77" s="1381" t="s">
        <v>5384</v>
      </c>
      <c r="N77" s="328" t="s">
        <v>1979</v>
      </c>
      <c r="O77" s="1379" t="s">
        <v>5855</v>
      </c>
      <c r="P77" s="1378">
        <v>44909</v>
      </c>
      <c r="Q77" s="1378">
        <v>44909</v>
      </c>
      <c r="R77" s="1195" t="s">
        <v>4265</v>
      </c>
      <c r="S77" s="1083"/>
      <c r="T77" s="2067" t="s">
        <v>5946</v>
      </c>
      <c r="U77" s="1088"/>
    </row>
    <row r="78" spans="1:21" s="197" customFormat="1" ht="57" customHeight="1">
      <c r="A78" s="1088" t="s">
        <v>2512</v>
      </c>
      <c r="B78" s="1378">
        <v>44909</v>
      </c>
      <c r="C78" s="1088">
        <v>4</v>
      </c>
      <c r="D78" s="1088">
        <f t="shared" si="3"/>
        <v>4</v>
      </c>
      <c r="E78" s="1086"/>
      <c r="F78" s="1088">
        <f t="shared" si="4"/>
        <v>5</v>
      </c>
      <c r="G78" s="1382" t="s">
        <v>5857</v>
      </c>
      <c r="H78" s="1379"/>
      <c r="I78" s="1379"/>
      <c r="J78" s="2072"/>
      <c r="K78" s="664"/>
      <c r="L78" s="255"/>
      <c r="M78" s="1381"/>
      <c r="N78" s="328" t="s">
        <v>2640</v>
      </c>
      <c r="O78" s="1379" t="s">
        <v>5855</v>
      </c>
      <c r="P78" s="1378">
        <v>44909</v>
      </c>
      <c r="Q78" s="1378">
        <v>44909</v>
      </c>
      <c r="R78" s="1195" t="s">
        <v>4265</v>
      </c>
      <c r="S78" s="1083"/>
      <c r="T78" s="1829"/>
      <c r="U78" s="1088"/>
    </row>
    <row r="79" spans="1:21" s="197" customFormat="1" ht="57" customHeight="1">
      <c r="A79" s="1088" t="s">
        <v>2512</v>
      </c>
      <c r="B79" s="1378">
        <v>44909</v>
      </c>
      <c r="C79" s="1088">
        <v>4</v>
      </c>
      <c r="D79" s="1088">
        <f t="shared" si="3"/>
        <v>4</v>
      </c>
      <c r="E79" s="1086"/>
      <c r="F79" s="1088">
        <f t="shared" si="4"/>
        <v>6</v>
      </c>
      <c r="G79" s="1382" t="s">
        <v>5858</v>
      </c>
      <c r="H79" s="1379"/>
      <c r="I79" s="1379"/>
      <c r="J79" s="2072"/>
      <c r="K79" s="664"/>
      <c r="L79" s="255"/>
      <c r="M79" s="1381"/>
      <c r="N79" s="328" t="s">
        <v>2548</v>
      </c>
      <c r="O79" s="1379" t="s">
        <v>5855</v>
      </c>
      <c r="P79" s="1378">
        <v>44909</v>
      </c>
      <c r="Q79" s="1378">
        <v>44909</v>
      </c>
      <c r="R79" s="1195" t="s">
        <v>4265</v>
      </c>
      <c r="S79" s="1083"/>
      <c r="T79" s="1829"/>
      <c r="U79" s="1088"/>
    </row>
    <row r="80" spans="1:21" s="197" customFormat="1" ht="105" customHeight="1">
      <c r="A80" s="1088" t="s">
        <v>2512</v>
      </c>
      <c r="B80" s="1378">
        <v>44909</v>
      </c>
      <c r="C80" s="1088">
        <v>4</v>
      </c>
      <c r="D80" s="1088">
        <f t="shared" si="3"/>
        <v>4</v>
      </c>
      <c r="E80" s="1086" t="s">
        <v>352</v>
      </c>
      <c r="F80" s="1088">
        <f t="shared" si="4"/>
        <v>7</v>
      </c>
      <c r="G80" s="1382" t="s">
        <v>5168</v>
      </c>
      <c r="H80" s="1379"/>
      <c r="I80" s="1379" t="s">
        <v>551</v>
      </c>
      <c r="J80" s="2072"/>
      <c r="K80" s="664"/>
      <c r="L80" s="255"/>
      <c r="M80" s="1381" t="s">
        <v>3181</v>
      </c>
      <c r="N80" s="328" t="s">
        <v>1979</v>
      </c>
      <c r="O80" s="1379" t="s">
        <v>5855</v>
      </c>
      <c r="P80" s="1378">
        <v>44909</v>
      </c>
      <c r="Q80" s="1378">
        <v>44909</v>
      </c>
      <c r="R80" s="1195" t="s">
        <v>4265</v>
      </c>
      <c r="S80" s="1083"/>
      <c r="T80" s="2067" t="s">
        <v>3101</v>
      </c>
      <c r="U80" s="1088"/>
    </row>
    <row r="81" spans="1:21" s="197" customFormat="1" ht="84" customHeight="1">
      <c r="A81" s="1088" t="s">
        <v>2512</v>
      </c>
      <c r="B81" s="1378">
        <v>44909</v>
      </c>
      <c r="C81" s="1088">
        <v>4</v>
      </c>
      <c r="D81" s="1088">
        <f t="shared" si="3"/>
        <v>4</v>
      </c>
      <c r="E81" s="1086" t="s">
        <v>352</v>
      </c>
      <c r="F81" s="1088">
        <f t="shared" si="4"/>
        <v>8</v>
      </c>
      <c r="G81" s="1382" t="s">
        <v>5948</v>
      </c>
      <c r="H81" s="1379"/>
      <c r="I81" s="1379" t="s">
        <v>551</v>
      </c>
      <c r="J81" s="2072"/>
      <c r="K81" s="664"/>
      <c r="L81" s="255"/>
      <c r="M81" s="1381" t="s">
        <v>2524</v>
      </c>
      <c r="N81" s="328" t="s">
        <v>1979</v>
      </c>
      <c r="O81" s="1379" t="s">
        <v>5855</v>
      </c>
      <c r="P81" s="1378">
        <v>44909</v>
      </c>
      <c r="Q81" s="1378">
        <v>44909</v>
      </c>
      <c r="R81" s="1195" t="s">
        <v>4265</v>
      </c>
      <c r="S81" s="1083"/>
      <c r="T81" s="2067" t="s">
        <v>3101</v>
      </c>
      <c r="U81" s="1088"/>
    </row>
    <row r="82" spans="1:21" s="197" customFormat="1" ht="57" customHeight="1">
      <c r="A82" s="1088" t="s">
        <v>2512</v>
      </c>
      <c r="B82" s="1378">
        <v>44909</v>
      </c>
      <c r="C82" s="1088">
        <v>4</v>
      </c>
      <c r="D82" s="1088">
        <f t="shared" si="3"/>
        <v>4</v>
      </c>
      <c r="E82" s="1086"/>
      <c r="F82" s="1088">
        <f t="shared" si="4"/>
        <v>9</v>
      </c>
      <c r="G82" s="1382" t="s">
        <v>5179</v>
      </c>
      <c r="H82" s="1379"/>
      <c r="I82" s="1379"/>
      <c r="J82" s="2072"/>
      <c r="K82" s="664"/>
      <c r="L82" s="255"/>
      <c r="M82" s="1381" t="s">
        <v>3459</v>
      </c>
      <c r="N82" s="328" t="s">
        <v>2640</v>
      </c>
      <c r="O82" s="1379" t="s">
        <v>5855</v>
      </c>
      <c r="P82" s="1378">
        <v>44909</v>
      </c>
      <c r="Q82" s="1378">
        <v>44909</v>
      </c>
      <c r="R82" s="1195" t="s">
        <v>4265</v>
      </c>
      <c r="S82" s="1083"/>
      <c r="T82" s="1829"/>
      <c r="U82" s="1088"/>
    </row>
    <row r="83" spans="1:21" s="197" customFormat="1" ht="57" customHeight="1">
      <c r="A83" s="1088" t="s">
        <v>2512</v>
      </c>
      <c r="B83" s="1378">
        <v>44909</v>
      </c>
      <c r="C83" s="1088">
        <v>4</v>
      </c>
      <c r="D83" s="1088">
        <f t="shared" si="3"/>
        <v>4</v>
      </c>
      <c r="E83" s="1086"/>
      <c r="F83" s="1088">
        <f t="shared" si="4"/>
        <v>10</v>
      </c>
      <c r="G83" s="1382" t="s">
        <v>5859</v>
      </c>
      <c r="H83" s="1379"/>
      <c r="I83" s="1379"/>
      <c r="J83" s="2072"/>
      <c r="K83" s="664"/>
      <c r="L83" s="255"/>
      <c r="M83" s="1381"/>
      <c r="N83" s="328" t="s">
        <v>2560</v>
      </c>
      <c r="O83" s="1379" t="s">
        <v>5855</v>
      </c>
      <c r="P83" s="1378">
        <v>44909</v>
      </c>
      <c r="Q83" s="1378">
        <v>44909</v>
      </c>
      <c r="R83" s="1195" t="s">
        <v>4265</v>
      </c>
      <c r="S83" s="1083"/>
      <c r="T83" s="1829"/>
      <c r="U83" s="1088"/>
    </row>
    <row r="84" spans="1:21" s="197" customFormat="1" ht="57" customHeight="1">
      <c r="A84" s="1088" t="s">
        <v>2512</v>
      </c>
      <c r="B84" s="1378">
        <v>44909</v>
      </c>
      <c r="C84" s="1088">
        <v>4</v>
      </c>
      <c r="D84" s="1088">
        <f t="shared" si="3"/>
        <v>4</v>
      </c>
      <c r="E84" s="1086"/>
      <c r="F84" s="1088">
        <f t="shared" si="4"/>
        <v>11</v>
      </c>
      <c r="G84" s="1382" t="s">
        <v>5863</v>
      </c>
      <c r="H84" s="1379"/>
      <c r="I84" s="1379"/>
      <c r="J84" s="2072"/>
      <c r="K84" s="664"/>
      <c r="L84" s="255"/>
      <c r="M84" s="1381"/>
      <c r="N84" s="328" t="s">
        <v>2574</v>
      </c>
      <c r="O84" s="1379" t="s">
        <v>5855</v>
      </c>
      <c r="P84" s="1378">
        <v>44909</v>
      </c>
      <c r="Q84" s="1378">
        <v>44909</v>
      </c>
      <c r="R84" s="1195" t="s">
        <v>4265</v>
      </c>
      <c r="S84" s="1083"/>
      <c r="T84" s="1829"/>
      <c r="U84" s="1088"/>
    </row>
    <row r="85" spans="1:21" s="197" customFormat="1" ht="57" customHeight="1">
      <c r="A85" s="1088" t="s">
        <v>2512</v>
      </c>
      <c r="B85" s="1378">
        <v>44909</v>
      </c>
      <c r="C85" s="1088">
        <v>4</v>
      </c>
      <c r="D85" s="1088">
        <f t="shared" si="3"/>
        <v>4</v>
      </c>
      <c r="E85" s="1086" t="s">
        <v>4790</v>
      </c>
      <c r="F85" s="1088">
        <f t="shared" si="4"/>
        <v>12</v>
      </c>
      <c r="G85" s="1382" t="s">
        <v>5860</v>
      </c>
      <c r="H85" s="1379"/>
      <c r="I85" s="1379" t="s">
        <v>551</v>
      </c>
      <c r="J85" s="2072"/>
      <c r="K85" s="664"/>
      <c r="L85" s="255"/>
      <c r="M85" s="1381" t="s">
        <v>4800</v>
      </c>
      <c r="N85" s="328" t="s">
        <v>2560</v>
      </c>
      <c r="O85" s="1379" t="s">
        <v>5855</v>
      </c>
      <c r="P85" s="1378">
        <v>44909</v>
      </c>
      <c r="Q85" s="1378">
        <v>44909</v>
      </c>
      <c r="R85" s="1195" t="s">
        <v>4265</v>
      </c>
      <c r="S85" s="1083"/>
      <c r="T85" s="2067"/>
      <c r="U85" s="1088"/>
    </row>
    <row r="86" spans="1:21" s="197" customFormat="1" ht="57" customHeight="1">
      <c r="A86" s="1088" t="s">
        <v>2512</v>
      </c>
      <c r="B86" s="1378">
        <v>44909</v>
      </c>
      <c r="C86" s="1088">
        <v>4</v>
      </c>
      <c r="D86" s="1088">
        <f t="shared" si="3"/>
        <v>4</v>
      </c>
      <c r="E86" s="1086"/>
      <c r="F86" s="1088">
        <f t="shared" si="4"/>
        <v>13</v>
      </c>
      <c r="G86" s="1382" t="s">
        <v>5861</v>
      </c>
      <c r="H86" s="1379"/>
      <c r="I86" s="1379"/>
      <c r="J86" s="2072"/>
      <c r="K86" s="664"/>
      <c r="L86" s="255"/>
      <c r="M86" s="1381" t="s">
        <v>5375</v>
      </c>
      <c r="N86" s="328" t="s">
        <v>1979</v>
      </c>
      <c r="O86" s="1379" t="s">
        <v>5855</v>
      </c>
      <c r="P86" s="1378">
        <v>44909</v>
      </c>
      <c r="Q86" s="1378">
        <v>44909</v>
      </c>
      <c r="R86" s="1195" t="s">
        <v>4265</v>
      </c>
      <c r="S86" s="1083"/>
      <c r="T86" s="1829"/>
      <c r="U86" s="1088"/>
    </row>
    <row r="87" spans="1:21" s="197" customFormat="1" ht="57" customHeight="1">
      <c r="A87" s="1088" t="s">
        <v>2512</v>
      </c>
      <c r="B87" s="1378">
        <v>44909</v>
      </c>
      <c r="C87" s="1088">
        <v>4</v>
      </c>
      <c r="D87" s="1088">
        <f t="shared" si="3"/>
        <v>4</v>
      </c>
      <c r="E87" s="1086"/>
      <c r="F87" s="1088">
        <f t="shared" si="4"/>
        <v>14</v>
      </c>
      <c r="G87" s="1382" t="s">
        <v>5862</v>
      </c>
      <c r="H87" s="1379"/>
      <c r="I87" s="1379"/>
      <c r="J87" s="2072"/>
      <c r="K87" s="664"/>
      <c r="L87" s="255"/>
      <c r="M87" s="1381"/>
      <c r="N87" s="328" t="s">
        <v>1979</v>
      </c>
      <c r="O87" s="1379" t="s">
        <v>5855</v>
      </c>
      <c r="P87" s="1378">
        <v>44909</v>
      </c>
      <c r="Q87" s="1378">
        <v>44909</v>
      </c>
      <c r="R87" s="1195" t="s">
        <v>4265</v>
      </c>
      <c r="S87" s="1083"/>
      <c r="T87" s="1829"/>
      <c r="U87" s="1088"/>
    </row>
    <row r="88" spans="1:21" s="197" customFormat="1" ht="57" customHeight="1">
      <c r="A88" s="1088" t="s">
        <v>2512</v>
      </c>
      <c r="B88" s="1378">
        <v>44909</v>
      </c>
      <c r="C88" s="1088">
        <v>4</v>
      </c>
      <c r="D88" s="1088">
        <f t="shared" si="3"/>
        <v>4</v>
      </c>
      <c r="E88" s="1086"/>
      <c r="F88" s="1088">
        <f t="shared" si="4"/>
        <v>15</v>
      </c>
      <c r="G88" s="1382" t="s">
        <v>5163</v>
      </c>
      <c r="H88" s="1379"/>
      <c r="I88" s="1379"/>
      <c r="J88" s="2072"/>
      <c r="K88" s="664"/>
      <c r="L88" s="255"/>
      <c r="M88" s="1381" t="s">
        <v>5864</v>
      </c>
      <c r="N88" s="328" t="s">
        <v>1979</v>
      </c>
      <c r="O88" s="1379" t="s">
        <v>5855</v>
      </c>
      <c r="P88" s="1378">
        <v>44909</v>
      </c>
      <c r="Q88" s="1378">
        <v>44909</v>
      </c>
      <c r="R88" s="1195" t="s">
        <v>4265</v>
      </c>
      <c r="S88" s="1083"/>
      <c r="T88" s="1829"/>
      <c r="U88" s="1088"/>
    </row>
    <row r="89" spans="1:21" s="197" customFormat="1" ht="57" customHeight="1">
      <c r="A89" s="1088" t="s">
        <v>2512</v>
      </c>
      <c r="B89" s="1378">
        <v>44909</v>
      </c>
      <c r="C89" s="1088">
        <v>4</v>
      </c>
      <c r="D89" s="1088">
        <f t="shared" si="3"/>
        <v>4</v>
      </c>
      <c r="E89" s="1086"/>
      <c r="F89" s="1088">
        <f t="shared" si="4"/>
        <v>16</v>
      </c>
      <c r="G89" s="1382" t="s">
        <v>5865</v>
      </c>
      <c r="H89" s="1379"/>
      <c r="I89" s="1379"/>
      <c r="J89" s="2072"/>
      <c r="K89" s="664"/>
      <c r="L89" s="255"/>
      <c r="M89" s="1381" t="s">
        <v>5386</v>
      </c>
      <c r="N89" s="328" t="s">
        <v>1979</v>
      </c>
      <c r="O89" s="1379" t="s">
        <v>5855</v>
      </c>
      <c r="P89" s="1378">
        <v>44909</v>
      </c>
      <c r="Q89" s="1378">
        <v>44909</v>
      </c>
      <c r="R89" s="1195" t="s">
        <v>4265</v>
      </c>
      <c r="S89" s="1083"/>
      <c r="T89" s="1829"/>
      <c r="U89" s="1088"/>
    </row>
    <row r="90" spans="1:21" s="197" customFormat="1" ht="57" customHeight="1">
      <c r="A90" s="1088" t="s">
        <v>2512</v>
      </c>
      <c r="B90" s="1378">
        <v>44909</v>
      </c>
      <c r="C90" s="1088">
        <v>4</v>
      </c>
      <c r="D90" s="1088">
        <f t="shared" si="3"/>
        <v>4</v>
      </c>
      <c r="E90" s="1086"/>
      <c r="F90" s="1088">
        <f t="shared" si="4"/>
        <v>17</v>
      </c>
      <c r="G90" s="1382" t="s">
        <v>5895</v>
      </c>
      <c r="H90" s="1379" t="s">
        <v>3175</v>
      </c>
      <c r="I90" s="1379"/>
      <c r="J90" s="2072"/>
      <c r="K90" s="664"/>
      <c r="L90" s="255"/>
      <c r="M90" s="1381" t="s">
        <v>2536</v>
      </c>
      <c r="N90" s="328" t="s">
        <v>1979</v>
      </c>
      <c r="O90" s="1379" t="s">
        <v>5855</v>
      </c>
      <c r="P90" s="1378">
        <v>44909</v>
      </c>
      <c r="Q90" s="1378">
        <v>44909</v>
      </c>
      <c r="R90" s="1195" t="s">
        <v>4265</v>
      </c>
      <c r="S90" s="1083"/>
      <c r="T90" s="1829"/>
      <c r="U90" s="1088"/>
    </row>
    <row r="91" spans="1:21" s="197" customFormat="1" ht="57" customHeight="1">
      <c r="A91" s="1088" t="s">
        <v>2512</v>
      </c>
      <c r="B91" s="1378">
        <v>44909</v>
      </c>
      <c r="C91" s="1088">
        <v>4</v>
      </c>
      <c r="D91" s="1088">
        <f t="shared" si="3"/>
        <v>4</v>
      </c>
      <c r="E91" s="1086"/>
      <c r="F91" s="1088">
        <f t="shared" si="4"/>
        <v>18</v>
      </c>
      <c r="G91" s="1382" t="s">
        <v>5866</v>
      </c>
      <c r="H91" s="1379"/>
      <c r="I91" s="1379"/>
      <c r="J91" s="2072"/>
      <c r="K91" s="664"/>
      <c r="L91" s="255"/>
      <c r="M91" s="1381"/>
      <c r="N91" s="328" t="s">
        <v>1979</v>
      </c>
      <c r="O91" s="1379" t="s">
        <v>5855</v>
      </c>
      <c r="P91" s="1378">
        <v>44909</v>
      </c>
      <c r="Q91" s="1378">
        <v>44909</v>
      </c>
      <c r="R91" s="1195" t="s">
        <v>4265</v>
      </c>
      <c r="S91" s="1083"/>
      <c r="T91" s="1829"/>
      <c r="U91" s="1088"/>
    </row>
    <row r="92" spans="1:21" s="197" customFormat="1" ht="57" customHeight="1">
      <c r="A92" s="1088" t="s">
        <v>2512</v>
      </c>
      <c r="B92" s="1378">
        <v>44909</v>
      </c>
      <c r="C92" s="1088">
        <v>4</v>
      </c>
      <c r="D92" s="1088">
        <f t="shared" si="3"/>
        <v>4</v>
      </c>
      <c r="E92" s="1086"/>
      <c r="F92" s="1088">
        <f t="shared" si="4"/>
        <v>19</v>
      </c>
      <c r="G92" s="1382" t="s">
        <v>5867</v>
      </c>
      <c r="H92" s="1379"/>
      <c r="I92" s="1379"/>
      <c r="J92" s="2072"/>
      <c r="K92" s="664"/>
      <c r="L92" s="255"/>
      <c r="M92" s="1381"/>
      <c r="N92" s="328" t="s">
        <v>2613</v>
      </c>
      <c r="O92" s="1379" t="s">
        <v>5855</v>
      </c>
      <c r="P92" s="1378">
        <v>44909</v>
      </c>
      <c r="Q92" s="1378">
        <v>44909</v>
      </c>
      <c r="R92" s="1195" t="s">
        <v>4265</v>
      </c>
      <c r="S92" s="1083"/>
      <c r="T92" s="1829"/>
      <c r="U92" s="1088"/>
    </row>
    <row r="93" spans="1:21" s="197" customFormat="1" ht="57" customHeight="1">
      <c r="A93" s="1088" t="s">
        <v>2512</v>
      </c>
      <c r="B93" s="1378">
        <v>44909</v>
      </c>
      <c r="C93" s="1088">
        <v>4</v>
      </c>
      <c r="D93" s="1088">
        <f t="shared" si="3"/>
        <v>4</v>
      </c>
      <c r="E93" s="1086"/>
      <c r="F93" s="1088">
        <f t="shared" si="4"/>
        <v>20</v>
      </c>
      <c r="G93" s="1382" t="s">
        <v>5868</v>
      </c>
      <c r="H93" s="1379"/>
      <c r="I93" s="1379"/>
      <c r="J93" s="2072"/>
      <c r="K93" s="664"/>
      <c r="L93" s="255"/>
      <c r="M93" s="1381" t="s">
        <v>4824</v>
      </c>
      <c r="N93" s="328" t="s">
        <v>1979</v>
      </c>
      <c r="O93" s="1379" t="s">
        <v>5855</v>
      </c>
      <c r="P93" s="1378">
        <v>44909</v>
      </c>
      <c r="Q93" s="1378">
        <v>44909</v>
      </c>
      <c r="R93" s="1195" t="s">
        <v>4265</v>
      </c>
      <c r="S93" s="1083"/>
      <c r="T93" s="1829"/>
      <c r="U93" s="1088"/>
    </row>
    <row r="94" spans="1:21" s="197" customFormat="1" ht="57" customHeight="1">
      <c r="A94" s="1088" t="s">
        <v>2512</v>
      </c>
      <c r="B94" s="1378">
        <v>44909</v>
      </c>
      <c r="C94" s="1088">
        <v>4</v>
      </c>
      <c r="D94" s="1088">
        <f t="shared" si="3"/>
        <v>4</v>
      </c>
      <c r="E94" s="1086"/>
      <c r="F94" s="1088">
        <f t="shared" si="4"/>
        <v>21</v>
      </c>
      <c r="G94" s="1382" t="s">
        <v>5869</v>
      </c>
      <c r="H94" s="1379"/>
      <c r="I94" s="1379"/>
      <c r="J94" s="2072"/>
      <c r="K94" s="664"/>
      <c r="L94" s="255"/>
      <c r="M94" s="1381" t="s">
        <v>2599</v>
      </c>
      <c r="N94" s="328" t="s">
        <v>1979</v>
      </c>
      <c r="O94" s="1379" t="s">
        <v>5855</v>
      </c>
      <c r="P94" s="1378">
        <v>44909</v>
      </c>
      <c r="Q94" s="1378">
        <v>44909</v>
      </c>
      <c r="R94" s="1195" t="s">
        <v>4265</v>
      </c>
      <c r="S94" s="1083"/>
      <c r="T94" s="1829"/>
      <c r="U94" s="1088"/>
    </row>
    <row r="95" spans="1:21" s="197" customFormat="1" ht="57" customHeight="1">
      <c r="A95" s="1088" t="s">
        <v>2512</v>
      </c>
      <c r="B95" s="1378">
        <v>44854</v>
      </c>
      <c r="C95" s="1088">
        <v>3</v>
      </c>
      <c r="D95" s="1088">
        <v>4</v>
      </c>
      <c r="E95" s="1086" t="s">
        <v>4397</v>
      </c>
      <c r="F95" s="1088">
        <v>1</v>
      </c>
      <c r="G95" s="1382" t="s">
        <v>5408</v>
      </c>
      <c r="H95" s="1379"/>
      <c r="I95" s="1379" t="s">
        <v>551</v>
      </c>
      <c r="J95" s="2072" t="s">
        <v>5963</v>
      </c>
      <c r="K95" s="664">
        <v>44767</v>
      </c>
      <c r="L95" s="255">
        <v>44814</v>
      </c>
      <c r="M95" s="1381" t="s">
        <v>5409</v>
      </c>
      <c r="N95" s="328" t="s">
        <v>2613</v>
      </c>
      <c r="O95" s="1379" t="s">
        <v>5101</v>
      </c>
      <c r="P95" s="1378">
        <v>44854</v>
      </c>
      <c r="Q95" s="1378">
        <v>44854</v>
      </c>
      <c r="R95" s="1195" t="s">
        <v>4265</v>
      </c>
      <c r="S95" s="1083"/>
      <c r="T95" s="2067"/>
      <c r="U95" s="1088"/>
    </row>
    <row r="96" spans="1:21" s="197" customFormat="1" ht="51.75" customHeight="1">
      <c r="A96" s="1088" t="s">
        <v>2512</v>
      </c>
      <c r="B96" s="1378">
        <v>44854</v>
      </c>
      <c r="C96" s="1088">
        <v>3</v>
      </c>
      <c r="D96" s="1088">
        <f t="shared" ref="D96:D108" si="5">D95</f>
        <v>4</v>
      </c>
      <c r="E96" s="1086" t="s">
        <v>4396</v>
      </c>
      <c r="F96" s="1088">
        <f t="shared" ref="F96:F105" si="6">F95+1</f>
        <v>2</v>
      </c>
      <c r="G96" s="1382" t="s">
        <v>5410</v>
      </c>
      <c r="H96" s="1379"/>
      <c r="I96" s="1379" t="s">
        <v>551</v>
      </c>
      <c r="J96" s="2072" t="s">
        <v>5963</v>
      </c>
      <c r="K96" s="664">
        <v>44760</v>
      </c>
      <c r="L96" s="255">
        <v>44804</v>
      </c>
      <c r="M96" s="1381" t="s">
        <v>4751</v>
      </c>
      <c r="N96" s="328" t="s">
        <v>2574</v>
      </c>
      <c r="O96" s="1379" t="s">
        <v>5101</v>
      </c>
      <c r="P96" s="1378">
        <v>44854</v>
      </c>
      <c r="Q96" s="1378">
        <v>44854</v>
      </c>
      <c r="R96" s="1195" t="s">
        <v>4265</v>
      </c>
      <c r="S96" s="1083"/>
      <c r="T96" s="2067"/>
      <c r="U96" s="1088"/>
    </row>
    <row r="97" spans="1:21" s="197" customFormat="1" ht="109.5" customHeight="1">
      <c r="A97" s="1088" t="s">
        <v>2512</v>
      </c>
      <c r="B97" s="1378">
        <v>44854</v>
      </c>
      <c r="C97" s="1088">
        <v>3</v>
      </c>
      <c r="D97" s="1088">
        <f t="shared" si="5"/>
        <v>4</v>
      </c>
      <c r="E97" s="560" t="s">
        <v>4540</v>
      </c>
      <c r="F97" s="1088">
        <f t="shared" si="6"/>
        <v>3</v>
      </c>
      <c r="G97" s="1382" t="s">
        <v>5411</v>
      </c>
      <c r="H97" s="1379"/>
      <c r="I97" s="1379" t="s">
        <v>551</v>
      </c>
      <c r="J97" s="2072" t="s">
        <v>5962</v>
      </c>
      <c r="K97" s="189">
        <v>44812</v>
      </c>
      <c r="L97" s="190">
        <v>44834</v>
      </c>
      <c r="M97" s="1381" t="s">
        <v>4847</v>
      </c>
      <c r="N97" s="328" t="s">
        <v>1979</v>
      </c>
      <c r="O97" s="1379" t="s">
        <v>5101</v>
      </c>
      <c r="P97" s="1378">
        <v>44854</v>
      </c>
      <c r="Q97" s="1378">
        <v>44854</v>
      </c>
      <c r="R97" s="1195" t="s">
        <v>4265</v>
      </c>
      <c r="S97" s="1083"/>
      <c r="T97" s="2067"/>
      <c r="U97" s="1088"/>
    </row>
    <row r="98" spans="1:21" s="197" customFormat="1" ht="117" customHeight="1">
      <c r="A98" s="1088" t="s">
        <v>2512</v>
      </c>
      <c r="B98" s="1378">
        <v>44854</v>
      </c>
      <c r="C98" s="1088">
        <v>3</v>
      </c>
      <c r="D98" s="1088">
        <f t="shared" si="5"/>
        <v>4</v>
      </c>
      <c r="E98" s="560" t="s">
        <v>4391</v>
      </c>
      <c r="F98" s="1088">
        <f t="shared" si="6"/>
        <v>4</v>
      </c>
      <c r="G98" s="1382" t="s">
        <v>5412</v>
      </c>
      <c r="H98" s="1379"/>
      <c r="I98" s="1379" t="s">
        <v>551</v>
      </c>
      <c r="J98" s="2072" t="s">
        <v>5963</v>
      </c>
      <c r="K98" s="189">
        <v>44692</v>
      </c>
      <c r="L98" s="190">
        <v>44765</v>
      </c>
      <c r="M98" s="1381" t="s">
        <v>2750</v>
      </c>
      <c r="N98" s="328" t="s">
        <v>1980</v>
      </c>
      <c r="O98" s="1379" t="s">
        <v>5101</v>
      </c>
      <c r="P98" s="1378">
        <v>44854</v>
      </c>
      <c r="Q98" s="1378">
        <v>44854</v>
      </c>
      <c r="R98" s="1195" t="s">
        <v>4265</v>
      </c>
      <c r="S98" s="1083"/>
      <c r="T98" s="2067"/>
      <c r="U98" s="1088"/>
    </row>
    <row r="99" spans="1:21" s="197" customFormat="1" ht="40.5" customHeight="1">
      <c r="A99" s="1088" t="s">
        <v>2512</v>
      </c>
      <c r="B99" s="1378">
        <v>44694</v>
      </c>
      <c r="C99" s="1088">
        <v>2</v>
      </c>
      <c r="D99" s="1088">
        <f t="shared" si="5"/>
        <v>4</v>
      </c>
      <c r="E99" s="560" t="s">
        <v>5429</v>
      </c>
      <c r="F99" s="1088">
        <f t="shared" si="6"/>
        <v>5</v>
      </c>
      <c r="G99" s="1382" t="s">
        <v>5211</v>
      </c>
      <c r="H99" s="1379"/>
      <c r="I99" s="1379" t="s">
        <v>551</v>
      </c>
      <c r="J99" s="2072" t="s">
        <v>5964</v>
      </c>
      <c r="K99" s="664">
        <v>44968</v>
      </c>
      <c r="L99" s="255">
        <v>44985</v>
      </c>
      <c r="M99" s="1381" t="s">
        <v>4823</v>
      </c>
      <c r="N99" s="328" t="s">
        <v>1979</v>
      </c>
      <c r="O99" s="1379" t="s">
        <v>77</v>
      </c>
      <c r="P99" s="1378">
        <v>44694</v>
      </c>
      <c r="Q99" s="1378">
        <v>44694</v>
      </c>
      <c r="R99" s="1195" t="s">
        <v>4265</v>
      </c>
      <c r="S99" s="1083"/>
      <c r="T99" s="2067" t="s">
        <v>5950</v>
      </c>
      <c r="U99" s="1088"/>
    </row>
    <row r="100" spans="1:21" s="197" customFormat="1" ht="67.5" customHeight="1">
      <c r="A100" s="1088" t="s">
        <v>2512</v>
      </c>
      <c r="B100" s="1378">
        <v>44854</v>
      </c>
      <c r="C100" s="1088">
        <v>3</v>
      </c>
      <c r="D100" s="1088">
        <f t="shared" si="5"/>
        <v>4</v>
      </c>
      <c r="E100" s="1086"/>
      <c r="F100" s="1088">
        <f t="shared" si="6"/>
        <v>6</v>
      </c>
      <c r="G100" s="1382" t="s">
        <v>5414</v>
      </c>
      <c r="H100" s="1379"/>
      <c r="I100" s="1379"/>
      <c r="J100" s="2072"/>
      <c r="K100" s="664"/>
      <c r="L100" s="255"/>
      <c r="M100" s="1381" t="s">
        <v>4824</v>
      </c>
      <c r="N100" s="328" t="s">
        <v>2560</v>
      </c>
      <c r="O100" s="1379" t="s">
        <v>166</v>
      </c>
      <c r="P100" s="1378">
        <v>44854</v>
      </c>
      <c r="Q100" s="1378">
        <v>44854</v>
      </c>
      <c r="R100" s="1195" t="s">
        <v>4265</v>
      </c>
      <c r="S100" s="1083"/>
      <c r="T100" s="1829"/>
      <c r="U100" s="1088"/>
    </row>
    <row r="101" spans="1:21" s="197" customFormat="1" ht="87.75" customHeight="1">
      <c r="A101" s="1088" t="s">
        <v>2512</v>
      </c>
      <c r="B101" s="1378">
        <v>44854</v>
      </c>
      <c r="C101" s="1088">
        <v>3</v>
      </c>
      <c r="D101" s="1088">
        <f t="shared" si="5"/>
        <v>4</v>
      </c>
      <c r="E101" s="1086"/>
      <c r="F101" s="1088">
        <f t="shared" si="6"/>
        <v>7</v>
      </c>
      <c r="G101" s="1382" t="s">
        <v>5415</v>
      </c>
      <c r="H101" s="1379"/>
      <c r="I101" s="1379"/>
      <c r="J101" s="2072"/>
      <c r="K101" s="664"/>
      <c r="L101" s="255"/>
      <c r="M101" s="1381" t="s">
        <v>2655</v>
      </c>
      <c r="N101" s="328" t="s">
        <v>2560</v>
      </c>
      <c r="O101" s="1379" t="s">
        <v>166</v>
      </c>
      <c r="P101" s="1378">
        <v>44854</v>
      </c>
      <c r="Q101" s="1378">
        <v>44854</v>
      </c>
      <c r="R101" s="1195" t="s">
        <v>4265</v>
      </c>
      <c r="S101" s="1083"/>
      <c r="T101" s="1829"/>
      <c r="U101" s="1088"/>
    </row>
    <row r="102" spans="1:21" s="197" customFormat="1" ht="40.5" customHeight="1">
      <c r="A102" s="1088" t="s">
        <v>2512</v>
      </c>
      <c r="B102" s="1378">
        <v>44694</v>
      </c>
      <c r="C102" s="1088">
        <v>2</v>
      </c>
      <c r="D102" s="1088">
        <f t="shared" si="5"/>
        <v>4</v>
      </c>
      <c r="E102" s="202"/>
      <c r="F102" s="1088">
        <f t="shared" si="6"/>
        <v>8</v>
      </c>
      <c r="G102" s="1382" t="s">
        <v>5212</v>
      </c>
      <c r="H102" s="1379"/>
      <c r="I102" s="1379" t="s">
        <v>2344</v>
      </c>
      <c r="J102" s="2072"/>
      <c r="K102" s="664"/>
      <c r="L102" s="255"/>
      <c r="M102" s="1381" t="s">
        <v>4823</v>
      </c>
      <c r="N102" s="328" t="s">
        <v>1979</v>
      </c>
      <c r="O102" s="1379" t="s">
        <v>77</v>
      </c>
      <c r="P102" s="1378">
        <v>44694</v>
      </c>
      <c r="Q102" s="1378">
        <v>44694</v>
      </c>
      <c r="R102" s="1195" t="s">
        <v>4265</v>
      </c>
      <c r="S102" s="1083"/>
      <c r="T102" s="2067"/>
      <c r="U102" s="1088"/>
    </row>
    <row r="103" spans="1:21" s="197" customFormat="1" ht="47.25" customHeight="1">
      <c r="A103" s="1088" t="s">
        <v>2512</v>
      </c>
      <c r="B103" s="1378">
        <v>44694</v>
      </c>
      <c r="C103" s="1088">
        <v>2</v>
      </c>
      <c r="D103" s="1088">
        <f t="shared" si="5"/>
        <v>4</v>
      </c>
      <c r="E103" s="560" t="s">
        <v>5449</v>
      </c>
      <c r="F103" s="1088">
        <f t="shared" si="6"/>
        <v>9</v>
      </c>
      <c r="G103" s="1382" t="s">
        <v>5247</v>
      </c>
      <c r="H103" s="1379"/>
      <c r="I103" s="1379" t="s">
        <v>551</v>
      </c>
      <c r="J103" s="2072" t="s">
        <v>5963</v>
      </c>
      <c r="K103" s="664">
        <v>45187</v>
      </c>
      <c r="L103" s="255">
        <v>45219</v>
      </c>
      <c r="M103" s="1381" t="s">
        <v>4823</v>
      </c>
      <c r="N103" s="328" t="s">
        <v>1979</v>
      </c>
      <c r="O103" s="1379" t="s">
        <v>77</v>
      </c>
      <c r="P103" s="1378">
        <v>44694</v>
      </c>
      <c r="Q103" s="1378">
        <v>44694</v>
      </c>
      <c r="R103" s="1195" t="s">
        <v>4265</v>
      </c>
      <c r="S103" s="1083"/>
      <c r="T103" s="2067" t="s">
        <v>5951</v>
      </c>
      <c r="U103" s="1088"/>
    </row>
    <row r="104" spans="1:21" s="197" customFormat="1" ht="60" customHeight="1">
      <c r="A104" s="1088" t="s">
        <v>2512</v>
      </c>
      <c r="B104" s="1378">
        <v>44694</v>
      </c>
      <c r="C104" s="1088">
        <v>2</v>
      </c>
      <c r="D104" s="1088">
        <f t="shared" si="5"/>
        <v>4</v>
      </c>
      <c r="E104" s="560" t="s">
        <v>5818</v>
      </c>
      <c r="F104" s="1088">
        <f t="shared" si="6"/>
        <v>10</v>
      </c>
      <c r="G104" s="1382" t="s">
        <v>5231</v>
      </c>
      <c r="H104" s="1379"/>
      <c r="I104" s="1379" t="s">
        <v>551</v>
      </c>
      <c r="J104" s="2072" t="s">
        <v>5962</v>
      </c>
      <c r="K104" s="664">
        <v>45155</v>
      </c>
      <c r="L104" s="255">
        <v>45274</v>
      </c>
      <c r="M104" s="1381" t="s">
        <v>2672</v>
      </c>
      <c r="N104" s="328" t="s">
        <v>2560</v>
      </c>
      <c r="O104" s="1379" t="s">
        <v>77</v>
      </c>
      <c r="P104" s="1378">
        <v>44694</v>
      </c>
      <c r="Q104" s="1378">
        <v>44694</v>
      </c>
      <c r="R104" s="1195" t="s">
        <v>4265</v>
      </c>
      <c r="S104" s="1083"/>
      <c r="T104" s="2067" t="s">
        <v>5952</v>
      </c>
      <c r="U104" s="1088"/>
    </row>
    <row r="105" spans="1:21" s="197" customFormat="1" ht="47.25" customHeight="1">
      <c r="A105" s="1088" t="s">
        <v>2512</v>
      </c>
      <c r="B105" s="1378">
        <v>44526</v>
      </c>
      <c r="C105" s="1088">
        <f>C104</f>
        <v>2</v>
      </c>
      <c r="D105" s="1088">
        <f t="shared" si="5"/>
        <v>4</v>
      </c>
      <c r="E105" s="560" t="s">
        <v>3492</v>
      </c>
      <c r="F105" s="1088">
        <f t="shared" si="6"/>
        <v>11</v>
      </c>
      <c r="G105" s="1382" t="s">
        <v>5354</v>
      </c>
      <c r="H105" s="1379"/>
      <c r="I105" s="1379" t="s">
        <v>551</v>
      </c>
      <c r="J105" s="2072" t="s">
        <v>5963</v>
      </c>
      <c r="K105" s="664">
        <v>44523</v>
      </c>
      <c r="L105" s="255">
        <v>44559</v>
      </c>
      <c r="M105" s="1381" t="s">
        <v>2672</v>
      </c>
      <c r="N105" s="328" t="s">
        <v>5341</v>
      </c>
      <c r="O105" s="1379" t="s">
        <v>77</v>
      </c>
      <c r="P105" s="1378">
        <v>44526</v>
      </c>
      <c r="Q105" s="1378">
        <v>44526</v>
      </c>
      <c r="R105" s="1195" t="s">
        <v>4265</v>
      </c>
      <c r="S105" s="1083"/>
      <c r="T105" s="2067"/>
      <c r="U105" s="1088"/>
    </row>
    <row r="106" spans="1:21" s="197" customFormat="1" ht="105" customHeight="1">
      <c r="A106" s="1088" t="s">
        <v>2512</v>
      </c>
      <c r="B106" s="1378">
        <v>44854</v>
      </c>
      <c r="C106" s="1088">
        <v>3</v>
      </c>
      <c r="D106" s="1088">
        <f t="shared" si="5"/>
        <v>4</v>
      </c>
      <c r="E106" s="1088"/>
      <c r="F106" s="1088">
        <v>1</v>
      </c>
      <c r="G106" s="1382" t="s">
        <v>5420</v>
      </c>
      <c r="H106" s="1379"/>
      <c r="I106" s="1379" t="s">
        <v>2344</v>
      </c>
      <c r="J106" s="2072"/>
      <c r="K106" s="664"/>
      <c r="L106" s="255"/>
      <c r="M106" s="1381" t="s">
        <v>2524</v>
      </c>
      <c r="N106" s="328" t="s">
        <v>1979</v>
      </c>
      <c r="O106" s="1379" t="s">
        <v>867</v>
      </c>
      <c r="P106" s="1378">
        <v>44854</v>
      </c>
      <c r="Q106" s="1378">
        <v>44854</v>
      </c>
      <c r="R106" s="1195" t="s">
        <v>4265</v>
      </c>
      <c r="S106" s="1083"/>
      <c r="T106" s="1829"/>
      <c r="U106" s="1088"/>
    </row>
    <row r="107" spans="1:21" s="197" customFormat="1" ht="129.75" customHeight="1">
      <c r="A107" s="1088" t="s">
        <v>2512</v>
      </c>
      <c r="B107" s="1378">
        <v>44854</v>
      </c>
      <c r="C107" s="1088">
        <v>3</v>
      </c>
      <c r="D107" s="1088">
        <f t="shared" si="5"/>
        <v>4</v>
      </c>
      <c r="E107" s="1088"/>
      <c r="F107" s="1088">
        <f>F106+1</f>
        <v>2</v>
      </c>
      <c r="G107" s="1382" t="s">
        <v>5421</v>
      </c>
      <c r="H107" s="1379"/>
      <c r="I107" s="1379" t="s">
        <v>2344</v>
      </c>
      <c r="J107" s="2072"/>
      <c r="K107" s="664"/>
      <c r="L107" s="255"/>
      <c r="M107" s="1381" t="s">
        <v>3181</v>
      </c>
      <c r="N107" s="328" t="s">
        <v>1979</v>
      </c>
      <c r="O107" s="1379" t="s">
        <v>867</v>
      </c>
      <c r="P107" s="1378">
        <v>44854</v>
      </c>
      <c r="Q107" s="1378">
        <v>44854</v>
      </c>
      <c r="R107" s="1195" t="s">
        <v>4265</v>
      </c>
      <c r="S107" s="1083"/>
      <c r="T107" s="1829"/>
      <c r="U107" s="1088"/>
    </row>
    <row r="108" spans="1:21" s="197" customFormat="1" ht="89.25" customHeight="1">
      <c r="A108" s="1088" t="s">
        <v>2512</v>
      </c>
      <c r="B108" s="1378">
        <v>44854</v>
      </c>
      <c r="C108" s="1088">
        <v>3</v>
      </c>
      <c r="D108" s="1088">
        <f t="shared" si="5"/>
        <v>4</v>
      </c>
      <c r="E108" s="1088"/>
      <c r="F108" s="1088">
        <f>F107+1</f>
        <v>3</v>
      </c>
      <c r="G108" s="1382" t="s">
        <v>5269</v>
      </c>
      <c r="H108" s="1379"/>
      <c r="I108" s="1379" t="s">
        <v>2344</v>
      </c>
      <c r="J108" s="2072"/>
      <c r="K108" s="664"/>
      <c r="L108" s="255"/>
      <c r="M108" s="1381" t="s">
        <v>4739</v>
      </c>
      <c r="N108" s="328" t="s">
        <v>2542</v>
      </c>
      <c r="O108" s="1379" t="s">
        <v>867</v>
      </c>
      <c r="P108" s="1378">
        <v>44854</v>
      </c>
      <c r="Q108" s="1378">
        <v>44854</v>
      </c>
      <c r="R108" s="1195" t="s">
        <v>4265</v>
      </c>
      <c r="S108" s="1083"/>
      <c r="T108" s="1829"/>
      <c r="U108" s="1088"/>
    </row>
    <row r="109" spans="1:21" s="197" customFormat="1" ht="60" customHeight="1">
      <c r="A109" s="1088" t="s">
        <v>2512</v>
      </c>
      <c r="B109" s="1378">
        <v>44854</v>
      </c>
      <c r="C109" s="1088">
        <v>3</v>
      </c>
      <c r="D109" s="1088">
        <v>5</v>
      </c>
      <c r="E109" s="1086" t="s">
        <v>4393</v>
      </c>
      <c r="F109" s="1088">
        <v>1</v>
      </c>
      <c r="G109" s="1382" t="s">
        <v>5422</v>
      </c>
      <c r="H109" s="1379"/>
      <c r="I109" s="1379" t="s">
        <v>551</v>
      </c>
      <c r="J109" s="2072" t="s">
        <v>5963</v>
      </c>
      <c r="K109" s="664">
        <v>44712</v>
      </c>
      <c r="L109" s="255">
        <v>44722</v>
      </c>
      <c r="M109" s="1381" t="s">
        <v>5423</v>
      </c>
      <c r="N109" s="328" t="s">
        <v>2613</v>
      </c>
      <c r="O109" s="1379" t="s">
        <v>77</v>
      </c>
      <c r="P109" s="1378">
        <v>44854</v>
      </c>
      <c r="Q109" s="1378">
        <v>44854</v>
      </c>
      <c r="R109" s="1195" t="s">
        <v>4265</v>
      </c>
      <c r="S109" s="1083"/>
      <c r="T109" s="2067"/>
      <c r="U109" s="1088"/>
    </row>
    <row r="110" spans="1:21" s="197" customFormat="1" ht="47.25" customHeight="1">
      <c r="A110" s="1088" t="s">
        <v>2512</v>
      </c>
      <c r="B110" s="1378">
        <v>44854</v>
      </c>
      <c r="C110" s="1088">
        <v>3</v>
      </c>
      <c r="D110" s="1088">
        <v>5</v>
      </c>
      <c r="E110" s="560" t="s">
        <v>4400</v>
      </c>
      <c r="F110" s="1088">
        <f>F109+1</f>
        <v>2</v>
      </c>
      <c r="G110" s="1382" t="s">
        <v>5424</v>
      </c>
      <c r="H110" s="1379"/>
      <c r="I110" s="1379" t="s">
        <v>551</v>
      </c>
      <c r="J110" s="2072" t="s">
        <v>5963</v>
      </c>
      <c r="K110" s="664">
        <v>44865</v>
      </c>
      <c r="L110" s="255">
        <v>44883</v>
      </c>
      <c r="M110" s="1381" t="s">
        <v>4764</v>
      </c>
      <c r="N110" s="328" t="s">
        <v>2613</v>
      </c>
      <c r="O110" s="1379" t="s">
        <v>77</v>
      </c>
      <c r="P110" s="1378">
        <v>44854</v>
      </c>
      <c r="Q110" s="1378">
        <v>44854</v>
      </c>
      <c r="R110" s="1195" t="s">
        <v>4265</v>
      </c>
      <c r="S110" s="1083"/>
      <c r="T110" s="2067"/>
      <c r="U110" s="1088"/>
    </row>
    <row r="111" spans="1:21" s="197" customFormat="1" ht="50.25" customHeight="1">
      <c r="A111" s="1088" t="s">
        <v>2512</v>
      </c>
      <c r="B111" s="1378">
        <v>44854</v>
      </c>
      <c r="C111" s="1088">
        <v>3</v>
      </c>
      <c r="D111" s="1088">
        <f t="shared" ref="D111:D117" si="7">D110</f>
        <v>5</v>
      </c>
      <c r="E111" s="560" t="s">
        <v>4400</v>
      </c>
      <c r="F111" s="1088">
        <f>F110+1</f>
        <v>3</v>
      </c>
      <c r="G111" s="1382" t="s">
        <v>5426</v>
      </c>
      <c r="H111" s="1379"/>
      <c r="I111" s="1379" t="s">
        <v>551</v>
      </c>
      <c r="J111" s="2072" t="s">
        <v>5963</v>
      </c>
      <c r="K111" s="664">
        <v>44865</v>
      </c>
      <c r="L111" s="255">
        <v>44883</v>
      </c>
      <c r="M111" s="1381" t="s">
        <v>4764</v>
      </c>
      <c r="N111" s="328" t="s">
        <v>2613</v>
      </c>
      <c r="O111" s="1379" t="s">
        <v>77</v>
      </c>
      <c r="P111" s="1378">
        <v>44854</v>
      </c>
      <c r="Q111" s="1378">
        <v>44854</v>
      </c>
      <c r="R111" s="1195" t="s">
        <v>4265</v>
      </c>
      <c r="S111" s="1083"/>
      <c r="T111" s="2067"/>
      <c r="U111" s="1088"/>
    </row>
    <row r="112" spans="1:21" s="197" customFormat="1" ht="70.5" customHeight="1">
      <c r="A112" s="1088" t="s">
        <v>2512</v>
      </c>
      <c r="B112" s="1378">
        <v>44854</v>
      </c>
      <c r="C112" s="1088">
        <v>3</v>
      </c>
      <c r="D112" s="1088">
        <f t="shared" si="7"/>
        <v>5</v>
      </c>
      <c r="E112" s="1086" t="s">
        <v>352</v>
      </c>
      <c r="F112" s="1088">
        <f>F111+1</f>
        <v>4</v>
      </c>
      <c r="G112" s="1382" t="s">
        <v>5425</v>
      </c>
      <c r="H112" s="1379"/>
      <c r="I112" s="1379" t="s">
        <v>551</v>
      </c>
      <c r="J112" s="2072"/>
      <c r="K112" s="664"/>
      <c r="L112" s="255"/>
      <c r="M112" s="1381" t="s">
        <v>4824</v>
      </c>
      <c r="N112" s="328" t="s">
        <v>2560</v>
      </c>
      <c r="O112" s="1379" t="s">
        <v>77</v>
      </c>
      <c r="P112" s="1378">
        <v>44854</v>
      </c>
      <c r="Q112" s="1378">
        <v>44854</v>
      </c>
      <c r="R112" s="1195" t="s">
        <v>4265</v>
      </c>
      <c r="S112" s="1083"/>
      <c r="T112" s="2067" t="s">
        <v>5956</v>
      </c>
      <c r="U112" s="1088"/>
    </row>
    <row r="113" spans="1:21" s="197" customFormat="1" ht="85.5" customHeight="1">
      <c r="A113" s="1088" t="s">
        <v>2512</v>
      </c>
      <c r="B113" s="1378">
        <v>44854</v>
      </c>
      <c r="C113" s="1088">
        <v>3</v>
      </c>
      <c r="D113" s="1088">
        <f t="shared" si="7"/>
        <v>5</v>
      </c>
      <c r="E113" s="1086"/>
      <c r="F113" s="1088">
        <f>F112+1</f>
        <v>5</v>
      </c>
      <c r="G113" s="1382" t="s">
        <v>5415</v>
      </c>
      <c r="H113" s="1379"/>
      <c r="I113" s="1379"/>
      <c r="J113" s="2072"/>
      <c r="K113" s="664"/>
      <c r="L113" s="255"/>
      <c r="M113" s="1381" t="s">
        <v>2655</v>
      </c>
      <c r="N113" s="328" t="s">
        <v>2560</v>
      </c>
      <c r="O113" s="1379" t="s">
        <v>77</v>
      </c>
      <c r="P113" s="1378">
        <v>44854</v>
      </c>
      <c r="Q113" s="1378">
        <v>44854</v>
      </c>
      <c r="R113" s="1195" t="s">
        <v>4265</v>
      </c>
      <c r="S113" s="1083"/>
      <c r="T113" s="1829"/>
      <c r="U113" s="1088"/>
    </row>
    <row r="114" spans="1:21" s="197" customFormat="1" ht="98.25" customHeight="1">
      <c r="A114" s="1088" t="s">
        <v>2512</v>
      </c>
      <c r="B114" s="1378">
        <v>44854</v>
      </c>
      <c r="C114" s="1088">
        <v>3</v>
      </c>
      <c r="D114" s="1088">
        <f t="shared" si="7"/>
        <v>5</v>
      </c>
      <c r="E114" s="1086" t="s">
        <v>4571</v>
      </c>
      <c r="F114" s="1088">
        <f>F113+1</f>
        <v>6</v>
      </c>
      <c r="G114" s="1382" t="s">
        <v>5427</v>
      </c>
      <c r="H114" s="1379"/>
      <c r="I114" s="1379" t="s">
        <v>551</v>
      </c>
      <c r="J114" s="2072" t="s">
        <v>5962</v>
      </c>
      <c r="K114" s="189">
        <v>44862</v>
      </c>
      <c r="L114" s="190">
        <v>44898</v>
      </c>
      <c r="M114" s="1381" t="s">
        <v>4875</v>
      </c>
      <c r="N114" s="328" t="s">
        <v>1979</v>
      </c>
      <c r="O114" s="1379" t="s">
        <v>77</v>
      </c>
      <c r="P114" s="1378">
        <v>44854</v>
      </c>
      <c r="Q114" s="1378">
        <v>44854</v>
      </c>
      <c r="R114" s="1195" t="s">
        <v>4265</v>
      </c>
      <c r="S114" s="1083"/>
      <c r="T114" s="2067"/>
      <c r="U114" s="1088"/>
    </row>
    <row r="115" spans="1:21" s="197" customFormat="1" ht="95.25" customHeight="1">
      <c r="A115" s="1088" t="s">
        <v>2512</v>
      </c>
      <c r="B115" s="1378">
        <v>44854</v>
      </c>
      <c r="C115" s="1088">
        <v>3</v>
      </c>
      <c r="D115" s="1088">
        <f t="shared" si="7"/>
        <v>5</v>
      </c>
      <c r="E115" s="1088"/>
      <c r="F115" s="1088">
        <v>1</v>
      </c>
      <c r="G115" s="1382" t="s">
        <v>5268</v>
      </c>
      <c r="H115" s="1379"/>
      <c r="I115" s="1379" t="s">
        <v>2344</v>
      </c>
      <c r="J115" s="2072"/>
      <c r="K115" s="664"/>
      <c r="L115" s="255"/>
      <c r="M115" s="1381" t="s">
        <v>3181</v>
      </c>
      <c r="N115" s="328" t="s">
        <v>1979</v>
      </c>
      <c r="O115" s="1379" t="s">
        <v>352</v>
      </c>
      <c r="P115" s="1378">
        <v>44854</v>
      </c>
      <c r="Q115" s="1378">
        <v>44854</v>
      </c>
      <c r="R115" s="1195" t="s">
        <v>4265</v>
      </c>
      <c r="S115" s="1083"/>
      <c r="T115" s="1829"/>
      <c r="U115" s="1088"/>
    </row>
    <row r="116" spans="1:21" s="197" customFormat="1" ht="83.25" customHeight="1">
      <c r="A116" s="1088" t="s">
        <v>2512</v>
      </c>
      <c r="B116" s="1378">
        <v>44854</v>
      </c>
      <c r="C116" s="1088">
        <v>3</v>
      </c>
      <c r="D116" s="1088">
        <f t="shared" si="7"/>
        <v>5</v>
      </c>
      <c r="E116" s="1088"/>
      <c r="F116" s="1088">
        <f>F115+1</f>
        <v>2</v>
      </c>
      <c r="G116" s="1382" t="s">
        <v>5269</v>
      </c>
      <c r="H116" s="1379"/>
      <c r="I116" s="1379" t="s">
        <v>2344</v>
      </c>
      <c r="J116" s="2072"/>
      <c r="K116" s="664"/>
      <c r="L116" s="255"/>
      <c r="M116" s="1381" t="s">
        <v>4739</v>
      </c>
      <c r="N116" s="328" t="s">
        <v>1979</v>
      </c>
      <c r="O116" s="1379" t="s">
        <v>352</v>
      </c>
      <c r="P116" s="1378">
        <v>44854</v>
      </c>
      <c r="Q116" s="1378">
        <v>44854</v>
      </c>
      <c r="R116" s="1195" t="s">
        <v>4265</v>
      </c>
      <c r="S116" s="1083"/>
      <c r="T116" s="1829"/>
      <c r="U116" s="1088"/>
    </row>
    <row r="117" spans="1:21" s="197" customFormat="1" ht="111" customHeight="1">
      <c r="A117" s="1088" t="s">
        <v>2512</v>
      </c>
      <c r="B117" s="1378">
        <v>44854</v>
      </c>
      <c r="C117" s="1088">
        <v>3</v>
      </c>
      <c r="D117" s="1088">
        <f t="shared" si="7"/>
        <v>5</v>
      </c>
      <c r="E117" s="1088"/>
      <c r="F117" s="1088">
        <f>F116+1</f>
        <v>3</v>
      </c>
      <c r="G117" s="1382" t="s">
        <v>5428</v>
      </c>
      <c r="H117" s="1379"/>
      <c r="I117" s="1379" t="s">
        <v>2344</v>
      </c>
      <c r="J117" s="2072"/>
      <c r="K117" s="664"/>
      <c r="L117" s="255"/>
      <c r="M117" s="1381" t="s">
        <v>2524</v>
      </c>
      <c r="N117" s="328" t="s">
        <v>1979</v>
      </c>
      <c r="O117" s="1379" t="s">
        <v>352</v>
      </c>
      <c r="P117" s="1378">
        <v>44854</v>
      </c>
      <c r="Q117" s="1378">
        <v>44854</v>
      </c>
      <c r="R117" s="1195" t="s">
        <v>4265</v>
      </c>
      <c r="S117" s="1083"/>
      <c r="T117" s="1829"/>
      <c r="U117" s="1088"/>
    </row>
    <row r="118" spans="1:21" s="197" customFormat="1" ht="40.5" customHeight="1">
      <c r="A118" s="1088" t="s">
        <v>2512</v>
      </c>
      <c r="B118" s="1378">
        <v>44694</v>
      </c>
      <c r="C118" s="1088">
        <v>2</v>
      </c>
      <c r="D118" s="1088">
        <v>14</v>
      </c>
      <c r="E118" s="1088"/>
      <c r="F118" s="1088">
        <v>1</v>
      </c>
      <c r="G118" s="1382" t="s">
        <v>5100</v>
      </c>
      <c r="H118" s="1379"/>
      <c r="I118" s="1379" t="s">
        <v>2344</v>
      </c>
      <c r="J118" s="2072"/>
      <c r="K118" s="664"/>
      <c r="L118" s="255"/>
      <c r="M118" s="1381" t="s">
        <v>68</v>
      </c>
      <c r="N118" s="328" t="s">
        <v>1979</v>
      </c>
      <c r="O118" s="1379" t="s">
        <v>5099</v>
      </c>
      <c r="P118" s="1378">
        <v>44694</v>
      </c>
      <c r="Q118" s="1378">
        <v>44694</v>
      </c>
      <c r="R118" s="1195" t="s">
        <v>4265</v>
      </c>
      <c r="S118" s="1083"/>
      <c r="T118" s="1829"/>
      <c r="U118" s="1088"/>
    </row>
    <row r="119" spans="1:21" s="197" customFormat="1" ht="83.25" customHeight="1">
      <c r="A119" s="1088" t="s">
        <v>2512</v>
      </c>
      <c r="B119" s="1378">
        <v>44694</v>
      </c>
      <c r="C119" s="1088">
        <v>2</v>
      </c>
      <c r="D119" s="1088">
        <v>14</v>
      </c>
      <c r="E119" s="1088"/>
      <c r="F119" s="1088">
        <v>1</v>
      </c>
      <c r="G119" s="1382" t="s">
        <v>5102</v>
      </c>
      <c r="H119" s="1379"/>
      <c r="I119" s="1379" t="s">
        <v>2344</v>
      </c>
      <c r="J119" s="2072"/>
      <c r="K119" s="664"/>
      <c r="L119" s="255"/>
      <c r="M119" s="1381" t="s">
        <v>4824</v>
      </c>
      <c r="N119" s="328" t="s">
        <v>1979</v>
      </c>
      <c r="O119" s="1379" t="s">
        <v>5101</v>
      </c>
      <c r="P119" s="1378">
        <v>44694</v>
      </c>
      <c r="Q119" s="1378">
        <v>44694</v>
      </c>
      <c r="R119" s="1195" t="s">
        <v>4265</v>
      </c>
      <c r="S119" s="1083"/>
      <c r="T119" s="1829"/>
      <c r="U119" s="1088"/>
    </row>
    <row r="120" spans="1:21" s="197" customFormat="1" ht="78" customHeight="1">
      <c r="A120" s="1088" t="s">
        <v>2512</v>
      </c>
      <c r="B120" s="1378">
        <v>44694</v>
      </c>
      <c r="C120" s="1088">
        <v>2</v>
      </c>
      <c r="D120" s="1088">
        <v>14</v>
      </c>
      <c r="E120" s="1088"/>
      <c r="F120" s="1088">
        <f t="shared" ref="F120:F127" si="8">F119+1</f>
        <v>2</v>
      </c>
      <c r="G120" s="1382" t="s">
        <v>5102</v>
      </c>
      <c r="H120" s="1379"/>
      <c r="I120" s="1379" t="s">
        <v>2344</v>
      </c>
      <c r="J120" s="2072"/>
      <c r="K120" s="664"/>
      <c r="L120" s="255"/>
      <c r="M120" s="1381" t="s">
        <v>4824</v>
      </c>
      <c r="N120" s="328" t="s">
        <v>1979</v>
      </c>
      <c r="O120" s="1379" t="s">
        <v>5101</v>
      </c>
      <c r="P120" s="1378">
        <v>44694</v>
      </c>
      <c r="Q120" s="1378">
        <v>44694</v>
      </c>
      <c r="R120" s="1195" t="s">
        <v>4265</v>
      </c>
      <c r="S120" s="1083"/>
      <c r="T120" s="1829"/>
      <c r="U120" s="1088"/>
    </row>
    <row r="121" spans="1:21" s="197" customFormat="1" ht="86.25" customHeight="1">
      <c r="A121" s="1088" t="s">
        <v>2512</v>
      </c>
      <c r="B121" s="1378">
        <v>44694</v>
      </c>
      <c r="C121" s="1088">
        <v>2</v>
      </c>
      <c r="D121" s="1088">
        <v>14</v>
      </c>
      <c r="E121" s="1088"/>
      <c r="F121" s="1088">
        <f t="shared" si="8"/>
        <v>3</v>
      </c>
      <c r="G121" s="1382" t="s">
        <v>5113</v>
      </c>
      <c r="H121" s="1379"/>
      <c r="I121" s="1379" t="s">
        <v>2344</v>
      </c>
      <c r="J121" s="2072"/>
      <c r="K121" s="664"/>
      <c r="L121" s="255"/>
      <c r="M121" s="1381" t="s">
        <v>2726</v>
      </c>
      <c r="N121" s="328" t="s">
        <v>1979</v>
      </c>
      <c r="O121" s="1379" t="s">
        <v>5101</v>
      </c>
      <c r="P121" s="1378">
        <v>44694</v>
      </c>
      <c r="Q121" s="1378">
        <v>44694</v>
      </c>
      <c r="R121" s="1195" t="s">
        <v>4265</v>
      </c>
      <c r="S121" s="1083"/>
      <c r="T121" s="1829"/>
      <c r="U121" s="1088"/>
    </row>
    <row r="122" spans="1:21" s="197" customFormat="1" ht="82.5" customHeight="1">
      <c r="A122" s="1088" t="s">
        <v>2512</v>
      </c>
      <c r="B122" s="1378">
        <v>44694</v>
      </c>
      <c r="C122" s="1088">
        <v>2</v>
      </c>
      <c r="D122" s="1088">
        <v>14</v>
      </c>
      <c r="E122" s="1088"/>
      <c r="F122" s="1088">
        <f t="shared" si="8"/>
        <v>4</v>
      </c>
      <c r="G122" s="1382" t="s">
        <v>5114</v>
      </c>
      <c r="H122" s="1379"/>
      <c r="I122" s="1379" t="s">
        <v>2344</v>
      </c>
      <c r="J122" s="2072"/>
      <c r="K122" s="664"/>
      <c r="L122" s="255"/>
      <c r="M122" s="1381" t="s">
        <v>4702</v>
      </c>
      <c r="N122" s="328" t="s">
        <v>1979</v>
      </c>
      <c r="O122" s="1379" t="s">
        <v>5101</v>
      </c>
      <c r="P122" s="1378">
        <v>44694</v>
      </c>
      <c r="Q122" s="1378">
        <v>44694</v>
      </c>
      <c r="R122" s="1195" t="s">
        <v>4265</v>
      </c>
      <c r="S122" s="1083"/>
      <c r="T122" s="1829"/>
      <c r="U122" s="1088"/>
    </row>
    <row r="123" spans="1:21" s="197" customFormat="1" ht="86.25" customHeight="1">
      <c r="A123" s="1088" t="s">
        <v>2512</v>
      </c>
      <c r="B123" s="1378">
        <v>44694</v>
      </c>
      <c r="C123" s="1088">
        <v>2</v>
      </c>
      <c r="D123" s="1088">
        <v>14</v>
      </c>
      <c r="E123" s="1084" t="s">
        <v>4571</v>
      </c>
      <c r="F123" s="1088">
        <f t="shared" si="8"/>
        <v>5</v>
      </c>
      <c r="G123" s="1382" t="s">
        <v>5115</v>
      </c>
      <c r="H123" s="1379"/>
      <c r="I123" s="1379" t="s">
        <v>551</v>
      </c>
      <c r="J123" s="2072" t="s">
        <v>5962</v>
      </c>
      <c r="K123" s="189">
        <v>44862</v>
      </c>
      <c r="L123" s="255">
        <v>44898</v>
      </c>
      <c r="M123" s="1381" t="s">
        <v>4875</v>
      </c>
      <c r="N123" s="328" t="s">
        <v>1979</v>
      </c>
      <c r="O123" s="1379" t="s">
        <v>5101</v>
      </c>
      <c r="P123" s="1378">
        <v>44694</v>
      </c>
      <c r="Q123" s="1378">
        <v>44694</v>
      </c>
      <c r="R123" s="1195" t="s">
        <v>4265</v>
      </c>
      <c r="S123" s="1083"/>
      <c r="T123" s="2067"/>
      <c r="U123" s="1088"/>
    </row>
    <row r="124" spans="1:21" s="197" customFormat="1" ht="58.5" customHeight="1">
      <c r="A124" s="1088" t="s">
        <v>2512</v>
      </c>
      <c r="B124" s="1378">
        <v>44694</v>
      </c>
      <c r="C124" s="1088">
        <v>2</v>
      </c>
      <c r="D124" s="1088">
        <v>14</v>
      </c>
      <c r="E124" s="1088"/>
      <c r="F124" s="1088">
        <f t="shared" si="8"/>
        <v>6</v>
      </c>
      <c r="G124" s="1382" t="s">
        <v>5116</v>
      </c>
      <c r="H124" s="1379"/>
      <c r="I124" s="1379" t="s">
        <v>2344</v>
      </c>
      <c r="J124" s="2072"/>
      <c r="K124" s="664"/>
      <c r="L124" s="255"/>
      <c r="M124" s="1381" t="s">
        <v>5373</v>
      </c>
      <c r="N124" s="328" t="s">
        <v>1979</v>
      </c>
      <c r="O124" s="1379" t="s">
        <v>5101</v>
      </c>
      <c r="P124" s="1378">
        <v>44694</v>
      </c>
      <c r="Q124" s="1378">
        <v>44694</v>
      </c>
      <c r="R124" s="1195" t="s">
        <v>4265</v>
      </c>
      <c r="S124" s="1083"/>
      <c r="T124" s="1829"/>
      <c r="U124" s="1088"/>
    </row>
    <row r="125" spans="1:21" s="197" customFormat="1" ht="40.5" customHeight="1">
      <c r="A125" s="1088" t="s">
        <v>2512</v>
      </c>
      <c r="B125" s="1378">
        <v>44694</v>
      </c>
      <c r="C125" s="1088">
        <v>2</v>
      </c>
      <c r="D125" s="1088">
        <v>14</v>
      </c>
      <c r="E125" s="1088"/>
      <c r="F125" s="1088">
        <f t="shared" si="8"/>
        <v>7</v>
      </c>
      <c r="G125" s="1382" t="s">
        <v>5117</v>
      </c>
      <c r="H125" s="1379"/>
      <c r="I125" s="1379" t="s">
        <v>2344</v>
      </c>
      <c r="J125" s="2072"/>
      <c r="K125" s="664"/>
      <c r="L125" s="255"/>
      <c r="M125" s="1381" t="s">
        <v>2524</v>
      </c>
      <c r="N125" s="328" t="s">
        <v>1979</v>
      </c>
      <c r="O125" s="1379" t="s">
        <v>5101</v>
      </c>
      <c r="P125" s="1378">
        <v>44694</v>
      </c>
      <c r="Q125" s="1378">
        <v>44694</v>
      </c>
      <c r="R125" s="1195" t="s">
        <v>4265</v>
      </c>
      <c r="S125" s="1083"/>
      <c r="T125" s="1829"/>
      <c r="U125" s="1088"/>
    </row>
    <row r="126" spans="1:21" s="197" customFormat="1" ht="40.5" customHeight="1">
      <c r="A126" s="1088" t="s">
        <v>2512</v>
      </c>
      <c r="B126" s="1378">
        <v>44694</v>
      </c>
      <c r="C126" s="1088">
        <v>2</v>
      </c>
      <c r="D126" s="1088">
        <v>14</v>
      </c>
      <c r="E126" s="1088"/>
      <c r="F126" s="1088">
        <f t="shared" si="8"/>
        <v>8</v>
      </c>
      <c r="G126" s="1382" t="s">
        <v>5118</v>
      </c>
      <c r="H126" s="1379"/>
      <c r="I126" s="1379" t="s">
        <v>2344</v>
      </c>
      <c r="J126" s="2072"/>
      <c r="K126" s="664"/>
      <c r="L126" s="255"/>
      <c r="M126" s="1381" t="s">
        <v>68</v>
      </c>
      <c r="N126" s="328" t="s">
        <v>1979</v>
      </c>
      <c r="O126" s="1379" t="s">
        <v>5101</v>
      </c>
      <c r="P126" s="1378">
        <v>44694</v>
      </c>
      <c r="Q126" s="1378">
        <v>44694</v>
      </c>
      <c r="R126" s="1195" t="s">
        <v>4265</v>
      </c>
      <c r="S126" s="1083"/>
      <c r="T126" s="1829"/>
      <c r="U126" s="1088"/>
    </row>
    <row r="127" spans="1:21" s="197" customFormat="1" ht="54.75" customHeight="1">
      <c r="A127" s="1088" t="s">
        <v>2512</v>
      </c>
      <c r="B127" s="1378">
        <v>44694</v>
      </c>
      <c r="C127" s="1088">
        <v>2</v>
      </c>
      <c r="D127" s="1088">
        <v>14</v>
      </c>
      <c r="E127" s="1088"/>
      <c r="F127" s="1088">
        <f t="shared" si="8"/>
        <v>9</v>
      </c>
      <c r="G127" s="1382" t="s">
        <v>5119</v>
      </c>
      <c r="H127" s="1379"/>
      <c r="I127" s="1379" t="s">
        <v>2344</v>
      </c>
      <c r="J127" s="2072"/>
      <c r="K127" s="664"/>
      <c r="L127" s="255"/>
      <c r="M127" s="1381" t="s">
        <v>2524</v>
      </c>
      <c r="N127" s="328" t="s">
        <v>1979</v>
      </c>
      <c r="O127" s="1379" t="s">
        <v>5101</v>
      </c>
      <c r="P127" s="1378">
        <v>44694</v>
      </c>
      <c r="Q127" s="1378">
        <v>44694</v>
      </c>
      <c r="R127" s="1195" t="s">
        <v>4265</v>
      </c>
      <c r="S127" s="1083"/>
      <c r="T127" s="1829"/>
      <c r="U127" s="1088"/>
    </row>
    <row r="128" spans="1:21" s="197" customFormat="1" ht="40.5" customHeight="1">
      <c r="A128" s="1088" t="s">
        <v>2512</v>
      </c>
      <c r="B128" s="1378">
        <v>44694</v>
      </c>
      <c r="C128" s="1088">
        <v>2</v>
      </c>
      <c r="D128" s="1088">
        <v>14</v>
      </c>
      <c r="E128" s="1086" t="s">
        <v>352</v>
      </c>
      <c r="F128" s="1088">
        <v>1</v>
      </c>
      <c r="G128" s="1382" t="s">
        <v>5120</v>
      </c>
      <c r="H128" s="1379"/>
      <c r="I128" s="1379" t="s">
        <v>551</v>
      </c>
      <c r="J128" s="2072"/>
      <c r="K128" s="664"/>
      <c r="L128" s="255"/>
      <c r="M128" s="1381" t="s">
        <v>68</v>
      </c>
      <c r="N128" s="328" t="s">
        <v>1980</v>
      </c>
      <c r="O128" s="1379" t="s">
        <v>3148</v>
      </c>
      <c r="P128" s="1378">
        <v>44694</v>
      </c>
      <c r="Q128" s="1378">
        <v>44694</v>
      </c>
      <c r="R128" s="1195" t="s">
        <v>4265</v>
      </c>
      <c r="S128" s="1083"/>
      <c r="T128" s="2067"/>
      <c r="U128" s="1088"/>
    </row>
    <row r="129" spans="1:21" s="197" customFormat="1" ht="40.5" customHeight="1">
      <c r="A129" s="1088" t="s">
        <v>2512</v>
      </c>
      <c r="B129" s="1378">
        <v>44694</v>
      </c>
      <c r="C129" s="1088">
        <v>2</v>
      </c>
      <c r="D129" s="1088">
        <v>14</v>
      </c>
      <c r="E129" s="1086"/>
      <c r="F129" s="1088">
        <f t="shared" ref="F129:F136" si="9">F128+1</f>
        <v>2</v>
      </c>
      <c r="G129" s="1382" t="s">
        <v>5120</v>
      </c>
      <c r="H129" s="1379"/>
      <c r="I129" s="1379"/>
      <c r="J129" s="2072"/>
      <c r="K129" s="664"/>
      <c r="L129" s="255"/>
      <c r="M129" s="1381" t="s">
        <v>68</v>
      </c>
      <c r="N129" s="328" t="s">
        <v>2568</v>
      </c>
      <c r="O129" s="1379" t="s">
        <v>3148</v>
      </c>
      <c r="P129" s="1378">
        <v>44694</v>
      </c>
      <c r="Q129" s="1378">
        <v>44694</v>
      </c>
      <c r="R129" s="1195" t="s">
        <v>4265</v>
      </c>
      <c r="S129" s="1083"/>
      <c r="T129" s="1829"/>
      <c r="U129" s="1088"/>
    </row>
    <row r="130" spans="1:21" s="197" customFormat="1" ht="40.5" customHeight="1">
      <c r="A130" s="1088" t="s">
        <v>2512</v>
      </c>
      <c r="B130" s="1378">
        <v>44694</v>
      </c>
      <c r="C130" s="1088">
        <v>2</v>
      </c>
      <c r="D130" s="1088">
        <f t="shared" ref="D130:D161" si="10">D129</f>
        <v>14</v>
      </c>
      <c r="E130" s="1086" t="s">
        <v>352</v>
      </c>
      <c r="F130" s="1088">
        <f t="shared" si="9"/>
        <v>3</v>
      </c>
      <c r="G130" s="1382" t="s">
        <v>5121</v>
      </c>
      <c r="H130" s="1379"/>
      <c r="I130" s="1379" t="s">
        <v>551</v>
      </c>
      <c r="J130" s="2072"/>
      <c r="K130" s="664"/>
      <c r="L130" s="255"/>
      <c r="M130" s="1381" t="s">
        <v>2690</v>
      </c>
      <c r="N130" s="328" t="s">
        <v>5124</v>
      </c>
      <c r="O130" s="1379" t="s">
        <v>3148</v>
      </c>
      <c r="P130" s="1378">
        <v>44694</v>
      </c>
      <c r="Q130" s="1378">
        <v>44694</v>
      </c>
      <c r="R130" s="1195" t="s">
        <v>4265</v>
      </c>
      <c r="S130" s="1083"/>
      <c r="T130" s="2067"/>
      <c r="U130" s="1088"/>
    </row>
    <row r="131" spans="1:21" s="197" customFormat="1" ht="53.25" customHeight="1">
      <c r="A131" s="1088" t="s">
        <v>2512</v>
      </c>
      <c r="B131" s="1378">
        <v>44694</v>
      </c>
      <c r="C131" s="1088">
        <v>2</v>
      </c>
      <c r="D131" s="1088">
        <f t="shared" si="10"/>
        <v>14</v>
      </c>
      <c r="E131" s="1088"/>
      <c r="F131" s="1088">
        <f t="shared" si="9"/>
        <v>4</v>
      </c>
      <c r="G131" s="1382" t="s">
        <v>5122</v>
      </c>
      <c r="H131" s="1379"/>
      <c r="I131" s="1379" t="s">
        <v>2344</v>
      </c>
      <c r="J131" s="2072"/>
      <c r="K131" s="664"/>
      <c r="L131" s="255"/>
      <c r="M131" s="1381" t="s">
        <v>4876</v>
      </c>
      <c r="N131" s="328" t="s">
        <v>2560</v>
      </c>
      <c r="O131" s="1379" t="s">
        <v>3148</v>
      </c>
      <c r="P131" s="1378">
        <v>44694</v>
      </c>
      <c r="Q131" s="1378">
        <v>44694</v>
      </c>
      <c r="R131" s="1195" t="s">
        <v>4265</v>
      </c>
      <c r="S131" s="1083"/>
      <c r="T131" s="1829"/>
      <c r="U131" s="1088"/>
    </row>
    <row r="132" spans="1:21" s="197" customFormat="1" ht="60.75" customHeight="1">
      <c r="A132" s="1088" t="s">
        <v>2512</v>
      </c>
      <c r="B132" s="1378">
        <v>44694</v>
      </c>
      <c r="C132" s="1088">
        <v>2</v>
      </c>
      <c r="D132" s="1088">
        <f t="shared" si="10"/>
        <v>14</v>
      </c>
      <c r="E132" s="1088"/>
      <c r="F132" s="1088">
        <f t="shared" si="9"/>
        <v>5</v>
      </c>
      <c r="G132" s="1382" t="s">
        <v>5122</v>
      </c>
      <c r="H132" s="1379"/>
      <c r="I132" s="1379" t="s">
        <v>2344</v>
      </c>
      <c r="J132" s="2072"/>
      <c r="K132" s="664"/>
      <c r="L132" s="255"/>
      <c r="M132" s="1381" t="s">
        <v>68</v>
      </c>
      <c r="N132" s="328" t="s">
        <v>2551</v>
      </c>
      <c r="O132" s="1379" t="s">
        <v>3148</v>
      </c>
      <c r="P132" s="1378">
        <v>44694</v>
      </c>
      <c r="Q132" s="1378">
        <v>44694</v>
      </c>
      <c r="R132" s="1195" t="s">
        <v>4265</v>
      </c>
      <c r="S132" s="1083"/>
      <c r="T132" s="1829"/>
      <c r="U132" s="1088"/>
    </row>
    <row r="133" spans="1:21" s="197" customFormat="1" ht="54.75" customHeight="1">
      <c r="A133" s="1088" t="s">
        <v>2512</v>
      </c>
      <c r="B133" s="1378">
        <v>44694</v>
      </c>
      <c r="C133" s="1088">
        <v>2</v>
      </c>
      <c r="D133" s="1088">
        <f t="shared" si="10"/>
        <v>14</v>
      </c>
      <c r="E133" s="1088"/>
      <c r="F133" s="1088">
        <f t="shared" si="9"/>
        <v>6</v>
      </c>
      <c r="G133" s="1382" t="s">
        <v>5122</v>
      </c>
      <c r="H133" s="1379"/>
      <c r="I133" s="1379" t="s">
        <v>2344</v>
      </c>
      <c r="J133" s="2072"/>
      <c r="K133" s="664"/>
      <c r="L133" s="255"/>
      <c r="M133" s="1381" t="s">
        <v>68</v>
      </c>
      <c r="N133" s="328" t="s">
        <v>2568</v>
      </c>
      <c r="O133" s="1379" t="s">
        <v>3148</v>
      </c>
      <c r="P133" s="1378">
        <v>44694</v>
      </c>
      <c r="Q133" s="1378">
        <v>44694</v>
      </c>
      <c r="R133" s="1195" t="s">
        <v>4265</v>
      </c>
      <c r="S133" s="1083"/>
      <c r="T133" s="1829"/>
      <c r="U133" s="1088"/>
    </row>
    <row r="134" spans="1:21" s="197" customFormat="1" ht="58.5" customHeight="1">
      <c r="A134" s="1088" t="s">
        <v>2512</v>
      </c>
      <c r="B134" s="1378">
        <v>44694</v>
      </c>
      <c r="C134" s="1088">
        <v>2</v>
      </c>
      <c r="D134" s="1088">
        <f t="shared" si="10"/>
        <v>14</v>
      </c>
      <c r="E134" s="1088"/>
      <c r="F134" s="1088">
        <f t="shared" si="9"/>
        <v>7</v>
      </c>
      <c r="G134" s="1382" t="s">
        <v>5122</v>
      </c>
      <c r="H134" s="1379"/>
      <c r="I134" s="1379" t="s">
        <v>2344</v>
      </c>
      <c r="J134" s="2072"/>
      <c r="K134" s="664"/>
      <c r="L134" s="255"/>
      <c r="M134" s="1381" t="s">
        <v>68</v>
      </c>
      <c r="N134" s="328" t="s">
        <v>2649</v>
      </c>
      <c r="O134" s="1379" t="s">
        <v>3148</v>
      </c>
      <c r="P134" s="1378">
        <v>44694</v>
      </c>
      <c r="Q134" s="1378">
        <v>44694</v>
      </c>
      <c r="R134" s="1195" t="s">
        <v>4265</v>
      </c>
      <c r="S134" s="1083"/>
      <c r="T134" s="1829"/>
      <c r="U134" s="1088"/>
    </row>
    <row r="135" spans="1:21" s="197" customFormat="1" ht="40.5" customHeight="1">
      <c r="A135" s="1088" t="s">
        <v>2512</v>
      </c>
      <c r="B135" s="1378">
        <v>44694</v>
      </c>
      <c r="C135" s="1088">
        <v>2</v>
      </c>
      <c r="D135" s="1088">
        <f t="shared" si="10"/>
        <v>14</v>
      </c>
      <c r="E135" s="1088"/>
      <c r="F135" s="1088">
        <f t="shared" si="9"/>
        <v>8</v>
      </c>
      <c r="G135" s="1382" t="s">
        <v>5123</v>
      </c>
      <c r="H135" s="1379"/>
      <c r="I135" s="1379" t="s">
        <v>2344</v>
      </c>
      <c r="J135" s="2072"/>
      <c r="K135" s="664"/>
      <c r="L135" s="255"/>
      <c r="M135" s="1381" t="s">
        <v>68</v>
      </c>
      <c r="N135" s="328" t="s">
        <v>2640</v>
      </c>
      <c r="O135" s="1379" t="s">
        <v>3148</v>
      </c>
      <c r="P135" s="1378">
        <v>44694</v>
      </c>
      <c r="Q135" s="1378">
        <v>44694</v>
      </c>
      <c r="R135" s="1195" t="s">
        <v>4265</v>
      </c>
      <c r="S135" s="1083"/>
      <c r="T135" s="1829"/>
      <c r="U135" s="1088"/>
    </row>
    <row r="136" spans="1:21" s="197" customFormat="1" ht="40.5" customHeight="1">
      <c r="A136" s="1088" t="s">
        <v>2512</v>
      </c>
      <c r="B136" s="1378">
        <v>44694</v>
      </c>
      <c r="C136" s="1088">
        <v>2</v>
      </c>
      <c r="D136" s="1088">
        <f t="shared" si="10"/>
        <v>14</v>
      </c>
      <c r="E136" s="1088"/>
      <c r="F136" s="1088">
        <f t="shared" si="9"/>
        <v>9</v>
      </c>
      <c r="G136" s="1382" t="s">
        <v>5123</v>
      </c>
      <c r="H136" s="1379"/>
      <c r="I136" s="1379" t="s">
        <v>2344</v>
      </c>
      <c r="J136" s="2072"/>
      <c r="K136" s="664"/>
      <c r="L136" s="255"/>
      <c r="M136" s="1381" t="s">
        <v>68</v>
      </c>
      <c r="N136" s="328" t="s">
        <v>2542</v>
      </c>
      <c r="O136" s="1379" t="s">
        <v>3148</v>
      </c>
      <c r="P136" s="1378">
        <v>44694</v>
      </c>
      <c r="Q136" s="1378">
        <v>44694</v>
      </c>
      <c r="R136" s="1195" t="s">
        <v>4265</v>
      </c>
      <c r="S136" s="1083"/>
      <c r="T136" s="1829"/>
      <c r="U136" s="1088"/>
    </row>
    <row r="137" spans="1:21" s="197" customFormat="1" ht="40.5" customHeight="1">
      <c r="A137" s="1088" t="s">
        <v>2512</v>
      </c>
      <c r="B137" s="1378">
        <v>44694</v>
      </c>
      <c r="C137" s="1088">
        <v>2</v>
      </c>
      <c r="D137" s="1088">
        <f t="shared" si="10"/>
        <v>14</v>
      </c>
      <c r="E137" s="1088"/>
      <c r="F137" s="1088">
        <v>1</v>
      </c>
      <c r="G137" s="1382" t="s">
        <v>5125</v>
      </c>
      <c r="H137" s="1379"/>
      <c r="I137" s="1379" t="s">
        <v>2344</v>
      </c>
      <c r="J137" s="2072"/>
      <c r="K137" s="664"/>
      <c r="L137" s="255"/>
      <c r="M137" s="1381" t="s">
        <v>68</v>
      </c>
      <c r="N137" s="328" t="s">
        <v>1979</v>
      </c>
      <c r="O137" s="1379" t="s">
        <v>166</v>
      </c>
      <c r="P137" s="1378">
        <v>44694</v>
      </c>
      <c r="Q137" s="1378">
        <v>44694</v>
      </c>
      <c r="R137" s="1195" t="s">
        <v>4265</v>
      </c>
      <c r="S137" s="1083"/>
      <c r="T137" s="1829"/>
      <c r="U137" s="1088"/>
    </row>
    <row r="138" spans="1:21" s="197" customFormat="1" ht="40.5" customHeight="1">
      <c r="A138" s="1088" t="s">
        <v>2512</v>
      </c>
      <c r="B138" s="1378">
        <v>44694</v>
      </c>
      <c r="C138" s="1088">
        <v>2</v>
      </c>
      <c r="D138" s="1088">
        <f t="shared" si="10"/>
        <v>14</v>
      </c>
      <c r="E138" s="1088"/>
      <c r="F138" s="1088">
        <f t="shared" ref="F138:F148" si="11">F137+1</f>
        <v>2</v>
      </c>
      <c r="G138" s="1382" t="s">
        <v>5126</v>
      </c>
      <c r="H138" s="1379"/>
      <c r="I138" s="1379" t="s">
        <v>2344</v>
      </c>
      <c r="J138" s="2072"/>
      <c r="K138" s="664"/>
      <c r="L138" s="255"/>
      <c r="M138" s="1381" t="s">
        <v>5375</v>
      </c>
      <c r="N138" s="328" t="s">
        <v>1979</v>
      </c>
      <c r="O138" s="1379" t="s">
        <v>166</v>
      </c>
      <c r="P138" s="1378">
        <v>44694</v>
      </c>
      <c r="Q138" s="1378">
        <v>44694</v>
      </c>
      <c r="R138" s="1195" t="s">
        <v>4265</v>
      </c>
      <c r="S138" s="1083"/>
      <c r="T138" s="1829"/>
      <c r="U138" s="1088"/>
    </row>
    <row r="139" spans="1:21" s="197" customFormat="1" ht="40.5" customHeight="1">
      <c r="A139" s="1088" t="s">
        <v>2512</v>
      </c>
      <c r="B139" s="1378">
        <v>44694</v>
      </c>
      <c r="C139" s="1088">
        <v>2</v>
      </c>
      <c r="D139" s="1088">
        <f t="shared" si="10"/>
        <v>14</v>
      </c>
      <c r="E139" s="1088"/>
      <c r="F139" s="1088">
        <f t="shared" si="11"/>
        <v>3</v>
      </c>
      <c r="G139" s="1382" t="s">
        <v>5127</v>
      </c>
      <c r="H139" s="1379"/>
      <c r="I139" s="1379" t="s">
        <v>2344</v>
      </c>
      <c r="J139" s="2072"/>
      <c r="K139" s="664"/>
      <c r="L139" s="255"/>
      <c r="M139" s="1381" t="s">
        <v>5376</v>
      </c>
      <c r="N139" s="328" t="s">
        <v>1980</v>
      </c>
      <c r="O139" s="1379" t="s">
        <v>166</v>
      </c>
      <c r="P139" s="1378">
        <v>44694</v>
      </c>
      <c r="Q139" s="1378">
        <v>44694</v>
      </c>
      <c r="R139" s="1195" t="s">
        <v>4265</v>
      </c>
      <c r="S139" s="1083"/>
      <c r="T139" s="1829"/>
      <c r="U139" s="1088"/>
    </row>
    <row r="140" spans="1:21" s="197" customFormat="1" ht="40.5" customHeight="1">
      <c r="A140" s="1088" t="s">
        <v>2512</v>
      </c>
      <c r="B140" s="1378">
        <v>44694</v>
      </c>
      <c r="C140" s="1088">
        <v>2</v>
      </c>
      <c r="D140" s="1088">
        <f t="shared" si="10"/>
        <v>14</v>
      </c>
      <c r="E140" s="1088"/>
      <c r="F140" s="1088">
        <f t="shared" si="11"/>
        <v>4</v>
      </c>
      <c r="G140" s="1382" t="s">
        <v>5128</v>
      </c>
      <c r="H140" s="1379"/>
      <c r="I140" s="1379" t="s">
        <v>2344</v>
      </c>
      <c r="J140" s="2072"/>
      <c r="K140" s="664"/>
      <c r="L140" s="255"/>
      <c r="M140" s="1381" t="s">
        <v>68</v>
      </c>
      <c r="N140" s="328" t="s">
        <v>1979</v>
      </c>
      <c r="O140" s="1379" t="s">
        <v>166</v>
      </c>
      <c r="P140" s="1378">
        <v>44694</v>
      </c>
      <c r="Q140" s="1378">
        <v>44694</v>
      </c>
      <c r="R140" s="1195" t="s">
        <v>4265</v>
      </c>
      <c r="S140" s="1083"/>
      <c r="T140" s="1829"/>
      <c r="U140" s="1088"/>
    </row>
    <row r="141" spans="1:21" s="197" customFormat="1" ht="40.5" customHeight="1">
      <c r="A141" s="1088" t="s">
        <v>2512</v>
      </c>
      <c r="B141" s="1378">
        <v>44694</v>
      </c>
      <c r="C141" s="1088">
        <v>2</v>
      </c>
      <c r="D141" s="1088">
        <f t="shared" si="10"/>
        <v>14</v>
      </c>
      <c r="E141" s="1088"/>
      <c r="F141" s="1088">
        <f t="shared" si="11"/>
        <v>5</v>
      </c>
      <c r="G141" s="1382" t="s">
        <v>5129</v>
      </c>
      <c r="H141" s="1379"/>
      <c r="I141" s="1379" t="s">
        <v>2344</v>
      </c>
      <c r="J141" s="2072"/>
      <c r="K141" s="664"/>
      <c r="L141" s="255"/>
      <c r="M141" s="1381" t="s">
        <v>68</v>
      </c>
      <c r="N141" s="328" t="s">
        <v>4271</v>
      </c>
      <c r="O141" s="1379" t="s">
        <v>166</v>
      </c>
      <c r="P141" s="1378">
        <v>44694</v>
      </c>
      <c r="Q141" s="1378">
        <v>44694</v>
      </c>
      <c r="R141" s="1195" t="s">
        <v>4265</v>
      </c>
      <c r="S141" s="1083"/>
      <c r="T141" s="1829"/>
      <c r="U141" s="1088"/>
    </row>
    <row r="142" spans="1:21" s="197" customFormat="1" ht="59.25" customHeight="1">
      <c r="A142" s="1088" t="s">
        <v>2512</v>
      </c>
      <c r="B142" s="1378">
        <v>44526</v>
      </c>
      <c r="C142" s="1088">
        <f>C141</f>
        <v>2</v>
      </c>
      <c r="D142" s="1088">
        <f t="shared" si="10"/>
        <v>14</v>
      </c>
      <c r="E142" s="560" t="s">
        <v>3490</v>
      </c>
      <c r="F142" s="1088">
        <f t="shared" si="11"/>
        <v>6</v>
      </c>
      <c r="G142" s="1382" t="s">
        <v>5355</v>
      </c>
      <c r="H142" s="1379"/>
      <c r="I142" s="1379" t="s">
        <v>551</v>
      </c>
      <c r="J142" s="2072" t="s">
        <v>5963</v>
      </c>
      <c r="K142" s="664">
        <v>44523</v>
      </c>
      <c r="L142" s="255">
        <v>44530</v>
      </c>
      <c r="M142" s="1381" t="s">
        <v>4847</v>
      </c>
      <c r="N142" s="328" t="s">
        <v>5341</v>
      </c>
      <c r="O142" s="1379" t="s">
        <v>77</v>
      </c>
      <c r="P142" s="1378">
        <v>44526</v>
      </c>
      <c r="Q142" s="1378">
        <v>44526</v>
      </c>
      <c r="R142" s="1195" t="s">
        <v>4265</v>
      </c>
      <c r="S142" s="1083"/>
      <c r="T142" s="2067"/>
      <c r="U142" s="1088"/>
    </row>
    <row r="143" spans="1:21" s="197" customFormat="1" ht="63.75" customHeight="1">
      <c r="A143" s="1088" t="s">
        <v>2512</v>
      </c>
      <c r="B143" s="1378">
        <v>44526</v>
      </c>
      <c r="C143" s="1088">
        <f>C142</f>
        <v>2</v>
      </c>
      <c r="D143" s="1088">
        <f t="shared" si="10"/>
        <v>14</v>
      </c>
      <c r="E143" s="560" t="s">
        <v>3489</v>
      </c>
      <c r="F143" s="1088">
        <f t="shared" si="11"/>
        <v>7</v>
      </c>
      <c r="G143" s="1382" t="s">
        <v>5949</v>
      </c>
      <c r="H143" s="1379"/>
      <c r="I143" s="1379" t="s">
        <v>551</v>
      </c>
      <c r="J143" s="2072" t="s">
        <v>5963</v>
      </c>
      <c r="K143" s="664">
        <v>44523</v>
      </c>
      <c r="L143" s="255">
        <v>44560</v>
      </c>
      <c r="M143" s="1381" t="s">
        <v>4847</v>
      </c>
      <c r="N143" s="328" t="s">
        <v>5341</v>
      </c>
      <c r="O143" s="1379" t="s">
        <v>77</v>
      </c>
      <c r="P143" s="1378">
        <v>44526</v>
      </c>
      <c r="Q143" s="1378">
        <v>44526</v>
      </c>
      <c r="R143" s="1195" t="s">
        <v>4265</v>
      </c>
      <c r="S143" s="1083"/>
      <c r="T143" s="2067"/>
      <c r="U143" s="1088"/>
    </row>
    <row r="144" spans="1:21" s="197" customFormat="1" ht="40.5" customHeight="1">
      <c r="A144" s="1088" t="s">
        <v>2512</v>
      </c>
      <c r="B144" s="1378">
        <v>44694</v>
      </c>
      <c r="C144" s="1088">
        <v>2</v>
      </c>
      <c r="D144" s="1088">
        <f t="shared" si="10"/>
        <v>14</v>
      </c>
      <c r="E144" s="1088"/>
      <c r="F144" s="1088">
        <f t="shared" si="11"/>
        <v>8</v>
      </c>
      <c r="G144" s="1382" t="s">
        <v>5132</v>
      </c>
      <c r="H144" s="1379"/>
      <c r="I144" s="1379" t="s">
        <v>2344</v>
      </c>
      <c r="J144" s="2072"/>
      <c r="K144" s="664"/>
      <c r="L144" s="255"/>
      <c r="M144" s="1381"/>
      <c r="N144" s="328" t="s">
        <v>2539</v>
      </c>
      <c r="O144" s="1379" t="s">
        <v>166</v>
      </c>
      <c r="P144" s="1378">
        <v>44694</v>
      </c>
      <c r="Q144" s="1378">
        <v>44694</v>
      </c>
      <c r="R144" s="1195" t="s">
        <v>4265</v>
      </c>
      <c r="S144" s="1083"/>
      <c r="T144" s="1829"/>
      <c r="U144" s="1088"/>
    </row>
    <row r="145" spans="1:21" s="197" customFormat="1" ht="40.5" customHeight="1">
      <c r="A145" s="1088" t="s">
        <v>2512</v>
      </c>
      <c r="B145" s="1378">
        <v>44694</v>
      </c>
      <c r="C145" s="1088">
        <v>2</v>
      </c>
      <c r="D145" s="1088">
        <f t="shared" si="10"/>
        <v>14</v>
      </c>
      <c r="E145" s="1088"/>
      <c r="F145" s="1088">
        <f t="shared" si="11"/>
        <v>9</v>
      </c>
      <c r="G145" s="1382" t="s">
        <v>5133</v>
      </c>
      <c r="H145" s="1379"/>
      <c r="I145" s="1379" t="s">
        <v>2344</v>
      </c>
      <c r="J145" s="2072"/>
      <c r="K145" s="664"/>
      <c r="L145" s="255"/>
      <c r="M145" s="1381" t="s">
        <v>4800</v>
      </c>
      <c r="N145" s="328" t="s">
        <v>2539</v>
      </c>
      <c r="O145" s="1379" t="s">
        <v>166</v>
      </c>
      <c r="P145" s="1378">
        <v>44694</v>
      </c>
      <c r="Q145" s="1378">
        <v>44694</v>
      </c>
      <c r="R145" s="1195" t="s">
        <v>4265</v>
      </c>
      <c r="S145" s="1083"/>
      <c r="T145" s="1829"/>
      <c r="U145" s="1088"/>
    </row>
    <row r="146" spans="1:21" s="197" customFormat="1" ht="40.5" customHeight="1">
      <c r="A146" s="1088" t="s">
        <v>2512</v>
      </c>
      <c r="B146" s="1378">
        <v>44694</v>
      </c>
      <c r="C146" s="1088">
        <v>2</v>
      </c>
      <c r="D146" s="1088">
        <f t="shared" si="10"/>
        <v>14</v>
      </c>
      <c r="E146" s="1088"/>
      <c r="F146" s="1088">
        <f t="shared" si="11"/>
        <v>10</v>
      </c>
      <c r="G146" s="1382" t="s">
        <v>5134</v>
      </c>
      <c r="H146" s="1379"/>
      <c r="I146" s="1379" t="s">
        <v>2344</v>
      </c>
      <c r="J146" s="2072"/>
      <c r="K146" s="664"/>
      <c r="L146" s="255"/>
      <c r="M146" s="1381" t="s">
        <v>4860</v>
      </c>
      <c r="N146" s="328" t="s">
        <v>1979</v>
      </c>
      <c r="O146" s="1379" t="s">
        <v>166</v>
      </c>
      <c r="P146" s="1378">
        <v>44694</v>
      </c>
      <c r="Q146" s="1378">
        <v>44694</v>
      </c>
      <c r="R146" s="1195" t="s">
        <v>4265</v>
      </c>
      <c r="S146" s="1083"/>
      <c r="T146" s="1829"/>
      <c r="U146" s="1088"/>
    </row>
    <row r="147" spans="1:21" s="197" customFormat="1" ht="40.5" customHeight="1">
      <c r="A147" s="1088" t="s">
        <v>2512</v>
      </c>
      <c r="B147" s="1378">
        <v>44694</v>
      </c>
      <c r="C147" s="1088">
        <v>2</v>
      </c>
      <c r="D147" s="1088">
        <f t="shared" si="10"/>
        <v>14</v>
      </c>
      <c r="E147" s="1088"/>
      <c r="F147" s="1088">
        <f t="shared" si="11"/>
        <v>11</v>
      </c>
      <c r="G147" s="1382" t="s">
        <v>5135</v>
      </c>
      <c r="H147" s="1379"/>
      <c r="I147" s="1379" t="s">
        <v>2344</v>
      </c>
      <c r="J147" s="2072"/>
      <c r="K147" s="664"/>
      <c r="L147" s="255"/>
      <c r="M147" s="1381" t="s">
        <v>2654</v>
      </c>
      <c r="N147" s="328" t="s">
        <v>1979</v>
      </c>
      <c r="O147" s="1379" t="s">
        <v>166</v>
      </c>
      <c r="P147" s="1378">
        <v>44694</v>
      </c>
      <c r="Q147" s="1378">
        <v>44694</v>
      </c>
      <c r="R147" s="1195" t="s">
        <v>4265</v>
      </c>
      <c r="S147" s="1083"/>
      <c r="T147" s="1829"/>
      <c r="U147" s="1088"/>
    </row>
    <row r="148" spans="1:21" s="197" customFormat="1" ht="40.5" customHeight="1">
      <c r="A148" s="1088" t="s">
        <v>2512</v>
      </c>
      <c r="B148" s="1378">
        <v>44694</v>
      </c>
      <c r="C148" s="1088">
        <v>2</v>
      </c>
      <c r="D148" s="1088">
        <f t="shared" si="10"/>
        <v>14</v>
      </c>
      <c r="E148" s="1088"/>
      <c r="F148" s="1088">
        <f t="shared" si="11"/>
        <v>12</v>
      </c>
      <c r="G148" s="1382" t="s">
        <v>5136</v>
      </c>
      <c r="H148" s="1379"/>
      <c r="I148" s="1379" t="s">
        <v>2344</v>
      </c>
      <c r="J148" s="2072"/>
      <c r="K148" s="664"/>
      <c r="L148" s="255"/>
      <c r="M148" s="1381"/>
      <c r="N148" s="328" t="s">
        <v>4271</v>
      </c>
      <c r="O148" s="1379" t="s">
        <v>166</v>
      </c>
      <c r="P148" s="1378">
        <v>44694</v>
      </c>
      <c r="Q148" s="1378">
        <v>44694</v>
      </c>
      <c r="R148" s="1195" t="s">
        <v>4265</v>
      </c>
      <c r="S148" s="1083"/>
      <c r="T148" s="1829"/>
      <c r="U148" s="1088"/>
    </row>
    <row r="149" spans="1:21" s="197" customFormat="1" ht="40.5" customHeight="1">
      <c r="A149" s="1088" t="s">
        <v>2512</v>
      </c>
      <c r="B149" s="1378">
        <v>44694</v>
      </c>
      <c r="C149" s="1088">
        <v>2</v>
      </c>
      <c r="D149" s="1088">
        <f t="shared" si="10"/>
        <v>14</v>
      </c>
      <c r="E149" s="560" t="s">
        <v>4098</v>
      </c>
      <c r="F149" s="1088">
        <v>1</v>
      </c>
      <c r="G149" s="1382" t="s">
        <v>5253</v>
      </c>
      <c r="H149" s="1379"/>
      <c r="I149" s="1379"/>
      <c r="J149" s="2072"/>
      <c r="K149" s="189"/>
      <c r="L149" s="190"/>
      <c r="M149" s="1381" t="s">
        <v>3186</v>
      </c>
      <c r="N149" s="328" t="s">
        <v>2551</v>
      </c>
      <c r="O149" s="1379" t="s">
        <v>5108</v>
      </c>
      <c r="P149" s="1378">
        <v>44694</v>
      </c>
      <c r="Q149" s="1378">
        <v>44694</v>
      </c>
      <c r="R149" s="1195" t="s">
        <v>4265</v>
      </c>
      <c r="S149" s="1083"/>
      <c r="T149" s="2067"/>
      <c r="U149" s="1088"/>
    </row>
    <row r="150" spans="1:21" s="197" customFormat="1" ht="40.5" customHeight="1">
      <c r="A150" s="1088" t="s">
        <v>2512</v>
      </c>
      <c r="B150" s="1378">
        <v>44694</v>
      </c>
      <c r="C150" s="1088">
        <v>2</v>
      </c>
      <c r="D150" s="1088">
        <f t="shared" si="10"/>
        <v>14</v>
      </c>
      <c r="E150" s="1086"/>
      <c r="F150" s="1088">
        <f t="shared" ref="F150:F168" si="12">F149+1</f>
        <v>2</v>
      </c>
      <c r="G150" s="1382" t="s">
        <v>5138</v>
      </c>
      <c r="H150" s="1379"/>
      <c r="I150" s="1379"/>
      <c r="J150" s="2072"/>
      <c r="K150" s="664"/>
      <c r="L150" s="255"/>
      <c r="M150" s="1381" t="s">
        <v>4948</v>
      </c>
      <c r="N150" s="328" t="s">
        <v>2560</v>
      </c>
      <c r="O150" s="1379" t="s">
        <v>166</v>
      </c>
      <c r="P150" s="1378">
        <v>44694</v>
      </c>
      <c r="Q150" s="1378">
        <v>44694</v>
      </c>
      <c r="R150" s="1195" t="s">
        <v>4265</v>
      </c>
      <c r="S150" s="1083"/>
      <c r="T150" s="2067"/>
      <c r="U150" s="1088"/>
    </row>
    <row r="151" spans="1:21" s="197" customFormat="1" ht="40.5" customHeight="1">
      <c r="A151" s="1088" t="s">
        <v>2512</v>
      </c>
      <c r="B151" s="1378">
        <v>44694</v>
      </c>
      <c r="C151" s="1088">
        <v>2</v>
      </c>
      <c r="D151" s="1088">
        <f t="shared" si="10"/>
        <v>14</v>
      </c>
      <c r="E151" s="1088"/>
      <c r="F151" s="1088">
        <f t="shared" si="12"/>
        <v>3</v>
      </c>
      <c r="G151" s="1382" t="s">
        <v>5139</v>
      </c>
      <c r="H151" s="1379"/>
      <c r="I151" s="1379" t="s">
        <v>2344</v>
      </c>
      <c r="J151" s="2072"/>
      <c r="K151" s="664"/>
      <c r="L151" s="255"/>
      <c r="M151" s="1381"/>
      <c r="N151" s="328" t="s">
        <v>1979</v>
      </c>
      <c r="O151" s="1379" t="s">
        <v>166</v>
      </c>
      <c r="P151" s="1378">
        <v>44694</v>
      </c>
      <c r="Q151" s="1378">
        <v>44694</v>
      </c>
      <c r="R151" s="1195" t="s">
        <v>4265</v>
      </c>
      <c r="S151" s="1083"/>
      <c r="T151" s="1829"/>
      <c r="U151" s="1088"/>
    </row>
    <row r="152" spans="1:21" s="197" customFormat="1" ht="54.75" customHeight="1">
      <c r="A152" s="1088" t="s">
        <v>2512</v>
      </c>
      <c r="B152" s="1378">
        <v>44694</v>
      </c>
      <c r="C152" s="1088">
        <v>2</v>
      </c>
      <c r="D152" s="1088">
        <f t="shared" si="10"/>
        <v>14</v>
      </c>
      <c r="E152" s="1088"/>
      <c r="F152" s="1088">
        <f t="shared" si="12"/>
        <v>4</v>
      </c>
      <c r="G152" s="1382" t="s">
        <v>5140</v>
      </c>
      <c r="H152" s="1379"/>
      <c r="I152" s="1379" t="s">
        <v>2344</v>
      </c>
      <c r="J152" s="2072"/>
      <c r="K152" s="664"/>
      <c r="L152" s="255"/>
      <c r="M152" s="1381" t="s">
        <v>4785</v>
      </c>
      <c r="N152" s="328" t="s">
        <v>1979</v>
      </c>
      <c r="O152" s="1379" t="s">
        <v>166</v>
      </c>
      <c r="P152" s="1378">
        <v>44694</v>
      </c>
      <c r="Q152" s="1378">
        <v>44694</v>
      </c>
      <c r="R152" s="1195" t="s">
        <v>4265</v>
      </c>
      <c r="S152" s="1083"/>
      <c r="T152" s="1829"/>
      <c r="U152" s="1088"/>
    </row>
    <row r="153" spans="1:21" s="197" customFormat="1" ht="57.75" customHeight="1">
      <c r="A153" s="1088" t="s">
        <v>2512</v>
      </c>
      <c r="B153" s="1378">
        <v>44694</v>
      </c>
      <c r="C153" s="1088">
        <v>2</v>
      </c>
      <c r="D153" s="1088">
        <f t="shared" si="10"/>
        <v>14</v>
      </c>
      <c r="E153" s="1088"/>
      <c r="F153" s="1088">
        <f t="shared" si="12"/>
        <v>5</v>
      </c>
      <c r="G153" s="1382" t="s">
        <v>5141</v>
      </c>
      <c r="H153" s="1379"/>
      <c r="I153" s="1379" t="s">
        <v>2344</v>
      </c>
      <c r="J153" s="2072"/>
      <c r="K153" s="664"/>
      <c r="L153" s="255"/>
      <c r="M153" s="1381" t="s">
        <v>5379</v>
      </c>
      <c r="N153" s="328" t="s">
        <v>5150</v>
      </c>
      <c r="O153" s="1379" t="s">
        <v>166</v>
      </c>
      <c r="P153" s="1378">
        <v>44694</v>
      </c>
      <c r="Q153" s="1378">
        <v>44694</v>
      </c>
      <c r="R153" s="1195" t="s">
        <v>4265</v>
      </c>
      <c r="S153" s="1083"/>
      <c r="T153" s="1829"/>
      <c r="U153" s="1088"/>
    </row>
    <row r="154" spans="1:21" s="197" customFormat="1" ht="40.5" customHeight="1">
      <c r="A154" s="1088" t="s">
        <v>2512</v>
      </c>
      <c r="B154" s="1378">
        <v>44694</v>
      </c>
      <c r="C154" s="1088">
        <v>2</v>
      </c>
      <c r="D154" s="1088">
        <f t="shared" si="10"/>
        <v>14</v>
      </c>
      <c r="E154" s="1088"/>
      <c r="F154" s="1088">
        <f t="shared" si="12"/>
        <v>6</v>
      </c>
      <c r="G154" s="1382" t="s">
        <v>5142</v>
      </c>
      <c r="H154" s="1379"/>
      <c r="I154" s="1379" t="s">
        <v>2344</v>
      </c>
      <c r="J154" s="2072"/>
      <c r="K154" s="664"/>
      <c r="L154" s="255"/>
      <c r="M154" s="1381" t="s">
        <v>3183</v>
      </c>
      <c r="N154" s="328" t="s">
        <v>1979</v>
      </c>
      <c r="O154" s="1379" t="s">
        <v>166</v>
      </c>
      <c r="P154" s="1378">
        <v>44694</v>
      </c>
      <c r="Q154" s="1378">
        <v>44694</v>
      </c>
      <c r="R154" s="1195" t="s">
        <v>4265</v>
      </c>
      <c r="S154" s="1083"/>
      <c r="T154" s="1829"/>
      <c r="U154" s="1088"/>
    </row>
    <row r="155" spans="1:21" s="197" customFormat="1" ht="40.5" customHeight="1">
      <c r="A155" s="1088" t="s">
        <v>2512</v>
      </c>
      <c r="B155" s="1378">
        <v>44694</v>
      </c>
      <c r="C155" s="1088">
        <v>2</v>
      </c>
      <c r="D155" s="1088">
        <f t="shared" si="10"/>
        <v>14</v>
      </c>
      <c r="E155" s="1088"/>
      <c r="F155" s="1088">
        <f t="shared" si="12"/>
        <v>7</v>
      </c>
      <c r="G155" s="1382" t="s">
        <v>5143</v>
      </c>
      <c r="H155" s="1379"/>
      <c r="I155" s="1379" t="s">
        <v>2344</v>
      </c>
      <c r="J155" s="2072"/>
      <c r="K155" s="664"/>
      <c r="L155" s="255"/>
      <c r="M155" s="1381"/>
      <c r="N155" s="328" t="s">
        <v>1980</v>
      </c>
      <c r="O155" s="1379" t="s">
        <v>166</v>
      </c>
      <c r="P155" s="1378">
        <v>44694</v>
      </c>
      <c r="Q155" s="1378">
        <v>44694</v>
      </c>
      <c r="R155" s="1195" t="s">
        <v>4265</v>
      </c>
      <c r="S155" s="1083"/>
      <c r="T155" s="1829"/>
      <c r="U155" s="1088"/>
    </row>
    <row r="156" spans="1:21" s="197" customFormat="1" ht="40.5" customHeight="1">
      <c r="A156" s="1088" t="s">
        <v>2512</v>
      </c>
      <c r="B156" s="1378">
        <v>44694</v>
      </c>
      <c r="C156" s="1088">
        <v>2</v>
      </c>
      <c r="D156" s="1088">
        <f t="shared" si="10"/>
        <v>14</v>
      </c>
      <c r="E156" s="1088"/>
      <c r="F156" s="1088">
        <f t="shared" si="12"/>
        <v>8</v>
      </c>
      <c r="G156" s="1382" t="s">
        <v>5144</v>
      </c>
      <c r="H156" s="1379"/>
      <c r="I156" s="1379" t="s">
        <v>2344</v>
      </c>
      <c r="J156" s="2072"/>
      <c r="K156" s="664"/>
      <c r="L156" s="255"/>
      <c r="M156" s="1381"/>
      <c r="N156" s="328" t="s">
        <v>2548</v>
      </c>
      <c r="O156" s="1379" t="s">
        <v>166</v>
      </c>
      <c r="P156" s="1378">
        <v>44694</v>
      </c>
      <c r="Q156" s="1378">
        <v>44694</v>
      </c>
      <c r="R156" s="1195" t="s">
        <v>4265</v>
      </c>
      <c r="S156" s="1083"/>
      <c r="T156" s="1829"/>
      <c r="U156" s="1088"/>
    </row>
    <row r="157" spans="1:21" s="197" customFormat="1" ht="40.5" customHeight="1">
      <c r="A157" s="1088" t="s">
        <v>2512</v>
      </c>
      <c r="B157" s="1378">
        <v>44694</v>
      </c>
      <c r="C157" s="1088">
        <v>2</v>
      </c>
      <c r="D157" s="1088">
        <f t="shared" si="10"/>
        <v>14</v>
      </c>
      <c r="E157" s="1088"/>
      <c r="F157" s="1088">
        <f t="shared" si="12"/>
        <v>9</v>
      </c>
      <c r="G157" s="1382" t="s">
        <v>5145</v>
      </c>
      <c r="H157" s="1379"/>
      <c r="I157" s="1379" t="s">
        <v>2344</v>
      </c>
      <c r="J157" s="2072"/>
      <c r="K157" s="664"/>
      <c r="L157" s="255"/>
      <c r="M157" s="1381" t="s">
        <v>2707</v>
      </c>
      <c r="N157" s="328" t="s">
        <v>2640</v>
      </c>
      <c r="O157" s="1379" t="s">
        <v>166</v>
      </c>
      <c r="P157" s="1378">
        <v>44694</v>
      </c>
      <c r="Q157" s="1378">
        <v>44694</v>
      </c>
      <c r="R157" s="1195" t="s">
        <v>4265</v>
      </c>
      <c r="S157" s="1083"/>
      <c r="T157" s="1829"/>
      <c r="U157" s="1088"/>
    </row>
    <row r="158" spans="1:21" s="197" customFormat="1" ht="40.5" customHeight="1">
      <c r="A158" s="1088" t="s">
        <v>2512</v>
      </c>
      <c r="B158" s="1378">
        <v>44694</v>
      </c>
      <c r="C158" s="1088">
        <v>2</v>
      </c>
      <c r="D158" s="1088">
        <f t="shared" si="10"/>
        <v>14</v>
      </c>
      <c r="E158" s="1088"/>
      <c r="F158" s="1088">
        <f t="shared" si="12"/>
        <v>10</v>
      </c>
      <c r="G158" s="1382" t="s">
        <v>5146</v>
      </c>
      <c r="H158" s="1379"/>
      <c r="I158" s="1379" t="s">
        <v>2344</v>
      </c>
      <c r="J158" s="2072"/>
      <c r="K158" s="664"/>
      <c r="L158" s="255"/>
      <c r="M158" s="1381" t="s">
        <v>4708</v>
      </c>
      <c r="N158" s="328" t="s">
        <v>2548</v>
      </c>
      <c r="O158" s="1379" t="s">
        <v>166</v>
      </c>
      <c r="P158" s="1378">
        <v>44694</v>
      </c>
      <c r="Q158" s="1378">
        <v>44694</v>
      </c>
      <c r="R158" s="1195" t="s">
        <v>4265</v>
      </c>
      <c r="S158" s="1083"/>
      <c r="T158" s="1829"/>
      <c r="U158" s="1088"/>
    </row>
    <row r="159" spans="1:21" s="197" customFormat="1" ht="72.75" customHeight="1">
      <c r="A159" s="1088" t="s">
        <v>2512</v>
      </c>
      <c r="B159" s="1378">
        <v>44694</v>
      </c>
      <c r="C159" s="1088">
        <v>2</v>
      </c>
      <c r="D159" s="1088">
        <f t="shared" si="10"/>
        <v>14</v>
      </c>
      <c r="E159" s="1088"/>
      <c r="F159" s="1088">
        <f t="shared" si="12"/>
        <v>11</v>
      </c>
      <c r="G159" s="1382" t="s">
        <v>5147</v>
      </c>
      <c r="H159" s="1379"/>
      <c r="I159" s="1379" t="s">
        <v>2344</v>
      </c>
      <c r="J159" s="2072"/>
      <c r="K159" s="664"/>
      <c r="L159" s="255"/>
      <c r="M159" s="1381" t="s">
        <v>5379</v>
      </c>
      <c r="N159" s="328" t="s">
        <v>1979</v>
      </c>
      <c r="O159" s="1379" t="s">
        <v>166</v>
      </c>
      <c r="P159" s="1378">
        <v>44694</v>
      </c>
      <c r="Q159" s="1378">
        <v>44694</v>
      </c>
      <c r="R159" s="1195" t="s">
        <v>4265</v>
      </c>
      <c r="S159" s="1083"/>
      <c r="T159" s="1829"/>
      <c r="U159" s="1088"/>
    </row>
    <row r="160" spans="1:21" s="197" customFormat="1" ht="40.5" customHeight="1">
      <c r="A160" s="1088" t="s">
        <v>2512</v>
      </c>
      <c r="B160" s="1378">
        <v>44694</v>
      </c>
      <c r="C160" s="1088">
        <v>2</v>
      </c>
      <c r="D160" s="1088">
        <f t="shared" si="10"/>
        <v>14</v>
      </c>
      <c r="E160" s="1088"/>
      <c r="F160" s="1088">
        <f t="shared" si="12"/>
        <v>12</v>
      </c>
      <c r="G160" s="1382" t="s">
        <v>5148</v>
      </c>
      <c r="H160" s="1379"/>
      <c r="I160" s="1379" t="s">
        <v>2344</v>
      </c>
      <c r="J160" s="2072"/>
      <c r="K160" s="664"/>
      <c r="L160" s="255"/>
      <c r="M160" s="1381" t="s">
        <v>5380</v>
      </c>
      <c r="N160" s="328" t="s">
        <v>2542</v>
      </c>
      <c r="O160" s="1379" t="s">
        <v>166</v>
      </c>
      <c r="P160" s="1378">
        <v>44694</v>
      </c>
      <c r="Q160" s="1378">
        <v>44694</v>
      </c>
      <c r="R160" s="1195" t="s">
        <v>4265</v>
      </c>
      <c r="S160" s="1083"/>
      <c r="T160" s="1829"/>
      <c r="U160" s="1088"/>
    </row>
    <row r="161" spans="1:21" s="197" customFormat="1" ht="40.5" customHeight="1">
      <c r="A161" s="1088" t="s">
        <v>2512</v>
      </c>
      <c r="B161" s="1378">
        <v>44694</v>
      </c>
      <c r="C161" s="1088">
        <v>2</v>
      </c>
      <c r="D161" s="1088">
        <f t="shared" si="10"/>
        <v>14</v>
      </c>
      <c r="E161" s="1088"/>
      <c r="F161" s="1088">
        <f t="shared" si="12"/>
        <v>13</v>
      </c>
      <c r="G161" s="1382" t="s">
        <v>5149</v>
      </c>
      <c r="H161" s="1379"/>
      <c r="I161" s="1379" t="s">
        <v>2344</v>
      </c>
      <c r="J161" s="2072"/>
      <c r="K161" s="664"/>
      <c r="L161" s="255"/>
      <c r="M161" s="1381" t="s">
        <v>5380</v>
      </c>
      <c r="N161" s="328" t="s">
        <v>2542</v>
      </c>
      <c r="O161" s="1379" t="s">
        <v>166</v>
      </c>
      <c r="P161" s="1378">
        <v>44694</v>
      </c>
      <c r="Q161" s="1378">
        <v>44694</v>
      </c>
      <c r="R161" s="1195" t="s">
        <v>4265</v>
      </c>
      <c r="S161" s="1083"/>
      <c r="T161" s="1829"/>
      <c r="U161" s="1088"/>
    </row>
    <row r="162" spans="1:21" s="197" customFormat="1" ht="40.5" customHeight="1">
      <c r="A162" s="1088" t="s">
        <v>2512</v>
      </c>
      <c r="B162" s="1378">
        <v>44694</v>
      </c>
      <c r="C162" s="1088">
        <v>2</v>
      </c>
      <c r="D162" s="1088">
        <f t="shared" ref="D162:D187" si="13">D161</f>
        <v>14</v>
      </c>
      <c r="E162" s="1088"/>
      <c r="F162" s="1088">
        <f t="shared" si="12"/>
        <v>14</v>
      </c>
      <c r="G162" s="1382" t="s">
        <v>5151</v>
      </c>
      <c r="H162" s="1379"/>
      <c r="I162" s="1379" t="s">
        <v>2344</v>
      </c>
      <c r="J162" s="2072"/>
      <c r="K162" s="664"/>
      <c r="L162" s="255"/>
      <c r="M162" s="1381" t="s">
        <v>5380</v>
      </c>
      <c r="N162" s="328" t="s">
        <v>2542</v>
      </c>
      <c r="O162" s="1379" t="s">
        <v>166</v>
      </c>
      <c r="P162" s="1378">
        <v>44694</v>
      </c>
      <c r="Q162" s="1378">
        <v>44694</v>
      </c>
      <c r="R162" s="1195" t="s">
        <v>4265</v>
      </c>
      <c r="S162" s="1083"/>
      <c r="T162" s="1829"/>
      <c r="U162" s="1088"/>
    </row>
    <row r="163" spans="1:21" s="197" customFormat="1" ht="40.5" customHeight="1">
      <c r="A163" s="1088" t="s">
        <v>2512</v>
      </c>
      <c r="B163" s="1378">
        <v>44694</v>
      </c>
      <c r="C163" s="1088">
        <v>2</v>
      </c>
      <c r="D163" s="1088">
        <f t="shared" si="13"/>
        <v>14</v>
      </c>
      <c r="E163" s="1088"/>
      <c r="F163" s="1088">
        <f t="shared" si="12"/>
        <v>15</v>
      </c>
      <c r="G163" s="1382" t="s">
        <v>5152</v>
      </c>
      <c r="H163" s="1379"/>
      <c r="I163" s="1379" t="s">
        <v>2344</v>
      </c>
      <c r="J163" s="2072"/>
      <c r="K163" s="664"/>
      <c r="L163" s="255"/>
      <c r="M163" s="1381" t="s">
        <v>4748</v>
      </c>
      <c r="N163" s="328" t="s">
        <v>2542</v>
      </c>
      <c r="O163" s="1379" t="s">
        <v>166</v>
      </c>
      <c r="P163" s="1378">
        <v>44694</v>
      </c>
      <c r="Q163" s="1378">
        <v>44694</v>
      </c>
      <c r="R163" s="1195" t="s">
        <v>4265</v>
      </c>
      <c r="S163" s="1083"/>
      <c r="T163" s="1829"/>
      <c r="U163" s="1088"/>
    </row>
    <row r="164" spans="1:21" s="197" customFormat="1" ht="40.5" customHeight="1">
      <c r="A164" s="1088" t="s">
        <v>2512</v>
      </c>
      <c r="B164" s="1378">
        <v>44694</v>
      </c>
      <c r="C164" s="1088">
        <v>2</v>
      </c>
      <c r="D164" s="1088">
        <f t="shared" si="13"/>
        <v>14</v>
      </c>
      <c r="E164" s="1088"/>
      <c r="F164" s="1088">
        <f t="shared" si="12"/>
        <v>16</v>
      </c>
      <c r="G164" s="1382" t="s">
        <v>5153</v>
      </c>
      <c r="H164" s="1379"/>
      <c r="I164" s="1379" t="s">
        <v>2344</v>
      </c>
      <c r="J164" s="2072"/>
      <c r="K164" s="664"/>
      <c r="L164" s="255"/>
      <c r="M164" s="1381" t="s">
        <v>4739</v>
      </c>
      <c r="N164" s="328" t="s">
        <v>2542</v>
      </c>
      <c r="O164" s="1379" t="s">
        <v>166</v>
      </c>
      <c r="P164" s="1378">
        <v>44694</v>
      </c>
      <c r="Q164" s="1378">
        <v>44694</v>
      </c>
      <c r="R164" s="1195" t="s">
        <v>4265</v>
      </c>
      <c r="S164" s="1083"/>
      <c r="T164" s="1829"/>
      <c r="U164" s="1088"/>
    </row>
    <row r="165" spans="1:21" s="197" customFormat="1" ht="40.5" customHeight="1">
      <c r="A165" s="1088" t="s">
        <v>2512</v>
      </c>
      <c r="B165" s="1378">
        <v>44694</v>
      </c>
      <c r="C165" s="1088">
        <v>2</v>
      </c>
      <c r="D165" s="1088">
        <f t="shared" si="13"/>
        <v>14</v>
      </c>
      <c r="E165" s="1086" t="s">
        <v>5057</v>
      </c>
      <c r="F165" s="1088">
        <f t="shared" si="12"/>
        <v>17</v>
      </c>
      <c r="G165" s="1382" t="s">
        <v>5154</v>
      </c>
      <c r="H165" s="1379"/>
      <c r="I165" s="1379" t="s">
        <v>551</v>
      </c>
      <c r="J165" s="2072" t="s">
        <v>5964</v>
      </c>
      <c r="K165" s="664">
        <v>44880</v>
      </c>
      <c r="L165" s="255">
        <v>44926</v>
      </c>
      <c r="M165" s="1381" t="s">
        <v>4800</v>
      </c>
      <c r="N165" s="328" t="s">
        <v>2699</v>
      </c>
      <c r="O165" s="1379" t="s">
        <v>166</v>
      </c>
      <c r="P165" s="1378">
        <v>44694</v>
      </c>
      <c r="Q165" s="1378">
        <v>44694</v>
      </c>
      <c r="R165" s="1195" t="s">
        <v>4265</v>
      </c>
      <c r="S165" s="1083"/>
      <c r="T165" s="2067"/>
      <c r="U165" s="1088"/>
    </row>
    <row r="166" spans="1:21" s="197" customFormat="1" ht="40.5" customHeight="1">
      <c r="A166" s="1088" t="s">
        <v>2512</v>
      </c>
      <c r="B166" s="1378">
        <v>44694</v>
      </c>
      <c r="C166" s="1088">
        <v>2</v>
      </c>
      <c r="D166" s="1088">
        <f t="shared" si="13"/>
        <v>14</v>
      </c>
      <c r="E166" s="1086" t="s">
        <v>5407</v>
      </c>
      <c r="F166" s="1088">
        <f t="shared" si="12"/>
        <v>18</v>
      </c>
      <c r="G166" s="1382" t="s">
        <v>5155</v>
      </c>
      <c r="H166" s="1379"/>
      <c r="I166" s="1379" t="s">
        <v>551</v>
      </c>
      <c r="J166" s="2072"/>
      <c r="K166" s="664"/>
      <c r="L166" s="255"/>
      <c r="M166" s="1381" t="s">
        <v>5381</v>
      </c>
      <c r="N166" s="328" t="s">
        <v>1979</v>
      </c>
      <c r="O166" s="1379" t="s">
        <v>166</v>
      </c>
      <c r="P166" s="1378">
        <v>44694</v>
      </c>
      <c r="Q166" s="1378">
        <v>44694</v>
      </c>
      <c r="R166" s="1195" t="s">
        <v>4265</v>
      </c>
      <c r="S166" s="1083"/>
      <c r="T166" s="2067"/>
      <c r="U166" s="1088"/>
    </row>
    <row r="167" spans="1:21" s="197" customFormat="1" ht="70.5" customHeight="1">
      <c r="A167" s="1088" t="s">
        <v>2512</v>
      </c>
      <c r="B167" s="1378">
        <v>44694</v>
      </c>
      <c r="C167" s="1088">
        <v>2</v>
      </c>
      <c r="D167" s="1088">
        <f t="shared" si="13"/>
        <v>14</v>
      </c>
      <c r="E167" s="1088"/>
      <c r="F167" s="1088">
        <f t="shared" si="12"/>
        <v>19</v>
      </c>
      <c r="G167" s="1382" t="s">
        <v>5156</v>
      </c>
      <c r="H167" s="1379"/>
      <c r="I167" s="1379" t="s">
        <v>2344</v>
      </c>
      <c r="J167" s="2072"/>
      <c r="K167" s="664"/>
      <c r="L167" s="255"/>
      <c r="M167" s="1381" t="s">
        <v>5381</v>
      </c>
      <c r="N167" s="328" t="s">
        <v>1979</v>
      </c>
      <c r="O167" s="1379" t="s">
        <v>166</v>
      </c>
      <c r="P167" s="1378">
        <v>44694</v>
      </c>
      <c r="Q167" s="1378">
        <v>44694</v>
      </c>
      <c r="R167" s="1195" t="s">
        <v>4265</v>
      </c>
      <c r="S167" s="1083"/>
      <c r="T167" s="1829"/>
      <c r="U167" s="1088"/>
    </row>
    <row r="168" spans="1:21" s="197" customFormat="1" ht="40.5" customHeight="1">
      <c r="A168" s="1088" t="s">
        <v>2512</v>
      </c>
      <c r="B168" s="1378">
        <v>44694</v>
      </c>
      <c r="C168" s="1088">
        <v>2</v>
      </c>
      <c r="D168" s="1088">
        <f t="shared" si="13"/>
        <v>14</v>
      </c>
      <c r="E168" s="1086" t="s">
        <v>4352</v>
      </c>
      <c r="F168" s="1088">
        <f t="shared" si="12"/>
        <v>20</v>
      </c>
      <c r="G168" s="1382" t="s">
        <v>5157</v>
      </c>
      <c r="H168" s="1379"/>
      <c r="I168" s="1379" t="s">
        <v>551</v>
      </c>
      <c r="J168" s="2072" t="s">
        <v>5964</v>
      </c>
      <c r="K168" s="189">
        <v>44697</v>
      </c>
      <c r="L168" s="255">
        <v>44728</v>
      </c>
      <c r="M168" s="1381" t="s">
        <v>68</v>
      </c>
      <c r="N168" s="328" t="s">
        <v>68</v>
      </c>
      <c r="O168" s="1379" t="s">
        <v>166</v>
      </c>
      <c r="P168" s="1378">
        <v>44694</v>
      </c>
      <c r="Q168" s="1378">
        <v>44694</v>
      </c>
      <c r="R168" s="1195" t="s">
        <v>4265</v>
      </c>
      <c r="S168" s="1083"/>
      <c r="T168" s="2067"/>
      <c r="U168" s="1088"/>
    </row>
    <row r="169" spans="1:21" s="197" customFormat="1" ht="147" customHeight="1">
      <c r="A169" s="1088" t="s">
        <v>2512</v>
      </c>
      <c r="B169" s="1378">
        <v>44854</v>
      </c>
      <c r="C169" s="1088">
        <v>3</v>
      </c>
      <c r="D169" s="1088">
        <f t="shared" si="13"/>
        <v>14</v>
      </c>
      <c r="E169" s="560" t="s">
        <v>5961</v>
      </c>
      <c r="F169" s="1088">
        <v>1</v>
      </c>
      <c r="G169" s="1382" t="s">
        <v>5413</v>
      </c>
      <c r="H169" s="1379"/>
      <c r="I169" s="1379" t="s">
        <v>551</v>
      </c>
      <c r="J169" s="2072" t="s">
        <v>467</v>
      </c>
      <c r="K169" s="664"/>
      <c r="L169" s="255"/>
      <c r="M169" s="1381" t="s">
        <v>5385</v>
      </c>
      <c r="N169" s="328" t="s">
        <v>1979</v>
      </c>
      <c r="O169" s="1379" t="s">
        <v>166</v>
      </c>
      <c r="P169" s="1378">
        <v>44854</v>
      </c>
      <c r="Q169" s="1378">
        <v>44854</v>
      </c>
      <c r="R169" s="1195" t="s">
        <v>4265</v>
      </c>
      <c r="S169" s="1083"/>
      <c r="T169" s="2067" t="s">
        <v>5960</v>
      </c>
      <c r="U169" s="1088"/>
    </row>
    <row r="170" spans="1:21" s="197" customFormat="1" ht="40.5" customHeight="1">
      <c r="A170" s="1088" t="s">
        <v>2512</v>
      </c>
      <c r="B170" s="1378">
        <v>44694</v>
      </c>
      <c r="C170" s="1088">
        <v>2</v>
      </c>
      <c r="D170" s="1088">
        <f t="shared" si="13"/>
        <v>14</v>
      </c>
      <c r="E170" s="1086"/>
      <c r="F170" s="1088">
        <v>1</v>
      </c>
      <c r="G170" s="1382" t="s">
        <v>5160</v>
      </c>
      <c r="H170" s="1379"/>
      <c r="I170" s="1379"/>
      <c r="J170" s="2072"/>
      <c r="K170" s="664"/>
      <c r="L170" s="255"/>
      <c r="M170" s="1381" t="s">
        <v>3199</v>
      </c>
      <c r="N170" s="328" t="s">
        <v>1979</v>
      </c>
      <c r="O170" s="1379" t="s">
        <v>5159</v>
      </c>
      <c r="P170" s="1378">
        <v>44694</v>
      </c>
      <c r="Q170" s="1378">
        <v>44694</v>
      </c>
      <c r="R170" s="1195" t="s">
        <v>4265</v>
      </c>
      <c r="S170" s="1083"/>
      <c r="T170" s="2067"/>
      <c r="U170" s="1088"/>
    </row>
    <row r="171" spans="1:21" s="197" customFormat="1" ht="40.5" customHeight="1">
      <c r="A171" s="1088" t="s">
        <v>2512</v>
      </c>
      <c r="B171" s="1378">
        <v>44694</v>
      </c>
      <c r="C171" s="1088">
        <v>2</v>
      </c>
      <c r="D171" s="1088">
        <f t="shared" si="13"/>
        <v>14</v>
      </c>
      <c r="E171" s="1088"/>
      <c r="F171" s="1088">
        <f t="shared" ref="F171:F176" si="14">F170+1</f>
        <v>2</v>
      </c>
      <c r="G171" s="1382" t="s">
        <v>5161</v>
      </c>
      <c r="H171" s="1379"/>
      <c r="I171" s="1379" t="s">
        <v>2344</v>
      </c>
      <c r="J171" s="2072"/>
      <c r="K171" s="664"/>
      <c r="L171" s="255"/>
      <c r="M171" s="1381" t="s">
        <v>4860</v>
      </c>
      <c r="N171" s="328" t="s">
        <v>2560</v>
      </c>
      <c r="O171" s="1379" t="s">
        <v>5159</v>
      </c>
      <c r="P171" s="1378">
        <v>44694</v>
      </c>
      <c r="Q171" s="1378">
        <v>44694</v>
      </c>
      <c r="R171" s="1195" t="s">
        <v>4265</v>
      </c>
      <c r="S171" s="1083"/>
      <c r="T171" s="1829"/>
      <c r="U171" s="1088"/>
    </row>
    <row r="172" spans="1:21" s="197" customFormat="1" ht="40.5" customHeight="1">
      <c r="A172" s="1088" t="s">
        <v>2512</v>
      </c>
      <c r="B172" s="1378">
        <v>44854</v>
      </c>
      <c r="C172" s="1088">
        <v>3</v>
      </c>
      <c r="D172" s="1088">
        <f t="shared" si="13"/>
        <v>14</v>
      </c>
      <c r="E172" s="560" t="s">
        <v>4790</v>
      </c>
      <c r="F172" s="1088">
        <f t="shared" si="14"/>
        <v>3</v>
      </c>
      <c r="G172" s="1382" t="s">
        <v>5419</v>
      </c>
      <c r="H172" s="1379"/>
      <c r="I172" s="1379" t="s">
        <v>551</v>
      </c>
      <c r="J172" s="2072"/>
      <c r="K172" s="664"/>
      <c r="L172" s="255"/>
      <c r="M172" s="1381" t="s">
        <v>4860</v>
      </c>
      <c r="N172" s="328" t="s">
        <v>1979</v>
      </c>
      <c r="O172" s="1379" t="s">
        <v>166</v>
      </c>
      <c r="P172" s="1378">
        <v>44854</v>
      </c>
      <c r="Q172" s="1378">
        <v>44854</v>
      </c>
      <c r="R172" s="1195" t="s">
        <v>4265</v>
      </c>
      <c r="S172" s="1083"/>
      <c r="T172" s="2067"/>
      <c r="U172" s="1088"/>
    </row>
    <row r="173" spans="1:21" s="197" customFormat="1" ht="40.5" customHeight="1">
      <c r="A173" s="1088" t="s">
        <v>2512</v>
      </c>
      <c r="B173" s="1378">
        <v>44694</v>
      </c>
      <c r="C173" s="1088">
        <v>2</v>
      </c>
      <c r="D173" s="1088">
        <f t="shared" si="13"/>
        <v>14</v>
      </c>
      <c r="E173" s="1088"/>
      <c r="F173" s="1088">
        <f t="shared" si="14"/>
        <v>4</v>
      </c>
      <c r="G173" s="1382" t="s">
        <v>5162</v>
      </c>
      <c r="H173" s="1379"/>
      <c r="I173" s="1379" t="s">
        <v>2344</v>
      </c>
      <c r="J173" s="2072"/>
      <c r="K173" s="664"/>
      <c r="L173" s="255"/>
      <c r="M173" s="1381" t="s">
        <v>5381</v>
      </c>
      <c r="N173" s="328" t="s">
        <v>1979</v>
      </c>
      <c r="O173" s="1379" t="s">
        <v>5159</v>
      </c>
      <c r="P173" s="1378">
        <v>44694</v>
      </c>
      <c r="Q173" s="1378">
        <v>44694</v>
      </c>
      <c r="R173" s="1195" t="s">
        <v>4265</v>
      </c>
      <c r="S173" s="1083"/>
      <c r="T173" s="1829"/>
      <c r="U173" s="1088"/>
    </row>
    <row r="174" spans="1:21" s="197" customFormat="1" ht="40.5" customHeight="1">
      <c r="A174" s="1088" t="s">
        <v>2512</v>
      </c>
      <c r="B174" s="1378">
        <v>44694</v>
      </c>
      <c r="C174" s="1088">
        <v>2</v>
      </c>
      <c r="D174" s="1088">
        <f t="shared" si="13"/>
        <v>14</v>
      </c>
      <c r="E174" s="1088"/>
      <c r="F174" s="1088">
        <f t="shared" si="14"/>
        <v>5</v>
      </c>
      <c r="G174" s="1382" t="s">
        <v>5163</v>
      </c>
      <c r="H174" s="1379"/>
      <c r="I174" s="1379" t="s">
        <v>2344</v>
      </c>
      <c r="J174" s="2072"/>
      <c r="K174" s="664"/>
      <c r="L174" s="255"/>
      <c r="M174" s="1381" t="s">
        <v>5382</v>
      </c>
      <c r="N174" s="328" t="s">
        <v>1979</v>
      </c>
      <c r="O174" s="1379" t="s">
        <v>5159</v>
      </c>
      <c r="P174" s="1378">
        <v>44694</v>
      </c>
      <c r="Q174" s="1378">
        <v>44694</v>
      </c>
      <c r="R174" s="1195" t="s">
        <v>4265</v>
      </c>
      <c r="S174" s="1083"/>
      <c r="T174" s="1829"/>
      <c r="U174" s="1088"/>
    </row>
    <row r="175" spans="1:21" s="197" customFormat="1" ht="40.5" customHeight="1">
      <c r="A175" s="1088" t="s">
        <v>2512</v>
      </c>
      <c r="B175" s="1378">
        <v>44694</v>
      </c>
      <c r="C175" s="1088">
        <v>2</v>
      </c>
      <c r="D175" s="1088">
        <f t="shared" si="13"/>
        <v>14</v>
      </c>
      <c r="E175" s="1088"/>
      <c r="F175" s="1088">
        <f t="shared" si="14"/>
        <v>6</v>
      </c>
      <c r="G175" s="1382" t="s">
        <v>5164</v>
      </c>
      <c r="H175" s="1379"/>
      <c r="I175" s="1379" t="s">
        <v>2344</v>
      </c>
      <c r="J175" s="2072"/>
      <c r="K175" s="664"/>
      <c r="L175" s="255"/>
      <c r="M175" s="1381" t="s">
        <v>4753</v>
      </c>
      <c r="N175" s="328" t="s">
        <v>2548</v>
      </c>
      <c r="O175" s="1379" t="s">
        <v>5159</v>
      </c>
      <c r="P175" s="1378">
        <v>44694</v>
      </c>
      <c r="Q175" s="1378">
        <v>44694</v>
      </c>
      <c r="R175" s="1195" t="s">
        <v>4265</v>
      </c>
      <c r="S175" s="1083"/>
      <c r="T175" s="1829"/>
      <c r="U175" s="1088"/>
    </row>
    <row r="176" spans="1:21" s="197" customFormat="1" ht="40.5" customHeight="1">
      <c r="A176" s="1088" t="s">
        <v>2512</v>
      </c>
      <c r="B176" s="1378">
        <v>44694</v>
      </c>
      <c r="C176" s="1088">
        <v>2</v>
      </c>
      <c r="D176" s="1088">
        <f t="shared" si="13"/>
        <v>14</v>
      </c>
      <c r="E176" s="560"/>
      <c r="F176" s="1088">
        <f t="shared" si="14"/>
        <v>7</v>
      </c>
      <c r="G176" s="1382" t="s">
        <v>5161</v>
      </c>
      <c r="H176" s="1379"/>
      <c r="I176" s="1379"/>
      <c r="J176" s="2072"/>
      <c r="K176" s="664"/>
      <c r="L176" s="255"/>
      <c r="M176" s="1381" t="s">
        <v>4860</v>
      </c>
      <c r="N176" s="328" t="s">
        <v>1979</v>
      </c>
      <c r="O176" s="1379" t="s">
        <v>5159</v>
      </c>
      <c r="P176" s="1378">
        <v>44694</v>
      </c>
      <c r="Q176" s="1378">
        <v>44694</v>
      </c>
      <c r="R176" s="1195" t="s">
        <v>4265</v>
      </c>
      <c r="S176" s="1083"/>
      <c r="T176" s="2067"/>
      <c r="U176" s="1088"/>
    </row>
    <row r="177" spans="1:21" s="197" customFormat="1" ht="123.75" customHeight="1">
      <c r="A177" s="1088" t="s">
        <v>2512</v>
      </c>
      <c r="B177" s="1378">
        <v>44694</v>
      </c>
      <c r="C177" s="1088">
        <v>2</v>
      </c>
      <c r="D177" s="1088">
        <f t="shared" si="13"/>
        <v>14</v>
      </c>
      <c r="E177" s="1088"/>
      <c r="F177" s="1088">
        <v>1</v>
      </c>
      <c r="G177" s="1382" t="s">
        <v>5167</v>
      </c>
      <c r="H177" s="1379"/>
      <c r="I177" s="1379" t="s">
        <v>2344</v>
      </c>
      <c r="J177" s="2072"/>
      <c r="K177" s="664"/>
      <c r="L177" s="255"/>
      <c r="M177" s="1381" t="s">
        <v>4847</v>
      </c>
      <c r="N177" s="328" t="s">
        <v>5166</v>
      </c>
      <c r="O177" s="1379" t="s">
        <v>867</v>
      </c>
      <c r="P177" s="1378">
        <v>44694</v>
      </c>
      <c r="Q177" s="1378">
        <v>44694</v>
      </c>
      <c r="R177" s="1195" t="s">
        <v>4265</v>
      </c>
      <c r="S177" s="1083"/>
      <c r="T177" s="1829"/>
      <c r="U177" s="1088"/>
    </row>
    <row r="178" spans="1:21" s="197" customFormat="1" ht="122.25" customHeight="1">
      <c r="A178" s="1088" t="s">
        <v>2512</v>
      </c>
      <c r="B178" s="1378">
        <v>44694</v>
      </c>
      <c r="C178" s="1088">
        <v>2</v>
      </c>
      <c r="D178" s="1088">
        <f t="shared" si="13"/>
        <v>14</v>
      </c>
      <c r="E178" s="1088"/>
      <c r="F178" s="1088">
        <f>F177+1</f>
        <v>2</v>
      </c>
      <c r="G178" s="1382" t="s">
        <v>5168</v>
      </c>
      <c r="H178" s="1379"/>
      <c r="I178" s="1379" t="s">
        <v>2344</v>
      </c>
      <c r="J178" s="2072"/>
      <c r="K178" s="664"/>
      <c r="L178" s="255"/>
      <c r="M178" s="1381" t="s">
        <v>3181</v>
      </c>
      <c r="N178" s="328" t="s">
        <v>5166</v>
      </c>
      <c r="O178" s="1379" t="s">
        <v>867</v>
      </c>
      <c r="P178" s="1378">
        <v>44694</v>
      </c>
      <c r="Q178" s="1378">
        <v>44694</v>
      </c>
      <c r="R178" s="1195" t="s">
        <v>4265</v>
      </c>
      <c r="S178" s="1083"/>
      <c r="T178" s="1829"/>
      <c r="U178" s="1088"/>
    </row>
    <row r="179" spans="1:21" s="197" customFormat="1" ht="61.5" customHeight="1">
      <c r="A179" s="1088" t="s">
        <v>2512</v>
      </c>
      <c r="B179" s="1378">
        <v>44694</v>
      </c>
      <c r="C179" s="1088">
        <v>2</v>
      </c>
      <c r="D179" s="1088">
        <f t="shared" si="13"/>
        <v>14</v>
      </c>
      <c r="E179" s="560" t="s">
        <v>5468</v>
      </c>
      <c r="F179" s="1088">
        <f>F178+1</f>
        <v>3</v>
      </c>
      <c r="G179" s="1382" t="s">
        <v>5169</v>
      </c>
      <c r="H179" s="1379"/>
      <c r="I179" s="1379" t="s">
        <v>551</v>
      </c>
      <c r="J179" s="2072" t="s">
        <v>5962</v>
      </c>
      <c r="K179" s="664">
        <v>44987</v>
      </c>
      <c r="L179" s="255">
        <v>45048</v>
      </c>
      <c r="M179" s="1381" t="s">
        <v>5384</v>
      </c>
      <c r="N179" s="328" t="s">
        <v>5166</v>
      </c>
      <c r="O179" s="1379" t="s">
        <v>867</v>
      </c>
      <c r="P179" s="1378">
        <v>44694</v>
      </c>
      <c r="Q179" s="1378">
        <v>44694</v>
      </c>
      <c r="R179" s="1195" t="s">
        <v>4265</v>
      </c>
      <c r="S179" s="1083"/>
      <c r="T179" s="2067" t="s">
        <v>5947</v>
      </c>
      <c r="U179" s="1088"/>
    </row>
    <row r="180" spans="1:21" s="197" customFormat="1" ht="40.5" customHeight="1">
      <c r="A180" s="1088" t="s">
        <v>2512</v>
      </c>
      <c r="B180" s="1378">
        <v>44694</v>
      </c>
      <c r="C180" s="1088">
        <v>2</v>
      </c>
      <c r="D180" s="1088">
        <f t="shared" si="13"/>
        <v>14</v>
      </c>
      <c r="E180" s="1086" t="s">
        <v>3147</v>
      </c>
      <c r="F180" s="1088">
        <v>1</v>
      </c>
      <c r="G180" s="1382" t="s">
        <v>5170</v>
      </c>
      <c r="H180" s="1379"/>
      <c r="I180" s="1379" t="s">
        <v>551</v>
      </c>
      <c r="J180" s="2072"/>
      <c r="K180" s="664"/>
      <c r="L180" s="255"/>
      <c r="M180" s="1381" t="s">
        <v>5385</v>
      </c>
      <c r="N180" s="328" t="s">
        <v>1979</v>
      </c>
      <c r="O180" s="1379" t="s">
        <v>3147</v>
      </c>
      <c r="P180" s="1378">
        <v>44694</v>
      </c>
      <c r="Q180" s="1378">
        <v>44694</v>
      </c>
      <c r="R180" s="1195" t="s">
        <v>4265</v>
      </c>
      <c r="S180" s="1083"/>
      <c r="T180" s="2067"/>
      <c r="U180" s="1088"/>
    </row>
    <row r="181" spans="1:21" s="197" customFormat="1" ht="40.5" customHeight="1">
      <c r="A181" s="1088" t="s">
        <v>2512</v>
      </c>
      <c r="B181" s="1378">
        <v>44694</v>
      </c>
      <c r="C181" s="1088">
        <v>2</v>
      </c>
      <c r="D181" s="1088">
        <f t="shared" si="13"/>
        <v>14</v>
      </c>
      <c r="E181" s="1086" t="s">
        <v>3147</v>
      </c>
      <c r="F181" s="1088">
        <f>F180+1</f>
        <v>2</v>
      </c>
      <c r="G181" s="1382" t="s">
        <v>5171</v>
      </c>
      <c r="H181" s="1379"/>
      <c r="I181" s="1379" t="s">
        <v>551</v>
      </c>
      <c r="J181" s="2072"/>
      <c r="K181" s="664"/>
      <c r="L181" s="255"/>
      <c r="M181" s="1381"/>
      <c r="N181" s="328" t="s">
        <v>2613</v>
      </c>
      <c r="O181" s="1379" t="s">
        <v>3147</v>
      </c>
      <c r="P181" s="1378">
        <v>44694</v>
      </c>
      <c r="Q181" s="1378">
        <v>44694</v>
      </c>
      <c r="R181" s="1195" t="s">
        <v>4265</v>
      </c>
      <c r="S181" s="1083"/>
      <c r="T181" s="2067"/>
      <c r="U181" s="1088"/>
    </row>
    <row r="182" spans="1:21" s="197" customFormat="1" ht="40.5" customHeight="1">
      <c r="A182" s="1088" t="s">
        <v>2512</v>
      </c>
      <c r="B182" s="1378">
        <v>44694</v>
      </c>
      <c r="C182" s="1088">
        <v>2</v>
      </c>
      <c r="D182" s="1088">
        <f t="shared" si="13"/>
        <v>14</v>
      </c>
      <c r="E182" s="1086" t="s">
        <v>3147</v>
      </c>
      <c r="F182" s="1088">
        <f>F181+1</f>
        <v>3</v>
      </c>
      <c r="G182" s="1382" t="s">
        <v>5172</v>
      </c>
      <c r="H182" s="1379"/>
      <c r="I182" s="1379" t="s">
        <v>551</v>
      </c>
      <c r="J182" s="2072"/>
      <c r="K182" s="664"/>
      <c r="L182" s="255"/>
      <c r="M182" s="1381" t="s">
        <v>3181</v>
      </c>
      <c r="N182" s="328" t="s">
        <v>1979</v>
      </c>
      <c r="O182" s="1379" t="s">
        <v>3147</v>
      </c>
      <c r="P182" s="1378">
        <v>44694</v>
      </c>
      <c r="Q182" s="1378">
        <v>44694</v>
      </c>
      <c r="R182" s="1195" t="s">
        <v>4265</v>
      </c>
      <c r="S182" s="1083"/>
      <c r="T182" s="2067"/>
      <c r="U182" s="1088"/>
    </row>
    <row r="183" spans="1:21" s="197" customFormat="1" ht="40.5" customHeight="1">
      <c r="A183" s="1088" t="s">
        <v>2512</v>
      </c>
      <c r="B183" s="1378">
        <v>44694</v>
      </c>
      <c r="C183" s="1088">
        <v>2</v>
      </c>
      <c r="D183" s="1088">
        <f t="shared" si="13"/>
        <v>14</v>
      </c>
      <c r="E183" s="1088"/>
      <c r="F183" s="1088">
        <f>F182+1</f>
        <v>4</v>
      </c>
      <c r="G183" s="1382" t="s">
        <v>5173</v>
      </c>
      <c r="H183" s="1379"/>
      <c r="I183" s="1379" t="s">
        <v>2344</v>
      </c>
      <c r="J183" s="2072"/>
      <c r="K183" s="664"/>
      <c r="L183" s="255"/>
      <c r="M183" s="1381"/>
      <c r="N183" s="328" t="s">
        <v>1979</v>
      </c>
      <c r="O183" s="1379" t="s">
        <v>3147</v>
      </c>
      <c r="P183" s="1378">
        <v>44694</v>
      </c>
      <c r="Q183" s="1378">
        <v>44694</v>
      </c>
      <c r="R183" s="1195" t="s">
        <v>4265</v>
      </c>
      <c r="S183" s="1083"/>
      <c r="T183" s="1829"/>
      <c r="U183" s="1088"/>
    </row>
    <row r="184" spans="1:21" s="197" customFormat="1" ht="40.5" customHeight="1">
      <c r="A184" s="1088" t="s">
        <v>2512</v>
      </c>
      <c r="B184" s="1378">
        <v>44694</v>
      </c>
      <c r="C184" s="1088">
        <v>2</v>
      </c>
      <c r="D184" s="1088">
        <f t="shared" si="13"/>
        <v>14</v>
      </c>
      <c r="E184" s="1088"/>
      <c r="F184" s="1088">
        <f>F183+1</f>
        <v>5</v>
      </c>
      <c r="G184" s="1382" t="s">
        <v>5174</v>
      </c>
      <c r="H184" s="1379"/>
      <c r="I184" s="1379" t="s">
        <v>2344</v>
      </c>
      <c r="J184" s="2072"/>
      <c r="K184" s="664"/>
      <c r="L184" s="255"/>
      <c r="M184" s="1381"/>
      <c r="N184" s="328" t="s">
        <v>2613</v>
      </c>
      <c r="O184" s="1379" t="s">
        <v>3147</v>
      </c>
      <c r="P184" s="1378">
        <v>44694</v>
      </c>
      <c r="Q184" s="1378">
        <v>44694</v>
      </c>
      <c r="R184" s="1195" t="s">
        <v>4265</v>
      </c>
      <c r="S184" s="1083"/>
      <c r="T184" s="1829"/>
      <c r="U184" s="1088"/>
    </row>
    <row r="185" spans="1:21" s="197" customFormat="1" ht="40.5" customHeight="1">
      <c r="A185" s="1088" t="s">
        <v>2512</v>
      </c>
      <c r="B185" s="1378">
        <v>44694</v>
      </c>
      <c r="C185" s="1088">
        <v>2</v>
      </c>
      <c r="D185" s="1088">
        <f t="shared" si="13"/>
        <v>14</v>
      </c>
      <c r="E185" s="1088"/>
      <c r="F185" s="1088">
        <f>F184+1</f>
        <v>6</v>
      </c>
      <c r="G185" s="1382" t="s">
        <v>5175</v>
      </c>
      <c r="H185" s="1379"/>
      <c r="I185" s="1379" t="s">
        <v>2344</v>
      </c>
      <c r="J185" s="2072"/>
      <c r="K185" s="664"/>
      <c r="L185" s="255"/>
      <c r="M185" s="1381"/>
      <c r="N185" s="328" t="s">
        <v>2613</v>
      </c>
      <c r="O185" s="1379" t="s">
        <v>3147</v>
      </c>
      <c r="P185" s="1378">
        <v>44694</v>
      </c>
      <c r="Q185" s="1378">
        <v>44694</v>
      </c>
      <c r="R185" s="1195" t="s">
        <v>4265</v>
      </c>
      <c r="S185" s="1083"/>
      <c r="T185" s="1829"/>
      <c r="U185" s="1088"/>
    </row>
    <row r="186" spans="1:21" s="197" customFormat="1" ht="40.5" customHeight="1">
      <c r="A186" s="1088" t="s">
        <v>2512</v>
      </c>
      <c r="B186" s="1378">
        <v>44694</v>
      </c>
      <c r="C186" s="1088">
        <v>2</v>
      </c>
      <c r="D186" s="1088">
        <f t="shared" si="13"/>
        <v>14</v>
      </c>
      <c r="E186" s="1088"/>
      <c r="F186" s="1088">
        <v>1</v>
      </c>
      <c r="G186" s="1382" t="s">
        <v>5176</v>
      </c>
      <c r="H186" s="1379"/>
      <c r="I186" s="1379" t="s">
        <v>2344</v>
      </c>
      <c r="J186" s="2072"/>
      <c r="K186" s="664"/>
      <c r="L186" s="255"/>
      <c r="M186" s="1381"/>
      <c r="N186" s="328" t="s">
        <v>1979</v>
      </c>
      <c r="O186" s="1379" t="s">
        <v>5103</v>
      </c>
      <c r="P186" s="1378">
        <v>44694</v>
      </c>
      <c r="Q186" s="1378">
        <v>44694</v>
      </c>
      <c r="R186" s="1195" t="s">
        <v>4265</v>
      </c>
      <c r="S186" s="1083"/>
      <c r="T186" s="1829"/>
      <c r="U186" s="1088"/>
    </row>
    <row r="187" spans="1:21" s="197" customFormat="1" ht="40.5" customHeight="1">
      <c r="A187" s="1088" t="s">
        <v>2512</v>
      </c>
      <c r="B187" s="1378">
        <v>44694</v>
      </c>
      <c r="C187" s="1088">
        <v>2</v>
      </c>
      <c r="D187" s="1088">
        <f t="shared" si="13"/>
        <v>14</v>
      </c>
      <c r="E187" s="1088"/>
      <c r="F187" s="1088">
        <f>F186+1</f>
        <v>2</v>
      </c>
      <c r="G187" s="1382" t="s">
        <v>5177</v>
      </c>
      <c r="H187" s="1379"/>
      <c r="I187" s="1379" t="s">
        <v>2344</v>
      </c>
      <c r="J187" s="2072"/>
      <c r="K187" s="664"/>
      <c r="L187" s="255"/>
      <c r="M187" s="1381"/>
      <c r="N187" s="328" t="s">
        <v>1979</v>
      </c>
      <c r="O187" s="1379" t="s">
        <v>5103</v>
      </c>
      <c r="P187" s="1378">
        <v>44694</v>
      </c>
      <c r="Q187" s="1378">
        <v>44694</v>
      </c>
      <c r="R187" s="1195" t="s">
        <v>4265</v>
      </c>
      <c r="S187" s="1083"/>
      <c r="T187" s="1829"/>
      <c r="U187" s="1088"/>
    </row>
    <row r="188" spans="1:21" s="197" customFormat="1" ht="52.5" customHeight="1">
      <c r="A188" s="1088" t="s">
        <v>2512</v>
      </c>
      <c r="B188" s="1378">
        <v>44694</v>
      </c>
      <c r="C188" s="1088">
        <v>2</v>
      </c>
      <c r="D188" s="1088">
        <v>15</v>
      </c>
      <c r="E188" s="1086" t="s">
        <v>352</v>
      </c>
      <c r="F188" s="1088">
        <v>1</v>
      </c>
      <c r="G188" s="1382" t="s">
        <v>5178</v>
      </c>
      <c r="H188" s="1379"/>
      <c r="I188" s="1379" t="s">
        <v>551</v>
      </c>
      <c r="J188" s="2072"/>
      <c r="K188" s="664"/>
      <c r="L188" s="255"/>
      <c r="M188" s="1381"/>
      <c r="N188" s="328" t="s">
        <v>1979</v>
      </c>
      <c r="O188" s="1379" t="s">
        <v>5104</v>
      </c>
      <c r="P188" s="1378">
        <v>44694</v>
      </c>
      <c r="Q188" s="1378">
        <v>44694</v>
      </c>
      <c r="R188" s="1195" t="s">
        <v>4265</v>
      </c>
      <c r="S188" s="1083"/>
      <c r="T188" s="2067"/>
      <c r="U188" s="1088"/>
    </row>
    <row r="189" spans="1:21" s="197" customFormat="1" ht="40.5" customHeight="1">
      <c r="A189" s="1088" t="s">
        <v>2512</v>
      </c>
      <c r="B189" s="1378">
        <v>44694</v>
      </c>
      <c r="C189" s="1088">
        <v>2</v>
      </c>
      <c r="D189" s="1088">
        <f t="shared" ref="D189:D218" si="15">D188</f>
        <v>15</v>
      </c>
      <c r="E189" s="1088"/>
      <c r="F189" s="1088">
        <f>F188+1</f>
        <v>2</v>
      </c>
      <c r="G189" s="1382" t="s">
        <v>5179</v>
      </c>
      <c r="H189" s="1379"/>
      <c r="I189" s="1379" t="s">
        <v>2344</v>
      </c>
      <c r="J189" s="2072"/>
      <c r="K189" s="664"/>
      <c r="L189" s="255"/>
      <c r="M189" s="1381" t="s">
        <v>3459</v>
      </c>
      <c r="N189" s="328" t="s">
        <v>2640</v>
      </c>
      <c r="O189" s="1379" t="s">
        <v>5104</v>
      </c>
      <c r="P189" s="1378">
        <v>44694</v>
      </c>
      <c r="Q189" s="1378">
        <v>44694</v>
      </c>
      <c r="R189" s="1195" t="s">
        <v>4265</v>
      </c>
      <c r="S189" s="1083"/>
      <c r="T189" s="1829"/>
      <c r="U189" s="1088"/>
    </row>
    <row r="190" spans="1:21" s="197" customFormat="1" ht="40.5" customHeight="1">
      <c r="A190" s="1088" t="s">
        <v>2512</v>
      </c>
      <c r="B190" s="1378">
        <v>44694</v>
      </c>
      <c r="C190" s="1088">
        <v>2</v>
      </c>
      <c r="D190" s="1088">
        <f t="shared" si="15"/>
        <v>15</v>
      </c>
      <c r="E190" s="1088"/>
      <c r="F190" s="1088">
        <v>1</v>
      </c>
      <c r="G190" s="1382" t="s">
        <v>5180</v>
      </c>
      <c r="H190" s="1379"/>
      <c r="I190" s="1379" t="s">
        <v>2344</v>
      </c>
      <c r="J190" s="2072"/>
      <c r="K190" s="664"/>
      <c r="L190" s="255"/>
      <c r="M190" s="1381"/>
      <c r="N190" s="328" t="s">
        <v>1979</v>
      </c>
      <c r="O190" s="1379" t="s">
        <v>5105</v>
      </c>
      <c r="P190" s="1378">
        <v>44694</v>
      </c>
      <c r="Q190" s="1378">
        <v>44694</v>
      </c>
      <c r="R190" s="1195" t="s">
        <v>4265</v>
      </c>
      <c r="S190" s="1083"/>
      <c r="T190" s="1829"/>
      <c r="U190" s="1088"/>
    </row>
    <row r="191" spans="1:21" s="197" customFormat="1" ht="40.5" customHeight="1">
      <c r="A191" s="1088" t="s">
        <v>2512</v>
      </c>
      <c r="B191" s="1378">
        <v>44694</v>
      </c>
      <c r="C191" s="1088">
        <v>2</v>
      </c>
      <c r="D191" s="1088">
        <f t="shared" si="15"/>
        <v>15</v>
      </c>
      <c r="E191" s="1088"/>
      <c r="F191" s="1088">
        <f>F190+1</f>
        <v>2</v>
      </c>
      <c r="G191" s="1382" t="s">
        <v>5181</v>
      </c>
      <c r="H191" s="1379"/>
      <c r="I191" s="1379" t="s">
        <v>2344</v>
      </c>
      <c r="J191" s="2072"/>
      <c r="K191" s="664"/>
      <c r="L191" s="255"/>
      <c r="M191" s="1381"/>
      <c r="N191" s="328" t="s">
        <v>1979</v>
      </c>
      <c r="O191" s="1379" t="s">
        <v>5105</v>
      </c>
      <c r="P191" s="1378">
        <v>44694</v>
      </c>
      <c r="Q191" s="1378">
        <v>44694</v>
      </c>
      <c r="R191" s="1195" t="s">
        <v>4265</v>
      </c>
      <c r="S191" s="1083"/>
      <c r="T191" s="1829"/>
      <c r="U191" s="1088"/>
    </row>
    <row r="192" spans="1:21" s="197" customFormat="1" ht="40.5" customHeight="1">
      <c r="A192" s="1088" t="s">
        <v>2512</v>
      </c>
      <c r="B192" s="1378">
        <v>44694</v>
      </c>
      <c r="C192" s="1088">
        <v>2</v>
      </c>
      <c r="D192" s="1088">
        <f t="shared" si="15"/>
        <v>15</v>
      </c>
      <c r="E192" s="1088"/>
      <c r="F192" s="1088">
        <f>F191+1</f>
        <v>3</v>
      </c>
      <c r="G192" s="1382" t="s">
        <v>5182</v>
      </c>
      <c r="H192" s="1379"/>
      <c r="I192" s="1379" t="s">
        <v>2344</v>
      </c>
      <c r="J192" s="2072"/>
      <c r="K192" s="664"/>
      <c r="L192" s="255"/>
      <c r="M192" s="1381"/>
      <c r="N192" s="328" t="s">
        <v>1979</v>
      </c>
      <c r="O192" s="1379" t="s">
        <v>5105</v>
      </c>
      <c r="P192" s="1378">
        <v>44694</v>
      </c>
      <c r="Q192" s="1378">
        <v>44694</v>
      </c>
      <c r="R192" s="1195" t="s">
        <v>4265</v>
      </c>
      <c r="S192" s="1083"/>
      <c r="T192" s="1829"/>
      <c r="U192" s="1088"/>
    </row>
    <row r="193" spans="1:21" s="197" customFormat="1" ht="40.5" customHeight="1">
      <c r="A193" s="1088" t="s">
        <v>2512</v>
      </c>
      <c r="B193" s="1378">
        <v>44694</v>
      </c>
      <c r="C193" s="1088">
        <v>2</v>
      </c>
      <c r="D193" s="1088">
        <f t="shared" si="15"/>
        <v>15</v>
      </c>
      <c r="E193" s="1088"/>
      <c r="F193" s="1088">
        <v>1</v>
      </c>
      <c r="G193" s="1382" t="s">
        <v>5183</v>
      </c>
      <c r="H193" s="1379"/>
      <c r="I193" s="1379" t="s">
        <v>2344</v>
      </c>
      <c r="J193" s="2072"/>
      <c r="K193" s="664"/>
      <c r="L193" s="255"/>
      <c r="M193" s="1381" t="s">
        <v>5386</v>
      </c>
      <c r="N193" s="328" t="s">
        <v>1979</v>
      </c>
      <c r="O193" s="1379" t="s">
        <v>5106</v>
      </c>
      <c r="P193" s="1378">
        <v>44694</v>
      </c>
      <c r="Q193" s="1378">
        <v>44694</v>
      </c>
      <c r="R193" s="1195" t="s">
        <v>4265</v>
      </c>
      <c r="S193" s="1083"/>
      <c r="T193" s="1829"/>
      <c r="U193" s="1088"/>
    </row>
    <row r="194" spans="1:21" s="197" customFormat="1" ht="40.5" customHeight="1">
      <c r="A194" s="1088" t="s">
        <v>2512</v>
      </c>
      <c r="B194" s="1378">
        <v>44694</v>
      </c>
      <c r="C194" s="1088">
        <v>2</v>
      </c>
      <c r="D194" s="1088">
        <f t="shared" si="15"/>
        <v>15</v>
      </c>
      <c r="E194" s="1088"/>
      <c r="F194" s="1088">
        <f>F193+1</f>
        <v>2</v>
      </c>
      <c r="G194" s="1382" t="s">
        <v>5184</v>
      </c>
      <c r="H194" s="1379"/>
      <c r="I194" s="1379" t="s">
        <v>2344</v>
      </c>
      <c r="J194" s="2072"/>
      <c r="K194" s="664"/>
      <c r="L194" s="255"/>
      <c r="M194" s="1381" t="s">
        <v>2536</v>
      </c>
      <c r="N194" s="328" t="s">
        <v>1979</v>
      </c>
      <c r="O194" s="1379" t="s">
        <v>5106</v>
      </c>
      <c r="P194" s="1378">
        <v>44694</v>
      </c>
      <c r="Q194" s="1378">
        <v>44694</v>
      </c>
      <c r="R194" s="1195" t="s">
        <v>4265</v>
      </c>
      <c r="S194" s="1083"/>
      <c r="T194" s="1829"/>
      <c r="U194" s="1088"/>
    </row>
    <row r="195" spans="1:21" s="197" customFormat="1" ht="53.25" customHeight="1">
      <c r="A195" s="1088" t="s">
        <v>2512</v>
      </c>
      <c r="B195" s="1378">
        <v>44694</v>
      </c>
      <c r="C195" s="1088">
        <v>2</v>
      </c>
      <c r="D195" s="1088">
        <f t="shared" si="15"/>
        <v>15</v>
      </c>
      <c r="E195" s="560" t="s">
        <v>4790</v>
      </c>
      <c r="F195" s="1088">
        <f>F194+1</f>
        <v>3</v>
      </c>
      <c r="G195" s="1382" t="s">
        <v>5137</v>
      </c>
      <c r="H195" s="1379"/>
      <c r="I195" s="1379" t="s">
        <v>551</v>
      </c>
      <c r="J195" s="2072"/>
      <c r="K195" s="664"/>
      <c r="L195" s="255"/>
      <c r="M195" s="1381" t="s">
        <v>5378</v>
      </c>
      <c r="N195" s="328" t="s">
        <v>1979</v>
      </c>
      <c r="O195" s="1379" t="s">
        <v>166</v>
      </c>
      <c r="P195" s="1378">
        <v>44694</v>
      </c>
      <c r="Q195" s="1378">
        <v>44694</v>
      </c>
      <c r="R195" s="1195" t="s">
        <v>4265</v>
      </c>
      <c r="S195" s="1083"/>
      <c r="T195" s="2067"/>
      <c r="U195" s="1088"/>
    </row>
    <row r="196" spans="1:21" s="197" customFormat="1" ht="60" customHeight="1">
      <c r="A196" s="1088" t="s">
        <v>2512</v>
      </c>
      <c r="B196" s="1378">
        <v>44694</v>
      </c>
      <c r="C196" s="1088">
        <v>2</v>
      </c>
      <c r="D196" s="1088">
        <f t="shared" si="15"/>
        <v>15</v>
      </c>
      <c r="E196" s="1088"/>
      <c r="F196" s="1088">
        <v>1</v>
      </c>
      <c r="G196" s="1382" t="s">
        <v>5186</v>
      </c>
      <c r="H196" s="1379"/>
      <c r="I196" s="1379" t="s">
        <v>2344</v>
      </c>
      <c r="J196" s="2072"/>
      <c r="K196" s="664"/>
      <c r="L196" s="255"/>
      <c r="M196" s="1381" t="s">
        <v>2683</v>
      </c>
      <c r="N196" s="328" t="s">
        <v>1979</v>
      </c>
      <c r="O196" s="1379" t="s">
        <v>77</v>
      </c>
      <c r="P196" s="1378">
        <v>44694</v>
      </c>
      <c r="Q196" s="1378">
        <v>44694</v>
      </c>
      <c r="R196" s="1195" t="s">
        <v>4265</v>
      </c>
      <c r="S196" s="1083"/>
      <c r="T196" s="1829"/>
      <c r="U196" s="1088"/>
    </row>
    <row r="197" spans="1:21" s="197" customFormat="1" ht="40.5" customHeight="1">
      <c r="A197" s="1088" t="s">
        <v>2512</v>
      </c>
      <c r="B197" s="1378">
        <v>44694</v>
      </c>
      <c r="C197" s="1088">
        <v>2</v>
      </c>
      <c r="D197" s="1088">
        <f t="shared" si="15"/>
        <v>15</v>
      </c>
      <c r="E197" s="1088"/>
      <c r="F197" s="1088">
        <f t="shared" ref="F197:F228" si="16">F196+1</f>
        <v>2</v>
      </c>
      <c r="G197" s="1382" t="s">
        <v>5187</v>
      </c>
      <c r="H197" s="1379"/>
      <c r="I197" s="1379" t="s">
        <v>2344</v>
      </c>
      <c r="J197" s="2072"/>
      <c r="K197" s="664"/>
      <c r="L197" s="255"/>
      <c r="M197" s="1381" t="s">
        <v>2696</v>
      </c>
      <c r="N197" s="328" t="s">
        <v>1979</v>
      </c>
      <c r="O197" s="1379" t="s">
        <v>77</v>
      </c>
      <c r="P197" s="1378">
        <v>44694</v>
      </c>
      <c r="Q197" s="1378">
        <v>44694</v>
      </c>
      <c r="R197" s="1195" t="s">
        <v>4265</v>
      </c>
      <c r="S197" s="1083"/>
      <c r="T197" s="1829"/>
      <c r="U197" s="1088"/>
    </row>
    <row r="198" spans="1:21" s="197" customFormat="1" ht="40.5" customHeight="1">
      <c r="A198" s="1088" t="s">
        <v>2512</v>
      </c>
      <c r="B198" s="1378">
        <v>44694</v>
      </c>
      <c r="C198" s="1088">
        <v>2</v>
      </c>
      <c r="D198" s="1088">
        <f t="shared" si="15"/>
        <v>15</v>
      </c>
      <c r="E198" s="1088"/>
      <c r="F198" s="1088">
        <f t="shared" si="16"/>
        <v>3</v>
      </c>
      <c r="G198" s="1382" t="s">
        <v>5188</v>
      </c>
      <c r="H198" s="1379"/>
      <c r="I198" s="1379" t="s">
        <v>2344</v>
      </c>
      <c r="J198" s="2072"/>
      <c r="K198" s="664"/>
      <c r="L198" s="255"/>
      <c r="M198" s="1381" t="s">
        <v>2696</v>
      </c>
      <c r="N198" s="328" t="s">
        <v>1979</v>
      </c>
      <c r="O198" s="1379" t="s">
        <v>77</v>
      </c>
      <c r="P198" s="1378">
        <v>44694</v>
      </c>
      <c r="Q198" s="1378">
        <v>44694</v>
      </c>
      <c r="R198" s="1195" t="s">
        <v>4265</v>
      </c>
      <c r="S198" s="1083"/>
      <c r="T198" s="1829"/>
      <c r="U198" s="1088"/>
    </row>
    <row r="199" spans="1:21" s="197" customFormat="1" ht="40.5" customHeight="1">
      <c r="A199" s="1088" t="s">
        <v>2512</v>
      </c>
      <c r="B199" s="1378">
        <v>44694</v>
      </c>
      <c r="C199" s="1088">
        <v>2</v>
      </c>
      <c r="D199" s="1088">
        <f t="shared" si="15"/>
        <v>15</v>
      </c>
      <c r="E199" s="1088"/>
      <c r="F199" s="1088">
        <f t="shared" si="16"/>
        <v>4</v>
      </c>
      <c r="G199" s="1382" t="s">
        <v>5189</v>
      </c>
      <c r="H199" s="1379"/>
      <c r="I199" s="1379" t="s">
        <v>2344</v>
      </c>
      <c r="J199" s="2072"/>
      <c r="K199" s="664"/>
      <c r="L199" s="255"/>
      <c r="M199" s="1381" t="s">
        <v>2696</v>
      </c>
      <c r="N199" s="328" t="s">
        <v>1979</v>
      </c>
      <c r="O199" s="1379" t="s">
        <v>77</v>
      </c>
      <c r="P199" s="1378">
        <v>44694</v>
      </c>
      <c r="Q199" s="1378">
        <v>44694</v>
      </c>
      <c r="R199" s="1195" t="s">
        <v>4265</v>
      </c>
      <c r="S199" s="1083"/>
      <c r="T199" s="1829"/>
      <c r="U199" s="1088"/>
    </row>
    <row r="200" spans="1:21" s="197" customFormat="1" ht="40.5" customHeight="1">
      <c r="A200" s="1088" t="s">
        <v>2512</v>
      </c>
      <c r="B200" s="1378">
        <v>44694</v>
      </c>
      <c r="C200" s="1088">
        <v>2</v>
      </c>
      <c r="D200" s="1088">
        <f t="shared" si="15"/>
        <v>15</v>
      </c>
      <c r="E200" s="1088"/>
      <c r="F200" s="1088">
        <f t="shared" si="16"/>
        <v>5</v>
      </c>
      <c r="G200" s="1382" t="s">
        <v>5190</v>
      </c>
      <c r="H200" s="1379"/>
      <c r="I200" s="1379" t="s">
        <v>2344</v>
      </c>
      <c r="J200" s="2072"/>
      <c r="K200" s="664"/>
      <c r="L200" s="255"/>
      <c r="M200" s="1381" t="s">
        <v>2696</v>
      </c>
      <c r="N200" s="328" t="s">
        <v>1979</v>
      </c>
      <c r="O200" s="1379" t="s">
        <v>77</v>
      </c>
      <c r="P200" s="1378">
        <v>44694</v>
      </c>
      <c r="Q200" s="1378">
        <v>44694</v>
      </c>
      <c r="R200" s="1195" t="s">
        <v>4265</v>
      </c>
      <c r="S200" s="1083"/>
      <c r="T200" s="1829"/>
      <c r="U200" s="1088"/>
    </row>
    <row r="201" spans="1:21" s="197" customFormat="1" ht="40.5" customHeight="1">
      <c r="A201" s="1088" t="s">
        <v>2512</v>
      </c>
      <c r="B201" s="1378">
        <v>44694</v>
      </c>
      <c r="C201" s="1088">
        <v>2</v>
      </c>
      <c r="D201" s="1088">
        <f t="shared" si="15"/>
        <v>15</v>
      </c>
      <c r="E201" s="1086" t="s">
        <v>4353</v>
      </c>
      <c r="F201" s="1088">
        <f t="shared" si="16"/>
        <v>6</v>
      </c>
      <c r="G201" s="1382" t="s">
        <v>5191</v>
      </c>
      <c r="H201" s="1379"/>
      <c r="I201" s="1379" t="s">
        <v>551</v>
      </c>
      <c r="J201" s="2072" t="s">
        <v>5964</v>
      </c>
      <c r="K201" s="189">
        <v>44718</v>
      </c>
      <c r="L201" s="190">
        <v>44726</v>
      </c>
      <c r="M201" s="1381" t="s">
        <v>2723</v>
      </c>
      <c r="N201" s="328" t="s">
        <v>2640</v>
      </c>
      <c r="O201" s="1379" t="s">
        <v>77</v>
      </c>
      <c r="P201" s="1378">
        <v>44694</v>
      </c>
      <c r="Q201" s="1378">
        <v>44694</v>
      </c>
      <c r="R201" s="1195" t="s">
        <v>4265</v>
      </c>
      <c r="S201" s="1083"/>
      <c r="T201" s="2067"/>
      <c r="U201" s="1088"/>
    </row>
    <row r="202" spans="1:21" s="197" customFormat="1" ht="53.25" customHeight="1">
      <c r="A202" s="1088" t="s">
        <v>2512</v>
      </c>
      <c r="B202" s="1378">
        <v>44694</v>
      </c>
      <c r="C202" s="1088">
        <v>2</v>
      </c>
      <c r="D202" s="1088">
        <f t="shared" si="15"/>
        <v>15</v>
      </c>
      <c r="E202" s="1086" t="s">
        <v>4396</v>
      </c>
      <c r="F202" s="1088">
        <f t="shared" si="16"/>
        <v>7</v>
      </c>
      <c r="G202" s="1382" t="s">
        <v>5192</v>
      </c>
      <c r="H202" s="1379"/>
      <c r="I202" s="1379" t="s">
        <v>551</v>
      </c>
      <c r="J202" s="2072" t="s">
        <v>5963</v>
      </c>
      <c r="K202" s="189">
        <v>44760</v>
      </c>
      <c r="L202" s="255">
        <v>44804</v>
      </c>
      <c r="M202" s="1381" t="s">
        <v>4751</v>
      </c>
      <c r="N202" s="328" t="s">
        <v>2574</v>
      </c>
      <c r="O202" s="1379" t="s">
        <v>77</v>
      </c>
      <c r="P202" s="1378">
        <v>44694</v>
      </c>
      <c r="Q202" s="1378">
        <v>44694</v>
      </c>
      <c r="R202" s="1195" t="s">
        <v>4265</v>
      </c>
      <c r="S202" s="1083"/>
      <c r="T202" s="2067"/>
      <c r="U202" s="1088"/>
    </row>
    <row r="203" spans="1:21" s="197" customFormat="1" ht="40.5" customHeight="1">
      <c r="A203" s="1088" t="s">
        <v>2512</v>
      </c>
      <c r="B203" s="1378">
        <v>44694</v>
      </c>
      <c r="C203" s="1088">
        <v>2</v>
      </c>
      <c r="D203" s="1088">
        <f t="shared" si="15"/>
        <v>15</v>
      </c>
      <c r="E203" s="1088"/>
      <c r="F203" s="1088">
        <f t="shared" si="16"/>
        <v>8</v>
      </c>
      <c r="G203" s="1382" t="s">
        <v>5193</v>
      </c>
      <c r="H203" s="1379"/>
      <c r="I203" s="1379" t="s">
        <v>2344</v>
      </c>
      <c r="J203" s="2072"/>
      <c r="K203" s="664"/>
      <c r="L203" s="255"/>
      <c r="M203" s="1381"/>
      <c r="N203" s="328" t="s">
        <v>2560</v>
      </c>
      <c r="O203" s="1379" t="s">
        <v>77</v>
      </c>
      <c r="P203" s="1378">
        <v>44694</v>
      </c>
      <c r="Q203" s="1378">
        <v>44694</v>
      </c>
      <c r="R203" s="1195" t="s">
        <v>4265</v>
      </c>
      <c r="S203" s="1083"/>
      <c r="T203" s="1829"/>
      <c r="U203" s="1088"/>
    </row>
    <row r="204" spans="1:21" s="197" customFormat="1" ht="63" customHeight="1">
      <c r="A204" s="1088" t="s">
        <v>2512</v>
      </c>
      <c r="B204" s="1378">
        <v>44694</v>
      </c>
      <c r="C204" s="1088">
        <v>2</v>
      </c>
      <c r="D204" s="1088">
        <f t="shared" si="15"/>
        <v>15</v>
      </c>
      <c r="E204" s="1086" t="s">
        <v>4400</v>
      </c>
      <c r="F204" s="1088">
        <f t="shared" si="16"/>
        <v>9</v>
      </c>
      <c r="G204" s="1382" t="s">
        <v>5194</v>
      </c>
      <c r="H204" s="1379"/>
      <c r="I204" s="1379" t="s">
        <v>551</v>
      </c>
      <c r="J204" s="2072" t="s">
        <v>5963</v>
      </c>
      <c r="K204" s="189">
        <v>44865</v>
      </c>
      <c r="L204" s="255">
        <v>44883</v>
      </c>
      <c r="M204" s="1381" t="s">
        <v>4764</v>
      </c>
      <c r="N204" s="328" t="s">
        <v>2574</v>
      </c>
      <c r="O204" s="1379" t="s">
        <v>77</v>
      </c>
      <c r="P204" s="1378">
        <v>44694</v>
      </c>
      <c r="Q204" s="1378">
        <v>44694</v>
      </c>
      <c r="R204" s="1195" t="s">
        <v>4265</v>
      </c>
      <c r="S204" s="1083"/>
      <c r="T204" s="2067"/>
      <c r="U204" s="1088"/>
    </row>
    <row r="205" spans="1:21" s="197" customFormat="1" ht="40.5" customHeight="1">
      <c r="A205" s="1088" t="s">
        <v>2512</v>
      </c>
      <c r="B205" s="1378">
        <v>44694</v>
      </c>
      <c r="C205" s="1088">
        <v>2</v>
      </c>
      <c r="D205" s="1088">
        <f t="shared" si="15"/>
        <v>15</v>
      </c>
      <c r="E205" s="1086" t="s">
        <v>4395</v>
      </c>
      <c r="F205" s="1088">
        <f t="shared" si="16"/>
        <v>10</v>
      </c>
      <c r="G205" s="1382" t="s">
        <v>5195</v>
      </c>
      <c r="H205" s="1379"/>
      <c r="I205" s="1379" t="s">
        <v>551</v>
      </c>
      <c r="J205" s="2072" t="s">
        <v>5963</v>
      </c>
      <c r="K205" s="189">
        <v>44711</v>
      </c>
      <c r="L205" s="255">
        <v>44722</v>
      </c>
      <c r="M205" s="1381" t="s">
        <v>4948</v>
      </c>
      <c r="N205" s="328" t="s">
        <v>2560</v>
      </c>
      <c r="O205" s="1379" t="s">
        <v>77</v>
      </c>
      <c r="P205" s="1378">
        <v>44694</v>
      </c>
      <c r="Q205" s="1378">
        <v>44694</v>
      </c>
      <c r="R205" s="1195" t="s">
        <v>4265</v>
      </c>
      <c r="S205" s="1083"/>
      <c r="T205" s="2067"/>
      <c r="U205" s="1088"/>
    </row>
    <row r="206" spans="1:21" s="197" customFormat="1" ht="40.5" customHeight="1">
      <c r="A206" s="1088" t="s">
        <v>2512</v>
      </c>
      <c r="B206" s="1378">
        <v>44694</v>
      </c>
      <c r="C206" s="1088">
        <v>2</v>
      </c>
      <c r="D206" s="1088">
        <f t="shared" si="15"/>
        <v>15</v>
      </c>
      <c r="E206" s="1086" t="s">
        <v>4395</v>
      </c>
      <c r="F206" s="1088">
        <f t="shared" si="16"/>
        <v>11</v>
      </c>
      <c r="G206" s="1382" t="s">
        <v>5196</v>
      </c>
      <c r="H206" s="1379"/>
      <c r="I206" s="1379" t="s">
        <v>551</v>
      </c>
      <c r="J206" s="2072" t="s">
        <v>5963</v>
      </c>
      <c r="K206" s="189">
        <v>44711</v>
      </c>
      <c r="L206" s="255">
        <v>44722</v>
      </c>
      <c r="M206" s="1381" t="s">
        <v>4948</v>
      </c>
      <c r="N206" s="328" t="s">
        <v>2560</v>
      </c>
      <c r="O206" s="1379" t="s">
        <v>77</v>
      </c>
      <c r="P206" s="1378">
        <v>44694</v>
      </c>
      <c r="Q206" s="1378">
        <v>44694</v>
      </c>
      <c r="R206" s="1195" t="s">
        <v>4265</v>
      </c>
      <c r="S206" s="1083"/>
      <c r="T206" s="2067"/>
      <c r="U206" s="1088"/>
    </row>
    <row r="207" spans="1:21" s="197" customFormat="1" ht="40.5" customHeight="1">
      <c r="A207" s="1088" t="s">
        <v>2512</v>
      </c>
      <c r="B207" s="1378">
        <v>44694</v>
      </c>
      <c r="C207" s="1088">
        <v>2</v>
      </c>
      <c r="D207" s="1088">
        <f t="shared" si="15"/>
        <v>15</v>
      </c>
      <c r="E207" s="1088"/>
      <c r="F207" s="1088">
        <f t="shared" si="16"/>
        <v>12</v>
      </c>
      <c r="G207" s="1382" t="s">
        <v>5197</v>
      </c>
      <c r="H207" s="1379"/>
      <c r="I207" s="1379" t="s">
        <v>2344</v>
      </c>
      <c r="J207" s="2072"/>
      <c r="K207" s="664"/>
      <c r="L207" s="255"/>
      <c r="M207" s="1381" t="s">
        <v>4751</v>
      </c>
      <c r="N207" s="328" t="s">
        <v>2574</v>
      </c>
      <c r="O207" s="1379" t="s">
        <v>77</v>
      </c>
      <c r="P207" s="1378">
        <v>44694</v>
      </c>
      <c r="Q207" s="1378">
        <v>44694</v>
      </c>
      <c r="R207" s="1195" t="s">
        <v>4265</v>
      </c>
      <c r="S207" s="1083"/>
      <c r="T207" s="1829"/>
      <c r="U207" s="1088"/>
    </row>
    <row r="208" spans="1:21" s="197" customFormat="1" ht="40.5" customHeight="1">
      <c r="A208" s="1088" t="s">
        <v>2512</v>
      </c>
      <c r="B208" s="1378">
        <v>44694</v>
      </c>
      <c r="C208" s="1088">
        <v>2</v>
      </c>
      <c r="D208" s="1088">
        <f t="shared" si="15"/>
        <v>15</v>
      </c>
      <c r="E208" s="1088"/>
      <c r="F208" s="1088">
        <f t="shared" si="16"/>
        <v>13</v>
      </c>
      <c r="G208" s="1382" t="s">
        <v>5198</v>
      </c>
      <c r="H208" s="1379"/>
      <c r="I208" s="1379" t="s">
        <v>2344</v>
      </c>
      <c r="J208" s="2072"/>
      <c r="K208" s="664"/>
      <c r="L208" s="255"/>
      <c r="M208" s="1381" t="s">
        <v>4065</v>
      </c>
      <c r="N208" s="328" t="s">
        <v>2574</v>
      </c>
      <c r="O208" s="1379" t="s">
        <v>77</v>
      </c>
      <c r="P208" s="1378">
        <v>44694</v>
      </c>
      <c r="Q208" s="1378">
        <v>44694</v>
      </c>
      <c r="R208" s="1195" t="s">
        <v>4265</v>
      </c>
      <c r="S208" s="1083"/>
      <c r="T208" s="1829"/>
      <c r="U208" s="1088"/>
    </row>
    <row r="209" spans="1:21" s="197" customFormat="1" ht="40.5" customHeight="1">
      <c r="A209" s="1088" t="s">
        <v>2512</v>
      </c>
      <c r="B209" s="1378">
        <v>44694</v>
      </c>
      <c r="C209" s="1088">
        <v>2</v>
      </c>
      <c r="D209" s="1088">
        <f t="shared" si="15"/>
        <v>15</v>
      </c>
      <c r="E209" s="1088"/>
      <c r="F209" s="1088">
        <f t="shared" si="16"/>
        <v>14</v>
      </c>
      <c r="G209" s="1382" t="s">
        <v>5199</v>
      </c>
      <c r="H209" s="1379"/>
      <c r="I209" s="1379" t="s">
        <v>2344</v>
      </c>
      <c r="J209" s="2072"/>
      <c r="K209" s="664"/>
      <c r="L209" s="255"/>
      <c r="M209" s="1381"/>
      <c r="N209" s="328" t="s">
        <v>2574</v>
      </c>
      <c r="O209" s="1379" t="s">
        <v>77</v>
      </c>
      <c r="P209" s="1378">
        <v>44694</v>
      </c>
      <c r="Q209" s="1378">
        <v>44694</v>
      </c>
      <c r="R209" s="1195" t="s">
        <v>4265</v>
      </c>
      <c r="S209" s="1083"/>
      <c r="T209" s="1829"/>
      <c r="U209" s="1088"/>
    </row>
    <row r="210" spans="1:21" s="197" customFormat="1" ht="60" customHeight="1">
      <c r="A210" s="1088" t="s">
        <v>2512</v>
      </c>
      <c r="B210" s="1378">
        <v>44694</v>
      </c>
      <c r="C210" s="1088">
        <v>2</v>
      </c>
      <c r="D210" s="1088">
        <f t="shared" si="15"/>
        <v>15</v>
      </c>
      <c r="E210" s="1086" t="s">
        <v>5055</v>
      </c>
      <c r="F210" s="1088">
        <f t="shared" si="16"/>
        <v>15</v>
      </c>
      <c r="G210" s="1382" t="s">
        <v>5200</v>
      </c>
      <c r="H210" s="1379"/>
      <c r="I210" s="1379" t="s">
        <v>551</v>
      </c>
      <c r="J210" s="2072" t="s">
        <v>5964</v>
      </c>
      <c r="K210" s="189">
        <v>44599</v>
      </c>
      <c r="L210" s="255">
        <v>44617</v>
      </c>
      <c r="M210" s="1381" t="s">
        <v>4751</v>
      </c>
      <c r="N210" s="328" t="s">
        <v>2574</v>
      </c>
      <c r="O210" s="1379" t="s">
        <v>77</v>
      </c>
      <c r="P210" s="1378">
        <v>44694</v>
      </c>
      <c r="Q210" s="1378">
        <v>44694</v>
      </c>
      <c r="R210" s="1195" t="s">
        <v>4265</v>
      </c>
      <c r="S210" s="1083"/>
      <c r="T210" s="2067"/>
      <c r="U210" s="1088"/>
    </row>
    <row r="211" spans="1:21" s="197" customFormat="1" ht="40.5" customHeight="1">
      <c r="A211" s="1088" t="s">
        <v>2512</v>
      </c>
      <c r="B211" s="1378">
        <v>44694</v>
      </c>
      <c r="C211" s="1088">
        <v>2</v>
      </c>
      <c r="D211" s="1088">
        <f t="shared" si="15"/>
        <v>15</v>
      </c>
      <c r="E211" s="1086" t="s">
        <v>4390</v>
      </c>
      <c r="F211" s="1088">
        <f t="shared" si="16"/>
        <v>16</v>
      </c>
      <c r="G211" s="1382" t="s">
        <v>5201</v>
      </c>
      <c r="H211" s="1379"/>
      <c r="I211" s="1379" t="s">
        <v>551</v>
      </c>
      <c r="J211" s="2072" t="s">
        <v>5963</v>
      </c>
      <c r="K211" s="189">
        <v>44634</v>
      </c>
      <c r="L211" s="190">
        <v>44653</v>
      </c>
      <c r="M211" s="1381" t="s">
        <v>4869</v>
      </c>
      <c r="N211" s="328" t="s">
        <v>2548</v>
      </c>
      <c r="O211" s="1379" t="s">
        <v>77</v>
      </c>
      <c r="P211" s="1378">
        <v>44694</v>
      </c>
      <c r="Q211" s="1378">
        <v>44694</v>
      </c>
      <c r="R211" s="1195" t="s">
        <v>4265</v>
      </c>
      <c r="S211" s="1083"/>
      <c r="T211" s="2067"/>
      <c r="U211" s="1088"/>
    </row>
    <row r="212" spans="1:21" s="197" customFormat="1" ht="40.5" customHeight="1">
      <c r="A212" s="1088" t="s">
        <v>2512</v>
      </c>
      <c r="B212" s="1378">
        <v>44694</v>
      </c>
      <c r="C212" s="1088">
        <v>2</v>
      </c>
      <c r="D212" s="1088">
        <f t="shared" si="15"/>
        <v>15</v>
      </c>
      <c r="E212" s="1086" t="s">
        <v>4388</v>
      </c>
      <c r="F212" s="1088">
        <f t="shared" si="16"/>
        <v>17</v>
      </c>
      <c r="G212" s="1382" t="s">
        <v>5202</v>
      </c>
      <c r="H212" s="1379"/>
      <c r="I212" s="1379" t="s">
        <v>551</v>
      </c>
      <c r="J212" s="2072" t="s">
        <v>5963</v>
      </c>
      <c r="K212" s="189">
        <v>44634</v>
      </c>
      <c r="L212" s="190">
        <v>44639</v>
      </c>
      <c r="M212" s="1381" t="s">
        <v>4708</v>
      </c>
      <c r="N212" s="328" t="s">
        <v>2548</v>
      </c>
      <c r="O212" s="1379" t="s">
        <v>77</v>
      </c>
      <c r="P212" s="1378">
        <v>44694</v>
      </c>
      <c r="Q212" s="1378">
        <v>44694</v>
      </c>
      <c r="R212" s="1195" t="s">
        <v>4265</v>
      </c>
      <c r="S212" s="1083"/>
      <c r="T212" s="2067"/>
      <c r="U212" s="1088"/>
    </row>
    <row r="213" spans="1:21" s="197" customFormat="1" ht="40.5" customHeight="1">
      <c r="A213" s="1088" t="s">
        <v>2512</v>
      </c>
      <c r="B213" s="1378">
        <v>44694</v>
      </c>
      <c r="C213" s="1088">
        <v>2</v>
      </c>
      <c r="D213" s="1088">
        <f t="shared" si="15"/>
        <v>15</v>
      </c>
      <c r="E213" s="1086" t="s">
        <v>4389</v>
      </c>
      <c r="F213" s="1088">
        <f t="shared" si="16"/>
        <v>18</v>
      </c>
      <c r="G213" s="1382" t="s">
        <v>5203</v>
      </c>
      <c r="H213" s="1379"/>
      <c r="I213" s="1379" t="s">
        <v>551</v>
      </c>
      <c r="J213" s="2072" t="s">
        <v>5963</v>
      </c>
      <c r="K213" s="189">
        <v>44634</v>
      </c>
      <c r="L213" s="190">
        <v>44653</v>
      </c>
      <c r="M213" s="1381" t="s">
        <v>4753</v>
      </c>
      <c r="N213" s="328" t="s">
        <v>2548</v>
      </c>
      <c r="O213" s="1379" t="s">
        <v>77</v>
      </c>
      <c r="P213" s="1378">
        <v>44694</v>
      </c>
      <c r="Q213" s="1378">
        <v>44694</v>
      </c>
      <c r="R213" s="1195" t="s">
        <v>4265</v>
      </c>
      <c r="S213" s="1083"/>
      <c r="T213" s="2067"/>
      <c r="U213" s="1088"/>
    </row>
    <row r="214" spans="1:21" s="197" customFormat="1" ht="40.5" customHeight="1">
      <c r="A214" s="1088" t="s">
        <v>2512</v>
      </c>
      <c r="B214" s="1378">
        <v>44694</v>
      </c>
      <c r="C214" s="1088">
        <v>2</v>
      </c>
      <c r="D214" s="1088">
        <f t="shared" si="15"/>
        <v>15</v>
      </c>
      <c r="E214" s="1086" t="s">
        <v>4401</v>
      </c>
      <c r="F214" s="1088">
        <f t="shared" si="16"/>
        <v>19</v>
      </c>
      <c r="G214" s="1382" t="s">
        <v>5204</v>
      </c>
      <c r="H214" s="1379"/>
      <c r="I214" s="1379" t="s">
        <v>551</v>
      </c>
      <c r="J214" s="2072" t="s">
        <v>5963</v>
      </c>
      <c r="K214" s="189">
        <v>44889</v>
      </c>
      <c r="L214" s="255">
        <v>44900</v>
      </c>
      <c r="M214" s="1381" t="s">
        <v>4876</v>
      </c>
      <c r="N214" s="328" t="s">
        <v>2560</v>
      </c>
      <c r="O214" s="1379" t="s">
        <v>77</v>
      </c>
      <c r="P214" s="1378">
        <v>44694</v>
      </c>
      <c r="Q214" s="1378">
        <v>44694</v>
      </c>
      <c r="R214" s="1195" t="s">
        <v>4265</v>
      </c>
      <c r="S214" s="1083"/>
      <c r="T214" s="2067"/>
      <c r="U214" s="1088"/>
    </row>
    <row r="215" spans="1:21" s="197" customFormat="1" ht="40.5" customHeight="1">
      <c r="A215" s="1088" t="s">
        <v>2512</v>
      </c>
      <c r="B215" s="1378">
        <v>44694</v>
      </c>
      <c r="C215" s="1088">
        <v>2</v>
      </c>
      <c r="D215" s="1088">
        <f t="shared" si="15"/>
        <v>15</v>
      </c>
      <c r="E215" s="1086" t="s">
        <v>4401</v>
      </c>
      <c r="F215" s="1088">
        <f t="shared" si="16"/>
        <v>20</v>
      </c>
      <c r="G215" s="1382" t="s">
        <v>5205</v>
      </c>
      <c r="H215" s="1379"/>
      <c r="I215" s="1379" t="s">
        <v>551</v>
      </c>
      <c r="J215" s="2072" t="s">
        <v>5963</v>
      </c>
      <c r="K215" s="189">
        <v>44889</v>
      </c>
      <c r="L215" s="255">
        <v>44900</v>
      </c>
      <c r="M215" s="1381" t="s">
        <v>4876</v>
      </c>
      <c r="N215" s="328" t="s">
        <v>2560</v>
      </c>
      <c r="O215" s="1379" t="s">
        <v>77</v>
      </c>
      <c r="P215" s="1378">
        <v>44694</v>
      </c>
      <c r="Q215" s="1378">
        <v>44694</v>
      </c>
      <c r="R215" s="1195" t="s">
        <v>4265</v>
      </c>
      <c r="S215" s="1083"/>
      <c r="T215" s="2067"/>
      <c r="U215" s="1088"/>
    </row>
    <row r="216" spans="1:21" s="197" customFormat="1" ht="40.5" customHeight="1">
      <c r="A216" s="1088" t="s">
        <v>2512</v>
      </c>
      <c r="B216" s="1378">
        <v>44694</v>
      </c>
      <c r="C216" s="1088">
        <v>2</v>
      </c>
      <c r="D216" s="1088">
        <f t="shared" si="15"/>
        <v>15</v>
      </c>
      <c r="E216" s="1088"/>
      <c r="F216" s="1088">
        <f t="shared" si="16"/>
        <v>21</v>
      </c>
      <c r="G216" s="1382" t="s">
        <v>5206</v>
      </c>
      <c r="H216" s="1379"/>
      <c r="I216" s="1379" t="s">
        <v>2344</v>
      </c>
      <c r="J216" s="2072"/>
      <c r="K216" s="664"/>
      <c r="L216" s="255"/>
      <c r="M216" s="1381" t="s">
        <v>4876</v>
      </c>
      <c r="N216" s="328" t="s">
        <v>2560</v>
      </c>
      <c r="O216" s="1379" t="s">
        <v>77</v>
      </c>
      <c r="P216" s="1378">
        <v>44694</v>
      </c>
      <c r="Q216" s="1378">
        <v>44694</v>
      </c>
      <c r="R216" s="1195" t="s">
        <v>4265</v>
      </c>
      <c r="S216" s="1083"/>
      <c r="T216" s="1829"/>
      <c r="U216" s="1088"/>
    </row>
    <row r="217" spans="1:21" s="197" customFormat="1" ht="40.5" customHeight="1">
      <c r="A217" s="1088" t="s">
        <v>2512</v>
      </c>
      <c r="B217" s="1378">
        <v>44694</v>
      </c>
      <c r="C217" s="1088">
        <v>2</v>
      </c>
      <c r="D217" s="1088">
        <f t="shared" si="15"/>
        <v>15</v>
      </c>
      <c r="E217" s="1086" t="s">
        <v>4394</v>
      </c>
      <c r="F217" s="1088">
        <f t="shared" si="16"/>
        <v>22</v>
      </c>
      <c r="G217" s="1382" t="s">
        <v>5207</v>
      </c>
      <c r="H217" s="1379"/>
      <c r="I217" s="1379" t="s">
        <v>551</v>
      </c>
      <c r="J217" s="2072" t="s">
        <v>5963</v>
      </c>
      <c r="K217" s="189">
        <v>44705</v>
      </c>
      <c r="L217" s="255">
        <v>44742</v>
      </c>
      <c r="M217" s="1381" t="s">
        <v>4870</v>
      </c>
      <c r="N217" s="328" t="s">
        <v>2560</v>
      </c>
      <c r="O217" s="1379" t="s">
        <v>77</v>
      </c>
      <c r="P217" s="1378">
        <v>44694</v>
      </c>
      <c r="Q217" s="1378">
        <v>44694</v>
      </c>
      <c r="R217" s="1195" t="s">
        <v>4265</v>
      </c>
      <c r="S217" s="1083"/>
      <c r="T217" s="2067"/>
      <c r="U217" s="1088"/>
    </row>
    <row r="218" spans="1:21" s="197" customFormat="1" ht="40.5" customHeight="1">
      <c r="A218" s="1088" t="s">
        <v>2512</v>
      </c>
      <c r="B218" s="1378">
        <v>44694</v>
      </c>
      <c r="C218" s="1088">
        <v>2</v>
      </c>
      <c r="D218" s="1088">
        <f t="shared" si="15"/>
        <v>15</v>
      </c>
      <c r="E218" s="1086" t="s">
        <v>4394</v>
      </c>
      <c r="F218" s="1088">
        <f t="shared" si="16"/>
        <v>23</v>
      </c>
      <c r="G218" s="1382" t="s">
        <v>5208</v>
      </c>
      <c r="H218" s="1379"/>
      <c r="I218" s="1379" t="s">
        <v>551</v>
      </c>
      <c r="J218" s="2072" t="s">
        <v>5963</v>
      </c>
      <c r="K218" s="189">
        <v>44705</v>
      </c>
      <c r="L218" s="255">
        <v>44742</v>
      </c>
      <c r="M218" s="1381" t="s">
        <v>4870</v>
      </c>
      <c r="N218" s="328" t="s">
        <v>2560</v>
      </c>
      <c r="O218" s="1379" t="s">
        <v>77</v>
      </c>
      <c r="P218" s="1378">
        <v>44694</v>
      </c>
      <c r="Q218" s="1378">
        <v>44694</v>
      </c>
      <c r="R218" s="1195" t="s">
        <v>4265</v>
      </c>
      <c r="S218" s="1083"/>
      <c r="T218" s="2067"/>
      <c r="U218" s="1088"/>
    </row>
    <row r="219" spans="1:21" s="197" customFormat="1" ht="40.5" customHeight="1">
      <c r="A219" s="1088" t="s">
        <v>2512</v>
      </c>
      <c r="B219" s="1378">
        <v>44694</v>
      </c>
      <c r="C219" s="1088">
        <v>2</v>
      </c>
      <c r="D219" s="1088">
        <v>16</v>
      </c>
      <c r="E219" s="1086" t="s">
        <v>4394</v>
      </c>
      <c r="F219" s="1088">
        <f t="shared" si="16"/>
        <v>24</v>
      </c>
      <c r="G219" s="1382" t="s">
        <v>5209</v>
      </c>
      <c r="H219" s="1379"/>
      <c r="I219" s="1379" t="s">
        <v>551</v>
      </c>
      <c r="J219" s="2072" t="s">
        <v>5963</v>
      </c>
      <c r="K219" s="189">
        <v>44705</v>
      </c>
      <c r="L219" s="255">
        <v>44742</v>
      </c>
      <c r="M219" s="1381" t="s">
        <v>4870</v>
      </c>
      <c r="N219" s="328" t="s">
        <v>2560</v>
      </c>
      <c r="O219" s="1379" t="s">
        <v>77</v>
      </c>
      <c r="P219" s="1378">
        <v>44694</v>
      </c>
      <c r="Q219" s="1378">
        <v>44694</v>
      </c>
      <c r="R219" s="1195" t="s">
        <v>4265</v>
      </c>
      <c r="S219" s="1083"/>
      <c r="T219" s="2067"/>
      <c r="U219" s="1088"/>
    </row>
    <row r="220" spans="1:21" s="197" customFormat="1" ht="67.5" customHeight="1">
      <c r="A220" s="1088" t="s">
        <v>2512</v>
      </c>
      <c r="B220" s="1378">
        <v>44854</v>
      </c>
      <c r="C220" s="1088">
        <v>3</v>
      </c>
      <c r="D220" s="1088">
        <f t="shared" ref="D220:D248" si="17">D219</f>
        <v>16</v>
      </c>
      <c r="E220" s="560" t="s">
        <v>4399</v>
      </c>
      <c r="F220" s="1088">
        <f t="shared" si="16"/>
        <v>25</v>
      </c>
      <c r="G220" s="1382" t="s">
        <v>5416</v>
      </c>
      <c r="H220" s="1379"/>
      <c r="I220" s="1379" t="s">
        <v>551</v>
      </c>
      <c r="J220" s="2072" t="s">
        <v>5963</v>
      </c>
      <c r="K220" s="189">
        <v>45168</v>
      </c>
      <c r="L220" s="190">
        <v>45199</v>
      </c>
      <c r="M220" s="1381" t="s">
        <v>4800</v>
      </c>
      <c r="N220" s="328" t="s">
        <v>1979</v>
      </c>
      <c r="O220" s="1379" t="s">
        <v>166</v>
      </c>
      <c r="P220" s="1378">
        <v>44854</v>
      </c>
      <c r="Q220" s="1378">
        <v>44854</v>
      </c>
      <c r="R220" s="1195" t="s">
        <v>4265</v>
      </c>
      <c r="S220" s="1083"/>
      <c r="T220" s="2067"/>
      <c r="U220" s="1088"/>
    </row>
    <row r="221" spans="1:21" s="197" customFormat="1" ht="56.25" customHeight="1">
      <c r="A221" s="1088" t="s">
        <v>2512</v>
      </c>
      <c r="B221" s="1378">
        <v>44694</v>
      </c>
      <c r="C221" s="1088">
        <v>2</v>
      </c>
      <c r="D221" s="1088">
        <f t="shared" si="17"/>
        <v>16</v>
      </c>
      <c r="E221" s="560" t="s">
        <v>4790</v>
      </c>
      <c r="F221" s="1088">
        <f t="shared" si="16"/>
        <v>26</v>
      </c>
      <c r="G221" s="1382" t="s">
        <v>5131</v>
      </c>
      <c r="H221" s="1379"/>
      <c r="I221" s="1379" t="s">
        <v>551</v>
      </c>
      <c r="J221" s="2072"/>
      <c r="K221" s="664">
        <v>44562</v>
      </c>
      <c r="L221" s="255">
        <v>44926</v>
      </c>
      <c r="M221" s="1381" t="s">
        <v>5377</v>
      </c>
      <c r="N221" s="328" t="s">
        <v>1979</v>
      </c>
      <c r="O221" s="1379" t="s">
        <v>166</v>
      </c>
      <c r="P221" s="1378">
        <v>44694</v>
      </c>
      <c r="Q221" s="1378">
        <v>44694</v>
      </c>
      <c r="R221" s="1195" t="s">
        <v>4265</v>
      </c>
      <c r="S221" s="1083"/>
      <c r="T221" s="2067" t="s">
        <v>5955</v>
      </c>
      <c r="U221" s="1088"/>
    </row>
    <row r="222" spans="1:21" s="197" customFormat="1" ht="135" customHeight="1">
      <c r="A222" s="1088" t="s">
        <v>2512</v>
      </c>
      <c r="B222" s="1378">
        <v>44694</v>
      </c>
      <c r="C222" s="1088">
        <v>2</v>
      </c>
      <c r="D222" s="1088">
        <f t="shared" si="17"/>
        <v>16</v>
      </c>
      <c r="E222" s="560" t="s">
        <v>4790</v>
      </c>
      <c r="F222" s="1088">
        <f t="shared" si="16"/>
        <v>27</v>
      </c>
      <c r="G222" s="1382" t="s">
        <v>5158</v>
      </c>
      <c r="H222" s="1379"/>
      <c r="I222" s="1379" t="s">
        <v>551</v>
      </c>
      <c r="J222" s="2072"/>
      <c r="K222" s="664">
        <v>44562</v>
      </c>
      <c r="L222" s="255">
        <v>44926</v>
      </c>
      <c r="M222" s="1381" t="s">
        <v>5377</v>
      </c>
      <c r="N222" s="328" t="s">
        <v>1979</v>
      </c>
      <c r="O222" s="1379" t="s">
        <v>166</v>
      </c>
      <c r="P222" s="1378">
        <v>44694</v>
      </c>
      <c r="Q222" s="1378">
        <v>44694</v>
      </c>
      <c r="R222" s="1195" t="s">
        <v>4265</v>
      </c>
      <c r="S222" s="1083"/>
      <c r="T222" s="2067"/>
      <c r="U222" s="1088"/>
    </row>
    <row r="223" spans="1:21" s="197" customFormat="1" ht="53.25" customHeight="1">
      <c r="A223" s="1088" t="s">
        <v>2512</v>
      </c>
      <c r="B223" s="1378">
        <v>44694</v>
      </c>
      <c r="C223" s="1088">
        <v>2</v>
      </c>
      <c r="D223" s="1088">
        <f t="shared" si="17"/>
        <v>16</v>
      </c>
      <c r="E223" s="1088"/>
      <c r="F223" s="1088">
        <f t="shared" si="16"/>
        <v>28</v>
      </c>
      <c r="G223" s="1382" t="s">
        <v>5213</v>
      </c>
      <c r="H223" s="1379"/>
      <c r="I223" s="1379" t="s">
        <v>2344</v>
      </c>
      <c r="J223" s="2072"/>
      <c r="K223" s="664"/>
      <c r="L223" s="255"/>
      <c r="M223" s="1381" t="s">
        <v>4714</v>
      </c>
      <c r="N223" s="328" t="s">
        <v>1979</v>
      </c>
      <c r="O223" s="1379" t="s">
        <v>77</v>
      </c>
      <c r="P223" s="1378">
        <v>44694</v>
      </c>
      <c r="Q223" s="1378">
        <v>44694</v>
      </c>
      <c r="R223" s="1195" t="s">
        <v>4265</v>
      </c>
      <c r="S223" s="1083"/>
      <c r="T223" s="1829"/>
      <c r="U223" s="1088"/>
    </row>
    <row r="224" spans="1:21" s="197" customFormat="1" ht="54.75" customHeight="1">
      <c r="A224" s="1088" t="s">
        <v>2512</v>
      </c>
      <c r="B224" s="1378">
        <v>44694</v>
      </c>
      <c r="C224" s="1088">
        <v>2</v>
      </c>
      <c r="D224" s="1088">
        <f t="shared" si="17"/>
        <v>16</v>
      </c>
      <c r="E224" s="1088"/>
      <c r="F224" s="1088">
        <f t="shared" si="16"/>
        <v>29</v>
      </c>
      <c r="G224" s="1382" t="s">
        <v>5214</v>
      </c>
      <c r="H224" s="1379"/>
      <c r="I224" s="1379" t="s">
        <v>2344</v>
      </c>
      <c r="J224" s="2072"/>
      <c r="K224" s="664"/>
      <c r="L224" s="255"/>
      <c r="M224" s="1381" t="s">
        <v>4714</v>
      </c>
      <c r="N224" s="328" t="s">
        <v>1979</v>
      </c>
      <c r="O224" s="1379" t="s">
        <v>77</v>
      </c>
      <c r="P224" s="1378">
        <v>44694</v>
      </c>
      <c r="Q224" s="1378">
        <v>44694</v>
      </c>
      <c r="R224" s="1195" t="s">
        <v>4265</v>
      </c>
      <c r="S224" s="1083"/>
      <c r="T224" s="1829"/>
      <c r="U224" s="1088"/>
    </row>
    <row r="225" spans="1:21" s="197" customFormat="1" ht="53.25" customHeight="1">
      <c r="A225" s="1088" t="s">
        <v>2512</v>
      </c>
      <c r="B225" s="1378">
        <v>44694</v>
      </c>
      <c r="C225" s="1088">
        <v>2</v>
      </c>
      <c r="D225" s="1088">
        <f t="shared" si="17"/>
        <v>16</v>
      </c>
      <c r="E225" s="1088"/>
      <c r="F225" s="1088">
        <f t="shared" si="16"/>
        <v>30</v>
      </c>
      <c r="G225" s="1382" t="s">
        <v>5215</v>
      </c>
      <c r="H225" s="1379"/>
      <c r="I225" s="1379" t="s">
        <v>2344</v>
      </c>
      <c r="J225" s="2072"/>
      <c r="K225" s="664"/>
      <c r="L225" s="255"/>
      <c r="M225" s="1381" t="s">
        <v>4714</v>
      </c>
      <c r="N225" s="328" t="s">
        <v>1979</v>
      </c>
      <c r="O225" s="1379" t="s">
        <v>77</v>
      </c>
      <c r="P225" s="1378">
        <v>44694</v>
      </c>
      <c r="Q225" s="1378">
        <v>44694</v>
      </c>
      <c r="R225" s="1195" t="s">
        <v>4265</v>
      </c>
      <c r="S225" s="1083"/>
      <c r="T225" s="1829"/>
      <c r="U225" s="1088"/>
    </row>
    <row r="226" spans="1:21" s="197" customFormat="1" ht="65.25" customHeight="1">
      <c r="A226" s="1088" t="s">
        <v>2512</v>
      </c>
      <c r="B226" s="1378">
        <v>44694</v>
      </c>
      <c r="C226" s="1088">
        <v>2</v>
      </c>
      <c r="D226" s="1088">
        <f t="shared" si="17"/>
        <v>16</v>
      </c>
      <c r="E226" s="202"/>
      <c r="F226" s="1088">
        <f t="shared" si="16"/>
        <v>31</v>
      </c>
      <c r="G226" s="1382" t="s">
        <v>5216</v>
      </c>
      <c r="H226" s="1379"/>
      <c r="I226" s="1379" t="s">
        <v>2344</v>
      </c>
      <c r="J226" s="2072"/>
      <c r="K226" s="664"/>
      <c r="L226" s="255"/>
      <c r="M226" s="1381" t="s">
        <v>5384</v>
      </c>
      <c r="N226" s="328" t="s">
        <v>1979</v>
      </c>
      <c r="O226" s="1379" t="s">
        <v>77</v>
      </c>
      <c r="P226" s="1378">
        <v>44694</v>
      </c>
      <c r="Q226" s="1378">
        <v>44694</v>
      </c>
      <c r="R226" s="1195" t="s">
        <v>4265</v>
      </c>
      <c r="S226" s="1083"/>
      <c r="T226" s="2067"/>
      <c r="U226" s="1088"/>
    </row>
    <row r="227" spans="1:21" s="197" customFormat="1" ht="55.5" customHeight="1">
      <c r="A227" s="1088" t="s">
        <v>2512</v>
      </c>
      <c r="B227" s="1378">
        <v>44694</v>
      </c>
      <c r="C227" s="1088">
        <v>2</v>
      </c>
      <c r="D227" s="1088">
        <f t="shared" si="17"/>
        <v>16</v>
      </c>
      <c r="E227" s="202"/>
      <c r="F227" s="1088">
        <f t="shared" si="16"/>
        <v>32</v>
      </c>
      <c r="G227" s="1382" t="s">
        <v>5217</v>
      </c>
      <c r="H227" s="1379"/>
      <c r="I227" s="1379" t="s">
        <v>2344</v>
      </c>
      <c r="J227" s="2072"/>
      <c r="K227" s="664"/>
      <c r="L227" s="255"/>
      <c r="M227" s="1381" t="s">
        <v>5384</v>
      </c>
      <c r="N227" s="328" t="s">
        <v>1979</v>
      </c>
      <c r="O227" s="1379" t="s">
        <v>77</v>
      </c>
      <c r="P227" s="1378">
        <v>44694</v>
      </c>
      <c r="Q227" s="1378">
        <v>44694</v>
      </c>
      <c r="R227" s="1195" t="s">
        <v>4265</v>
      </c>
      <c r="S227" s="1083"/>
      <c r="T227" s="2067"/>
      <c r="U227" s="1088"/>
    </row>
    <row r="228" spans="1:21" s="197" customFormat="1" ht="60" customHeight="1">
      <c r="A228" s="1088" t="s">
        <v>2512</v>
      </c>
      <c r="B228" s="1378">
        <v>44694</v>
      </c>
      <c r="C228" s="1088">
        <v>2</v>
      </c>
      <c r="D228" s="1088">
        <f t="shared" si="17"/>
        <v>16</v>
      </c>
      <c r="E228" s="202"/>
      <c r="F228" s="1088">
        <f t="shared" si="16"/>
        <v>33</v>
      </c>
      <c r="G228" s="1382" t="s">
        <v>5218</v>
      </c>
      <c r="H228" s="1379"/>
      <c r="I228" s="1379" t="s">
        <v>2344</v>
      </c>
      <c r="J228" s="2072"/>
      <c r="K228" s="664"/>
      <c r="L228" s="255"/>
      <c r="M228" s="1381" t="s">
        <v>5384</v>
      </c>
      <c r="N228" s="328" t="s">
        <v>1979</v>
      </c>
      <c r="O228" s="1379" t="s">
        <v>77</v>
      </c>
      <c r="P228" s="1378">
        <v>44694</v>
      </c>
      <c r="Q228" s="1378">
        <v>44694</v>
      </c>
      <c r="R228" s="1195" t="s">
        <v>4265</v>
      </c>
      <c r="S228" s="1083"/>
      <c r="T228" s="2067"/>
      <c r="U228" s="1088"/>
    </row>
    <row r="229" spans="1:21" s="197" customFormat="1" ht="54.75" customHeight="1">
      <c r="A229" s="1088" t="s">
        <v>2512</v>
      </c>
      <c r="B229" s="1378">
        <v>44694</v>
      </c>
      <c r="C229" s="1088">
        <v>2</v>
      </c>
      <c r="D229" s="1088">
        <f t="shared" si="17"/>
        <v>16</v>
      </c>
      <c r="E229" s="1088"/>
      <c r="F229" s="1088">
        <f t="shared" ref="F229:F260" si="18">F228+1</f>
        <v>34</v>
      </c>
      <c r="G229" s="1382" t="s">
        <v>5219</v>
      </c>
      <c r="H229" s="1379"/>
      <c r="I229" s="1379" t="s">
        <v>2344</v>
      </c>
      <c r="J229" s="2072"/>
      <c r="K229" s="664"/>
      <c r="L229" s="255"/>
      <c r="M229" s="1381" t="s">
        <v>4850</v>
      </c>
      <c r="N229" s="328" t="s">
        <v>2574</v>
      </c>
      <c r="O229" s="1379" t="s">
        <v>77</v>
      </c>
      <c r="P229" s="1378">
        <v>44694</v>
      </c>
      <c r="Q229" s="1378">
        <v>44694</v>
      </c>
      <c r="R229" s="1195" t="s">
        <v>4265</v>
      </c>
      <c r="S229" s="1083"/>
      <c r="T229" s="1829"/>
      <c r="U229" s="1088"/>
    </row>
    <row r="230" spans="1:21" s="197" customFormat="1" ht="55.5" customHeight="1">
      <c r="A230" s="1088" t="s">
        <v>2512</v>
      </c>
      <c r="B230" s="1378">
        <v>44694</v>
      </c>
      <c r="C230" s="1088">
        <v>2</v>
      </c>
      <c r="D230" s="1088">
        <f t="shared" si="17"/>
        <v>16</v>
      </c>
      <c r="E230" s="1084" t="s">
        <v>4570</v>
      </c>
      <c r="F230" s="1088">
        <f t="shared" si="18"/>
        <v>35</v>
      </c>
      <c r="G230" s="1382" t="s">
        <v>5220</v>
      </c>
      <c r="H230" s="1379"/>
      <c r="I230" s="1379" t="s">
        <v>551</v>
      </c>
      <c r="J230" s="2072" t="s">
        <v>5962</v>
      </c>
      <c r="K230" s="189">
        <v>44862</v>
      </c>
      <c r="L230" s="255">
        <v>44898</v>
      </c>
      <c r="M230" s="1381" t="s">
        <v>5379</v>
      </c>
      <c r="N230" s="328" t="s">
        <v>1979</v>
      </c>
      <c r="O230" s="1379" t="s">
        <v>77</v>
      </c>
      <c r="P230" s="1378">
        <v>44694</v>
      </c>
      <c r="Q230" s="1378">
        <v>44694</v>
      </c>
      <c r="R230" s="1195" t="s">
        <v>4265</v>
      </c>
      <c r="S230" s="1083"/>
      <c r="T230" s="2067"/>
      <c r="U230" s="1088"/>
    </row>
    <row r="231" spans="1:21" s="197" customFormat="1" ht="60.75" customHeight="1">
      <c r="A231" s="1088" t="s">
        <v>2512</v>
      </c>
      <c r="B231" s="1378">
        <v>44694</v>
      </c>
      <c r="C231" s="1088">
        <v>2</v>
      </c>
      <c r="D231" s="1088">
        <f t="shared" si="17"/>
        <v>16</v>
      </c>
      <c r="E231" s="1084" t="s">
        <v>4570</v>
      </c>
      <c r="F231" s="1088">
        <f t="shared" si="18"/>
        <v>36</v>
      </c>
      <c r="G231" s="1382" t="s">
        <v>5221</v>
      </c>
      <c r="H231" s="1379"/>
      <c r="I231" s="1379" t="s">
        <v>551</v>
      </c>
      <c r="J231" s="2072" t="s">
        <v>5962</v>
      </c>
      <c r="K231" s="189">
        <v>44862</v>
      </c>
      <c r="L231" s="255">
        <v>44898</v>
      </c>
      <c r="M231" s="1381" t="s">
        <v>5379</v>
      </c>
      <c r="N231" s="328" t="s">
        <v>1979</v>
      </c>
      <c r="O231" s="1379" t="s">
        <v>77</v>
      </c>
      <c r="P231" s="1378">
        <v>44694</v>
      </c>
      <c r="Q231" s="1378">
        <v>44694</v>
      </c>
      <c r="R231" s="1195" t="s">
        <v>4265</v>
      </c>
      <c r="S231" s="1083"/>
      <c r="T231" s="2067"/>
      <c r="U231" s="1088"/>
    </row>
    <row r="232" spans="1:21" s="197" customFormat="1" ht="56.25" customHeight="1">
      <c r="A232" s="1088" t="s">
        <v>2512</v>
      </c>
      <c r="B232" s="1378">
        <v>44694</v>
      </c>
      <c r="C232" s="1088">
        <v>2</v>
      </c>
      <c r="D232" s="1088">
        <f t="shared" si="17"/>
        <v>16</v>
      </c>
      <c r="E232" s="1084" t="s">
        <v>4570</v>
      </c>
      <c r="F232" s="1088">
        <f t="shared" si="18"/>
        <v>37</v>
      </c>
      <c r="G232" s="1382" t="s">
        <v>5222</v>
      </c>
      <c r="H232" s="1379"/>
      <c r="I232" s="1379" t="s">
        <v>551</v>
      </c>
      <c r="J232" s="2072" t="s">
        <v>5962</v>
      </c>
      <c r="K232" s="189">
        <v>44862</v>
      </c>
      <c r="L232" s="255">
        <v>44898</v>
      </c>
      <c r="M232" s="1381" t="s">
        <v>5379</v>
      </c>
      <c r="N232" s="328" t="s">
        <v>1979</v>
      </c>
      <c r="O232" s="1379" t="s">
        <v>77</v>
      </c>
      <c r="P232" s="1378">
        <v>44694</v>
      </c>
      <c r="Q232" s="1378">
        <v>44694</v>
      </c>
      <c r="R232" s="1195" t="s">
        <v>4265</v>
      </c>
      <c r="S232" s="1083"/>
      <c r="T232" s="2067"/>
      <c r="U232" s="1088"/>
    </row>
    <row r="233" spans="1:21" s="197" customFormat="1" ht="40.5" customHeight="1">
      <c r="A233" s="1088" t="s">
        <v>2512</v>
      </c>
      <c r="B233" s="1378">
        <v>44694</v>
      </c>
      <c r="C233" s="1088">
        <v>2</v>
      </c>
      <c r="D233" s="1088">
        <f t="shared" si="17"/>
        <v>16</v>
      </c>
      <c r="E233" s="1088"/>
      <c r="F233" s="1088">
        <f t="shared" si="18"/>
        <v>38</v>
      </c>
      <c r="G233" s="1382" t="s">
        <v>5223</v>
      </c>
      <c r="H233" s="1379"/>
      <c r="I233" s="1379" t="s">
        <v>2344</v>
      </c>
      <c r="J233" s="2072"/>
      <c r="K233" s="664"/>
      <c r="L233" s="255"/>
      <c r="M233" s="1381" t="s">
        <v>2571</v>
      </c>
      <c r="N233" s="328" t="s">
        <v>2560</v>
      </c>
      <c r="O233" s="1379" t="s">
        <v>77</v>
      </c>
      <c r="P233" s="1378">
        <v>44694</v>
      </c>
      <c r="Q233" s="1378">
        <v>44694</v>
      </c>
      <c r="R233" s="1195" t="s">
        <v>4265</v>
      </c>
      <c r="S233" s="1083"/>
      <c r="T233" s="1829"/>
      <c r="U233" s="1088"/>
    </row>
    <row r="234" spans="1:21" s="197" customFormat="1" ht="40.5" customHeight="1">
      <c r="A234" s="1088" t="s">
        <v>2512</v>
      </c>
      <c r="B234" s="1378">
        <v>44694</v>
      </c>
      <c r="C234" s="1088">
        <v>2</v>
      </c>
      <c r="D234" s="1088">
        <f t="shared" si="17"/>
        <v>16</v>
      </c>
      <c r="E234" s="1088"/>
      <c r="F234" s="1088">
        <f t="shared" si="18"/>
        <v>39</v>
      </c>
      <c r="G234" s="1382" t="s">
        <v>5224</v>
      </c>
      <c r="H234" s="1379"/>
      <c r="I234" s="1379" t="s">
        <v>2344</v>
      </c>
      <c r="J234" s="2072"/>
      <c r="K234" s="664"/>
      <c r="L234" s="255"/>
      <c r="M234" s="1381" t="s">
        <v>2571</v>
      </c>
      <c r="N234" s="328" t="s">
        <v>2560</v>
      </c>
      <c r="O234" s="1379" t="s">
        <v>77</v>
      </c>
      <c r="P234" s="1378">
        <v>44694</v>
      </c>
      <c r="Q234" s="1378">
        <v>44694</v>
      </c>
      <c r="R234" s="1195" t="s">
        <v>4265</v>
      </c>
      <c r="S234" s="1083"/>
      <c r="T234" s="1829"/>
      <c r="U234" s="1088"/>
    </row>
    <row r="235" spans="1:21" s="197" customFormat="1" ht="40.5" customHeight="1">
      <c r="A235" s="1088" t="s">
        <v>2512</v>
      </c>
      <c r="B235" s="1378">
        <v>44694</v>
      </c>
      <c r="C235" s="1088">
        <v>2</v>
      </c>
      <c r="D235" s="1088">
        <f t="shared" si="17"/>
        <v>16</v>
      </c>
      <c r="E235" s="1088"/>
      <c r="F235" s="1088">
        <f t="shared" si="18"/>
        <v>40</v>
      </c>
      <c r="G235" s="1382" t="s">
        <v>5225</v>
      </c>
      <c r="H235" s="1379"/>
      <c r="I235" s="1379" t="s">
        <v>2344</v>
      </c>
      <c r="J235" s="2072"/>
      <c r="K235" s="664"/>
      <c r="L235" s="255"/>
      <c r="M235" s="1381" t="s">
        <v>2571</v>
      </c>
      <c r="N235" s="328" t="s">
        <v>2560</v>
      </c>
      <c r="O235" s="1379" t="s">
        <v>77</v>
      </c>
      <c r="P235" s="1378">
        <v>44694</v>
      </c>
      <c r="Q235" s="1378">
        <v>44694</v>
      </c>
      <c r="R235" s="1195" t="s">
        <v>4265</v>
      </c>
      <c r="S235" s="1083"/>
      <c r="T235" s="1829"/>
      <c r="U235" s="1088"/>
    </row>
    <row r="236" spans="1:21" s="197" customFormat="1" ht="40.5" customHeight="1">
      <c r="A236" s="1088" t="s">
        <v>2512</v>
      </c>
      <c r="B236" s="1378">
        <v>44694</v>
      </c>
      <c r="C236" s="1088">
        <v>2</v>
      </c>
      <c r="D236" s="1088">
        <f t="shared" si="17"/>
        <v>16</v>
      </c>
      <c r="E236" s="1088"/>
      <c r="F236" s="1088">
        <f t="shared" si="18"/>
        <v>41</v>
      </c>
      <c r="G236" s="1382" t="s">
        <v>5226</v>
      </c>
      <c r="H236" s="1379"/>
      <c r="I236" s="1379" t="s">
        <v>2344</v>
      </c>
      <c r="J236" s="2072"/>
      <c r="K236" s="664"/>
      <c r="L236" s="255"/>
      <c r="M236" s="1381" t="s">
        <v>2571</v>
      </c>
      <c r="N236" s="328" t="s">
        <v>2560</v>
      </c>
      <c r="O236" s="1379" t="s">
        <v>77</v>
      </c>
      <c r="P236" s="1378">
        <v>44694</v>
      </c>
      <c r="Q236" s="1378">
        <v>44694</v>
      </c>
      <c r="R236" s="1195" t="s">
        <v>4265</v>
      </c>
      <c r="S236" s="1083"/>
      <c r="T236" s="1829"/>
      <c r="U236" s="1088"/>
    </row>
    <row r="237" spans="1:21" s="197" customFormat="1" ht="44.25" customHeight="1">
      <c r="A237" s="1088" t="s">
        <v>2512</v>
      </c>
      <c r="B237" s="1378">
        <v>44694</v>
      </c>
      <c r="C237" s="1088">
        <v>2</v>
      </c>
      <c r="D237" s="1088">
        <f t="shared" si="17"/>
        <v>16</v>
      </c>
      <c r="E237" s="1088"/>
      <c r="F237" s="1088">
        <f t="shared" si="18"/>
        <v>42</v>
      </c>
      <c r="G237" s="1382" t="s">
        <v>5227</v>
      </c>
      <c r="H237" s="1379"/>
      <c r="I237" s="1379" t="s">
        <v>2344</v>
      </c>
      <c r="J237" s="2072"/>
      <c r="K237" s="664"/>
      <c r="L237" s="255"/>
      <c r="M237" s="1381" t="s">
        <v>2571</v>
      </c>
      <c r="N237" s="328" t="s">
        <v>2560</v>
      </c>
      <c r="O237" s="1379" t="s">
        <v>77</v>
      </c>
      <c r="P237" s="1378">
        <v>44694</v>
      </c>
      <c r="Q237" s="1378">
        <v>44694</v>
      </c>
      <c r="R237" s="1195" t="s">
        <v>4265</v>
      </c>
      <c r="S237" s="1083"/>
      <c r="T237" s="1829"/>
      <c r="U237" s="1088"/>
    </row>
    <row r="238" spans="1:21" s="197" customFormat="1" ht="40.5" customHeight="1">
      <c r="A238" s="1088" t="s">
        <v>2512</v>
      </c>
      <c r="B238" s="1378">
        <v>44694</v>
      </c>
      <c r="C238" s="1088">
        <v>2</v>
      </c>
      <c r="D238" s="1088">
        <f t="shared" si="17"/>
        <v>16</v>
      </c>
      <c r="E238" s="1088"/>
      <c r="F238" s="1088">
        <f t="shared" si="18"/>
        <v>43</v>
      </c>
      <c r="G238" s="1382" t="s">
        <v>5228</v>
      </c>
      <c r="H238" s="1379"/>
      <c r="I238" s="1379" t="s">
        <v>2344</v>
      </c>
      <c r="J238" s="2072"/>
      <c r="K238" s="664"/>
      <c r="L238" s="255"/>
      <c r="M238" s="1381" t="s">
        <v>2571</v>
      </c>
      <c r="N238" s="328" t="s">
        <v>2560</v>
      </c>
      <c r="O238" s="1379" t="s">
        <v>77</v>
      </c>
      <c r="P238" s="1378">
        <v>44694</v>
      </c>
      <c r="Q238" s="1378">
        <v>44694</v>
      </c>
      <c r="R238" s="1195" t="s">
        <v>4265</v>
      </c>
      <c r="S238" s="1083"/>
      <c r="T238" s="1829"/>
      <c r="U238" s="1088"/>
    </row>
    <row r="239" spans="1:21" s="197" customFormat="1" ht="40.5" customHeight="1">
      <c r="A239" s="1088" t="s">
        <v>2512</v>
      </c>
      <c r="B239" s="1378">
        <v>44694</v>
      </c>
      <c r="C239" s="1088">
        <v>2</v>
      </c>
      <c r="D239" s="1088">
        <f t="shared" si="17"/>
        <v>16</v>
      </c>
      <c r="E239" s="1088"/>
      <c r="F239" s="1088">
        <f t="shared" si="18"/>
        <v>44</v>
      </c>
      <c r="G239" s="1382" t="s">
        <v>5229</v>
      </c>
      <c r="H239" s="1379"/>
      <c r="I239" s="1379" t="s">
        <v>2344</v>
      </c>
      <c r="J239" s="2072"/>
      <c r="K239" s="664"/>
      <c r="L239" s="255"/>
      <c r="M239" s="1381" t="s">
        <v>2571</v>
      </c>
      <c r="N239" s="328" t="s">
        <v>2560</v>
      </c>
      <c r="O239" s="1379" t="s">
        <v>77</v>
      </c>
      <c r="P239" s="1378">
        <v>44694</v>
      </c>
      <c r="Q239" s="1378">
        <v>44694</v>
      </c>
      <c r="R239" s="1195" t="s">
        <v>4265</v>
      </c>
      <c r="S239" s="1083"/>
      <c r="T239" s="1829"/>
      <c r="U239" s="1088"/>
    </row>
    <row r="240" spans="1:21" s="197" customFormat="1" ht="40.5" customHeight="1">
      <c r="A240" s="1088" t="s">
        <v>2512</v>
      </c>
      <c r="B240" s="1378">
        <v>44694</v>
      </c>
      <c r="C240" s="1088">
        <v>2</v>
      </c>
      <c r="D240" s="1088">
        <f t="shared" si="17"/>
        <v>16</v>
      </c>
      <c r="E240" s="1088"/>
      <c r="F240" s="1088">
        <f t="shared" si="18"/>
        <v>45</v>
      </c>
      <c r="G240" s="1382" t="s">
        <v>5230</v>
      </c>
      <c r="H240" s="1379"/>
      <c r="I240" s="1379" t="s">
        <v>2344</v>
      </c>
      <c r="J240" s="2072"/>
      <c r="K240" s="664"/>
      <c r="L240" s="255"/>
      <c r="M240" s="1381" t="s">
        <v>2622</v>
      </c>
      <c r="N240" s="328" t="s">
        <v>2560</v>
      </c>
      <c r="O240" s="1379" t="s">
        <v>77</v>
      </c>
      <c r="P240" s="1378">
        <v>44694</v>
      </c>
      <c r="Q240" s="1378">
        <v>44694</v>
      </c>
      <c r="R240" s="1195" t="s">
        <v>4265</v>
      </c>
      <c r="S240" s="1083"/>
      <c r="T240" s="1829"/>
      <c r="U240" s="1088"/>
    </row>
    <row r="241" spans="1:21" s="197" customFormat="1" ht="48.75" customHeight="1">
      <c r="A241" s="1088" t="s">
        <v>2512</v>
      </c>
      <c r="B241" s="1378">
        <v>44854</v>
      </c>
      <c r="C241" s="1088">
        <v>3</v>
      </c>
      <c r="D241" s="1088">
        <f t="shared" si="17"/>
        <v>16</v>
      </c>
      <c r="E241" s="560" t="s">
        <v>4398</v>
      </c>
      <c r="F241" s="1088">
        <f t="shared" si="18"/>
        <v>46</v>
      </c>
      <c r="G241" s="1382" t="s">
        <v>5418</v>
      </c>
      <c r="H241" s="1379"/>
      <c r="I241" s="1379" t="s">
        <v>551</v>
      </c>
      <c r="J241" s="2072" t="s">
        <v>5963</v>
      </c>
      <c r="K241" s="189">
        <v>44770</v>
      </c>
      <c r="L241" s="190">
        <v>44814</v>
      </c>
      <c r="M241" s="1381" t="s">
        <v>2515</v>
      </c>
      <c r="N241" s="328" t="s">
        <v>1979</v>
      </c>
      <c r="O241" s="1379" t="s">
        <v>166</v>
      </c>
      <c r="P241" s="1378">
        <v>44854</v>
      </c>
      <c r="Q241" s="1378">
        <v>44854</v>
      </c>
      <c r="R241" s="1195" t="s">
        <v>4265</v>
      </c>
      <c r="S241" s="1083"/>
      <c r="T241" s="2067"/>
      <c r="U241" s="1088"/>
    </row>
    <row r="242" spans="1:21" s="197" customFormat="1" ht="58.5" customHeight="1">
      <c r="A242" s="1088" t="s">
        <v>2512</v>
      </c>
      <c r="B242" s="1378">
        <v>44694</v>
      </c>
      <c r="C242" s="1088">
        <v>2</v>
      </c>
      <c r="D242" s="1088">
        <f t="shared" si="17"/>
        <v>16</v>
      </c>
      <c r="E242" s="1084" t="s">
        <v>4571</v>
      </c>
      <c r="F242" s="1088">
        <f t="shared" si="18"/>
        <v>47</v>
      </c>
      <c r="G242" s="1382" t="s">
        <v>5232</v>
      </c>
      <c r="H242" s="1379"/>
      <c r="I242" s="1379" t="s">
        <v>551</v>
      </c>
      <c r="J242" s="2072" t="s">
        <v>5962</v>
      </c>
      <c r="K242" s="189">
        <v>44862</v>
      </c>
      <c r="L242" s="255">
        <v>44898</v>
      </c>
      <c r="M242" s="1381" t="s">
        <v>4875</v>
      </c>
      <c r="N242" s="328" t="s">
        <v>5239</v>
      </c>
      <c r="O242" s="1379" t="s">
        <v>77</v>
      </c>
      <c r="P242" s="1378">
        <v>44694</v>
      </c>
      <c r="Q242" s="1378">
        <v>44694</v>
      </c>
      <c r="R242" s="1195" t="s">
        <v>4265</v>
      </c>
      <c r="S242" s="1083"/>
      <c r="T242" s="2067"/>
      <c r="U242" s="1088"/>
    </row>
    <row r="243" spans="1:21" s="197" customFormat="1" ht="63" customHeight="1">
      <c r="A243" s="1088" t="s">
        <v>2512</v>
      </c>
      <c r="B243" s="1378">
        <v>44694</v>
      </c>
      <c r="C243" s="1088">
        <v>2</v>
      </c>
      <c r="D243" s="1088">
        <f t="shared" si="17"/>
        <v>16</v>
      </c>
      <c r="E243" s="1084" t="s">
        <v>4571</v>
      </c>
      <c r="F243" s="1088">
        <f t="shared" si="18"/>
        <v>48</v>
      </c>
      <c r="G243" s="1382" t="s">
        <v>5233</v>
      </c>
      <c r="H243" s="1379"/>
      <c r="I243" s="1379" t="s">
        <v>551</v>
      </c>
      <c r="J243" s="2072" t="s">
        <v>5962</v>
      </c>
      <c r="K243" s="189">
        <v>44862</v>
      </c>
      <c r="L243" s="255">
        <v>44898</v>
      </c>
      <c r="M243" s="1381" t="s">
        <v>4875</v>
      </c>
      <c r="N243" s="328" t="s">
        <v>5239</v>
      </c>
      <c r="O243" s="1379" t="s">
        <v>77</v>
      </c>
      <c r="P243" s="1378">
        <v>44694</v>
      </c>
      <c r="Q243" s="1378">
        <v>44694</v>
      </c>
      <c r="R243" s="1195" t="s">
        <v>4265</v>
      </c>
      <c r="S243" s="1083"/>
      <c r="T243" s="2067"/>
      <c r="U243" s="1088"/>
    </row>
    <row r="244" spans="1:21" s="197" customFormat="1" ht="62.25" customHeight="1">
      <c r="A244" s="1088" t="s">
        <v>2512</v>
      </c>
      <c r="B244" s="1378">
        <v>44694</v>
      </c>
      <c r="C244" s="1088">
        <v>2</v>
      </c>
      <c r="D244" s="1088">
        <f t="shared" si="17"/>
        <v>16</v>
      </c>
      <c r="E244" s="1084" t="s">
        <v>4571</v>
      </c>
      <c r="F244" s="1088">
        <f t="shared" si="18"/>
        <v>49</v>
      </c>
      <c r="G244" s="1382" t="s">
        <v>5234</v>
      </c>
      <c r="H244" s="1379"/>
      <c r="I244" s="1379" t="s">
        <v>551</v>
      </c>
      <c r="J244" s="2072" t="s">
        <v>5962</v>
      </c>
      <c r="K244" s="189">
        <v>44862</v>
      </c>
      <c r="L244" s="255">
        <v>44898</v>
      </c>
      <c r="M244" s="1381" t="s">
        <v>4875</v>
      </c>
      <c r="N244" s="328" t="s">
        <v>5239</v>
      </c>
      <c r="O244" s="1379" t="s">
        <v>77</v>
      </c>
      <c r="P244" s="1378">
        <v>44694</v>
      </c>
      <c r="Q244" s="1378">
        <v>44694</v>
      </c>
      <c r="R244" s="1195" t="s">
        <v>4265</v>
      </c>
      <c r="S244" s="1083"/>
      <c r="T244" s="2067"/>
      <c r="U244" s="1088"/>
    </row>
    <row r="245" spans="1:21" s="197" customFormat="1" ht="40.5" customHeight="1">
      <c r="A245" s="1088" t="s">
        <v>2512</v>
      </c>
      <c r="B245" s="1378">
        <v>44694</v>
      </c>
      <c r="C245" s="1088">
        <v>2</v>
      </c>
      <c r="D245" s="1088">
        <f t="shared" si="17"/>
        <v>16</v>
      </c>
      <c r="E245" s="1088"/>
      <c r="F245" s="1088">
        <f t="shared" si="18"/>
        <v>50</v>
      </c>
      <c r="G245" s="1382" t="s">
        <v>5235</v>
      </c>
      <c r="H245" s="1379"/>
      <c r="I245" s="1379" t="s">
        <v>2344</v>
      </c>
      <c r="J245" s="2072"/>
      <c r="K245" s="664"/>
      <c r="L245" s="255"/>
      <c r="M245" s="1381" t="s">
        <v>5387</v>
      </c>
      <c r="N245" s="328" t="s">
        <v>1980</v>
      </c>
      <c r="O245" s="1379" t="s">
        <v>77</v>
      </c>
      <c r="P245" s="1378">
        <v>44694</v>
      </c>
      <c r="Q245" s="1378">
        <v>44694</v>
      </c>
      <c r="R245" s="1195" t="s">
        <v>4265</v>
      </c>
      <c r="S245" s="1083"/>
      <c r="T245" s="1829"/>
      <c r="U245" s="1088"/>
    </row>
    <row r="246" spans="1:21" s="197" customFormat="1" ht="62.25" customHeight="1">
      <c r="A246" s="1088" t="s">
        <v>2512</v>
      </c>
      <c r="B246" s="1378">
        <v>44694</v>
      </c>
      <c r="C246" s="1088">
        <v>2</v>
      </c>
      <c r="D246" s="1088">
        <f t="shared" si="17"/>
        <v>16</v>
      </c>
      <c r="E246" s="1086" t="s">
        <v>4391</v>
      </c>
      <c r="F246" s="1088">
        <f t="shared" si="18"/>
        <v>51</v>
      </c>
      <c r="G246" s="1382" t="s">
        <v>5236</v>
      </c>
      <c r="H246" s="1379"/>
      <c r="I246" s="1379" t="s">
        <v>551</v>
      </c>
      <c r="J246" s="2072" t="s">
        <v>5963</v>
      </c>
      <c r="K246" s="189">
        <v>44692</v>
      </c>
      <c r="L246" s="190">
        <v>44765</v>
      </c>
      <c r="M246" s="1381" t="s">
        <v>2750</v>
      </c>
      <c r="N246" s="328" t="s">
        <v>1980</v>
      </c>
      <c r="O246" s="1379" t="s">
        <v>77</v>
      </c>
      <c r="P246" s="1378">
        <v>44694</v>
      </c>
      <c r="Q246" s="1378">
        <v>44694</v>
      </c>
      <c r="R246" s="1195" t="s">
        <v>4265</v>
      </c>
      <c r="S246" s="1083"/>
      <c r="T246" s="2067"/>
      <c r="U246" s="1088"/>
    </row>
    <row r="247" spans="1:21" s="197" customFormat="1" ht="40.5" customHeight="1">
      <c r="A247" s="1088" t="s">
        <v>2512</v>
      </c>
      <c r="B247" s="1378">
        <v>44694</v>
      </c>
      <c r="C247" s="1088">
        <v>2</v>
      </c>
      <c r="D247" s="1088">
        <f t="shared" si="17"/>
        <v>16</v>
      </c>
      <c r="E247" s="1084" t="s">
        <v>4572</v>
      </c>
      <c r="F247" s="1088">
        <f t="shared" si="18"/>
        <v>52</v>
      </c>
      <c r="G247" s="1382" t="s">
        <v>5237</v>
      </c>
      <c r="H247" s="1379"/>
      <c r="I247" s="1379" t="s">
        <v>551</v>
      </c>
      <c r="J247" s="2072" t="s">
        <v>5962</v>
      </c>
      <c r="K247" s="189">
        <v>44847</v>
      </c>
      <c r="L247" s="255">
        <v>44895</v>
      </c>
      <c r="M247" s="1381" t="s">
        <v>4876</v>
      </c>
      <c r="N247" s="328" t="s">
        <v>2560</v>
      </c>
      <c r="O247" s="1379" t="s">
        <v>77</v>
      </c>
      <c r="P247" s="1378">
        <v>44694</v>
      </c>
      <c r="Q247" s="1378">
        <v>44694</v>
      </c>
      <c r="R247" s="1195" t="s">
        <v>4265</v>
      </c>
      <c r="S247" s="1083"/>
      <c r="T247" s="2067"/>
      <c r="U247" s="1088"/>
    </row>
    <row r="248" spans="1:21" s="197" customFormat="1" ht="57.75" customHeight="1">
      <c r="A248" s="1088" t="s">
        <v>2512</v>
      </c>
      <c r="B248" s="1378">
        <v>44694</v>
      </c>
      <c r="C248" s="1088">
        <v>2</v>
      </c>
      <c r="D248" s="1088">
        <f t="shared" si="17"/>
        <v>16</v>
      </c>
      <c r="E248" s="1088"/>
      <c r="F248" s="1088">
        <f t="shared" si="18"/>
        <v>53</v>
      </c>
      <c r="G248" s="1382" t="s">
        <v>5238</v>
      </c>
      <c r="H248" s="1379"/>
      <c r="I248" s="1379" t="s">
        <v>2344</v>
      </c>
      <c r="J248" s="2072"/>
      <c r="K248" s="664"/>
      <c r="L248" s="255"/>
      <c r="M248" s="1381" t="s">
        <v>3460</v>
      </c>
      <c r="N248" s="328" t="s">
        <v>1979</v>
      </c>
      <c r="O248" s="1379" t="s">
        <v>77</v>
      </c>
      <c r="P248" s="1378">
        <v>44694</v>
      </c>
      <c r="Q248" s="1378">
        <v>44694</v>
      </c>
      <c r="R248" s="1195" t="s">
        <v>4265</v>
      </c>
      <c r="S248" s="1083"/>
      <c r="T248" s="1829"/>
      <c r="U248" s="1088"/>
    </row>
    <row r="249" spans="1:21" s="197" customFormat="1" ht="52.5" customHeight="1">
      <c r="A249" s="1088" t="s">
        <v>2512</v>
      </c>
      <c r="B249" s="1378">
        <v>44694</v>
      </c>
      <c r="C249" s="1088">
        <v>2</v>
      </c>
      <c r="D249" s="1088">
        <v>17</v>
      </c>
      <c r="E249" s="1088"/>
      <c r="F249" s="1088">
        <f t="shared" si="18"/>
        <v>54</v>
      </c>
      <c r="G249" s="1382" t="s">
        <v>5240</v>
      </c>
      <c r="H249" s="1379"/>
      <c r="I249" s="1379" t="s">
        <v>2344</v>
      </c>
      <c r="J249" s="2072"/>
      <c r="K249" s="664"/>
      <c r="L249" s="255"/>
      <c r="M249" s="1381" t="s">
        <v>2599</v>
      </c>
      <c r="N249" s="328" t="s">
        <v>1979</v>
      </c>
      <c r="O249" s="1379" t="s">
        <v>77</v>
      </c>
      <c r="P249" s="1378">
        <v>44694</v>
      </c>
      <c r="Q249" s="1378">
        <v>44694</v>
      </c>
      <c r="R249" s="1195" t="s">
        <v>4265</v>
      </c>
      <c r="S249" s="1083"/>
      <c r="T249" s="1829"/>
      <c r="U249" s="1088"/>
    </row>
    <row r="250" spans="1:21" s="197" customFormat="1" ht="52.5" customHeight="1">
      <c r="A250" s="1088" t="s">
        <v>2512</v>
      </c>
      <c r="B250" s="1378">
        <v>44694</v>
      </c>
      <c r="C250" s="1088">
        <v>2</v>
      </c>
      <c r="D250" s="1088">
        <f t="shared" ref="D250:D277" si="19">D249</f>
        <v>17</v>
      </c>
      <c r="E250" s="1088"/>
      <c r="F250" s="1088">
        <f t="shared" si="18"/>
        <v>55</v>
      </c>
      <c r="G250" s="1382" t="s">
        <v>5241</v>
      </c>
      <c r="H250" s="1379"/>
      <c r="I250" s="1379" t="s">
        <v>2344</v>
      </c>
      <c r="J250" s="2072"/>
      <c r="K250" s="664"/>
      <c r="L250" s="255"/>
      <c r="M250" s="1381" t="s">
        <v>4741</v>
      </c>
      <c r="N250" s="328" t="s">
        <v>1979</v>
      </c>
      <c r="O250" s="1379" t="s">
        <v>77</v>
      </c>
      <c r="P250" s="1378">
        <v>44694</v>
      </c>
      <c r="Q250" s="1378">
        <v>44694</v>
      </c>
      <c r="R250" s="1195" t="s">
        <v>4265</v>
      </c>
      <c r="S250" s="1083"/>
      <c r="T250" s="1829"/>
      <c r="U250" s="1088"/>
    </row>
    <row r="251" spans="1:21" s="197" customFormat="1" ht="56.25" customHeight="1">
      <c r="A251" s="1088" t="s">
        <v>2512</v>
      </c>
      <c r="B251" s="1378">
        <v>44694</v>
      </c>
      <c r="C251" s="1088">
        <v>2</v>
      </c>
      <c r="D251" s="1088">
        <f t="shared" si="19"/>
        <v>17</v>
      </c>
      <c r="E251" s="1088"/>
      <c r="F251" s="1088">
        <f t="shared" si="18"/>
        <v>56</v>
      </c>
      <c r="G251" s="1382" t="s">
        <v>5242</v>
      </c>
      <c r="H251" s="1379"/>
      <c r="I251" s="1379" t="s">
        <v>2344</v>
      </c>
      <c r="J251" s="2072"/>
      <c r="K251" s="664"/>
      <c r="L251" s="255"/>
      <c r="M251" s="1381" t="s">
        <v>2723</v>
      </c>
      <c r="N251" s="328" t="s">
        <v>1979</v>
      </c>
      <c r="O251" s="1379" t="s">
        <v>77</v>
      </c>
      <c r="P251" s="1378">
        <v>44694</v>
      </c>
      <c r="Q251" s="1378">
        <v>44694</v>
      </c>
      <c r="R251" s="1195" t="s">
        <v>4265</v>
      </c>
      <c r="S251" s="1083"/>
      <c r="T251" s="1829"/>
      <c r="U251" s="1088"/>
    </row>
    <row r="252" spans="1:21" s="197" customFormat="1" ht="48.75" customHeight="1">
      <c r="A252" s="1088" t="s">
        <v>2512</v>
      </c>
      <c r="B252" s="1378">
        <v>44694</v>
      </c>
      <c r="C252" s="1088">
        <v>2</v>
      </c>
      <c r="D252" s="1088">
        <f t="shared" si="19"/>
        <v>17</v>
      </c>
      <c r="E252" s="1088"/>
      <c r="F252" s="1088">
        <f t="shared" si="18"/>
        <v>57</v>
      </c>
      <c r="G252" s="1382" t="s">
        <v>5243</v>
      </c>
      <c r="H252" s="1379"/>
      <c r="I252" s="1379" t="s">
        <v>2344</v>
      </c>
      <c r="J252" s="2072"/>
      <c r="K252" s="664"/>
      <c r="L252" s="255"/>
      <c r="M252" s="1381" t="s">
        <v>2723</v>
      </c>
      <c r="N252" s="328" t="s">
        <v>1979</v>
      </c>
      <c r="O252" s="1379" t="s">
        <v>77</v>
      </c>
      <c r="P252" s="1378">
        <v>44694</v>
      </c>
      <c r="Q252" s="1378">
        <v>44694</v>
      </c>
      <c r="R252" s="1195" t="s">
        <v>4265</v>
      </c>
      <c r="S252" s="1083"/>
      <c r="T252" s="1829"/>
      <c r="U252" s="1088"/>
    </row>
    <row r="253" spans="1:21" s="197" customFormat="1" ht="40.5" customHeight="1">
      <c r="A253" s="1088" t="s">
        <v>2512</v>
      </c>
      <c r="B253" s="1378">
        <v>44694</v>
      </c>
      <c r="C253" s="1088">
        <v>2</v>
      </c>
      <c r="D253" s="1088">
        <f t="shared" si="19"/>
        <v>17</v>
      </c>
      <c r="E253" s="1088"/>
      <c r="F253" s="1088">
        <f t="shared" si="18"/>
        <v>58</v>
      </c>
      <c r="G253" s="1382" t="s">
        <v>5244</v>
      </c>
      <c r="H253" s="1379"/>
      <c r="I253" s="1379" t="s">
        <v>2344</v>
      </c>
      <c r="J253" s="2072"/>
      <c r="K253" s="664"/>
      <c r="L253" s="255"/>
      <c r="M253" s="1381" t="s">
        <v>4758</v>
      </c>
      <c r="N253" s="328" t="s">
        <v>1979</v>
      </c>
      <c r="O253" s="1379" t="s">
        <v>77</v>
      </c>
      <c r="P253" s="1378">
        <v>44694</v>
      </c>
      <c r="Q253" s="1378">
        <v>44694</v>
      </c>
      <c r="R253" s="1195" t="s">
        <v>4265</v>
      </c>
      <c r="S253" s="1083"/>
      <c r="T253" s="1829"/>
      <c r="U253" s="1088"/>
    </row>
    <row r="254" spans="1:21" s="197" customFormat="1" ht="40.5" customHeight="1">
      <c r="A254" s="1088" t="s">
        <v>2512</v>
      </c>
      <c r="B254" s="1378">
        <v>44694</v>
      </c>
      <c r="C254" s="1088">
        <v>2</v>
      </c>
      <c r="D254" s="1088">
        <f t="shared" si="19"/>
        <v>17</v>
      </c>
      <c r="E254" s="1088"/>
      <c r="F254" s="1088">
        <f t="shared" si="18"/>
        <v>59</v>
      </c>
      <c r="G254" s="1382" t="s">
        <v>5245</v>
      </c>
      <c r="H254" s="1379"/>
      <c r="I254" s="1379" t="s">
        <v>2344</v>
      </c>
      <c r="J254" s="2072"/>
      <c r="K254" s="664"/>
      <c r="L254" s="255"/>
      <c r="M254" s="1381" t="s">
        <v>5388</v>
      </c>
      <c r="N254" s="328" t="s">
        <v>1979</v>
      </c>
      <c r="O254" s="1379" t="s">
        <v>77</v>
      </c>
      <c r="P254" s="1378">
        <v>44694</v>
      </c>
      <c r="Q254" s="1378">
        <v>44694</v>
      </c>
      <c r="R254" s="1195" t="s">
        <v>4265</v>
      </c>
      <c r="S254" s="1083"/>
      <c r="T254" s="1829"/>
      <c r="U254" s="1088"/>
    </row>
    <row r="255" spans="1:21" s="197" customFormat="1" ht="40.5" customHeight="1">
      <c r="A255" s="1088" t="s">
        <v>2512</v>
      </c>
      <c r="B255" s="1378">
        <v>44694</v>
      </c>
      <c r="C255" s="1088">
        <v>2</v>
      </c>
      <c r="D255" s="1088">
        <f t="shared" si="19"/>
        <v>17</v>
      </c>
      <c r="E255" s="1088"/>
      <c r="F255" s="1088">
        <f t="shared" si="18"/>
        <v>60</v>
      </c>
      <c r="G255" s="1382" t="s">
        <v>5246</v>
      </c>
      <c r="H255" s="1379"/>
      <c r="I255" s="1379" t="s">
        <v>2344</v>
      </c>
      <c r="J255" s="2072"/>
      <c r="K255" s="664"/>
      <c r="L255" s="255"/>
      <c r="M255" s="1381" t="s">
        <v>4824</v>
      </c>
      <c r="N255" s="328" t="s">
        <v>1979</v>
      </c>
      <c r="O255" s="1379" t="s">
        <v>77</v>
      </c>
      <c r="P255" s="1378">
        <v>44694</v>
      </c>
      <c r="Q255" s="1378">
        <v>44694</v>
      </c>
      <c r="R255" s="1195" t="s">
        <v>4265</v>
      </c>
      <c r="S255" s="1083"/>
      <c r="T255" s="1829"/>
      <c r="U255" s="1088"/>
    </row>
    <row r="256" spans="1:21" s="197" customFormat="1" ht="40.5" customHeight="1">
      <c r="A256" s="1088" t="s">
        <v>2512</v>
      </c>
      <c r="B256" s="1378">
        <v>44909</v>
      </c>
      <c r="C256" s="1088">
        <v>4</v>
      </c>
      <c r="D256" s="1088">
        <f t="shared" si="19"/>
        <v>17</v>
      </c>
      <c r="E256" s="560"/>
      <c r="F256" s="1088">
        <f t="shared" si="18"/>
        <v>61</v>
      </c>
      <c r="G256" s="1382" t="s">
        <v>5165</v>
      </c>
      <c r="H256" s="1379"/>
      <c r="I256" s="1379"/>
      <c r="J256" s="2072"/>
      <c r="K256" s="664"/>
      <c r="L256" s="255"/>
      <c r="M256" s="1381" t="s">
        <v>5383</v>
      </c>
      <c r="N256" s="328" t="s">
        <v>1979</v>
      </c>
      <c r="O256" s="1379" t="s">
        <v>5855</v>
      </c>
      <c r="P256" s="1378">
        <v>44909</v>
      </c>
      <c r="Q256" s="1378">
        <v>44909</v>
      </c>
      <c r="R256" s="1195" t="s">
        <v>4265</v>
      </c>
      <c r="S256" s="1083"/>
      <c r="T256" s="2067"/>
      <c r="U256" s="1088"/>
    </row>
    <row r="257" spans="1:21" s="197" customFormat="1" ht="40.5" customHeight="1">
      <c r="A257" s="1088" t="s">
        <v>2512</v>
      </c>
      <c r="B257" s="1378">
        <v>44694</v>
      </c>
      <c r="C257" s="1088">
        <v>2</v>
      </c>
      <c r="D257" s="1088">
        <f t="shared" si="19"/>
        <v>17</v>
      </c>
      <c r="E257" s="1088"/>
      <c r="F257" s="1088">
        <f t="shared" si="18"/>
        <v>62</v>
      </c>
      <c r="G257" s="1382" t="s">
        <v>5248</v>
      </c>
      <c r="H257" s="1379"/>
      <c r="I257" s="1379" t="s">
        <v>2344</v>
      </c>
      <c r="J257" s="2072"/>
      <c r="K257" s="664"/>
      <c r="L257" s="255"/>
      <c r="M257" s="1381" t="s">
        <v>2642</v>
      </c>
      <c r="N257" s="328" t="s">
        <v>2640</v>
      </c>
      <c r="O257" s="1379" t="s">
        <v>77</v>
      </c>
      <c r="P257" s="1378">
        <v>44694</v>
      </c>
      <c r="Q257" s="1378">
        <v>44694</v>
      </c>
      <c r="R257" s="1195" t="s">
        <v>4265</v>
      </c>
      <c r="S257" s="1083"/>
      <c r="T257" s="1829"/>
      <c r="U257" s="1088"/>
    </row>
    <row r="258" spans="1:21" s="197" customFormat="1" ht="40.5" customHeight="1">
      <c r="A258" s="1088" t="s">
        <v>2512</v>
      </c>
      <c r="B258" s="1378">
        <v>44694</v>
      </c>
      <c r="C258" s="1088">
        <v>2</v>
      </c>
      <c r="D258" s="1088">
        <f t="shared" si="19"/>
        <v>17</v>
      </c>
      <c r="E258" s="1088"/>
      <c r="F258" s="1088">
        <f t="shared" si="18"/>
        <v>63</v>
      </c>
      <c r="G258" s="1382" t="s">
        <v>5249</v>
      </c>
      <c r="H258" s="1379"/>
      <c r="I258" s="1379" t="s">
        <v>2344</v>
      </c>
      <c r="J258" s="2072"/>
      <c r="K258" s="664"/>
      <c r="L258" s="255"/>
      <c r="M258" s="1381" t="s">
        <v>2672</v>
      </c>
      <c r="N258" s="328" t="s">
        <v>2640</v>
      </c>
      <c r="O258" s="1379" t="s">
        <v>77</v>
      </c>
      <c r="P258" s="1378">
        <v>44694</v>
      </c>
      <c r="Q258" s="1378">
        <v>44694</v>
      </c>
      <c r="R258" s="1195" t="s">
        <v>4265</v>
      </c>
      <c r="S258" s="1083"/>
      <c r="T258" s="1829"/>
      <c r="U258" s="1088"/>
    </row>
    <row r="259" spans="1:21" s="197" customFormat="1" ht="56.25" customHeight="1">
      <c r="A259" s="1088" t="s">
        <v>2512</v>
      </c>
      <c r="B259" s="1378">
        <v>44694</v>
      </c>
      <c r="C259" s="1088">
        <v>2</v>
      </c>
      <c r="D259" s="1088">
        <f t="shared" si="19"/>
        <v>17</v>
      </c>
      <c r="E259" s="1088"/>
      <c r="F259" s="1088">
        <f t="shared" si="18"/>
        <v>64</v>
      </c>
      <c r="G259" s="1382" t="s">
        <v>5250</v>
      </c>
      <c r="H259" s="1379"/>
      <c r="I259" s="1379" t="s">
        <v>2344</v>
      </c>
      <c r="J259" s="2072"/>
      <c r="K259" s="664"/>
      <c r="L259" s="255"/>
      <c r="M259" s="1381" t="s">
        <v>5379</v>
      </c>
      <c r="N259" s="328" t="s">
        <v>1979</v>
      </c>
      <c r="O259" s="1379" t="s">
        <v>77</v>
      </c>
      <c r="P259" s="1378">
        <v>44694</v>
      </c>
      <c r="Q259" s="1378">
        <v>44694</v>
      </c>
      <c r="R259" s="1195" t="s">
        <v>4265</v>
      </c>
      <c r="S259" s="1083"/>
      <c r="T259" s="1829"/>
      <c r="U259" s="1088"/>
    </row>
    <row r="260" spans="1:21" s="197" customFormat="1" ht="56.25" customHeight="1">
      <c r="A260" s="1088" t="s">
        <v>2512</v>
      </c>
      <c r="B260" s="1378">
        <v>44694</v>
      </c>
      <c r="C260" s="1088">
        <v>2</v>
      </c>
      <c r="D260" s="1088">
        <f t="shared" si="19"/>
        <v>17</v>
      </c>
      <c r="E260" s="1088"/>
      <c r="F260" s="1088">
        <f t="shared" si="18"/>
        <v>65</v>
      </c>
      <c r="G260" s="1382" t="s">
        <v>5251</v>
      </c>
      <c r="H260" s="1379"/>
      <c r="I260" s="1379" t="s">
        <v>2344</v>
      </c>
      <c r="J260" s="2072"/>
      <c r="K260" s="664"/>
      <c r="L260" s="255"/>
      <c r="M260" s="1381" t="s">
        <v>5379</v>
      </c>
      <c r="N260" s="328" t="s">
        <v>1979</v>
      </c>
      <c r="O260" s="1379" t="s">
        <v>77</v>
      </c>
      <c r="P260" s="1378">
        <v>44694</v>
      </c>
      <c r="Q260" s="1378">
        <v>44694</v>
      </c>
      <c r="R260" s="1195" t="s">
        <v>4265</v>
      </c>
      <c r="S260" s="1083"/>
      <c r="T260" s="1829"/>
      <c r="U260" s="1088"/>
    </row>
    <row r="261" spans="1:21" s="197" customFormat="1" ht="57.75" customHeight="1">
      <c r="A261" s="1088" t="s">
        <v>2512</v>
      </c>
      <c r="B261" s="1378">
        <v>44694</v>
      </c>
      <c r="C261" s="1088">
        <v>2</v>
      </c>
      <c r="D261" s="1088">
        <f t="shared" si="19"/>
        <v>17</v>
      </c>
      <c r="E261" s="1088"/>
      <c r="F261" s="1088">
        <f t="shared" ref="F261:F278" si="20">F260+1</f>
        <v>66</v>
      </c>
      <c r="G261" s="1382" t="s">
        <v>5252</v>
      </c>
      <c r="H261" s="1379"/>
      <c r="I261" s="1379" t="s">
        <v>2344</v>
      </c>
      <c r="J261" s="2072"/>
      <c r="K261" s="664"/>
      <c r="L261" s="255"/>
      <c r="M261" s="1381" t="s">
        <v>5379</v>
      </c>
      <c r="N261" s="328" t="s">
        <v>1979</v>
      </c>
      <c r="O261" s="1379" t="s">
        <v>77</v>
      </c>
      <c r="P261" s="1378">
        <v>44694</v>
      </c>
      <c r="Q261" s="1378">
        <v>44694</v>
      </c>
      <c r="R261" s="1195" t="s">
        <v>4265</v>
      </c>
      <c r="S261" s="1083"/>
      <c r="T261" s="1829"/>
      <c r="U261" s="1088"/>
    </row>
    <row r="262" spans="1:21" s="197" customFormat="1" ht="40.5" customHeight="1">
      <c r="A262" s="1088" t="s">
        <v>2512</v>
      </c>
      <c r="B262" s="1378">
        <v>44854</v>
      </c>
      <c r="C262" s="1088">
        <v>3</v>
      </c>
      <c r="D262" s="1088">
        <f t="shared" si="19"/>
        <v>17</v>
      </c>
      <c r="E262" s="560"/>
      <c r="F262" s="1088">
        <f t="shared" si="20"/>
        <v>67</v>
      </c>
      <c r="G262" s="1382" t="s">
        <v>5417</v>
      </c>
      <c r="H262" s="1379"/>
      <c r="I262" s="1379"/>
      <c r="J262" s="2072"/>
      <c r="K262" s="664"/>
      <c r="L262" s="255"/>
      <c r="M262" s="1381" t="s">
        <v>5383</v>
      </c>
      <c r="N262" s="328" t="s">
        <v>1979</v>
      </c>
      <c r="O262" s="1379" t="s">
        <v>166</v>
      </c>
      <c r="P262" s="1378">
        <v>44854</v>
      </c>
      <c r="Q262" s="1378">
        <v>44854</v>
      </c>
      <c r="R262" s="1195" t="s">
        <v>4265</v>
      </c>
      <c r="S262" s="1083"/>
      <c r="T262" s="2067"/>
      <c r="U262" s="1088"/>
    </row>
    <row r="263" spans="1:21" s="197" customFormat="1" ht="40.5" customHeight="1">
      <c r="A263" s="1088" t="s">
        <v>2512</v>
      </c>
      <c r="B263" s="1378">
        <v>44694</v>
      </c>
      <c r="C263" s="1088">
        <v>2</v>
      </c>
      <c r="D263" s="1088">
        <f t="shared" si="19"/>
        <v>17</v>
      </c>
      <c r="E263" s="1086" t="s">
        <v>4096</v>
      </c>
      <c r="F263" s="1088">
        <f t="shared" si="20"/>
        <v>68</v>
      </c>
      <c r="G263" s="1382" t="s">
        <v>5254</v>
      </c>
      <c r="H263" s="1379"/>
      <c r="I263" s="1379" t="s">
        <v>551</v>
      </c>
      <c r="J263" s="2072" t="s">
        <v>5964</v>
      </c>
      <c r="K263" s="189">
        <v>44438</v>
      </c>
      <c r="L263" s="255">
        <v>44492</v>
      </c>
      <c r="M263" s="1381" t="s">
        <v>4764</v>
      </c>
      <c r="N263" s="328" t="s">
        <v>2613</v>
      </c>
      <c r="O263" s="1379" t="s">
        <v>5108</v>
      </c>
      <c r="P263" s="1378">
        <v>44694</v>
      </c>
      <c r="Q263" s="1378">
        <v>44694</v>
      </c>
      <c r="R263" s="1195" t="s">
        <v>4265</v>
      </c>
      <c r="S263" s="1083"/>
      <c r="T263" s="2067"/>
      <c r="U263" s="1088"/>
    </row>
    <row r="264" spans="1:21" s="197" customFormat="1" ht="58.5" customHeight="1">
      <c r="A264" s="1088" t="s">
        <v>2512</v>
      </c>
      <c r="B264" s="1378">
        <v>44694</v>
      </c>
      <c r="C264" s="1088">
        <v>2</v>
      </c>
      <c r="D264" s="1088">
        <f t="shared" si="19"/>
        <v>17</v>
      </c>
      <c r="E264" s="1088"/>
      <c r="F264" s="1088">
        <f t="shared" si="20"/>
        <v>69</v>
      </c>
      <c r="G264" s="1382" t="s">
        <v>5255</v>
      </c>
      <c r="H264" s="1379"/>
      <c r="I264" s="1379" t="s">
        <v>2344</v>
      </c>
      <c r="J264" s="2072"/>
      <c r="K264" s="664"/>
      <c r="L264" s="255"/>
      <c r="M264" s="1381" t="s">
        <v>3186</v>
      </c>
      <c r="N264" s="328" t="s">
        <v>2699</v>
      </c>
      <c r="O264" s="1379" t="s">
        <v>5108</v>
      </c>
      <c r="P264" s="1378">
        <v>44694</v>
      </c>
      <c r="Q264" s="1378">
        <v>44694</v>
      </c>
      <c r="R264" s="1195" t="s">
        <v>4265</v>
      </c>
      <c r="S264" s="1083"/>
      <c r="T264" s="1829"/>
      <c r="U264" s="1088"/>
    </row>
    <row r="265" spans="1:21" s="197" customFormat="1" ht="40.5" customHeight="1">
      <c r="A265" s="1088" t="s">
        <v>2512</v>
      </c>
      <c r="B265" s="1378">
        <v>44694</v>
      </c>
      <c r="C265" s="1088">
        <v>2</v>
      </c>
      <c r="D265" s="1088">
        <f t="shared" si="19"/>
        <v>17</v>
      </c>
      <c r="E265" s="1088"/>
      <c r="F265" s="1088">
        <f t="shared" si="20"/>
        <v>70</v>
      </c>
      <c r="G265" s="1382" t="s">
        <v>5256</v>
      </c>
      <c r="H265" s="1379"/>
      <c r="I265" s="1379" t="s">
        <v>2344</v>
      </c>
      <c r="J265" s="2072"/>
      <c r="K265" s="664"/>
      <c r="L265" s="255"/>
      <c r="M265" s="1381" t="s">
        <v>3460</v>
      </c>
      <c r="N265" s="328" t="s">
        <v>1979</v>
      </c>
      <c r="O265" s="1379" t="s">
        <v>5108</v>
      </c>
      <c r="P265" s="1378">
        <v>44694</v>
      </c>
      <c r="Q265" s="1378">
        <v>44694</v>
      </c>
      <c r="R265" s="1195" t="s">
        <v>4265</v>
      </c>
      <c r="S265" s="1083"/>
      <c r="T265" s="1829"/>
      <c r="U265" s="1088"/>
    </row>
    <row r="266" spans="1:21" s="197" customFormat="1" ht="56.25" customHeight="1">
      <c r="A266" s="1088" t="s">
        <v>2512</v>
      </c>
      <c r="B266" s="1378">
        <v>44694</v>
      </c>
      <c r="C266" s="1088">
        <v>2</v>
      </c>
      <c r="D266" s="1088">
        <f t="shared" si="19"/>
        <v>17</v>
      </c>
      <c r="E266" s="1088"/>
      <c r="F266" s="1088">
        <f t="shared" si="20"/>
        <v>71</v>
      </c>
      <c r="G266" s="1382" t="s">
        <v>5186</v>
      </c>
      <c r="H266" s="1379"/>
      <c r="I266" s="1379" t="s">
        <v>2344</v>
      </c>
      <c r="J266" s="2072"/>
      <c r="K266" s="664"/>
      <c r="L266" s="255"/>
      <c r="M266" s="1381" t="s">
        <v>2683</v>
      </c>
      <c r="N266" s="328" t="s">
        <v>1979</v>
      </c>
      <c r="O266" s="1379" t="s">
        <v>5108</v>
      </c>
      <c r="P266" s="1378">
        <v>44694</v>
      </c>
      <c r="Q266" s="1378">
        <v>44694</v>
      </c>
      <c r="R266" s="1195" t="s">
        <v>4265</v>
      </c>
      <c r="S266" s="1083"/>
      <c r="T266" s="1829"/>
      <c r="U266" s="1088"/>
    </row>
    <row r="267" spans="1:21" s="197" customFormat="1" ht="40.5" customHeight="1">
      <c r="A267" s="1088" t="s">
        <v>2512</v>
      </c>
      <c r="B267" s="1378">
        <v>44694</v>
      </c>
      <c r="C267" s="1088">
        <v>2</v>
      </c>
      <c r="D267" s="1088">
        <f t="shared" si="19"/>
        <v>17</v>
      </c>
      <c r="E267" s="1088"/>
      <c r="F267" s="1088">
        <f t="shared" si="20"/>
        <v>72</v>
      </c>
      <c r="G267" s="1382" t="s">
        <v>5257</v>
      </c>
      <c r="H267" s="1379"/>
      <c r="I267" s="1379" t="s">
        <v>2344</v>
      </c>
      <c r="J267" s="2072"/>
      <c r="K267" s="664"/>
      <c r="L267" s="255"/>
      <c r="M267" s="1381" t="s">
        <v>2599</v>
      </c>
      <c r="N267" s="328" t="s">
        <v>1979</v>
      </c>
      <c r="O267" s="1379" t="s">
        <v>5108</v>
      </c>
      <c r="P267" s="1378">
        <v>44694</v>
      </c>
      <c r="Q267" s="1378">
        <v>44694</v>
      </c>
      <c r="R267" s="1195" t="s">
        <v>4265</v>
      </c>
      <c r="S267" s="1083"/>
      <c r="T267" s="1829"/>
      <c r="U267" s="1088"/>
    </row>
    <row r="268" spans="1:21" s="197" customFormat="1" ht="40.5" customHeight="1">
      <c r="A268" s="1088" t="s">
        <v>2512</v>
      </c>
      <c r="B268" s="1378">
        <v>44694</v>
      </c>
      <c r="C268" s="1088">
        <v>2</v>
      </c>
      <c r="D268" s="1088">
        <f t="shared" si="19"/>
        <v>17</v>
      </c>
      <c r="E268" s="1088"/>
      <c r="F268" s="1088">
        <f t="shared" si="20"/>
        <v>73</v>
      </c>
      <c r="G268" s="1382" t="s">
        <v>5258</v>
      </c>
      <c r="H268" s="1379"/>
      <c r="I268" s="1379" t="s">
        <v>2344</v>
      </c>
      <c r="J268" s="2072"/>
      <c r="K268" s="664"/>
      <c r="L268" s="255"/>
      <c r="M268" s="1381" t="s">
        <v>4741</v>
      </c>
      <c r="N268" s="328" t="s">
        <v>1979</v>
      </c>
      <c r="O268" s="1379" t="s">
        <v>5108</v>
      </c>
      <c r="P268" s="1378">
        <v>44694</v>
      </c>
      <c r="Q268" s="1378">
        <v>44694</v>
      </c>
      <c r="R268" s="1195" t="s">
        <v>4265</v>
      </c>
      <c r="S268" s="1083"/>
      <c r="T268" s="1829"/>
      <c r="U268" s="1088"/>
    </row>
    <row r="269" spans="1:21" s="197" customFormat="1" ht="40.5" customHeight="1">
      <c r="A269" s="1088" t="s">
        <v>2512</v>
      </c>
      <c r="B269" s="1378">
        <v>44694</v>
      </c>
      <c r="C269" s="1088">
        <v>2</v>
      </c>
      <c r="D269" s="1088">
        <f t="shared" si="19"/>
        <v>17</v>
      </c>
      <c r="E269" s="1088"/>
      <c r="F269" s="1088">
        <f t="shared" si="20"/>
        <v>74</v>
      </c>
      <c r="G269" s="1382" t="s">
        <v>5259</v>
      </c>
      <c r="H269" s="1379"/>
      <c r="I269" s="1379" t="s">
        <v>2344</v>
      </c>
      <c r="J269" s="2072"/>
      <c r="K269" s="664"/>
      <c r="L269" s="255"/>
      <c r="M269" s="1381" t="s">
        <v>2723</v>
      </c>
      <c r="N269" s="328" t="s">
        <v>1979</v>
      </c>
      <c r="O269" s="1379" t="s">
        <v>5108</v>
      </c>
      <c r="P269" s="1378">
        <v>44694</v>
      </c>
      <c r="Q269" s="1378">
        <v>44694</v>
      </c>
      <c r="R269" s="1195" t="s">
        <v>4265</v>
      </c>
      <c r="S269" s="1083"/>
      <c r="T269" s="1829"/>
      <c r="U269" s="1088"/>
    </row>
    <row r="270" spans="1:21" s="197" customFormat="1" ht="40.5" customHeight="1">
      <c r="A270" s="1088" t="s">
        <v>2512</v>
      </c>
      <c r="B270" s="1378">
        <v>44694</v>
      </c>
      <c r="C270" s="1088">
        <v>2</v>
      </c>
      <c r="D270" s="1088">
        <f t="shared" si="19"/>
        <v>17</v>
      </c>
      <c r="E270" s="1088"/>
      <c r="F270" s="1088">
        <f t="shared" si="20"/>
        <v>75</v>
      </c>
      <c r="G270" s="1382" t="s">
        <v>5260</v>
      </c>
      <c r="H270" s="1379"/>
      <c r="I270" s="1379" t="s">
        <v>2344</v>
      </c>
      <c r="J270" s="2072"/>
      <c r="K270" s="664"/>
      <c r="L270" s="255"/>
      <c r="M270" s="1381" t="s">
        <v>2723</v>
      </c>
      <c r="N270" s="328" t="s">
        <v>1979</v>
      </c>
      <c r="O270" s="1379" t="s">
        <v>5108</v>
      </c>
      <c r="P270" s="1378">
        <v>44694</v>
      </c>
      <c r="Q270" s="1378">
        <v>44694</v>
      </c>
      <c r="R270" s="1195" t="s">
        <v>4265</v>
      </c>
      <c r="S270" s="1083"/>
      <c r="T270" s="1829"/>
      <c r="U270" s="1088"/>
    </row>
    <row r="271" spans="1:21" s="197" customFormat="1" ht="40.5" customHeight="1">
      <c r="A271" s="1088" t="s">
        <v>2512</v>
      </c>
      <c r="B271" s="1378">
        <v>44694</v>
      </c>
      <c r="C271" s="1088">
        <v>2</v>
      </c>
      <c r="D271" s="1088">
        <f t="shared" si="19"/>
        <v>17</v>
      </c>
      <c r="E271" s="1088"/>
      <c r="F271" s="1088">
        <f t="shared" si="20"/>
        <v>76</v>
      </c>
      <c r="G271" s="1382" t="s">
        <v>5261</v>
      </c>
      <c r="H271" s="1379"/>
      <c r="I271" s="1379" t="s">
        <v>2344</v>
      </c>
      <c r="J271" s="2072"/>
      <c r="K271" s="664"/>
      <c r="L271" s="255"/>
      <c r="M271" s="1381" t="s">
        <v>4758</v>
      </c>
      <c r="N271" s="328" t="s">
        <v>1979</v>
      </c>
      <c r="O271" s="1379" t="s">
        <v>5108</v>
      </c>
      <c r="P271" s="1378">
        <v>44694</v>
      </c>
      <c r="Q271" s="1378">
        <v>44694</v>
      </c>
      <c r="R271" s="1195" t="s">
        <v>4265</v>
      </c>
      <c r="S271" s="1083"/>
      <c r="T271" s="1829"/>
      <c r="U271" s="1088"/>
    </row>
    <row r="272" spans="1:21" s="197" customFormat="1" ht="40.5" customHeight="1">
      <c r="A272" s="1088" t="s">
        <v>2512</v>
      </c>
      <c r="B272" s="1378">
        <v>44694</v>
      </c>
      <c r="C272" s="1088">
        <v>2</v>
      </c>
      <c r="D272" s="1088">
        <f t="shared" si="19"/>
        <v>17</v>
      </c>
      <c r="E272" s="1088"/>
      <c r="F272" s="1088">
        <f t="shared" si="20"/>
        <v>77</v>
      </c>
      <c r="G272" s="1382" t="s">
        <v>5262</v>
      </c>
      <c r="H272" s="1379"/>
      <c r="I272" s="1379" t="s">
        <v>2344</v>
      </c>
      <c r="J272" s="2072"/>
      <c r="K272" s="664"/>
      <c r="L272" s="255"/>
      <c r="M272" s="1381" t="s">
        <v>5388</v>
      </c>
      <c r="N272" s="328" t="s">
        <v>1979</v>
      </c>
      <c r="O272" s="1379" t="s">
        <v>5108</v>
      </c>
      <c r="P272" s="1378">
        <v>44694</v>
      </c>
      <c r="Q272" s="1378">
        <v>44694</v>
      </c>
      <c r="R272" s="1195" t="s">
        <v>4265</v>
      </c>
      <c r="S272" s="1083"/>
      <c r="T272" s="1829"/>
      <c r="U272" s="1088"/>
    </row>
    <row r="273" spans="1:21" s="197" customFormat="1" ht="40.5" customHeight="1">
      <c r="A273" s="1088" t="s">
        <v>2512</v>
      </c>
      <c r="B273" s="1378">
        <v>44694</v>
      </c>
      <c r="C273" s="1088">
        <v>2</v>
      </c>
      <c r="D273" s="1088">
        <f t="shared" si="19"/>
        <v>17</v>
      </c>
      <c r="E273" s="1088"/>
      <c r="F273" s="1088">
        <f t="shared" si="20"/>
        <v>78</v>
      </c>
      <c r="G273" s="1382" t="s">
        <v>5263</v>
      </c>
      <c r="H273" s="1379"/>
      <c r="I273" s="1379" t="s">
        <v>2344</v>
      </c>
      <c r="J273" s="2072"/>
      <c r="K273" s="664"/>
      <c r="L273" s="255"/>
      <c r="M273" s="1381" t="s">
        <v>4824</v>
      </c>
      <c r="N273" s="328" t="s">
        <v>1979</v>
      </c>
      <c r="O273" s="1379" t="s">
        <v>5108</v>
      </c>
      <c r="P273" s="1378">
        <v>44694</v>
      </c>
      <c r="Q273" s="1378">
        <v>44694</v>
      </c>
      <c r="R273" s="1195" t="s">
        <v>4265</v>
      </c>
      <c r="S273" s="1083"/>
      <c r="T273" s="1829"/>
      <c r="U273" s="1088"/>
    </row>
    <row r="274" spans="1:21" s="197" customFormat="1" ht="40.5" customHeight="1">
      <c r="A274" s="1088" t="s">
        <v>2512</v>
      </c>
      <c r="B274" s="1378">
        <v>44694</v>
      </c>
      <c r="C274" s="1088">
        <v>2</v>
      </c>
      <c r="D274" s="1088">
        <f t="shared" si="19"/>
        <v>17</v>
      </c>
      <c r="E274" s="1088"/>
      <c r="F274" s="1088">
        <f t="shared" si="20"/>
        <v>79</v>
      </c>
      <c r="G274" s="1382" t="s">
        <v>5264</v>
      </c>
      <c r="H274" s="1379"/>
      <c r="I274" s="1379" t="s">
        <v>2344</v>
      </c>
      <c r="J274" s="2072"/>
      <c r="K274" s="664"/>
      <c r="L274" s="255"/>
      <c r="M274" s="1381" t="s">
        <v>4823</v>
      </c>
      <c r="N274" s="328" t="s">
        <v>1979</v>
      </c>
      <c r="O274" s="1379" t="s">
        <v>5108</v>
      </c>
      <c r="P274" s="1378">
        <v>44694</v>
      </c>
      <c r="Q274" s="1378">
        <v>44694</v>
      </c>
      <c r="R274" s="1195" t="s">
        <v>4265</v>
      </c>
      <c r="S274" s="1083"/>
      <c r="T274" s="1829"/>
      <c r="U274" s="1088"/>
    </row>
    <row r="275" spans="1:21" s="197" customFormat="1" ht="40.5" customHeight="1">
      <c r="A275" s="1088" t="s">
        <v>2512</v>
      </c>
      <c r="B275" s="1378">
        <v>44694</v>
      </c>
      <c r="C275" s="1088">
        <v>2</v>
      </c>
      <c r="D275" s="1088">
        <f t="shared" si="19"/>
        <v>17</v>
      </c>
      <c r="E275" s="1088"/>
      <c r="F275" s="1088">
        <f t="shared" si="20"/>
        <v>80</v>
      </c>
      <c r="G275" s="1382" t="s">
        <v>5265</v>
      </c>
      <c r="H275" s="1379"/>
      <c r="I275" s="1379" t="s">
        <v>2344</v>
      </c>
      <c r="J275" s="2072"/>
      <c r="K275" s="664"/>
      <c r="L275" s="255"/>
      <c r="M275" s="1381" t="s">
        <v>2672</v>
      </c>
      <c r="N275" s="328" t="s">
        <v>2640</v>
      </c>
      <c r="O275" s="1379" t="s">
        <v>5108</v>
      </c>
      <c r="P275" s="1378">
        <v>44694</v>
      </c>
      <c r="Q275" s="1378">
        <v>44694</v>
      </c>
      <c r="R275" s="1195" t="s">
        <v>4265</v>
      </c>
      <c r="S275" s="1083"/>
      <c r="T275" s="1829"/>
      <c r="U275" s="1088"/>
    </row>
    <row r="276" spans="1:21" s="197" customFormat="1" ht="56.25" customHeight="1">
      <c r="A276" s="1088" t="s">
        <v>2512</v>
      </c>
      <c r="B276" s="1378">
        <v>44694</v>
      </c>
      <c r="C276" s="1088">
        <v>2</v>
      </c>
      <c r="D276" s="1088">
        <f t="shared" si="19"/>
        <v>17</v>
      </c>
      <c r="E276" s="1088"/>
      <c r="F276" s="1088">
        <f t="shared" si="20"/>
        <v>81</v>
      </c>
      <c r="G276" s="1382" t="s">
        <v>5250</v>
      </c>
      <c r="H276" s="1379"/>
      <c r="I276" s="1379" t="s">
        <v>2344</v>
      </c>
      <c r="J276" s="2072"/>
      <c r="K276" s="664"/>
      <c r="L276" s="255"/>
      <c r="M276" s="1381" t="s">
        <v>5379</v>
      </c>
      <c r="N276" s="328" t="s">
        <v>1979</v>
      </c>
      <c r="O276" s="1379" t="s">
        <v>5108</v>
      </c>
      <c r="P276" s="1378">
        <v>44694</v>
      </c>
      <c r="Q276" s="1378">
        <v>44694</v>
      </c>
      <c r="R276" s="1195" t="s">
        <v>4265</v>
      </c>
      <c r="S276" s="1083"/>
      <c r="T276" s="1829"/>
      <c r="U276" s="1088"/>
    </row>
    <row r="277" spans="1:21" s="197" customFormat="1" ht="57.75" customHeight="1">
      <c r="A277" s="1088" t="s">
        <v>2512</v>
      </c>
      <c r="B277" s="1378">
        <v>44694</v>
      </c>
      <c r="C277" s="1088">
        <v>2</v>
      </c>
      <c r="D277" s="1088">
        <f t="shared" si="19"/>
        <v>17</v>
      </c>
      <c r="E277" s="1088"/>
      <c r="F277" s="1088">
        <f t="shared" si="20"/>
        <v>82</v>
      </c>
      <c r="G277" s="1382" t="s">
        <v>5251</v>
      </c>
      <c r="H277" s="1379"/>
      <c r="I277" s="1379" t="s">
        <v>2344</v>
      </c>
      <c r="J277" s="2072"/>
      <c r="K277" s="664"/>
      <c r="L277" s="255"/>
      <c r="M277" s="1381" t="s">
        <v>5379</v>
      </c>
      <c r="N277" s="328" t="s">
        <v>1979</v>
      </c>
      <c r="O277" s="1379" t="s">
        <v>5108</v>
      </c>
      <c r="P277" s="1378">
        <v>44694</v>
      </c>
      <c r="Q277" s="1378">
        <v>44694</v>
      </c>
      <c r="R277" s="1195" t="s">
        <v>4265</v>
      </c>
      <c r="S277" s="1083"/>
      <c r="T277" s="1829"/>
      <c r="U277" s="1088"/>
    </row>
    <row r="278" spans="1:21" s="197" customFormat="1" ht="58.5" customHeight="1">
      <c r="A278" s="1088" t="s">
        <v>2512</v>
      </c>
      <c r="B278" s="1378">
        <v>44694</v>
      </c>
      <c r="C278" s="1088">
        <v>2</v>
      </c>
      <c r="D278" s="1088">
        <v>18</v>
      </c>
      <c r="E278" s="1088"/>
      <c r="F278" s="1088">
        <f t="shared" si="20"/>
        <v>83</v>
      </c>
      <c r="G278" s="1382" t="s">
        <v>5252</v>
      </c>
      <c r="H278" s="1379"/>
      <c r="I278" s="1379" t="s">
        <v>2344</v>
      </c>
      <c r="J278" s="2072"/>
      <c r="K278" s="664"/>
      <c r="L278" s="255"/>
      <c r="M278" s="1381" t="s">
        <v>5379</v>
      </c>
      <c r="N278" s="328" t="s">
        <v>1979</v>
      </c>
      <c r="O278" s="1379" t="s">
        <v>5108</v>
      </c>
      <c r="P278" s="1378">
        <v>44694</v>
      </c>
      <c r="Q278" s="1378">
        <v>44694</v>
      </c>
      <c r="R278" s="1195" t="s">
        <v>4265</v>
      </c>
      <c r="S278" s="1083"/>
      <c r="T278" s="1829"/>
      <c r="U278" s="1088"/>
    </row>
    <row r="279" spans="1:21" s="197" customFormat="1" ht="40.5" customHeight="1">
      <c r="A279" s="1088" t="s">
        <v>2512</v>
      </c>
      <c r="B279" s="1378">
        <v>44694</v>
      </c>
      <c r="C279" s="1088">
        <v>2</v>
      </c>
      <c r="D279" s="1088">
        <v>18</v>
      </c>
      <c r="E279" s="1088"/>
      <c r="F279" s="1088">
        <v>1</v>
      </c>
      <c r="G279" s="1382" t="s">
        <v>5266</v>
      </c>
      <c r="H279" s="1379"/>
      <c r="I279" s="1379" t="s">
        <v>2344</v>
      </c>
      <c r="J279" s="2072"/>
      <c r="K279" s="664"/>
      <c r="L279" s="255"/>
      <c r="M279" s="1381" t="s">
        <v>5389</v>
      </c>
      <c r="N279" s="328" t="s">
        <v>2699</v>
      </c>
      <c r="O279" s="1379" t="s">
        <v>5109</v>
      </c>
      <c r="P279" s="1378">
        <v>44694</v>
      </c>
      <c r="Q279" s="1378">
        <v>44694</v>
      </c>
      <c r="R279" s="1195" t="s">
        <v>4265</v>
      </c>
      <c r="S279" s="1083"/>
      <c r="T279" s="1829"/>
      <c r="U279" s="1088"/>
    </row>
    <row r="280" spans="1:21" s="197" customFormat="1" ht="40.5" customHeight="1">
      <c r="A280" s="1088" t="s">
        <v>2512</v>
      </c>
      <c r="B280" s="1378">
        <v>44694</v>
      </c>
      <c r="C280" s="1088">
        <v>2</v>
      </c>
      <c r="D280" s="1088">
        <f t="shared" ref="D280:D292" si="21">D279</f>
        <v>18</v>
      </c>
      <c r="E280" s="1088"/>
      <c r="F280" s="1088">
        <f>F279+1</f>
        <v>2</v>
      </c>
      <c r="G280" s="1382" t="s">
        <v>5267</v>
      </c>
      <c r="H280" s="1379"/>
      <c r="I280" s="1379" t="s">
        <v>2344</v>
      </c>
      <c r="J280" s="2072"/>
      <c r="K280" s="664"/>
      <c r="L280" s="255"/>
      <c r="M280" s="1381"/>
      <c r="N280" s="328" t="s">
        <v>1979</v>
      </c>
      <c r="O280" s="1379" t="s">
        <v>5109</v>
      </c>
      <c r="P280" s="1378">
        <v>44694</v>
      </c>
      <c r="Q280" s="1378">
        <v>44694</v>
      </c>
      <c r="R280" s="1195" t="s">
        <v>4265</v>
      </c>
      <c r="S280" s="1083"/>
      <c r="T280" s="1829"/>
      <c r="U280" s="1088"/>
    </row>
    <row r="281" spans="1:21" s="197" customFormat="1" ht="80.25" customHeight="1">
      <c r="A281" s="1088" t="s">
        <v>2512</v>
      </c>
      <c r="B281" s="1378">
        <v>44694</v>
      </c>
      <c r="C281" s="1088">
        <v>2</v>
      </c>
      <c r="D281" s="1088">
        <f t="shared" si="21"/>
        <v>18</v>
      </c>
      <c r="E281" s="1088"/>
      <c r="F281" s="1088">
        <v>1</v>
      </c>
      <c r="G281" s="1382" t="s">
        <v>5268</v>
      </c>
      <c r="H281" s="1379"/>
      <c r="I281" s="1379" t="s">
        <v>2344</v>
      </c>
      <c r="J281" s="2072"/>
      <c r="K281" s="664"/>
      <c r="L281" s="255"/>
      <c r="M281" s="1381" t="s">
        <v>3181</v>
      </c>
      <c r="N281" s="328" t="s">
        <v>1979</v>
      </c>
      <c r="O281" s="1379" t="s">
        <v>352</v>
      </c>
      <c r="P281" s="1378">
        <v>44694</v>
      </c>
      <c r="Q281" s="1378">
        <v>44694</v>
      </c>
      <c r="R281" s="1195" t="s">
        <v>4265</v>
      </c>
      <c r="S281" s="1083"/>
      <c r="T281" s="1829"/>
      <c r="U281" s="1088"/>
    </row>
    <row r="282" spans="1:21" s="197" customFormat="1" ht="83.25" customHeight="1">
      <c r="A282" s="1088" t="s">
        <v>2512</v>
      </c>
      <c r="B282" s="1378">
        <v>44694</v>
      </c>
      <c r="C282" s="1088">
        <v>2</v>
      </c>
      <c r="D282" s="1088">
        <f t="shared" si="21"/>
        <v>18</v>
      </c>
      <c r="E282" s="1088"/>
      <c r="F282" s="1088">
        <f>F281+1</f>
        <v>2</v>
      </c>
      <c r="G282" s="1382" t="s">
        <v>5269</v>
      </c>
      <c r="H282" s="1379"/>
      <c r="I282" s="1379" t="s">
        <v>2344</v>
      </c>
      <c r="J282" s="2072"/>
      <c r="K282" s="664"/>
      <c r="L282" s="255"/>
      <c r="M282" s="1381" t="s">
        <v>4739</v>
      </c>
      <c r="N282" s="328" t="s">
        <v>5274</v>
      </c>
      <c r="O282" s="1379" t="s">
        <v>352</v>
      </c>
      <c r="P282" s="1378">
        <v>44694</v>
      </c>
      <c r="Q282" s="1378">
        <v>44694</v>
      </c>
      <c r="R282" s="1195" t="s">
        <v>4265</v>
      </c>
      <c r="S282" s="1083"/>
      <c r="T282" s="1829"/>
      <c r="U282" s="1088"/>
    </row>
    <row r="283" spans="1:21" s="197" customFormat="1" ht="40.5" customHeight="1">
      <c r="A283" s="1088" t="s">
        <v>2512</v>
      </c>
      <c r="B283" s="1378">
        <v>44694</v>
      </c>
      <c r="C283" s="1088">
        <v>2</v>
      </c>
      <c r="D283" s="1088">
        <f t="shared" si="21"/>
        <v>18</v>
      </c>
      <c r="E283" s="1088"/>
      <c r="F283" s="1088">
        <f>F282+1</f>
        <v>3</v>
      </c>
      <c r="G283" s="1382" t="s">
        <v>5270</v>
      </c>
      <c r="H283" s="1379"/>
      <c r="I283" s="1379" t="s">
        <v>2344</v>
      </c>
      <c r="J283" s="2072"/>
      <c r="K283" s="664"/>
      <c r="L283" s="255"/>
      <c r="M283" s="1381" t="s">
        <v>5390</v>
      </c>
      <c r="N283" s="328" t="s">
        <v>1979</v>
      </c>
      <c r="O283" s="1379" t="s">
        <v>352</v>
      </c>
      <c r="P283" s="1378">
        <v>44694</v>
      </c>
      <c r="Q283" s="1378">
        <v>44694</v>
      </c>
      <c r="R283" s="1195" t="s">
        <v>4265</v>
      </c>
      <c r="S283" s="1083"/>
      <c r="T283" s="1829"/>
      <c r="U283" s="1088"/>
    </row>
    <row r="284" spans="1:21" s="197" customFormat="1" ht="40.5" customHeight="1">
      <c r="A284" s="1088" t="s">
        <v>2512</v>
      </c>
      <c r="B284" s="1378">
        <v>44694</v>
      </c>
      <c r="C284" s="1088">
        <v>2</v>
      </c>
      <c r="D284" s="1088">
        <f t="shared" si="21"/>
        <v>18</v>
      </c>
      <c r="E284" s="1088"/>
      <c r="F284" s="1088">
        <f>F283+1</f>
        <v>4</v>
      </c>
      <c r="G284" s="1382" t="s">
        <v>5271</v>
      </c>
      <c r="H284" s="1379"/>
      <c r="I284" s="1379" t="s">
        <v>2344</v>
      </c>
      <c r="J284" s="2072"/>
      <c r="K284" s="664"/>
      <c r="L284" s="255"/>
      <c r="M284" s="1381"/>
      <c r="N284" s="328" t="s">
        <v>1979</v>
      </c>
      <c r="O284" s="1379" t="s">
        <v>352</v>
      </c>
      <c r="P284" s="1378">
        <v>44694</v>
      </c>
      <c r="Q284" s="1378">
        <v>44694</v>
      </c>
      <c r="R284" s="1195" t="s">
        <v>4265</v>
      </c>
      <c r="S284" s="1083"/>
      <c r="T284" s="1829"/>
      <c r="U284" s="1088"/>
    </row>
    <row r="285" spans="1:21" s="197" customFormat="1" ht="40.5" customHeight="1">
      <c r="A285" s="1088" t="s">
        <v>2512</v>
      </c>
      <c r="B285" s="1378">
        <v>44694</v>
      </c>
      <c r="C285" s="1088">
        <v>2</v>
      </c>
      <c r="D285" s="1088">
        <f t="shared" si="21"/>
        <v>18</v>
      </c>
      <c r="E285" s="1088"/>
      <c r="F285" s="1088">
        <f>F284+1</f>
        <v>5</v>
      </c>
      <c r="G285" s="1382" t="s">
        <v>5272</v>
      </c>
      <c r="H285" s="1379"/>
      <c r="I285" s="1379" t="s">
        <v>2344</v>
      </c>
      <c r="J285" s="2072"/>
      <c r="K285" s="664"/>
      <c r="L285" s="255"/>
      <c r="M285" s="1381"/>
      <c r="N285" s="328" t="s">
        <v>2560</v>
      </c>
      <c r="O285" s="1379" t="s">
        <v>352</v>
      </c>
      <c r="P285" s="1378">
        <v>44694</v>
      </c>
      <c r="Q285" s="1378">
        <v>44694</v>
      </c>
      <c r="R285" s="1195" t="s">
        <v>4265</v>
      </c>
      <c r="S285" s="1083"/>
      <c r="T285" s="1829"/>
      <c r="U285" s="1088"/>
    </row>
    <row r="286" spans="1:21" s="197" customFormat="1" ht="67.5" customHeight="1">
      <c r="A286" s="1088" t="s">
        <v>2512</v>
      </c>
      <c r="B286" s="1378">
        <v>44694</v>
      </c>
      <c r="C286" s="1088">
        <v>2</v>
      </c>
      <c r="D286" s="1088">
        <f t="shared" si="21"/>
        <v>18</v>
      </c>
      <c r="E286" s="1088"/>
      <c r="F286" s="1088">
        <f>F285+1</f>
        <v>6</v>
      </c>
      <c r="G286" s="1382" t="s">
        <v>5273</v>
      </c>
      <c r="H286" s="1379"/>
      <c r="I286" s="1379" t="s">
        <v>2344</v>
      </c>
      <c r="J286" s="2072"/>
      <c r="K286" s="664"/>
      <c r="L286" s="255"/>
      <c r="M286" s="1381"/>
      <c r="N286" s="328" t="s">
        <v>5275</v>
      </c>
      <c r="O286" s="1379" t="s">
        <v>352</v>
      </c>
      <c r="P286" s="1378">
        <v>44694</v>
      </c>
      <c r="Q286" s="1378">
        <v>44694</v>
      </c>
      <c r="R286" s="1195" t="s">
        <v>4265</v>
      </c>
      <c r="S286" s="1083"/>
      <c r="T286" s="1829"/>
      <c r="U286" s="1088"/>
    </row>
    <row r="287" spans="1:21" s="197" customFormat="1" ht="40.5" customHeight="1">
      <c r="A287" s="1088" t="s">
        <v>2512</v>
      </c>
      <c r="B287" s="1378">
        <v>44694</v>
      </c>
      <c r="C287" s="1088">
        <v>2</v>
      </c>
      <c r="D287" s="1088">
        <f t="shared" si="21"/>
        <v>18</v>
      </c>
      <c r="E287" s="1086" t="s">
        <v>5110</v>
      </c>
      <c r="F287" s="1088">
        <v>1</v>
      </c>
      <c r="G287" s="1382" t="s">
        <v>5276</v>
      </c>
      <c r="H287" s="1379"/>
      <c r="I287" s="1379" t="s">
        <v>551</v>
      </c>
      <c r="J287" s="2072"/>
      <c r="K287" s="664"/>
      <c r="L287" s="255"/>
      <c r="M287" s="1381" t="s">
        <v>2573</v>
      </c>
      <c r="N287" s="328" t="s">
        <v>1980</v>
      </c>
      <c r="O287" s="1379" t="s">
        <v>5110</v>
      </c>
      <c r="P287" s="1378">
        <v>44694</v>
      </c>
      <c r="Q287" s="1378">
        <v>44694</v>
      </c>
      <c r="R287" s="1195" t="s">
        <v>4265</v>
      </c>
      <c r="S287" s="1083"/>
      <c r="T287" s="2067"/>
      <c r="U287" s="1088"/>
    </row>
    <row r="288" spans="1:21" s="197" customFormat="1" ht="90.75" customHeight="1">
      <c r="A288" s="1088" t="s">
        <v>2512</v>
      </c>
      <c r="B288" s="1378">
        <v>44694</v>
      </c>
      <c r="C288" s="1088">
        <v>2</v>
      </c>
      <c r="D288" s="1088">
        <f t="shared" si="21"/>
        <v>18</v>
      </c>
      <c r="E288" s="1088"/>
      <c r="F288" s="1088">
        <v>1</v>
      </c>
      <c r="G288" s="1382" t="s">
        <v>5269</v>
      </c>
      <c r="H288" s="1379"/>
      <c r="I288" s="1379" t="s">
        <v>2344</v>
      </c>
      <c r="J288" s="2072"/>
      <c r="K288" s="664"/>
      <c r="L288" s="255"/>
      <c r="M288" s="1381" t="s">
        <v>4739</v>
      </c>
      <c r="N288" s="328" t="s">
        <v>5274</v>
      </c>
      <c r="O288" s="1379" t="s">
        <v>64</v>
      </c>
      <c r="P288" s="1378">
        <v>44694</v>
      </c>
      <c r="Q288" s="1378">
        <v>44694</v>
      </c>
      <c r="R288" s="1195" t="s">
        <v>4265</v>
      </c>
      <c r="S288" s="1083"/>
      <c r="T288" s="1829"/>
      <c r="U288" s="1088"/>
    </row>
    <row r="289" spans="1:21" s="197" customFormat="1" ht="40.5" customHeight="1">
      <c r="A289" s="1088" t="s">
        <v>2512</v>
      </c>
      <c r="B289" s="1378">
        <v>44694</v>
      </c>
      <c r="C289" s="1088">
        <v>2</v>
      </c>
      <c r="D289" s="1088">
        <f t="shared" si="21"/>
        <v>18</v>
      </c>
      <c r="E289" s="1086" t="s">
        <v>352</v>
      </c>
      <c r="F289" s="1088">
        <v>1</v>
      </c>
      <c r="G289" s="1382" t="s">
        <v>5277</v>
      </c>
      <c r="H289" s="1379"/>
      <c r="I289" s="1379" t="s">
        <v>551</v>
      </c>
      <c r="J289" s="2072"/>
      <c r="K289" s="664"/>
      <c r="L289" s="255"/>
      <c r="M289" s="1381" t="s">
        <v>2532</v>
      </c>
      <c r="N289" s="328" t="s">
        <v>1979</v>
      </c>
      <c r="O289" s="1379" t="s">
        <v>5111</v>
      </c>
      <c r="P289" s="1378">
        <v>44694</v>
      </c>
      <c r="Q289" s="1378">
        <v>44694</v>
      </c>
      <c r="R289" s="1195" t="s">
        <v>4265</v>
      </c>
      <c r="S289" s="1083"/>
      <c r="T289" s="2067"/>
      <c r="U289" s="1088"/>
    </row>
    <row r="290" spans="1:21" s="197" customFormat="1" ht="40.5" customHeight="1">
      <c r="A290" s="1088" t="s">
        <v>2512</v>
      </c>
      <c r="B290" s="1378">
        <v>44694</v>
      </c>
      <c r="C290" s="1088">
        <v>2</v>
      </c>
      <c r="D290" s="1088">
        <f t="shared" si="21"/>
        <v>18</v>
      </c>
      <c r="E290" s="1088"/>
      <c r="F290" s="1088">
        <v>1</v>
      </c>
      <c r="G290" s="1382" t="s">
        <v>5278</v>
      </c>
      <c r="H290" s="1379"/>
      <c r="I290" s="1379" t="s">
        <v>2344</v>
      </c>
      <c r="J290" s="2072"/>
      <c r="K290" s="664"/>
      <c r="L290" s="255"/>
      <c r="M290" s="1381" t="s">
        <v>2519</v>
      </c>
      <c r="N290" s="328" t="s">
        <v>2560</v>
      </c>
      <c r="O290" s="1379" t="s">
        <v>5112</v>
      </c>
      <c r="P290" s="1378">
        <v>44694</v>
      </c>
      <c r="Q290" s="1378">
        <v>44694</v>
      </c>
      <c r="R290" s="1195" t="s">
        <v>4265</v>
      </c>
      <c r="S290" s="1083"/>
      <c r="T290" s="1829"/>
      <c r="U290" s="1088"/>
    </row>
    <row r="291" spans="1:21" s="197" customFormat="1" ht="40.5" customHeight="1">
      <c r="A291" s="1088" t="s">
        <v>2512</v>
      </c>
      <c r="B291" s="1378">
        <v>44694</v>
      </c>
      <c r="C291" s="1088">
        <v>2</v>
      </c>
      <c r="D291" s="1088">
        <f t="shared" si="21"/>
        <v>18</v>
      </c>
      <c r="E291" s="1088"/>
      <c r="F291" s="1088">
        <f>F290+1</f>
        <v>2</v>
      </c>
      <c r="G291" s="1382" t="s">
        <v>5279</v>
      </c>
      <c r="H291" s="1379"/>
      <c r="I291" s="1379" t="s">
        <v>2344</v>
      </c>
      <c r="J291" s="2072"/>
      <c r="K291" s="664"/>
      <c r="L291" s="255"/>
      <c r="M291" s="1381" t="s">
        <v>2519</v>
      </c>
      <c r="N291" s="328" t="s">
        <v>1979</v>
      </c>
      <c r="O291" s="1379" t="s">
        <v>5112</v>
      </c>
      <c r="P291" s="1378">
        <v>44694</v>
      </c>
      <c r="Q291" s="1378">
        <v>44694</v>
      </c>
      <c r="R291" s="1195" t="s">
        <v>4265</v>
      </c>
      <c r="S291" s="1083"/>
      <c r="T291" s="1829"/>
      <c r="U291" s="1088"/>
    </row>
    <row r="292" spans="1:21" s="197" customFormat="1" ht="40.5" customHeight="1">
      <c r="A292" s="1088" t="s">
        <v>2512</v>
      </c>
      <c r="B292" s="1378">
        <v>44694</v>
      </c>
      <c r="C292" s="1088">
        <v>2</v>
      </c>
      <c r="D292" s="1088">
        <f t="shared" si="21"/>
        <v>18</v>
      </c>
      <c r="E292" s="1088"/>
      <c r="F292" s="1088">
        <f>F291+1</f>
        <v>3</v>
      </c>
      <c r="G292" s="1382" t="s">
        <v>5279</v>
      </c>
      <c r="H292" s="1379"/>
      <c r="I292" s="1379" t="s">
        <v>2344</v>
      </c>
      <c r="J292" s="2072"/>
      <c r="K292" s="664"/>
      <c r="L292" s="255"/>
      <c r="M292" s="1381" t="s">
        <v>2519</v>
      </c>
      <c r="N292" s="328" t="s">
        <v>2574</v>
      </c>
      <c r="O292" s="1379" t="s">
        <v>5112</v>
      </c>
      <c r="P292" s="1378">
        <v>44694</v>
      </c>
      <c r="Q292" s="1378">
        <v>44694</v>
      </c>
      <c r="R292" s="1195" t="s">
        <v>4265</v>
      </c>
      <c r="S292" s="1083"/>
      <c r="T292" s="1829"/>
      <c r="U292" s="1088"/>
    </row>
    <row r="293" spans="1:21" s="197" customFormat="1" ht="98.25" customHeight="1">
      <c r="A293" s="1088" t="s">
        <v>2512</v>
      </c>
      <c r="B293" s="1378">
        <v>44526</v>
      </c>
      <c r="C293" s="1088">
        <v>1</v>
      </c>
      <c r="D293" s="1088">
        <v>5</v>
      </c>
      <c r="E293" s="1084" t="s">
        <v>4540</v>
      </c>
      <c r="F293" s="1088">
        <v>1</v>
      </c>
      <c r="G293" s="1382" t="s">
        <v>4791</v>
      </c>
      <c r="H293" s="1379"/>
      <c r="I293" s="1379" t="s">
        <v>551</v>
      </c>
      <c r="J293" s="2072" t="s">
        <v>5962</v>
      </c>
      <c r="K293" s="189">
        <v>44812</v>
      </c>
      <c r="L293" s="190">
        <v>44834</v>
      </c>
      <c r="M293" s="1381" t="s">
        <v>4847</v>
      </c>
      <c r="N293" s="328" t="s">
        <v>1979</v>
      </c>
      <c r="O293" s="1379" t="s">
        <v>5280</v>
      </c>
      <c r="P293" s="1378">
        <v>44526</v>
      </c>
      <c r="Q293" s="1378">
        <v>44526</v>
      </c>
      <c r="R293" s="1195" t="s">
        <v>4265</v>
      </c>
      <c r="S293" s="1083"/>
      <c r="T293" s="2067"/>
      <c r="U293" s="1088"/>
    </row>
    <row r="294" spans="1:21" s="197" customFormat="1" ht="122.25" customHeight="1">
      <c r="A294" s="1088" t="s">
        <v>2512</v>
      </c>
      <c r="B294" s="1378">
        <v>44526</v>
      </c>
      <c r="C294" s="1088">
        <f>C293</f>
        <v>1</v>
      </c>
      <c r="D294" s="1088">
        <f>D293</f>
        <v>5</v>
      </c>
      <c r="E294" s="1088"/>
      <c r="F294" s="1088">
        <f t="shared" ref="F294:F325" si="22">F293+1</f>
        <v>2</v>
      </c>
      <c r="G294" s="1382" t="s">
        <v>4792</v>
      </c>
      <c r="H294" s="1379"/>
      <c r="I294" s="1379" t="s">
        <v>2344</v>
      </c>
      <c r="J294" s="2072"/>
      <c r="K294" s="664"/>
      <c r="L294" s="255"/>
      <c r="M294" s="1381" t="s">
        <v>3181</v>
      </c>
      <c r="N294" s="328" t="s">
        <v>1979</v>
      </c>
      <c r="O294" s="1379" t="s">
        <v>5280</v>
      </c>
      <c r="P294" s="1378">
        <v>44526</v>
      </c>
      <c r="Q294" s="1378">
        <v>44526</v>
      </c>
      <c r="R294" s="1195" t="s">
        <v>4265</v>
      </c>
      <c r="S294" s="1083"/>
      <c r="T294" s="1829"/>
      <c r="U294" s="1088"/>
    </row>
    <row r="295" spans="1:21" s="197" customFormat="1" ht="62.25" customHeight="1">
      <c r="A295" s="1088" t="s">
        <v>2512</v>
      </c>
      <c r="B295" s="1378">
        <v>44526</v>
      </c>
      <c r="C295" s="1088">
        <f>C294</f>
        <v>1</v>
      </c>
      <c r="D295" s="1088">
        <f>D294</f>
        <v>5</v>
      </c>
      <c r="E295" s="1084" t="s">
        <v>4572</v>
      </c>
      <c r="F295" s="1088">
        <f t="shared" si="22"/>
        <v>3</v>
      </c>
      <c r="G295" s="1382" t="s">
        <v>4793</v>
      </c>
      <c r="H295" s="1379"/>
      <c r="I295" s="1379" t="s">
        <v>551</v>
      </c>
      <c r="J295" s="2072" t="s">
        <v>5962</v>
      </c>
      <c r="K295" s="189">
        <v>44847</v>
      </c>
      <c r="L295" s="255">
        <v>44895</v>
      </c>
      <c r="M295" s="1381"/>
      <c r="N295" s="328" t="s">
        <v>2560</v>
      </c>
      <c r="O295" s="1379" t="s">
        <v>5280</v>
      </c>
      <c r="P295" s="1378">
        <v>44526</v>
      </c>
      <c r="Q295" s="1378">
        <v>44526</v>
      </c>
      <c r="R295" s="1195" t="s">
        <v>4265</v>
      </c>
      <c r="S295" s="1083"/>
      <c r="T295" s="2067"/>
      <c r="U295" s="1088"/>
    </row>
    <row r="296" spans="1:21" s="197" customFormat="1" ht="64.5" customHeight="1">
      <c r="A296" s="1088" t="s">
        <v>2512</v>
      </c>
      <c r="B296" s="1378">
        <v>44526</v>
      </c>
      <c r="C296" s="1088">
        <f t="shared" ref="C296:C327" si="23">C295</f>
        <v>1</v>
      </c>
      <c r="D296" s="1088">
        <v>6</v>
      </c>
      <c r="E296" s="1088"/>
      <c r="F296" s="1088">
        <f t="shared" si="22"/>
        <v>4</v>
      </c>
      <c r="G296" s="1382" t="s">
        <v>5281</v>
      </c>
      <c r="H296" s="1379"/>
      <c r="I296" s="1379" t="s">
        <v>2344</v>
      </c>
      <c r="J296" s="2072"/>
      <c r="K296" s="664"/>
      <c r="L296" s="255"/>
      <c r="M296" s="1381"/>
      <c r="N296" s="328" t="s">
        <v>2649</v>
      </c>
      <c r="O296" s="1379" t="s">
        <v>5280</v>
      </c>
      <c r="P296" s="1378">
        <v>44526</v>
      </c>
      <c r="Q296" s="1378">
        <v>44526</v>
      </c>
      <c r="R296" s="1195" t="s">
        <v>4265</v>
      </c>
      <c r="S296" s="1083"/>
      <c r="T296" s="1829"/>
      <c r="U296" s="1088"/>
    </row>
    <row r="297" spans="1:21" s="197" customFormat="1" ht="56.25" customHeight="1">
      <c r="A297" s="1088" t="s">
        <v>2512</v>
      </c>
      <c r="B297" s="1378">
        <v>44526</v>
      </c>
      <c r="C297" s="1088">
        <f t="shared" si="23"/>
        <v>1</v>
      </c>
      <c r="D297" s="1088">
        <f t="shared" ref="D297:D328" si="24">D296</f>
        <v>6</v>
      </c>
      <c r="E297" s="1088"/>
      <c r="F297" s="1088">
        <f t="shared" si="22"/>
        <v>5</v>
      </c>
      <c r="G297" s="1382" t="s">
        <v>5281</v>
      </c>
      <c r="H297" s="1379"/>
      <c r="I297" s="1379" t="s">
        <v>2344</v>
      </c>
      <c r="J297" s="2072"/>
      <c r="K297" s="664"/>
      <c r="L297" s="255"/>
      <c r="M297" s="1381"/>
      <c r="N297" s="328" t="s">
        <v>2568</v>
      </c>
      <c r="O297" s="1379" t="s">
        <v>5280</v>
      </c>
      <c r="P297" s="1378">
        <v>44526</v>
      </c>
      <c r="Q297" s="1378">
        <v>44526</v>
      </c>
      <c r="R297" s="1195" t="s">
        <v>4265</v>
      </c>
      <c r="S297" s="1083"/>
      <c r="T297" s="1829"/>
      <c r="U297" s="1088"/>
    </row>
    <row r="298" spans="1:21" s="197" customFormat="1" ht="40.5" customHeight="1">
      <c r="A298" s="1088" t="s">
        <v>2512</v>
      </c>
      <c r="B298" s="1378">
        <v>44526</v>
      </c>
      <c r="C298" s="1088">
        <f t="shared" si="23"/>
        <v>1</v>
      </c>
      <c r="D298" s="1088">
        <f t="shared" si="24"/>
        <v>6</v>
      </c>
      <c r="E298" s="1088"/>
      <c r="F298" s="1088">
        <f t="shared" si="22"/>
        <v>6</v>
      </c>
      <c r="G298" s="1382" t="s">
        <v>5282</v>
      </c>
      <c r="H298" s="1379"/>
      <c r="I298" s="1379" t="s">
        <v>2344</v>
      </c>
      <c r="J298" s="2072"/>
      <c r="K298" s="664"/>
      <c r="L298" s="255"/>
      <c r="M298" s="1381"/>
      <c r="N298" s="328" t="s">
        <v>2613</v>
      </c>
      <c r="O298" s="1379" t="s">
        <v>5280</v>
      </c>
      <c r="P298" s="1378">
        <v>44526</v>
      </c>
      <c r="Q298" s="1378">
        <v>44526</v>
      </c>
      <c r="R298" s="1195" t="s">
        <v>4265</v>
      </c>
      <c r="S298" s="1083"/>
      <c r="T298" s="1829"/>
      <c r="U298" s="1088"/>
    </row>
    <row r="299" spans="1:21" s="197" customFormat="1" ht="40.5" customHeight="1">
      <c r="A299" s="1088" t="s">
        <v>2512</v>
      </c>
      <c r="B299" s="1378">
        <v>44526</v>
      </c>
      <c r="C299" s="1088">
        <f t="shared" si="23"/>
        <v>1</v>
      </c>
      <c r="D299" s="1088">
        <f t="shared" si="24"/>
        <v>6</v>
      </c>
      <c r="E299" s="1088"/>
      <c r="F299" s="1088">
        <f t="shared" si="22"/>
        <v>7</v>
      </c>
      <c r="G299" s="1382" t="s">
        <v>5283</v>
      </c>
      <c r="H299" s="1379"/>
      <c r="I299" s="1379" t="s">
        <v>2344</v>
      </c>
      <c r="J299" s="2072"/>
      <c r="K299" s="664"/>
      <c r="L299" s="255"/>
      <c r="M299" s="1381"/>
      <c r="N299" s="328" t="s">
        <v>1980</v>
      </c>
      <c r="O299" s="1379" t="s">
        <v>5280</v>
      </c>
      <c r="P299" s="1378">
        <v>44526</v>
      </c>
      <c r="Q299" s="1378">
        <v>44526</v>
      </c>
      <c r="R299" s="1195" t="s">
        <v>4265</v>
      </c>
      <c r="S299" s="1083"/>
      <c r="T299" s="1829"/>
      <c r="U299" s="1088"/>
    </row>
    <row r="300" spans="1:21" s="197" customFormat="1" ht="40.5" customHeight="1">
      <c r="A300" s="1088" t="s">
        <v>2512</v>
      </c>
      <c r="B300" s="1378">
        <v>44526</v>
      </c>
      <c r="C300" s="1088">
        <f t="shared" si="23"/>
        <v>1</v>
      </c>
      <c r="D300" s="1088">
        <f t="shared" si="24"/>
        <v>6</v>
      </c>
      <c r="E300" s="1088"/>
      <c r="F300" s="1088">
        <f t="shared" si="22"/>
        <v>8</v>
      </c>
      <c r="G300" s="1382" t="s">
        <v>5283</v>
      </c>
      <c r="H300" s="1379"/>
      <c r="I300" s="1379" t="s">
        <v>2344</v>
      </c>
      <c r="J300" s="2072"/>
      <c r="K300" s="664"/>
      <c r="L300" s="255"/>
      <c r="M300" s="1381"/>
      <c r="N300" s="328" t="s">
        <v>2568</v>
      </c>
      <c r="O300" s="1379" t="s">
        <v>5280</v>
      </c>
      <c r="P300" s="1378">
        <v>44526</v>
      </c>
      <c r="Q300" s="1378">
        <v>44526</v>
      </c>
      <c r="R300" s="1195" t="s">
        <v>4265</v>
      </c>
      <c r="S300" s="1083"/>
      <c r="T300" s="1829"/>
      <c r="U300" s="1088"/>
    </row>
    <row r="301" spans="1:21" s="197" customFormat="1" ht="40.5" customHeight="1">
      <c r="A301" s="1088" t="s">
        <v>2512</v>
      </c>
      <c r="B301" s="1378">
        <v>44526</v>
      </c>
      <c r="C301" s="1088">
        <f t="shared" si="23"/>
        <v>1</v>
      </c>
      <c r="D301" s="1088">
        <f t="shared" si="24"/>
        <v>6</v>
      </c>
      <c r="E301" s="1088"/>
      <c r="F301" s="1088">
        <f t="shared" si="22"/>
        <v>9</v>
      </c>
      <c r="G301" s="1382" t="s">
        <v>5284</v>
      </c>
      <c r="H301" s="1379"/>
      <c r="I301" s="1379" t="s">
        <v>2344</v>
      </c>
      <c r="J301" s="2072"/>
      <c r="K301" s="664"/>
      <c r="L301" s="255"/>
      <c r="M301" s="1381"/>
      <c r="N301" s="328" t="s">
        <v>5305</v>
      </c>
      <c r="O301" s="1379" t="s">
        <v>5280</v>
      </c>
      <c r="P301" s="1378">
        <v>44526</v>
      </c>
      <c r="Q301" s="1378">
        <v>44526</v>
      </c>
      <c r="R301" s="1195" t="s">
        <v>4265</v>
      </c>
      <c r="S301" s="1083"/>
      <c r="T301" s="1829"/>
      <c r="U301" s="1088"/>
    </row>
    <row r="302" spans="1:21" s="197" customFormat="1" ht="40.5" customHeight="1">
      <c r="A302" s="1088" t="s">
        <v>2512</v>
      </c>
      <c r="B302" s="1378">
        <v>44526</v>
      </c>
      <c r="C302" s="1088">
        <f t="shared" si="23"/>
        <v>1</v>
      </c>
      <c r="D302" s="1088">
        <f t="shared" si="24"/>
        <v>6</v>
      </c>
      <c r="E302" s="1088"/>
      <c r="F302" s="1088">
        <f t="shared" si="22"/>
        <v>10</v>
      </c>
      <c r="G302" s="1382" t="s">
        <v>5285</v>
      </c>
      <c r="H302" s="1379"/>
      <c r="I302" s="1379" t="s">
        <v>2344</v>
      </c>
      <c r="J302" s="2072"/>
      <c r="K302" s="664"/>
      <c r="L302" s="255"/>
      <c r="M302" s="1381"/>
      <c r="N302" s="328" t="s">
        <v>1979</v>
      </c>
      <c r="O302" s="1379" t="s">
        <v>5280</v>
      </c>
      <c r="P302" s="1378">
        <v>44526</v>
      </c>
      <c r="Q302" s="1378">
        <v>44526</v>
      </c>
      <c r="R302" s="1195" t="s">
        <v>4265</v>
      </c>
      <c r="S302" s="1083"/>
      <c r="T302" s="1829"/>
      <c r="U302" s="1088"/>
    </row>
    <row r="303" spans="1:21" s="197" customFormat="1" ht="40.5" customHeight="1">
      <c r="A303" s="1088" t="s">
        <v>2512</v>
      </c>
      <c r="B303" s="1378">
        <v>44526</v>
      </c>
      <c r="C303" s="1088">
        <f t="shared" si="23"/>
        <v>1</v>
      </c>
      <c r="D303" s="1088">
        <f t="shared" si="24"/>
        <v>6</v>
      </c>
      <c r="E303" s="1088"/>
      <c r="F303" s="1088">
        <f t="shared" si="22"/>
        <v>11</v>
      </c>
      <c r="G303" s="1382" t="s">
        <v>5286</v>
      </c>
      <c r="H303" s="1379"/>
      <c r="I303" s="1379" t="s">
        <v>2344</v>
      </c>
      <c r="J303" s="2072"/>
      <c r="K303" s="664"/>
      <c r="L303" s="255"/>
      <c r="M303" s="1381"/>
      <c r="N303" s="328" t="s">
        <v>1979</v>
      </c>
      <c r="O303" s="1379" t="s">
        <v>5280</v>
      </c>
      <c r="P303" s="1378">
        <v>44526</v>
      </c>
      <c r="Q303" s="1378">
        <v>44526</v>
      </c>
      <c r="R303" s="1195" t="s">
        <v>4265</v>
      </c>
      <c r="S303" s="1083"/>
      <c r="T303" s="1829"/>
      <c r="U303" s="1088"/>
    </row>
    <row r="304" spans="1:21" s="197" customFormat="1" ht="40.5" customHeight="1">
      <c r="A304" s="1088" t="s">
        <v>2512</v>
      </c>
      <c r="B304" s="1378">
        <v>44526</v>
      </c>
      <c r="C304" s="1088">
        <f t="shared" si="23"/>
        <v>1</v>
      </c>
      <c r="D304" s="1088">
        <f t="shared" si="24"/>
        <v>6</v>
      </c>
      <c r="E304" s="1088"/>
      <c r="F304" s="1088">
        <f t="shared" si="22"/>
        <v>12</v>
      </c>
      <c r="G304" s="1382" t="s">
        <v>5287</v>
      </c>
      <c r="H304" s="1379"/>
      <c r="I304" s="1379" t="s">
        <v>2344</v>
      </c>
      <c r="J304" s="2072"/>
      <c r="K304" s="664"/>
      <c r="L304" s="255"/>
      <c r="M304" s="1381" t="s">
        <v>5381</v>
      </c>
      <c r="N304" s="328" t="s">
        <v>1979</v>
      </c>
      <c r="O304" s="1379" t="s">
        <v>5280</v>
      </c>
      <c r="P304" s="1378">
        <v>44526</v>
      </c>
      <c r="Q304" s="1378">
        <v>44526</v>
      </c>
      <c r="R304" s="1195" t="s">
        <v>4265</v>
      </c>
      <c r="S304" s="1083"/>
      <c r="T304" s="1829"/>
      <c r="U304" s="1088"/>
    </row>
    <row r="305" spans="1:21" s="197" customFormat="1" ht="84.75" customHeight="1">
      <c r="A305" s="1088" t="s">
        <v>2512</v>
      </c>
      <c r="B305" s="1378">
        <v>44526</v>
      </c>
      <c r="C305" s="1088">
        <f t="shared" si="23"/>
        <v>1</v>
      </c>
      <c r="D305" s="1088">
        <f t="shared" si="24"/>
        <v>6</v>
      </c>
      <c r="E305" s="1088"/>
      <c r="F305" s="1088">
        <f t="shared" si="22"/>
        <v>13</v>
      </c>
      <c r="G305" s="1382" t="s">
        <v>5288</v>
      </c>
      <c r="H305" s="1379"/>
      <c r="I305" s="1379" t="s">
        <v>2344</v>
      </c>
      <c r="J305" s="2072"/>
      <c r="K305" s="664"/>
      <c r="L305" s="255"/>
      <c r="M305" s="1381" t="s">
        <v>5391</v>
      </c>
      <c r="N305" s="328" t="s">
        <v>1979</v>
      </c>
      <c r="O305" s="1379" t="s">
        <v>5280</v>
      </c>
      <c r="P305" s="1378">
        <v>44526</v>
      </c>
      <c r="Q305" s="1378">
        <v>44526</v>
      </c>
      <c r="R305" s="1195" t="s">
        <v>4265</v>
      </c>
      <c r="S305" s="1083"/>
      <c r="T305" s="1829"/>
      <c r="U305" s="1088"/>
    </row>
    <row r="306" spans="1:21" s="197" customFormat="1" ht="85.5" customHeight="1">
      <c r="A306" s="1088" t="s">
        <v>2512</v>
      </c>
      <c r="B306" s="1378">
        <v>44526</v>
      </c>
      <c r="C306" s="1088">
        <f t="shared" si="23"/>
        <v>1</v>
      </c>
      <c r="D306" s="1088">
        <f t="shared" si="24"/>
        <v>6</v>
      </c>
      <c r="E306" s="1088"/>
      <c r="F306" s="1088">
        <f t="shared" si="22"/>
        <v>14</v>
      </c>
      <c r="G306" s="1382" t="s">
        <v>5289</v>
      </c>
      <c r="H306" s="1379"/>
      <c r="I306" s="1379" t="s">
        <v>2344</v>
      </c>
      <c r="J306" s="2072"/>
      <c r="K306" s="664"/>
      <c r="L306" s="255"/>
      <c r="M306" s="1381" t="s">
        <v>4824</v>
      </c>
      <c r="N306" s="328" t="s">
        <v>1979</v>
      </c>
      <c r="O306" s="1379" t="s">
        <v>5280</v>
      </c>
      <c r="P306" s="1378">
        <v>44526</v>
      </c>
      <c r="Q306" s="1378">
        <v>44526</v>
      </c>
      <c r="R306" s="1195" t="s">
        <v>4265</v>
      </c>
      <c r="S306" s="1083"/>
      <c r="T306" s="1829"/>
      <c r="U306" s="1088"/>
    </row>
    <row r="307" spans="1:21" s="197" customFormat="1" ht="102" customHeight="1">
      <c r="A307" s="1088" t="s">
        <v>2512</v>
      </c>
      <c r="B307" s="1378">
        <v>44526</v>
      </c>
      <c r="C307" s="1088">
        <f t="shared" si="23"/>
        <v>1</v>
      </c>
      <c r="D307" s="1088">
        <f t="shared" si="24"/>
        <v>6</v>
      </c>
      <c r="E307" s="1088"/>
      <c r="F307" s="1088">
        <f t="shared" si="22"/>
        <v>15</v>
      </c>
      <c r="G307" s="1382" t="s">
        <v>5290</v>
      </c>
      <c r="H307" s="1379"/>
      <c r="I307" s="1379" t="s">
        <v>2344</v>
      </c>
      <c r="J307" s="2072"/>
      <c r="K307" s="664"/>
      <c r="L307" s="255"/>
      <c r="M307" s="1381" t="s">
        <v>2726</v>
      </c>
      <c r="N307" s="328" t="s">
        <v>1979</v>
      </c>
      <c r="O307" s="1379" t="s">
        <v>5280</v>
      </c>
      <c r="P307" s="1378">
        <v>44526</v>
      </c>
      <c r="Q307" s="1378">
        <v>44526</v>
      </c>
      <c r="R307" s="1195" t="s">
        <v>4265</v>
      </c>
      <c r="S307" s="1083"/>
      <c r="T307" s="1829"/>
      <c r="U307" s="1088"/>
    </row>
    <row r="308" spans="1:21" s="197" customFormat="1" ht="78.75" customHeight="1">
      <c r="A308" s="1088" t="s">
        <v>2512</v>
      </c>
      <c r="B308" s="1378">
        <v>44526</v>
      </c>
      <c r="C308" s="1088">
        <f t="shared" si="23"/>
        <v>1</v>
      </c>
      <c r="D308" s="1088">
        <f t="shared" si="24"/>
        <v>6</v>
      </c>
      <c r="E308" s="1088"/>
      <c r="F308" s="1088">
        <f t="shared" si="22"/>
        <v>16</v>
      </c>
      <c r="G308" s="1382" t="s">
        <v>5291</v>
      </c>
      <c r="H308" s="1379"/>
      <c r="I308" s="1379" t="s">
        <v>2344</v>
      </c>
      <c r="J308" s="2072"/>
      <c r="K308" s="664"/>
      <c r="L308" s="255"/>
      <c r="M308" s="1381" t="s">
        <v>2524</v>
      </c>
      <c r="N308" s="328" t="s">
        <v>1979</v>
      </c>
      <c r="O308" s="1379" t="s">
        <v>5280</v>
      </c>
      <c r="P308" s="1378">
        <v>44526</v>
      </c>
      <c r="Q308" s="1378">
        <v>44526</v>
      </c>
      <c r="R308" s="1195" t="s">
        <v>4265</v>
      </c>
      <c r="S308" s="1083"/>
      <c r="T308" s="1829"/>
      <c r="U308" s="1088"/>
    </row>
    <row r="309" spans="1:21" s="197" customFormat="1" ht="75.75" customHeight="1">
      <c r="A309" s="1088" t="s">
        <v>2512</v>
      </c>
      <c r="B309" s="1378">
        <v>44526</v>
      </c>
      <c r="C309" s="1088">
        <f t="shared" si="23"/>
        <v>1</v>
      </c>
      <c r="D309" s="1088">
        <f t="shared" si="24"/>
        <v>6</v>
      </c>
      <c r="E309" s="1088"/>
      <c r="F309" s="1088">
        <f t="shared" si="22"/>
        <v>17</v>
      </c>
      <c r="G309" s="1382" t="s">
        <v>5114</v>
      </c>
      <c r="H309" s="1379"/>
      <c r="I309" s="1379" t="s">
        <v>2344</v>
      </c>
      <c r="J309" s="2072"/>
      <c r="K309" s="664"/>
      <c r="L309" s="255"/>
      <c r="M309" s="1381" t="s">
        <v>4702</v>
      </c>
      <c r="N309" s="328" t="s">
        <v>1979</v>
      </c>
      <c r="O309" s="1379" t="s">
        <v>5280</v>
      </c>
      <c r="P309" s="1378">
        <v>44526</v>
      </c>
      <c r="Q309" s="1378">
        <v>44526</v>
      </c>
      <c r="R309" s="1195" t="s">
        <v>4265</v>
      </c>
      <c r="S309" s="1083"/>
      <c r="T309" s="1829"/>
      <c r="U309" s="1088"/>
    </row>
    <row r="310" spans="1:21" s="197" customFormat="1" ht="77.25" customHeight="1">
      <c r="A310" s="1088" t="s">
        <v>2512</v>
      </c>
      <c r="B310" s="1378">
        <v>44526</v>
      </c>
      <c r="C310" s="1088">
        <f t="shared" si="23"/>
        <v>1</v>
      </c>
      <c r="D310" s="1088">
        <f t="shared" si="24"/>
        <v>6</v>
      </c>
      <c r="E310" s="1088"/>
      <c r="F310" s="1088">
        <f t="shared" si="22"/>
        <v>18</v>
      </c>
      <c r="G310" s="1382" t="s">
        <v>5292</v>
      </c>
      <c r="H310" s="1379"/>
      <c r="I310" s="1379" t="s">
        <v>2344</v>
      </c>
      <c r="J310" s="2072"/>
      <c r="K310" s="664"/>
      <c r="L310" s="255"/>
      <c r="M310" s="1381" t="s">
        <v>2524</v>
      </c>
      <c r="N310" s="328" t="s">
        <v>1979</v>
      </c>
      <c r="O310" s="1379" t="s">
        <v>5280</v>
      </c>
      <c r="P310" s="1378">
        <v>44526</v>
      </c>
      <c r="Q310" s="1378">
        <v>44526</v>
      </c>
      <c r="R310" s="1195" t="s">
        <v>4265</v>
      </c>
      <c r="S310" s="1083"/>
      <c r="T310" s="1829"/>
      <c r="U310" s="1088"/>
    </row>
    <row r="311" spans="1:21" s="197" customFormat="1" ht="40.5" customHeight="1">
      <c r="A311" s="1088" t="s">
        <v>2512</v>
      </c>
      <c r="B311" s="1378">
        <v>44526</v>
      </c>
      <c r="C311" s="1088">
        <f t="shared" si="23"/>
        <v>1</v>
      </c>
      <c r="D311" s="1088">
        <f t="shared" si="24"/>
        <v>6</v>
      </c>
      <c r="E311" s="1088"/>
      <c r="F311" s="1088">
        <f t="shared" si="22"/>
        <v>19</v>
      </c>
      <c r="G311" s="1382" t="s">
        <v>5293</v>
      </c>
      <c r="H311" s="1379"/>
      <c r="I311" s="1379" t="s">
        <v>2344</v>
      </c>
      <c r="J311" s="2072"/>
      <c r="K311" s="664"/>
      <c r="L311" s="255"/>
      <c r="M311" s="1381" t="s">
        <v>5392</v>
      </c>
      <c r="N311" s="328" t="s">
        <v>2574</v>
      </c>
      <c r="O311" s="1379" t="s">
        <v>269</v>
      </c>
      <c r="P311" s="1378">
        <v>44526</v>
      </c>
      <c r="Q311" s="1378">
        <v>44526</v>
      </c>
      <c r="R311" s="1195" t="s">
        <v>4265</v>
      </c>
      <c r="S311" s="1083"/>
      <c r="T311" s="1829"/>
      <c r="U311" s="1088"/>
    </row>
    <row r="312" spans="1:21" s="197" customFormat="1" ht="40.5" customHeight="1">
      <c r="A312" s="1088" t="s">
        <v>2512</v>
      </c>
      <c r="B312" s="1378">
        <v>44526</v>
      </c>
      <c r="C312" s="1088">
        <f t="shared" si="23"/>
        <v>1</v>
      </c>
      <c r="D312" s="1088">
        <f t="shared" si="24"/>
        <v>6</v>
      </c>
      <c r="E312" s="1086" t="s">
        <v>4396</v>
      </c>
      <c r="F312" s="1088">
        <f t="shared" si="22"/>
        <v>20</v>
      </c>
      <c r="G312" s="1382" t="s">
        <v>5294</v>
      </c>
      <c r="H312" s="1379"/>
      <c r="I312" s="1379" t="s">
        <v>551</v>
      </c>
      <c r="J312" s="2072" t="s">
        <v>5963</v>
      </c>
      <c r="K312" s="189">
        <v>44760</v>
      </c>
      <c r="L312" s="255">
        <v>44804</v>
      </c>
      <c r="M312" s="1381" t="s">
        <v>4751</v>
      </c>
      <c r="N312" s="328" t="s">
        <v>2574</v>
      </c>
      <c r="O312" s="1379" t="s">
        <v>269</v>
      </c>
      <c r="P312" s="1378">
        <v>44526</v>
      </c>
      <c r="Q312" s="1378">
        <v>44526</v>
      </c>
      <c r="R312" s="1195" t="s">
        <v>4265</v>
      </c>
      <c r="S312" s="1083"/>
      <c r="T312" s="2067"/>
      <c r="U312" s="1088"/>
    </row>
    <row r="313" spans="1:21" s="197" customFormat="1" ht="40.5" customHeight="1">
      <c r="A313" s="1088" t="s">
        <v>2512</v>
      </c>
      <c r="B313" s="1378">
        <v>44526</v>
      </c>
      <c r="C313" s="1088">
        <f t="shared" si="23"/>
        <v>1</v>
      </c>
      <c r="D313" s="1088">
        <f t="shared" si="24"/>
        <v>6</v>
      </c>
      <c r="E313" s="1086" t="s">
        <v>4400</v>
      </c>
      <c r="F313" s="1088">
        <f t="shared" si="22"/>
        <v>21</v>
      </c>
      <c r="G313" s="1382" t="s">
        <v>5295</v>
      </c>
      <c r="H313" s="1379"/>
      <c r="I313" s="1379" t="s">
        <v>551</v>
      </c>
      <c r="J313" s="2072" t="s">
        <v>5963</v>
      </c>
      <c r="K313" s="189">
        <v>44865</v>
      </c>
      <c r="L313" s="255">
        <v>44883</v>
      </c>
      <c r="M313" s="1381" t="s">
        <v>4764</v>
      </c>
      <c r="N313" s="328" t="s">
        <v>2574</v>
      </c>
      <c r="O313" s="1379" t="s">
        <v>269</v>
      </c>
      <c r="P313" s="1378">
        <v>44526</v>
      </c>
      <c r="Q313" s="1378">
        <v>44526</v>
      </c>
      <c r="R313" s="1195" t="s">
        <v>4265</v>
      </c>
      <c r="S313" s="1083"/>
      <c r="T313" s="2067"/>
      <c r="U313" s="1088"/>
    </row>
    <row r="314" spans="1:21" s="197" customFormat="1" ht="40.5" customHeight="1">
      <c r="A314" s="1088" t="s">
        <v>2512</v>
      </c>
      <c r="B314" s="1378">
        <v>44526</v>
      </c>
      <c r="C314" s="1088">
        <f t="shared" si="23"/>
        <v>1</v>
      </c>
      <c r="D314" s="1088">
        <f t="shared" si="24"/>
        <v>6</v>
      </c>
      <c r="E314" s="1088"/>
      <c r="F314" s="1088">
        <f t="shared" si="22"/>
        <v>22</v>
      </c>
      <c r="G314" s="1382" t="s">
        <v>5296</v>
      </c>
      <c r="H314" s="1379"/>
      <c r="I314" s="1379" t="s">
        <v>2344</v>
      </c>
      <c r="J314" s="2072"/>
      <c r="K314" s="664"/>
      <c r="L314" s="255"/>
      <c r="M314" s="1381" t="s">
        <v>4751</v>
      </c>
      <c r="N314" s="328" t="s">
        <v>2574</v>
      </c>
      <c r="O314" s="1379" t="s">
        <v>269</v>
      </c>
      <c r="P314" s="1378">
        <v>44526</v>
      </c>
      <c r="Q314" s="1378">
        <v>44526</v>
      </c>
      <c r="R314" s="1195" t="s">
        <v>4265</v>
      </c>
      <c r="S314" s="1083"/>
      <c r="T314" s="1829"/>
      <c r="U314" s="1088"/>
    </row>
    <row r="315" spans="1:21" s="197" customFormat="1" ht="40.5" customHeight="1">
      <c r="A315" s="1088" t="s">
        <v>2512</v>
      </c>
      <c r="B315" s="1378">
        <v>44526</v>
      </c>
      <c r="C315" s="1088">
        <f t="shared" si="23"/>
        <v>1</v>
      </c>
      <c r="D315" s="1088">
        <f t="shared" si="24"/>
        <v>6</v>
      </c>
      <c r="E315" s="1088"/>
      <c r="F315" s="1088">
        <f t="shared" si="22"/>
        <v>23</v>
      </c>
      <c r="G315" s="1382" t="s">
        <v>5297</v>
      </c>
      <c r="H315" s="1379"/>
      <c r="I315" s="1379" t="s">
        <v>2344</v>
      </c>
      <c r="J315" s="2072"/>
      <c r="K315" s="664"/>
      <c r="L315" s="255"/>
      <c r="M315" s="1381" t="s">
        <v>5393</v>
      </c>
      <c r="N315" s="328" t="s">
        <v>2699</v>
      </c>
      <c r="O315" s="1379" t="s">
        <v>269</v>
      </c>
      <c r="P315" s="1378">
        <v>44526</v>
      </c>
      <c r="Q315" s="1378">
        <v>44526</v>
      </c>
      <c r="R315" s="1195" t="s">
        <v>4265</v>
      </c>
      <c r="S315" s="1083"/>
      <c r="T315" s="1829"/>
      <c r="U315" s="1088"/>
    </row>
    <row r="316" spans="1:21" s="197" customFormat="1" ht="40.5" customHeight="1">
      <c r="A316" s="1088" t="s">
        <v>2512</v>
      </c>
      <c r="B316" s="1378">
        <v>44526</v>
      </c>
      <c r="C316" s="1088">
        <f t="shared" si="23"/>
        <v>1</v>
      </c>
      <c r="D316" s="1088">
        <f t="shared" si="24"/>
        <v>6</v>
      </c>
      <c r="E316" s="1086" t="s">
        <v>5057</v>
      </c>
      <c r="F316" s="1088">
        <f t="shared" si="22"/>
        <v>24</v>
      </c>
      <c r="G316" s="1382" t="s">
        <v>5298</v>
      </c>
      <c r="H316" s="1379"/>
      <c r="I316" s="1379" t="s">
        <v>551</v>
      </c>
      <c r="J316" s="2072" t="s">
        <v>5964</v>
      </c>
      <c r="K316" s="664">
        <v>44880</v>
      </c>
      <c r="L316" s="255">
        <v>44926</v>
      </c>
      <c r="M316" s="1381" t="s">
        <v>4800</v>
      </c>
      <c r="N316" s="328" t="s">
        <v>2699</v>
      </c>
      <c r="O316" s="1379" t="s">
        <v>269</v>
      </c>
      <c r="P316" s="1378">
        <v>44526</v>
      </c>
      <c r="Q316" s="1378">
        <v>44526</v>
      </c>
      <c r="R316" s="1195" t="s">
        <v>4265</v>
      </c>
      <c r="S316" s="1083"/>
      <c r="T316" s="2067"/>
      <c r="U316" s="1088"/>
    </row>
    <row r="317" spans="1:21" s="197" customFormat="1" ht="40.5" customHeight="1">
      <c r="A317" s="1088" t="s">
        <v>2512</v>
      </c>
      <c r="B317" s="1378">
        <v>44526</v>
      </c>
      <c r="C317" s="1088">
        <f t="shared" si="23"/>
        <v>1</v>
      </c>
      <c r="D317" s="1088">
        <f t="shared" si="24"/>
        <v>6</v>
      </c>
      <c r="E317" s="1088"/>
      <c r="F317" s="1088">
        <f t="shared" si="22"/>
        <v>25</v>
      </c>
      <c r="G317" s="1382" t="s">
        <v>5299</v>
      </c>
      <c r="H317" s="1379"/>
      <c r="I317" s="1379" t="s">
        <v>2344</v>
      </c>
      <c r="J317" s="2072"/>
      <c r="K317" s="664"/>
      <c r="L317" s="255"/>
      <c r="M317" s="1381" t="s">
        <v>5394</v>
      </c>
      <c r="N317" s="328" t="s">
        <v>2699</v>
      </c>
      <c r="O317" s="1379" t="s">
        <v>269</v>
      </c>
      <c r="P317" s="1378">
        <v>44526</v>
      </c>
      <c r="Q317" s="1378">
        <v>44526</v>
      </c>
      <c r="R317" s="1195" t="s">
        <v>4265</v>
      </c>
      <c r="S317" s="1083"/>
      <c r="T317" s="1829"/>
      <c r="U317" s="1088"/>
    </row>
    <row r="318" spans="1:21" s="197" customFormat="1" ht="63.75" customHeight="1">
      <c r="A318" s="1088" t="s">
        <v>2512</v>
      </c>
      <c r="B318" s="1378">
        <v>44526</v>
      </c>
      <c r="C318" s="1088">
        <f t="shared" si="23"/>
        <v>1</v>
      </c>
      <c r="D318" s="1088">
        <f t="shared" si="24"/>
        <v>6</v>
      </c>
      <c r="E318" s="1088"/>
      <c r="F318" s="1088">
        <f t="shared" si="22"/>
        <v>26</v>
      </c>
      <c r="G318" s="1382" t="s">
        <v>5300</v>
      </c>
      <c r="H318" s="1379"/>
      <c r="I318" s="1379" t="s">
        <v>2344</v>
      </c>
      <c r="J318" s="2072"/>
      <c r="K318" s="664"/>
      <c r="L318" s="255"/>
      <c r="M318" s="1381" t="s">
        <v>4121</v>
      </c>
      <c r="N318" s="328" t="s">
        <v>2699</v>
      </c>
      <c r="O318" s="1379" t="s">
        <v>269</v>
      </c>
      <c r="P318" s="1378">
        <v>44526</v>
      </c>
      <c r="Q318" s="1378">
        <v>44526</v>
      </c>
      <c r="R318" s="1195" t="s">
        <v>4265</v>
      </c>
      <c r="S318" s="1083"/>
      <c r="T318" s="1829"/>
      <c r="U318" s="1088"/>
    </row>
    <row r="319" spans="1:21" s="197" customFormat="1" ht="40.5" customHeight="1">
      <c r="A319" s="1088" t="s">
        <v>2512</v>
      </c>
      <c r="B319" s="1378">
        <v>44526</v>
      </c>
      <c r="C319" s="1088">
        <f t="shared" si="23"/>
        <v>1</v>
      </c>
      <c r="D319" s="1088">
        <f t="shared" si="24"/>
        <v>6</v>
      </c>
      <c r="E319" s="1088"/>
      <c r="F319" s="1088">
        <f t="shared" si="22"/>
        <v>27</v>
      </c>
      <c r="G319" s="1382" t="s">
        <v>5301</v>
      </c>
      <c r="H319" s="1379"/>
      <c r="I319" s="1379" t="s">
        <v>2344</v>
      </c>
      <c r="J319" s="2072"/>
      <c r="K319" s="664"/>
      <c r="L319" s="255"/>
      <c r="M319" s="1381" t="s">
        <v>5395</v>
      </c>
      <c r="N319" s="328" t="s">
        <v>2699</v>
      </c>
      <c r="O319" s="1379" t="s">
        <v>269</v>
      </c>
      <c r="P319" s="1378">
        <v>44526</v>
      </c>
      <c r="Q319" s="1378">
        <v>44526</v>
      </c>
      <c r="R319" s="1195" t="s">
        <v>4265</v>
      </c>
      <c r="S319" s="1083"/>
      <c r="T319" s="1829"/>
      <c r="U319" s="1088"/>
    </row>
    <row r="320" spans="1:21" s="197" customFormat="1" ht="51" customHeight="1">
      <c r="A320" s="1088" t="s">
        <v>2512</v>
      </c>
      <c r="B320" s="1378">
        <v>44526</v>
      </c>
      <c r="C320" s="1088">
        <f t="shared" si="23"/>
        <v>1</v>
      </c>
      <c r="D320" s="1088">
        <f t="shared" si="24"/>
        <v>6</v>
      </c>
      <c r="E320" s="1088"/>
      <c r="F320" s="1088">
        <f t="shared" si="22"/>
        <v>28</v>
      </c>
      <c r="G320" s="1382" t="s">
        <v>5302</v>
      </c>
      <c r="H320" s="1379"/>
      <c r="I320" s="1379" t="s">
        <v>2344</v>
      </c>
      <c r="J320" s="2072"/>
      <c r="K320" s="664"/>
      <c r="L320" s="255"/>
      <c r="M320" s="1381" t="s">
        <v>3186</v>
      </c>
      <c r="N320" s="328" t="s">
        <v>2699</v>
      </c>
      <c r="O320" s="1379" t="s">
        <v>269</v>
      </c>
      <c r="P320" s="1378">
        <v>44526</v>
      </c>
      <c r="Q320" s="1378">
        <v>44526</v>
      </c>
      <c r="R320" s="1195" t="s">
        <v>4265</v>
      </c>
      <c r="S320" s="1083"/>
      <c r="T320" s="1829"/>
      <c r="U320" s="1088"/>
    </row>
    <row r="321" spans="1:21" s="197" customFormat="1" ht="40.5" customHeight="1">
      <c r="A321" s="1088" t="s">
        <v>2512</v>
      </c>
      <c r="B321" s="1378">
        <v>44526</v>
      </c>
      <c r="C321" s="1088">
        <f t="shared" si="23"/>
        <v>1</v>
      </c>
      <c r="D321" s="1088">
        <f t="shared" si="24"/>
        <v>6</v>
      </c>
      <c r="E321" s="1088"/>
      <c r="F321" s="1088">
        <f t="shared" si="22"/>
        <v>29</v>
      </c>
      <c r="G321" s="1382" t="s">
        <v>5303</v>
      </c>
      <c r="H321" s="1379"/>
      <c r="I321" s="1379" t="s">
        <v>2344</v>
      </c>
      <c r="J321" s="2072"/>
      <c r="K321" s="664"/>
      <c r="L321" s="255"/>
      <c r="M321" s="1381" t="s">
        <v>2718</v>
      </c>
      <c r="N321" s="328" t="s">
        <v>2699</v>
      </c>
      <c r="O321" s="1379" t="s">
        <v>269</v>
      </c>
      <c r="P321" s="1378">
        <v>44526</v>
      </c>
      <c r="Q321" s="1378">
        <v>44526</v>
      </c>
      <c r="R321" s="1195" t="s">
        <v>4265</v>
      </c>
      <c r="S321" s="1083"/>
      <c r="T321" s="1829"/>
      <c r="U321" s="1088"/>
    </row>
    <row r="322" spans="1:21" s="197" customFormat="1" ht="40.5" customHeight="1">
      <c r="A322" s="1088" t="s">
        <v>2512</v>
      </c>
      <c r="B322" s="1378">
        <v>44526</v>
      </c>
      <c r="C322" s="1088">
        <f t="shared" si="23"/>
        <v>1</v>
      </c>
      <c r="D322" s="1088">
        <f t="shared" si="24"/>
        <v>6</v>
      </c>
      <c r="E322" s="1088"/>
      <c r="F322" s="1088">
        <f t="shared" si="22"/>
        <v>30</v>
      </c>
      <c r="G322" s="1382" t="s">
        <v>5304</v>
      </c>
      <c r="H322" s="1379"/>
      <c r="I322" s="1379" t="s">
        <v>2344</v>
      </c>
      <c r="J322" s="2072"/>
      <c r="K322" s="664"/>
      <c r="L322" s="255"/>
      <c r="M322" s="1381" t="s">
        <v>4800</v>
      </c>
      <c r="N322" s="328" t="s">
        <v>4560</v>
      </c>
      <c r="O322" s="1379" t="s">
        <v>269</v>
      </c>
      <c r="P322" s="1378">
        <v>44526</v>
      </c>
      <c r="Q322" s="1378">
        <v>44526</v>
      </c>
      <c r="R322" s="1195" t="s">
        <v>4265</v>
      </c>
      <c r="S322" s="1083"/>
      <c r="T322" s="1829"/>
      <c r="U322" s="1088"/>
    </row>
    <row r="323" spans="1:21" s="197" customFormat="1" ht="40.5" customHeight="1">
      <c r="A323" s="1088" t="s">
        <v>2512</v>
      </c>
      <c r="B323" s="1378">
        <v>44526</v>
      </c>
      <c r="C323" s="1088">
        <f t="shared" si="23"/>
        <v>1</v>
      </c>
      <c r="D323" s="1088">
        <f t="shared" si="24"/>
        <v>6</v>
      </c>
      <c r="E323" s="1088"/>
      <c r="F323" s="1088">
        <f t="shared" si="22"/>
        <v>31</v>
      </c>
      <c r="G323" s="1382" t="s">
        <v>5306</v>
      </c>
      <c r="H323" s="1379"/>
      <c r="I323" s="1379" t="s">
        <v>2344</v>
      </c>
      <c r="J323" s="2072"/>
      <c r="K323" s="664"/>
      <c r="L323" s="255"/>
      <c r="M323" s="1381" t="s">
        <v>5385</v>
      </c>
      <c r="N323" s="328" t="s">
        <v>1979</v>
      </c>
      <c r="O323" s="1379" t="s">
        <v>77</v>
      </c>
      <c r="P323" s="1378">
        <v>44526</v>
      </c>
      <c r="Q323" s="1378">
        <v>44526</v>
      </c>
      <c r="R323" s="1195" t="s">
        <v>4265</v>
      </c>
      <c r="S323" s="1083"/>
      <c r="T323" s="1829"/>
      <c r="U323" s="1088"/>
    </row>
    <row r="324" spans="1:21" s="197" customFormat="1" ht="40.5" customHeight="1">
      <c r="A324" s="1088" t="s">
        <v>2512</v>
      </c>
      <c r="B324" s="1378">
        <v>44526</v>
      </c>
      <c r="C324" s="1088">
        <f t="shared" si="23"/>
        <v>1</v>
      </c>
      <c r="D324" s="1088">
        <f t="shared" si="24"/>
        <v>6</v>
      </c>
      <c r="E324" s="1088"/>
      <c r="F324" s="1088">
        <f t="shared" si="22"/>
        <v>32</v>
      </c>
      <c r="G324" s="1382" t="s">
        <v>5307</v>
      </c>
      <c r="H324" s="1379"/>
      <c r="I324" s="1379" t="s">
        <v>2344</v>
      </c>
      <c r="J324" s="2072"/>
      <c r="K324" s="664"/>
      <c r="L324" s="255"/>
      <c r="M324" s="1381" t="s">
        <v>5382</v>
      </c>
      <c r="N324" s="328" t="s">
        <v>1979</v>
      </c>
      <c r="O324" s="1379" t="s">
        <v>269</v>
      </c>
      <c r="P324" s="1378">
        <v>44526</v>
      </c>
      <c r="Q324" s="1378">
        <v>44526</v>
      </c>
      <c r="R324" s="1195" t="s">
        <v>4265</v>
      </c>
      <c r="S324" s="1083"/>
      <c r="T324" s="1829"/>
      <c r="U324" s="1088"/>
    </row>
    <row r="325" spans="1:21" s="197" customFormat="1" ht="52.5" customHeight="1">
      <c r="A325" s="1088" t="s">
        <v>2512</v>
      </c>
      <c r="B325" s="1378">
        <v>44526</v>
      </c>
      <c r="C325" s="1088">
        <f t="shared" si="23"/>
        <v>1</v>
      </c>
      <c r="D325" s="1088">
        <f t="shared" si="24"/>
        <v>6</v>
      </c>
      <c r="E325" s="1088"/>
      <c r="F325" s="1088">
        <f t="shared" si="22"/>
        <v>33</v>
      </c>
      <c r="G325" s="1382" t="s">
        <v>5308</v>
      </c>
      <c r="H325" s="1379"/>
      <c r="I325" s="1379" t="s">
        <v>2344</v>
      </c>
      <c r="J325" s="2072"/>
      <c r="K325" s="664"/>
      <c r="L325" s="255"/>
      <c r="M325" s="1381" t="s">
        <v>4854</v>
      </c>
      <c r="N325" s="328" t="s">
        <v>1979</v>
      </c>
      <c r="O325" s="1379" t="s">
        <v>269</v>
      </c>
      <c r="P325" s="1378">
        <v>44526</v>
      </c>
      <c r="Q325" s="1378">
        <v>44526</v>
      </c>
      <c r="R325" s="1195" t="s">
        <v>4265</v>
      </c>
      <c r="S325" s="1083"/>
      <c r="T325" s="1829"/>
      <c r="U325" s="1088"/>
    </row>
    <row r="326" spans="1:21" s="197" customFormat="1" ht="40.5" customHeight="1">
      <c r="A326" s="1088" t="s">
        <v>2512</v>
      </c>
      <c r="B326" s="1378">
        <v>44526</v>
      </c>
      <c r="C326" s="1088">
        <f t="shared" si="23"/>
        <v>1</v>
      </c>
      <c r="D326" s="1088">
        <f t="shared" si="24"/>
        <v>6</v>
      </c>
      <c r="E326" s="1088"/>
      <c r="F326" s="1088">
        <f t="shared" ref="F326:F357" si="25">F325+1</f>
        <v>34</v>
      </c>
      <c r="G326" s="1382" t="s">
        <v>5309</v>
      </c>
      <c r="H326" s="1379"/>
      <c r="I326" s="1379" t="s">
        <v>2344</v>
      </c>
      <c r="J326" s="2072"/>
      <c r="K326" s="664"/>
      <c r="L326" s="255"/>
      <c r="M326" s="1381" t="s">
        <v>2515</v>
      </c>
      <c r="N326" s="328" t="s">
        <v>1979</v>
      </c>
      <c r="O326" s="1379" t="s">
        <v>269</v>
      </c>
      <c r="P326" s="1378">
        <v>44526</v>
      </c>
      <c r="Q326" s="1378">
        <v>44526</v>
      </c>
      <c r="R326" s="1195" t="s">
        <v>4265</v>
      </c>
      <c r="S326" s="1083"/>
      <c r="T326" s="1829"/>
      <c r="U326" s="1088"/>
    </row>
    <row r="327" spans="1:21" s="197" customFormat="1" ht="40.5" customHeight="1">
      <c r="A327" s="1088" t="s">
        <v>2512</v>
      </c>
      <c r="B327" s="1378">
        <v>44526</v>
      </c>
      <c r="C327" s="1088">
        <f t="shared" si="23"/>
        <v>1</v>
      </c>
      <c r="D327" s="1088">
        <f t="shared" si="24"/>
        <v>6</v>
      </c>
      <c r="E327" s="1088"/>
      <c r="F327" s="1088">
        <f t="shared" si="25"/>
        <v>35</v>
      </c>
      <c r="G327" s="1382" t="s">
        <v>5310</v>
      </c>
      <c r="H327" s="1379"/>
      <c r="I327" s="1379" t="s">
        <v>2344</v>
      </c>
      <c r="J327" s="2072"/>
      <c r="K327" s="664"/>
      <c r="L327" s="255"/>
      <c r="M327" s="1381" t="s">
        <v>5396</v>
      </c>
      <c r="N327" s="328" t="s">
        <v>1979</v>
      </c>
      <c r="O327" s="1379" t="s">
        <v>269</v>
      </c>
      <c r="P327" s="1378">
        <v>44526</v>
      </c>
      <c r="Q327" s="1378">
        <v>44526</v>
      </c>
      <c r="R327" s="1195" t="s">
        <v>4265</v>
      </c>
      <c r="S327" s="1083"/>
      <c r="T327" s="1829"/>
      <c r="U327" s="1088"/>
    </row>
    <row r="328" spans="1:21" s="197" customFormat="1" ht="71.25" customHeight="1">
      <c r="A328" s="1088" t="s">
        <v>2512</v>
      </c>
      <c r="B328" s="1378">
        <v>44526</v>
      </c>
      <c r="C328" s="1088">
        <f t="shared" ref="C328:C359" si="26">C327</f>
        <v>1</v>
      </c>
      <c r="D328" s="1088">
        <f t="shared" si="24"/>
        <v>6</v>
      </c>
      <c r="E328" s="1088"/>
      <c r="F328" s="1088">
        <f t="shared" si="25"/>
        <v>36</v>
      </c>
      <c r="G328" s="1382" t="s">
        <v>5311</v>
      </c>
      <c r="H328" s="1379"/>
      <c r="I328" s="1379" t="s">
        <v>2344</v>
      </c>
      <c r="J328" s="2072"/>
      <c r="K328" s="664"/>
      <c r="L328" s="255"/>
      <c r="M328" s="1381" t="s">
        <v>5379</v>
      </c>
      <c r="N328" s="328" t="s">
        <v>1979</v>
      </c>
      <c r="O328" s="1379" t="s">
        <v>5280</v>
      </c>
      <c r="P328" s="1378">
        <v>44526</v>
      </c>
      <c r="Q328" s="1378">
        <v>44526</v>
      </c>
      <c r="R328" s="1195" t="s">
        <v>4265</v>
      </c>
      <c r="S328" s="1083"/>
      <c r="T328" s="1829"/>
      <c r="U328" s="1088"/>
    </row>
    <row r="329" spans="1:21" s="197" customFormat="1" ht="57.75" customHeight="1">
      <c r="A329" s="1088" t="s">
        <v>2512</v>
      </c>
      <c r="B329" s="1378">
        <v>44526</v>
      </c>
      <c r="C329" s="1088">
        <f t="shared" si="26"/>
        <v>1</v>
      </c>
      <c r="D329" s="1088">
        <f t="shared" ref="D329:D360" si="27">D328</f>
        <v>6</v>
      </c>
      <c r="E329" s="1088"/>
      <c r="F329" s="1088">
        <f t="shared" si="25"/>
        <v>37</v>
      </c>
      <c r="G329" s="1382" t="s">
        <v>5312</v>
      </c>
      <c r="H329" s="1379"/>
      <c r="I329" s="1379" t="s">
        <v>2344</v>
      </c>
      <c r="J329" s="2072"/>
      <c r="K329" s="664"/>
      <c r="L329" s="255"/>
      <c r="M329" s="1381" t="s">
        <v>4741</v>
      </c>
      <c r="N329" s="328" t="s">
        <v>1979</v>
      </c>
      <c r="O329" s="1379" t="s">
        <v>269</v>
      </c>
      <c r="P329" s="1378">
        <v>44526</v>
      </c>
      <c r="Q329" s="1378">
        <v>44526</v>
      </c>
      <c r="R329" s="1195" t="s">
        <v>4265</v>
      </c>
      <c r="S329" s="1083"/>
      <c r="T329" s="1829"/>
      <c r="U329" s="1088"/>
    </row>
    <row r="330" spans="1:21" s="197" customFormat="1" ht="72" customHeight="1">
      <c r="A330" s="1088" t="s">
        <v>2512</v>
      </c>
      <c r="B330" s="1378">
        <v>44526</v>
      </c>
      <c r="C330" s="1088">
        <f t="shared" si="26"/>
        <v>1</v>
      </c>
      <c r="D330" s="1088">
        <f t="shared" si="27"/>
        <v>6</v>
      </c>
      <c r="E330" s="1088"/>
      <c r="F330" s="1088">
        <f t="shared" si="25"/>
        <v>38</v>
      </c>
      <c r="G330" s="1382" t="s">
        <v>5313</v>
      </c>
      <c r="H330" s="1379"/>
      <c r="I330" s="1379" t="s">
        <v>2344</v>
      </c>
      <c r="J330" s="2072"/>
      <c r="K330" s="664"/>
      <c r="L330" s="255"/>
      <c r="M330" s="1381" t="s">
        <v>4847</v>
      </c>
      <c r="N330" s="328" t="s">
        <v>1979</v>
      </c>
      <c r="O330" s="1379" t="s">
        <v>5280</v>
      </c>
      <c r="P330" s="1378">
        <v>44526</v>
      </c>
      <c r="Q330" s="1378">
        <v>44526</v>
      </c>
      <c r="R330" s="1195" t="s">
        <v>4265</v>
      </c>
      <c r="S330" s="1083"/>
      <c r="T330" s="1829"/>
      <c r="U330" s="1088"/>
    </row>
    <row r="331" spans="1:21" s="197" customFormat="1" ht="40.5" customHeight="1">
      <c r="A331" s="1088" t="s">
        <v>2512</v>
      </c>
      <c r="B331" s="1378">
        <v>44526</v>
      </c>
      <c r="C331" s="1088">
        <f t="shared" si="26"/>
        <v>1</v>
      </c>
      <c r="D331" s="1088">
        <f t="shared" si="27"/>
        <v>6</v>
      </c>
      <c r="E331" s="1088"/>
      <c r="F331" s="1088">
        <f t="shared" si="25"/>
        <v>39</v>
      </c>
      <c r="G331" s="1382" t="s">
        <v>5314</v>
      </c>
      <c r="H331" s="1379"/>
      <c r="I331" s="1379" t="s">
        <v>2344</v>
      </c>
      <c r="J331" s="2072"/>
      <c r="K331" s="664"/>
      <c r="L331" s="255"/>
      <c r="M331" s="1381" t="s">
        <v>4714</v>
      </c>
      <c r="N331" s="328" t="s">
        <v>1979</v>
      </c>
      <c r="O331" s="1379" t="s">
        <v>269</v>
      </c>
      <c r="P331" s="1378">
        <v>44526</v>
      </c>
      <c r="Q331" s="1378">
        <v>44526</v>
      </c>
      <c r="R331" s="1195" t="s">
        <v>4265</v>
      </c>
      <c r="S331" s="1083"/>
      <c r="T331" s="1829"/>
      <c r="U331" s="1088"/>
    </row>
    <row r="332" spans="1:21" s="197" customFormat="1" ht="53.25" customHeight="1">
      <c r="A332" s="1088" t="s">
        <v>2512</v>
      </c>
      <c r="B332" s="1378">
        <v>44526</v>
      </c>
      <c r="C332" s="1088">
        <f t="shared" si="26"/>
        <v>1</v>
      </c>
      <c r="D332" s="1088">
        <f t="shared" si="27"/>
        <v>6</v>
      </c>
      <c r="E332" s="1088"/>
      <c r="F332" s="1088">
        <f t="shared" si="25"/>
        <v>40</v>
      </c>
      <c r="G332" s="1382" t="s">
        <v>5315</v>
      </c>
      <c r="H332" s="1379"/>
      <c r="I332" s="1379" t="s">
        <v>2344</v>
      </c>
      <c r="J332" s="2072"/>
      <c r="K332" s="664"/>
      <c r="L332" s="255"/>
      <c r="M332" s="1381" t="s">
        <v>5397</v>
      </c>
      <c r="N332" s="328" t="s">
        <v>1979</v>
      </c>
      <c r="O332" s="1379" t="s">
        <v>269</v>
      </c>
      <c r="P332" s="1378">
        <v>44526</v>
      </c>
      <c r="Q332" s="1378">
        <v>44526</v>
      </c>
      <c r="R332" s="1195" t="s">
        <v>4265</v>
      </c>
      <c r="S332" s="1083"/>
      <c r="T332" s="1829"/>
      <c r="U332" s="1088"/>
    </row>
    <row r="333" spans="1:21" s="197" customFormat="1" ht="69.75" customHeight="1">
      <c r="A333" s="1088" t="s">
        <v>2512</v>
      </c>
      <c r="B333" s="1378">
        <v>44526</v>
      </c>
      <c r="C333" s="1088">
        <f t="shared" si="26"/>
        <v>1</v>
      </c>
      <c r="D333" s="1088">
        <f t="shared" si="27"/>
        <v>6</v>
      </c>
      <c r="E333" s="1088"/>
      <c r="F333" s="1088">
        <f t="shared" si="25"/>
        <v>41</v>
      </c>
      <c r="G333" s="1382" t="s">
        <v>5316</v>
      </c>
      <c r="H333" s="1379"/>
      <c r="I333" s="1379" t="s">
        <v>2344</v>
      </c>
      <c r="J333" s="2072"/>
      <c r="K333" s="664"/>
      <c r="L333" s="255"/>
      <c r="M333" s="1381" t="s">
        <v>4874</v>
      </c>
      <c r="N333" s="328" t="s">
        <v>1979</v>
      </c>
      <c r="O333" s="1379" t="s">
        <v>77</v>
      </c>
      <c r="P333" s="1378">
        <v>44526</v>
      </c>
      <c r="Q333" s="1378">
        <v>44526</v>
      </c>
      <c r="R333" s="1195" t="s">
        <v>4265</v>
      </c>
      <c r="S333" s="1083"/>
      <c r="T333" s="1829"/>
      <c r="U333" s="1088"/>
    </row>
    <row r="334" spans="1:21" s="197" customFormat="1" ht="63.75" customHeight="1">
      <c r="A334" s="1088" t="s">
        <v>2512</v>
      </c>
      <c r="B334" s="1378">
        <v>44526</v>
      </c>
      <c r="C334" s="1088">
        <f t="shared" si="26"/>
        <v>1</v>
      </c>
      <c r="D334" s="1088">
        <f t="shared" si="27"/>
        <v>6</v>
      </c>
      <c r="E334" s="1088"/>
      <c r="F334" s="1088">
        <f t="shared" si="25"/>
        <v>42</v>
      </c>
      <c r="G334" s="1382" t="s">
        <v>5317</v>
      </c>
      <c r="H334" s="1379"/>
      <c r="I334" s="1379" t="s">
        <v>2344</v>
      </c>
      <c r="J334" s="2072"/>
      <c r="K334" s="664"/>
      <c r="L334" s="255"/>
      <c r="M334" s="1381" t="s">
        <v>4826</v>
      </c>
      <c r="N334" s="328" t="s">
        <v>1979</v>
      </c>
      <c r="O334" s="1379" t="s">
        <v>269</v>
      </c>
      <c r="P334" s="1378">
        <v>44526</v>
      </c>
      <c r="Q334" s="1378">
        <v>44526</v>
      </c>
      <c r="R334" s="1195" t="s">
        <v>4265</v>
      </c>
      <c r="S334" s="1083"/>
      <c r="T334" s="1829"/>
      <c r="U334" s="1088"/>
    </row>
    <row r="335" spans="1:21" s="197" customFormat="1" ht="56.25" customHeight="1">
      <c r="A335" s="1088" t="s">
        <v>2512</v>
      </c>
      <c r="B335" s="1378">
        <v>44526</v>
      </c>
      <c r="C335" s="1088">
        <f t="shared" si="26"/>
        <v>1</v>
      </c>
      <c r="D335" s="1088">
        <f t="shared" si="27"/>
        <v>6</v>
      </c>
      <c r="E335" s="1088"/>
      <c r="F335" s="1088">
        <f t="shared" si="25"/>
        <v>43</v>
      </c>
      <c r="G335" s="1382" t="s">
        <v>5318</v>
      </c>
      <c r="H335" s="1379"/>
      <c r="I335" s="1379" t="s">
        <v>2344</v>
      </c>
      <c r="J335" s="2072"/>
      <c r="K335" s="664"/>
      <c r="L335" s="255"/>
      <c r="M335" s="1381" t="s">
        <v>4696</v>
      </c>
      <c r="N335" s="328" t="s">
        <v>1979</v>
      </c>
      <c r="O335" s="1379" t="s">
        <v>269</v>
      </c>
      <c r="P335" s="1378">
        <v>44526</v>
      </c>
      <c r="Q335" s="1378">
        <v>44526</v>
      </c>
      <c r="R335" s="1195" t="s">
        <v>4265</v>
      </c>
      <c r="S335" s="1083"/>
      <c r="T335" s="1829"/>
      <c r="U335" s="1088"/>
    </row>
    <row r="336" spans="1:21" s="197" customFormat="1" ht="55.5" customHeight="1">
      <c r="A336" s="1088" t="s">
        <v>2512</v>
      </c>
      <c r="B336" s="1378">
        <v>44526</v>
      </c>
      <c r="C336" s="1088">
        <f t="shared" si="26"/>
        <v>1</v>
      </c>
      <c r="D336" s="1088">
        <f t="shared" si="27"/>
        <v>6</v>
      </c>
      <c r="E336" s="1088"/>
      <c r="F336" s="1088">
        <f t="shared" si="25"/>
        <v>44</v>
      </c>
      <c r="G336" s="1382" t="s">
        <v>5319</v>
      </c>
      <c r="H336" s="1379"/>
      <c r="I336" s="1379" t="s">
        <v>2344</v>
      </c>
      <c r="J336" s="2072"/>
      <c r="K336" s="664"/>
      <c r="L336" s="255"/>
      <c r="M336" s="1381" t="s">
        <v>5380</v>
      </c>
      <c r="N336" s="328" t="s">
        <v>4459</v>
      </c>
      <c r="O336" s="1379" t="s">
        <v>269</v>
      </c>
      <c r="P336" s="1378">
        <v>44526</v>
      </c>
      <c r="Q336" s="1378">
        <v>44526</v>
      </c>
      <c r="R336" s="1195" t="s">
        <v>4265</v>
      </c>
      <c r="S336" s="1083"/>
      <c r="T336" s="1829"/>
      <c r="U336" s="1088"/>
    </row>
    <row r="337" spans="1:21" s="197" customFormat="1" ht="40.5" customHeight="1">
      <c r="A337" s="1088" t="s">
        <v>2512</v>
      </c>
      <c r="B337" s="1378">
        <v>44526</v>
      </c>
      <c r="C337" s="1088">
        <f t="shared" si="26"/>
        <v>1</v>
      </c>
      <c r="D337" s="1088">
        <f t="shared" si="27"/>
        <v>6</v>
      </c>
      <c r="E337" s="1088"/>
      <c r="F337" s="1088">
        <f t="shared" si="25"/>
        <v>45</v>
      </c>
      <c r="G337" s="1382" t="s">
        <v>5320</v>
      </c>
      <c r="H337" s="1379"/>
      <c r="I337" s="1379" t="s">
        <v>2344</v>
      </c>
      <c r="J337" s="2072"/>
      <c r="K337" s="664"/>
      <c r="L337" s="255"/>
      <c r="M337" s="1381" t="s">
        <v>4748</v>
      </c>
      <c r="N337" s="328" t="s">
        <v>4459</v>
      </c>
      <c r="O337" s="1379" t="s">
        <v>269</v>
      </c>
      <c r="P337" s="1378">
        <v>44526</v>
      </c>
      <c r="Q337" s="1378">
        <v>44526</v>
      </c>
      <c r="R337" s="1195" t="s">
        <v>4265</v>
      </c>
      <c r="S337" s="1083"/>
      <c r="T337" s="1829"/>
      <c r="U337" s="1088"/>
    </row>
    <row r="338" spans="1:21" s="197" customFormat="1" ht="40.5" customHeight="1">
      <c r="A338" s="1088" t="s">
        <v>2512</v>
      </c>
      <c r="B338" s="1378">
        <v>44526</v>
      </c>
      <c r="C338" s="1088">
        <f t="shared" si="26"/>
        <v>1</v>
      </c>
      <c r="D338" s="1088">
        <f t="shared" si="27"/>
        <v>6</v>
      </c>
      <c r="E338" s="1088"/>
      <c r="F338" s="1088">
        <f t="shared" si="25"/>
        <v>46</v>
      </c>
      <c r="G338" s="1382" t="s">
        <v>5321</v>
      </c>
      <c r="H338" s="1379"/>
      <c r="I338" s="1379" t="s">
        <v>2344</v>
      </c>
      <c r="J338" s="2072"/>
      <c r="K338" s="664"/>
      <c r="L338" s="255"/>
      <c r="M338" s="1381" t="s">
        <v>4737</v>
      </c>
      <c r="N338" s="328" t="s">
        <v>4459</v>
      </c>
      <c r="O338" s="1379" t="s">
        <v>269</v>
      </c>
      <c r="P338" s="1378">
        <v>44526</v>
      </c>
      <c r="Q338" s="1378">
        <v>44526</v>
      </c>
      <c r="R338" s="1195" t="s">
        <v>4265</v>
      </c>
      <c r="S338" s="1083"/>
      <c r="T338" s="1829"/>
      <c r="U338" s="1088"/>
    </row>
    <row r="339" spans="1:21" s="197" customFormat="1" ht="40.5" customHeight="1">
      <c r="A339" s="1088" t="s">
        <v>2512</v>
      </c>
      <c r="B339" s="1378">
        <v>44526</v>
      </c>
      <c r="C339" s="1088">
        <f t="shared" si="26"/>
        <v>1</v>
      </c>
      <c r="D339" s="1088">
        <f t="shared" si="27"/>
        <v>6</v>
      </c>
      <c r="E339" s="1088"/>
      <c r="F339" s="1088">
        <f t="shared" si="25"/>
        <v>47</v>
      </c>
      <c r="G339" s="1382" t="s">
        <v>5322</v>
      </c>
      <c r="H339" s="1379"/>
      <c r="I339" s="1379" t="s">
        <v>2344</v>
      </c>
      <c r="J339" s="2072"/>
      <c r="K339" s="664"/>
      <c r="L339" s="255"/>
      <c r="M339" s="1381"/>
      <c r="N339" s="328" t="s">
        <v>4459</v>
      </c>
      <c r="O339" s="1379" t="s">
        <v>269</v>
      </c>
      <c r="P339" s="1378">
        <v>44526</v>
      </c>
      <c r="Q339" s="1378">
        <v>44526</v>
      </c>
      <c r="R339" s="1195" t="s">
        <v>4265</v>
      </c>
      <c r="S339" s="1083"/>
      <c r="T339" s="1829"/>
      <c r="U339" s="1088"/>
    </row>
    <row r="340" spans="1:21" s="197" customFormat="1" ht="60" customHeight="1">
      <c r="A340" s="1088" t="s">
        <v>2512</v>
      </c>
      <c r="B340" s="1378">
        <v>44526</v>
      </c>
      <c r="C340" s="1088">
        <f t="shared" si="26"/>
        <v>1</v>
      </c>
      <c r="D340" s="1088">
        <f t="shared" si="27"/>
        <v>6</v>
      </c>
      <c r="E340" s="1088"/>
      <c r="F340" s="1088">
        <f t="shared" si="25"/>
        <v>48</v>
      </c>
      <c r="G340" s="1382" t="s">
        <v>5323</v>
      </c>
      <c r="H340" s="1379"/>
      <c r="I340" s="1379" t="s">
        <v>2344</v>
      </c>
      <c r="J340" s="2072"/>
      <c r="K340" s="664"/>
      <c r="L340" s="255"/>
      <c r="M340" s="1381" t="s">
        <v>5398</v>
      </c>
      <c r="N340" s="328" t="s">
        <v>4459</v>
      </c>
      <c r="O340" s="1379" t="s">
        <v>269</v>
      </c>
      <c r="P340" s="1378">
        <v>44526</v>
      </c>
      <c r="Q340" s="1378">
        <v>44526</v>
      </c>
      <c r="R340" s="1195" t="s">
        <v>4265</v>
      </c>
      <c r="S340" s="1083"/>
      <c r="T340" s="1829"/>
      <c r="U340" s="1088"/>
    </row>
    <row r="341" spans="1:21" s="197" customFormat="1" ht="40.5" customHeight="1">
      <c r="A341" s="1088" t="s">
        <v>2512</v>
      </c>
      <c r="B341" s="1378">
        <v>44526</v>
      </c>
      <c r="C341" s="1088">
        <f t="shared" si="26"/>
        <v>1</v>
      </c>
      <c r="D341" s="1088">
        <f t="shared" si="27"/>
        <v>6</v>
      </c>
      <c r="E341" s="1088"/>
      <c r="F341" s="1088">
        <f t="shared" si="25"/>
        <v>49</v>
      </c>
      <c r="G341" s="1382" t="s">
        <v>5324</v>
      </c>
      <c r="H341" s="1379"/>
      <c r="I341" s="1379" t="s">
        <v>2344</v>
      </c>
      <c r="J341" s="2072"/>
      <c r="K341" s="664"/>
      <c r="L341" s="255"/>
      <c r="M341" s="1381" t="s">
        <v>5399</v>
      </c>
      <c r="N341" s="328" t="s">
        <v>2548</v>
      </c>
      <c r="O341" s="1379" t="s">
        <v>269</v>
      </c>
      <c r="P341" s="1378">
        <v>44526</v>
      </c>
      <c r="Q341" s="1378">
        <v>44526</v>
      </c>
      <c r="R341" s="1195" t="s">
        <v>4265</v>
      </c>
      <c r="S341" s="1083"/>
      <c r="T341" s="1829"/>
      <c r="U341" s="1088"/>
    </row>
    <row r="342" spans="1:21" s="197" customFormat="1" ht="40.5" customHeight="1">
      <c r="A342" s="1088" t="s">
        <v>2512</v>
      </c>
      <c r="B342" s="1378">
        <v>44526</v>
      </c>
      <c r="C342" s="1088">
        <f t="shared" si="26"/>
        <v>1</v>
      </c>
      <c r="D342" s="1088">
        <f t="shared" si="27"/>
        <v>6</v>
      </c>
      <c r="E342" s="1088"/>
      <c r="F342" s="1088">
        <f t="shared" si="25"/>
        <v>50</v>
      </c>
      <c r="G342" s="1382" t="s">
        <v>5325</v>
      </c>
      <c r="H342" s="1379"/>
      <c r="I342" s="1379" t="s">
        <v>2344</v>
      </c>
      <c r="J342" s="2072"/>
      <c r="K342" s="664"/>
      <c r="L342" s="255"/>
      <c r="M342" s="1381" t="s">
        <v>4753</v>
      </c>
      <c r="N342" s="328" t="s">
        <v>2548</v>
      </c>
      <c r="O342" s="1379" t="s">
        <v>269</v>
      </c>
      <c r="P342" s="1378">
        <v>44526</v>
      </c>
      <c r="Q342" s="1378">
        <v>44526</v>
      </c>
      <c r="R342" s="1195" t="s">
        <v>4265</v>
      </c>
      <c r="S342" s="1083"/>
      <c r="T342" s="1829"/>
      <c r="U342" s="1088"/>
    </row>
    <row r="343" spans="1:21" s="197" customFormat="1" ht="40.5" customHeight="1">
      <c r="A343" s="1088" t="s">
        <v>2512</v>
      </c>
      <c r="B343" s="1378">
        <v>44526</v>
      </c>
      <c r="C343" s="1088">
        <f t="shared" si="26"/>
        <v>1</v>
      </c>
      <c r="D343" s="1088">
        <f t="shared" si="27"/>
        <v>6</v>
      </c>
      <c r="E343" s="1086" t="s">
        <v>4094</v>
      </c>
      <c r="F343" s="1088">
        <f t="shared" si="25"/>
        <v>51</v>
      </c>
      <c r="G343" s="1382" t="s">
        <v>5326</v>
      </c>
      <c r="H343" s="1379"/>
      <c r="I343" s="1379" t="s">
        <v>551</v>
      </c>
      <c r="J343" s="2072" t="s">
        <v>5964</v>
      </c>
      <c r="K343" s="189">
        <v>44438</v>
      </c>
      <c r="L343" s="255">
        <v>44452</v>
      </c>
      <c r="M343" s="1381" t="s">
        <v>3183</v>
      </c>
      <c r="N343" s="328" t="s">
        <v>2548</v>
      </c>
      <c r="O343" s="1379" t="s">
        <v>269</v>
      </c>
      <c r="P343" s="1378">
        <v>44526</v>
      </c>
      <c r="Q343" s="1378">
        <v>44526</v>
      </c>
      <c r="R343" s="1195" t="s">
        <v>4265</v>
      </c>
      <c r="S343" s="1083"/>
      <c r="T343" s="2067"/>
      <c r="U343" s="1088"/>
    </row>
    <row r="344" spans="1:21" s="197" customFormat="1" ht="40.5" customHeight="1">
      <c r="A344" s="1088" t="s">
        <v>2512</v>
      </c>
      <c r="B344" s="1378">
        <v>44526</v>
      </c>
      <c r="C344" s="1088">
        <f t="shared" si="26"/>
        <v>1</v>
      </c>
      <c r="D344" s="1088">
        <f t="shared" si="27"/>
        <v>6</v>
      </c>
      <c r="E344" s="1086" t="s">
        <v>4094</v>
      </c>
      <c r="F344" s="1088">
        <f t="shared" si="25"/>
        <v>52</v>
      </c>
      <c r="G344" s="1382" t="s">
        <v>5327</v>
      </c>
      <c r="H344" s="1379"/>
      <c r="I344" s="1379" t="s">
        <v>551</v>
      </c>
      <c r="J344" s="2072" t="s">
        <v>5964</v>
      </c>
      <c r="K344" s="189">
        <v>44438</v>
      </c>
      <c r="L344" s="255">
        <v>44452</v>
      </c>
      <c r="M344" s="1381" t="s">
        <v>4753</v>
      </c>
      <c r="N344" s="328" t="s">
        <v>2548</v>
      </c>
      <c r="O344" s="1379" t="s">
        <v>269</v>
      </c>
      <c r="P344" s="1378">
        <v>44526</v>
      </c>
      <c r="Q344" s="1378">
        <v>44526</v>
      </c>
      <c r="R344" s="1195" t="s">
        <v>4265</v>
      </c>
      <c r="S344" s="1083"/>
      <c r="T344" s="2067"/>
      <c r="U344" s="1088"/>
    </row>
    <row r="345" spans="1:21" s="197" customFormat="1" ht="52.5" customHeight="1">
      <c r="A345" s="1088" t="s">
        <v>2512</v>
      </c>
      <c r="B345" s="1378">
        <v>44526</v>
      </c>
      <c r="C345" s="1088">
        <f t="shared" si="26"/>
        <v>1</v>
      </c>
      <c r="D345" s="1088">
        <f t="shared" si="27"/>
        <v>6</v>
      </c>
      <c r="E345" s="1088"/>
      <c r="F345" s="1088">
        <f t="shared" si="25"/>
        <v>53</v>
      </c>
      <c r="G345" s="1382" t="s">
        <v>5328</v>
      </c>
      <c r="H345" s="1379"/>
      <c r="I345" s="1379" t="s">
        <v>2344</v>
      </c>
      <c r="J345" s="2072"/>
      <c r="K345" s="664"/>
      <c r="L345" s="255"/>
      <c r="M345" s="1381" t="s">
        <v>2606</v>
      </c>
      <c r="N345" s="328" t="s">
        <v>2650</v>
      </c>
      <c r="O345" s="1379" t="s">
        <v>269</v>
      </c>
      <c r="P345" s="1378">
        <v>44526</v>
      </c>
      <c r="Q345" s="1378">
        <v>44526</v>
      </c>
      <c r="R345" s="1195" t="s">
        <v>4265</v>
      </c>
      <c r="S345" s="1083"/>
      <c r="T345" s="1829"/>
      <c r="U345" s="1088"/>
    </row>
    <row r="346" spans="1:21" s="197" customFormat="1" ht="40.5" customHeight="1">
      <c r="A346" s="1088" t="s">
        <v>2512</v>
      </c>
      <c r="B346" s="1378">
        <v>44526</v>
      </c>
      <c r="C346" s="1088">
        <f t="shared" si="26"/>
        <v>1</v>
      </c>
      <c r="D346" s="1088">
        <f t="shared" si="27"/>
        <v>6</v>
      </c>
      <c r="E346" s="1088"/>
      <c r="F346" s="1088">
        <f t="shared" si="25"/>
        <v>54</v>
      </c>
      <c r="G346" s="1382" t="s">
        <v>5329</v>
      </c>
      <c r="H346" s="1379"/>
      <c r="I346" s="1379" t="s">
        <v>2344</v>
      </c>
      <c r="J346" s="2072"/>
      <c r="K346" s="664"/>
      <c r="L346" s="255"/>
      <c r="M346" s="1381" t="s">
        <v>5400</v>
      </c>
      <c r="N346" s="328" t="s">
        <v>2650</v>
      </c>
      <c r="O346" s="1379" t="s">
        <v>269</v>
      </c>
      <c r="P346" s="1378">
        <v>44526</v>
      </c>
      <c r="Q346" s="1378">
        <v>44526</v>
      </c>
      <c r="R346" s="1195" t="s">
        <v>4265</v>
      </c>
      <c r="S346" s="1083"/>
      <c r="T346" s="1829"/>
      <c r="U346" s="1088"/>
    </row>
    <row r="347" spans="1:21" s="197" customFormat="1" ht="40.5" customHeight="1">
      <c r="A347" s="1088" t="s">
        <v>2512</v>
      </c>
      <c r="B347" s="1378">
        <v>44526</v>
      </c>
      <c r="C347" s="1088">
        <f t="shared" si="26"/>
        <v>1</v>
      </c>
      <c r="D347" s="1088">
        <f t="shared" si="27"/>
        <v>6</v>
      </c>
      <c r="E347" s="1088"/>
      <c r="F347" s="1088">
        <f t="shared" si="25"/>
        <v>55</v>
      </c>
      <c r="G347" s="1382" t="s">
        <v>5330</v>
      </c>
      <c r="H347" s="1379"/>
      <c r="I347" s="1379" t="s">
        <v>2344</v>
      </c>
      <c r="J347" s="2072"/>
      <c r="K347" s="664"/>
      <c r="L347" s="255"/>
      <c r="M347" s="1381" t="s">
        <v>2571</v>
      </c>
      <c r="N347" s="328" t="s">
        <v>2650</v>
      </c>
      <c r="O347" s="1379" t="s">
        <v>269</v>
      </c>
      <c r="P347" s="1378">
        <v>44526</v>
      </c>
      <c r="Q347" s="1378">
        <v>44526</v>
      </c>
      <c r="R347" s="1195" t="s">
        <v>4265</v>
      </c>
      <c r="S347" s="1083"/>
      <c r="T347" s="1829"/>
      <c r="U347" s="1088"/>
    </row>
    <row r="348" spans="1:21" s="197" customFormat="1" ht="40.5" customHeight="1">
      <c r="A348" s="1088" t="s">
        <v>2512</v>
      </c>
      <c r="B348" s="1378">
        <v>44526</v>
      </c>
      <c r="C348" s="1088">
        <f t="shared" si="26"/>
        <v>1</v>
      </c>
      <c r="D348" s="1088">
        <f t="shared" si="27"/>
        <v>6</v>
      </c>
      <c r="E348" s="1088"/>
      <c r="F348" s="1088">
        <f t="shared" si="25"/>
        <v>56</v>
      </c>
      <c r="G348" s="1382" t="s">
        <v>5331</v>
      </c>
      <c r="H348" s="1379"/>
      <c r="I348" s="1379" t="s">
        <v>2344</v>
      </c>
      <c r="J348" s="2072"/>
      <c r="K348" s="664"/>
      <c r="L348" s="255"/>
      <c r="M348" s="1381" t="s">
        <v>5401</v>
      </c>
      <c r="N348" s="328" t="s">
        <v>2613</v>
      </c>
      <c r="O348" s="1379" t="s">
        <v>269</v>
      </c>
      <c r="P348" s="1378">
        <v>44526</v>
      </c>
      <c r="Q348" s="1378">
        <v>44526</v>
      </c>
      <c r="R348" s="1195" t="s">
        <v>4265</v>
      </c>
      <c r="S348" s="1083"/>
      <c r="T348" s="1829"/>
      <c r="U348" s="1088"/>
    </row>
    <row r="349" spans="1:21" s="197" customFormat="1" ht="40.5" customHeight="1">
      <c r="A349" s="1088" t="s">
        <v>2512</v>
      </c>
      <c r="B349" s="1378">
        <v>44526</v>
      </c>
      <c r="C349" s="1088">
        <f t="shared" si="26"/>
        <v>1</v>
      </c>
      <c r="D349" s="1088">
        <f t="shared" si="27"/>
        <v>6</v>
      </c>
      <c r="E349" s="1088"/>
      <c r="F349" s="1088">
        <f t="shared" si="25"/>
        <v>57</v>
      </c>
      <c r="G349" s="1382" t="s">
        <v>5332</v>
      </c>
      <c r="H349" s="1379"/>
      <c r="I349" s="1379" t="s">
        <v>2344</v>
      </c>
      <c r="J349" s="2072"/>
      <c r="K349" s="664"/>
      <c r="L349" s="255"/>
      <c r="M349" s="1381" t="s">
        <v>5374</v>
      </c>
      <c r="N349" s="328" t="s">
        <v>2613</v>
      </c>
      <c r="O349" s="1379" t="s">
        <v>269</v>
      </c>
      <c r="P349" s="1378">
        <v>44526</v>
      </c>
      <c r="Q349" s="1378">
        <v>44526</v>
      </c>
      <c r="R349" s="1195" t="s">
        <v>4265</v>
      </c>
      <c r="S349" s="1083"/>
      <c r="T349" s="1829"/>
      <c r="U349" s="1088"/>
    </row>
    <row r="350" spans="1:21" s="197" customFormat="1" ht="40.5" customHeight="1">
      <c r="A350" s="1088" t="s">
        <v>2512</v>
      </c>
      <c r="B350" s="1378">
        <v>44526</v>
      </c>
      <c r="C350" s="1088">
        <f t="shared" si="26"/>
        <v>1</v>
      </c>
      <c r="D350" s="1088">
        <f t="shared" si="27"/>
        <v>6</v>
      </c>
      <c r="E350" s="1086" t="s">
        <v>4096</v>
      </c>
      <c r="F350" s="1088">
        <f t="shared" si="25"/>
        <v>58</v>
      </c>
      <c r="G350" s="1382" t="s">
        <v>5333</v>
      </c>
      <c r="H350" s="1379"/>
      <c r="I350" s="1379" t="s">
        <v>551</v>
      </c>
      <c r="J350" s="2072" t="s">
        <v>5964</v>
      </c>
      <c r="K350" s="189">
        <v>44438</v>
      </c>
      <c r="L350" s="255">
        <v>44492</v>
      </c>
      <c r="M350" s="1381" t="s">
        <v>4764</v>
      </c>
      <c r="N350" s="328" t="s">
        <v>2613</v>
      </c>
      <c r="O350" s="1379" t="s">
        <v>269</v>
      </c>
      <c r="P350" s="1378">
        <v>44526</v>
      </c>
      <c r="Q350" s="1378">
        <v>44526</v>
      </c>
      <c r="R350" s="1195" t="s">
        <v>4265</v>
      </c>
      <c r="S350" s="1083"/>
      <c r="T350" s="2067"/>
      <c r="U350" s="1088"/>
    </row>
    <row r="351" spans="1:21" s="197" customFormat="1" ht="40.5" customHeight="1">
      <c r="A351" s="1088" t="s">
        <v>2512</v>
      </c>
      <c r="B351" s="1378">
        <v>44526</v>
      </c>
      <c r="C351" s="1088">
        <f t="shared" si="26"/>
        <v>1</v>
      </c>
      <c r="D351" s="1088">
        <f t="shared" si="27"/>
        <v>6</v>
      </c>
      <c r="E351" s="1088"/>
      <c r="F351" s="1088">
        <f t="shared" si="25"/>
        <v>59</v>
      </c>
      <c r="G351" s="1382" t="s">
        <v>5334</v>
      </c>
      <c r="H351" s="1379"/>
      <c r="I351" s="1379" t="s">
        <v>2344</v>
      </c>
      <c r="J351" s="2072"/>
      <c r="K351" s="664"/>
      <c r="L351" s="255"/>
      <c r="M351" s="1381" t="s">
        <v>68</v>
      </c>
      <c r="N351" s="328" t="s">
        <v>2551</v>
      </c>
      <c r="O351" s="1379" t="s">
        <v>269</v>
      </c>
      <c r="P351" s="1378">
        <v>44526</v>
      </c>
      <c r="Q351" s="1378">
        <v>44526</v>
      </c>
      <c r="R351" s="1195" t="s">
        <v>4265</v>
      </c>
      <c r="S351" s="1083"/>
      <c r="T351" s="1829"/>
      <c r="U351" s="1088"/>
    </row>
    <row r="352" spans="1:21" s="197" customFormat="1" ht="40.5" customHeight="1">
      <c r="A352" s="1088" t="s">
        <v>2512</v>
      </c>
      <c r="B352" s="1378">
        <v>44526</v>
      </c>
      <c r="C352" s="1088">
        <f t="shared" si="26"/>
        <v>1</v>
      </c>
      <c r="D352" s="1088">
        <f t="shared" si="27"/>
        <v>6</v>
      </c>
      <c r="E352" s="1088"/>
      <c r="F352" s="1088">
        <f t="shared" si="25"/>
        <v>60</v>
      </c>
      <c r="G352" s="1382" t="s">
        <v>5335</v>
      </c>
      <c r="H352" s="1379"/>
      <c r="I352" s="1379" t="s">
        <v>2344</v>
      </c>
      <c r="J352" s="2072"/>
      <c r="K352" s="664"/>
      <c r="L352" s="255"/>
      <c r="M352" s="1381" t="s">
        <v>4767</v>
      </c>
      <c r="N352" s="328" t="s">
        <v>2551</v>
      </c>
      <c r="O352" s="1379" t="s">
        <v>269</v>
      </c>
      <c r="P352" s="1378">
        <v>44526</v>
      </c>
      <c r="Q352" s="1378">
        <v>44526</v>
      </c>
      <c r="R352" s="1195" t="s">
        <v>4265</v>
      </c>
      <c r="S352" s="1083"/>
      <c r="T352" s="1829"/>
      <c r="U352" s="1088"/>
    </row>
    <row r="353" spans="1:21" s="197" customFormat="1" ht="40.5" customHeight="1">
      <c r="A353" s="1088" t="s">
        <v>2512</v>
      </c>
      <c r="B353" s="1378">
        <v>44526</v>
      </c>
      <c r="C353" s="1088">
        <f t="shared" si="26"/>
        <v>1</v>
      </c>
      <c r="D353" s="1088">
        <f t="shared" si="27"/>
        <v>6</v>
      </c>
      <c r="E353" s="1088"/>
      <c r="F353" s="1088">
        <f t="shared" si="25"/>
        <v>61</v>
      </c>
      <c r="G353" s="1382" t="s">
        <v>5336</v>
      </c>
      <c r="H353" s="1379"/>
      <c r="I353" s="1379" t="s">
        <v>2344</v>
      </c>
      <c r="J353" s="2072"/>
      <c r="K353" s="664"/>
      <c r="L353" s="255"/>
      <c r="M353" s="1381" t="s">
        <v>2718</v>
      </c>
      <c r="N353" s="328" t="s">
        <v>2551</v>
      </c>
      <c r="O353" s="1379" t="s">
        <v>269</v>
      </c>
      <c r="P353" s="1378">
        <v>44526</v>
      </c>
      <c r="Q353" s="1378">
        <v>44526</v>
      </c>
      <c r="R353" s="1195" t="s">
        <v>4265</v>
      </c>
      <c r="S353" s="1083"/>
      <c r="T353" s="1829"/>
      <c r="U353" s="1088"/>
    </row>
    <row r="354" spans="1:21" s="197" customFormat="1" ht="40.5" customHeight="1">
      <c r="A354" s="1088" t="s">
        <v>2512</v>
      </c>
      <c r="B354" s="1378">
        <v>44526</v>
      </c>
      <c r="C354" s="1088">
        <f t="shared" si="26"/>
        <v>1</v>
      </c>
      <c r="D354" s="1088">
        <f t="shared" si="27"/>
        <v>6</v>
      </c>
      <c r="E354" s="1088"/>
      <c r="F354" s="1088">
        <f t="shared" si="25"/>
        <v>62</v>
      </c>
      <c r="G354" s="1382" t="s">
        <v>5337</v>
      </c>
      <c r="H354" s="1379"/>
      <c r="I354" s="1379" t="s">
        <v>2344</v>
      </c>
      <c r="J354" s="2072"/>
      <c r="K354" s="664"/>
      <c r="L354" s="255"/>
      <c r="M354" s="1381" t="s">
        <v>4705</v>
      </c>
      <c r="N354" s="328" t="s">
        <v>1980</v>
      </c>
      <c r="O354" s="1379" t="s">
        <v>269</v>
      </c>
      <c r="P354" s="1378">
        <v>44526</v>
      </c>
      <c r="Q354" s="1378">
        <v>44526</v>
      </c>
      <c r="R354" s="1195" t="s">
        <v>4265</v>
      </c>
      <c r="S354" s="1083"/>
      <c r="T354" s="1829"/>
      <c r="U354" s="1088"/>
    </row>
    <row r="355" spans="1:21" s="197" customFormat="1" ht="40.5" customHeight="1">
      <c r="A355" s="1088" t="s">
        <v>2512</v>
      </c>
      <c r="B355" s="1378">
        <v>44526</v>
      </c>
      <c r="C355" s="1088">
        <f t="shared" si="26"/>
        <v>1</v>
      </c>
      <c r="D355" s="1088">
        <f t="shared" si="27"/>
        <v>6</v>
      </c>
      <c r="E355" s="1088"/>
      <c r="F355" s="1088">
        <f t="shared" si="25"/>
        <v>63</v>
      </c>
      <c r="G355" s="1382" t="s">
        <v>5338</v>
      </c>
      <c r="H355" s="1379"/>
      <c r="I355" s="1379" t="s">
        <v>2344</v>
      </c>
      <c r="J355" s="2072"/>
      <c r="K355" s="664"/>
      <c r="L355" s="255"/>
      <c r="M355" s="1381" t="s">
        <v>5402</v>
      </c>
      <c r="N355" s="328" t="s">
        <v>1980</v>
      </c>
      <c r="O355" s="1379" t="s">
        <v>269</v>
      </c>
      <c r="P355" s="1378">
        <v>44526</v>
      </c>
      <c r="Q355" s="1378">
        <v>44526</v>
      </c>
      <c r="R355" s="1195" t="s">
        <v>4265</v>
      </c>
      <c r="S355" s="1083"/>
      <c r="T355" s="1829"/>
      <c r="U355" s="1088"/>
    </row>
    <row r="356" spans="1:21" s="197" customFormat="1" ht="73.5" customHeight="1">
      <c r="A356" s="1088" t="s">
        <v>2512</v>
      </c>
      <c r="B356" s="1378">
        <v>44526</v>
      </c>
      <c r="C356" s="1088">
        <f t="shared" si="26"/>
        <v>1</v>
      </c>
      <c r="D356" s="1088">
        <f t="shared" si="27"/>
        <v>6</v>
      </c>
      <c r="E356" s="1088"/>
      <c r="F356" s="1088">
        <f t="shared" si="25"/>
        <v>64</v>
      </c>
      <c r="G356" s="1382" t="s">
        <v>5339</v>
      </c>
      <c r="H356" s="1379"/>
      <c r="I356" s="1379" t="s">
        <v>2344</v>
      </c>
      <c r="J356" s="2072"/>
      <c r="K356" s="664"/>
      <c r="L356" s="255"/>
      <c r="M356" s="1381" t="s">
        <v>2625</v>
      </c>
      <c r="N356" s="328" t="s">
        <v>2560</v>
      </c>
      <c r="O356" s="1379" t="s">
        <v>77</v>
      </c>
      <c r="P356" s="1378">
        <v>44526</v>
      </c>
      <c r="Q356" s="1378">
        <v>44526</v>
      </c>
      <c r="R356" s="1195" t="s">
        <v>4265</v>
      </c>
      <c r="S356" s="1083"/>
      <c r="T356" s="1829"/>
      <c r="U356" s="1088"/>
    </row>
    <row r="357" spans="1:21" s="197" customFormat="1" ht="57.75" customHeight="1">
      <c r="A357" s="1088" t="s">
        <v>2512</v>
      </c>
      <c r="B357" s="1378">
        <v>44526</v>
      </c>
      <c r="C357" s="1088">
        <f t="shared" si="26"/>
        <v>1</v>
      </c>
      <c r="D357" s="1088">
        <f t="shared" si="27"/>
        <v>6</v>
      </c>
      <c r="E357" s="1088"/>
      <c r="F357" s="1088">
        <f t="shared" si="25"/>
        <v>65</v>
      </c>
      <c r="G357" s="1382" t="s">
        <v>5340</v>
      </c>
      <c r="H357" s="1379"/>
      <c r="I357" s="1379" t="s">
        <v>2344</v>
      </c>
      <c r="J357" s="2072"/>
      <c r="K357" s="664"/>
      <c r="L357" s="255"/>
      <c r="M357" s="1381" t="s">
        <v>4824</v>
      </c>
      <c r="N357" s="328" t="s">
        <v>2560</v>
      </c>
      <c r="O357" s="1379" t="s">
        <v>77</v>
      </c>
      <c r="P357" s="1378">
        <v>44526</v>
      </c>
      <c r="Q357" s="1378">
        <v>44526</v>
      </c>
      <c r="R357" s="1195" t="s">
        <v>4265</v>
      </c>
      <c r="S357" s="1083"/>
      <c r="T357" s="1829"/>
      <c r="U357" s="1088"/>
    </row>
    <row r="358" spans="1:21" s="197" customFormat="1" ht="40.5" customHeight="1">
      <c r="A358" s="1088" t="s">
        <v>2512</v>
      </c>
      <c r="B358" s="1378">
        <v>44526</v>
      </c>
      <c r="C358" s="1088">
        <f t="shared" si="26"/>
        <v>1</v>
      </c>
      <c r="D358" s="1088">
        <f t="shared" si="27"/>
        <v>6</v>
      </c>
      <c r="E358" s="1088"/>
      <c r="F358" s="1088">
        <f t="shared" ref="F358:F369" si="28">F357+1</f>
        <v>66</v>
      </c>
      <c r="G358" s="1382" t="s">
        <v>5343</v>
      </c>
      <c r="H358" s="1379"/>
      <c r="I358" s="1379" t="s">
        <v>2344</v>
      </c>
      <c r="J358" s="2072"/>
      <c r="K358" s="664"/>
      <c r="L358" s="255"/>
      <c r="M358" s="1381" t="s">
        <v>2571</v>
      </c>
      <c r="N358" s="328" t="s">
        <v>2560</v>
      </c>
      <c r="O358" s="1379" t="s">
        <v>77</v>
      </c>
      <c r="P358" s="1378">
        <v>44526</v>
      </c>
      <c r="Q358" s="1378">
        <v>44526</v>
      </c>
      <c r="R358" s="1195" t="s">
        <v>4265</v>
      </c>
      <c r="S358" s="1083"/>
      <c r="T358" s="1829"/>
      <c r="U358" s="1088"/>
    </row>
    <row r="359" spans="1:21" s="197" customFormat="1" ht="40.5" customHeight="1">
      <c r="A359" s="1088" t="s">
        <v>2512</v>
      </c>
      <c r="B359" s="1378">
        <v>44526</v>
      </c>
      <c r="C359" s="1088">
        <f t="shared" si="26"/>
        <v>1</v>
      </c>
      <c r="D359" s="1088">
        <f t="shared" si="27"/>
        <v>6</v>
      </c>
      <c r="E359" s="1088"/>
      <c r="F359" s="1088">
        <f t="shared" si="28"/>
        <v>67</v>
      </c>
      <c r="G359" s="1382" t="s">
        <v>5344</v>
      </c>
      <c r="H359" s="1379"/>
      <c r="I359" s="1379" t="s">
        <v>2344</v>
      </c>
      <c r="J359" s="2072"/>
      <c r="K359" s="664"/>
      <c r="L359" s="255"/>
      <c r="M359" s="1381" t="s">
        <v>68</v>
      </c>
      <c r="N359" s="328" t="s">
        <v>2649</v>
      </c>
      <c r="O359" s="1379" t="s">
        <v>269</v>
      </c>
      <c r="P359" s="1378">
        <v>44526</v>
      </c>
      <c r="Q359" s="1378">
        <v>44526</v>
      </c>
      <c r="R359" s="1195" t="s">
        <v>4265</v>
      </c>
      <c r="S359" s="1083"/>
      <c r="T359" s="1829"/>
      <c r="U359" s="1088"/>
    </row>
    <row r="360" spans="1:21" s="197" customFormat="1" ht="62.25" customHeight="1">
      <c r="A360" s="1088" t="s">
        <v>2512</v>
      </c>
      <c r="B360" s="1378">
        <v>44526</v>
      </c>
      <c r="C360" s="1088">
        <f t="shared" ref="C360:C368" si="29">C359</f>
        <v>1</v>
      </c>
      <c r="D360" s="1088">
        <f t="shared" si="27"/>
        <v>6</v>
      </c>
      <c r="E360" s="1088"/>
      <c r="F360" s="1088">
        <f t="shared" si="28"/>
        <v>68</v>
      </c>
      <c r="G360" s="1382" t="s">
        <v>5345</v>
      </c>
      <c r="H360" s="1379"/>
      <c r="I360" s="1379" t="s">
        <v>2344</v>
      </c>
      <c r="J360" s="2072"/>
      <c r="K360" s="664"/>
      <c r="L360" s="255"/>
      <c r="M360" s="1381" t="s">
        <v>3466</v>
      </c>
      <c r="N360" s="328" t="s">
        <v>2568</v>
      </c>
      <c r="O360" s="1379" t="s">
        <v>269</v>
      </c>
      <c r="P360" s="1378">
        <v>44526</v>
      </c>
      <c r="Q360" s="1378">
        <v>44526</v>
      </c>
      <c r="R360" s="1195" t="s">
        <v>4265</v>
      </c>
      <c r="S360" s="1083"/>
      <c r="T360" s="1829"/>
      <c r="U360" s="1088"/>
    </row>
    <row r="361" spans="1:21" s="197" customFormat="1" ht="65.25" customHeight="1">
      <c r="A361" s="1088" t="s">
        <v>2512</v>
      </c>
      <c r="B361" s="1378">
        <v>44526</v>
      </c>
      <c r="C361" s="1088">
        <f t="shared" si="29"/>
        <v>1</v>
      </c>
      <c r="D361" s="1088">
        <f t="shared" ref="D361:D371" si="30">D360</f>
        <v>6</v>
      </c>
      <c r="E361" s="1088"/>
      <c r="F361" s="1088">
        <f t="shared" si="28"/>
        <v>69</v>
      </c>
      <c r="G361" s="1382" t="s">
        <v>5346</v>
      </c>
      <c r="H361" s="1379"/>
      <c r="I361" s="1379" t="s">
        <v>2344</v>
      </c>
      <c r="J361" s="2072"/>
      <c r="K361" s="664"/>
      <c r="L361" s="255"/>
      <c r="M361" s="1381" t="s">
        <v>3466</v>
      </c>
      <c r="N361" s="328" t="s">
        <v>2568</v>
      </c>
      <c r="O361" s="1379" t="s">
        <v>269</v>
      </c>
      <c r="P361" s="1378">
        <v>44526</v>
      </c>
      <c r="Q361" s="1378">
        <v>44526</v>
      </c>
      <c r="R361" s="1195" t="s">
        <v>4265</v>
      </c>
      <c r="S361" s="1083"/>
      <c r="T361" s="1829"/>
      <c r="U361" s="1088"/>
    </row>
    <row r="362" spans="1:21" s="197" customFormat="1" ht="58.5" customHeight="1">
      <c r="A362" s="1088" t="s">
        <v>2512</v>
      </c>
      <c r="B362" s="1378">
        <v>44526</v>
      </c>
      <c r="C362" s="1088">
        <f t="shared" si="29"/>
        <v>1</v>
      </c>
      <c r="D362" s="1088">
        <f t="shared" si="30"/>
        <v>6</v>
      </c>
      <c r="E362" s="1088"/>
      <c r="F362" s="1088">
        <f t="shared" si="28"/>
        <v>70</v>
      </c>
      <c r="G362" s="1382" t="s">
        <v>5347</v>
      </c>
      <c r="H362" s="1379"/>
      <c r="I362" s="1379" t="s">
        <v>2344</v>
      </c>
      <c r="J362" s="2072"/>
      <c r="K362" s="664"/>
      <c r="L362" s="255"/>
      <c r="M362" s="1381" t="s">
        <v>2645</v>
      </c>
      <c r="N362" s="328" t="s">
        <v>5305</v>
      </c>
      <c r="O362" s="1379" t="s">
        <v>77</v>
      </c>
      <c r="P362" s="1378">
        <v>44526</v>
      </c>
      <c r="Q362" s="1378">
        <v>44526</v>
      </c>
      <c r="R362" s="1195" t="s">
        <v>4265</v>
      </c>
      <c r="S362" s="1083"/>
      <c r="T362" s="1829"/>
      <c r="U362" s="1088"/>
    </row>
    <row r="363" spans="1:21" s="197" customFormat="1" ht="40.5" customHeight="1">
      <c r="A363" s="1088" t="s">
        <v>2512</v>
      </c>
      <c r="B363" s="1378">
        <v>44526</v>
      </c>
      <c r="C363" s="1088">
        <f t="shared" si="29"/>
        <v>1</v>
      </c>
      <c r="D363" s="1088">
        <f t="shared" si="30"/>
        <v>6</v>
      </c>
      <c r="E363" s="1088"/>
      <c r="F363" s="1088">
        <f t="shared" si="28"/>
        <v>71</v>
      </c>
      <c r="G363" s="1382" t="s">
        <v>5348</v>
      </c>
      <c r="H363" s="1379"/>
      <c r="I363" s="1379" t="s">
        <v>2344</v>
      </c>
      <c r="J363" s="2072"/>
      <c r="K363" s="664"/>
      <c r="L363" s="255"/>
      <c r="M363" s="1381" t="s">
        <v>5403</v>
      </c>
      <c r="N363" s="328" t="s">
        <v>5305</v>
      </c>
      <c r="O363" s="1379" t="s">
        <v>77</v>
      </c>
      <c r="P363" s="1378">
        <v>44526</v>
      </c>
      <c r="Q363" s="1378">
        <v>44526</v>
      </c>
      <c r="R363" s="1195" t="s">
        <v>4265</v>
      </c>
      <c r="S363" s="1083"/>
      <c r="T363" s="1829"/>
      <c r="U363" s="1088"/>
    </row>
    <row r="364" spans="1:21" s="197" customFormat="1" ht="40.5" customHeight="1">
      <c r="A364" s="1088" t="s">
        <v>2512</v>
      </c>
      <c r="B364" s="1378">
        <v>44526</v>
      </c>
      <c r="C364" s="1088">
        <f t="shared" si="29"/>
        <v>1</v>
      </c>
      <c r="D364" s="1088">
        <f t="shared" si="30"/>
        <v>6</v>
      </c>
      <c r="E364" s="1088"/>
      <c r="F364" s="1088">
        <f t="shared" si="28"/>
        <v>72</v>
      </c>
      <c r="G364" s="1382" t="s">
        <v>5349</v>
      </c>
      <c r="H364" s="1379"/>
      <c r="I364" s="1379" t="s">
        <v>2344</v>
      </c>
      <c r="J364" s="2072"/>
      <c r="K364" s="664"/>
      <c r="L364" s="255"/>
      <c r="M364" s="1381" t="s">
        <v>2723</v>
      </c>
      <c r="N364" s="328" t="s">
        <v>5305</v>
      </c>
      <c r="O364" s="1379" t="s">
        <v>269</v>
      </c>
      <c r="P364" s="1378">
        <v>44526</v>
      </c>
      <c r="Q364" s="1378">
        <v>44526</v>
      </c>
      <c r="R364" s="1195" t="s">
        <v>4265</v>
      </c>
      <c r="S364" s="1083"/>
      <c r="T364" s="1829"/>
      <c r="U364" s="1088"/>
    </row>
    <row r="365" spans="1:21" s="197" customFormat="1" ht="40.5" customHeight="1">
      <c r="A365" s="1088" t="s">
        <v>2512</v>
      </c>
      <c r="B365" s="1378">
        <v>44526</v>
      </c>
      <c r="C365" s="1088">
        <f t="shared" si="29"/>
        <v>1</v>
      </c>
      <c r="D365" s="1088">
        <f t="shared" si="30"/>
        <v>6</v>
      </c>
      <c r="E365" s="1088"/>
      <c r="F365" s="1088">
        <f t="shared" si="28"/>
        <v>73</v>
      </c>
      <c r="G365" s="1382" t="s">
        <v>5350</v>
      </c>
      <c r="H365" s="1379"/>
      <c r="I365" s="1379" t="s">
        <v>2344</v>
      </c>
      <c r="J365" s="2072"/>
      <c r="K365" s="664"/>
      <c r="L365" s="255"/>
      <c r="M365" s="1381" t="s">
        <v>2642</v>
      </c>
      <c r="N365" s="328" t="s">
        <v>5305</v>
      </c>
      <c r="O365" s="1379" t="s">
        <v>77</v>
      </c>
      <c r="P365" s="1378">
        <v>44526</v>
      </c>
      <c r="Q365" s="1378">
        <v>44526</v>
      </c>
      <c r="R365" s="1195" t="s">
        <v>4265</v>
      </c>
      <c r="S365" s="1083"/>
      <c r="T365" s="1829"/>
      <c r="U365" s="1088"/>
    </row>
    <row r="366" spans="1:21" s="197" customFormat="1" ht="40.5" customHeight="1">
      <c r="A366" s="1088" t="s">
        <v>2512</v>
      </c>
      <c r="B366" s="1378">
        <v>44526</v>
      </c>
      <c r="C366" s="1088">
        <f t="shared" si="29"/>
        <v>1</v>
      </c>
      <c r="D366" s="1088">
        <f t="shared" si="30"/>
        <v>6</v>
      </c>
      <c r="E366" s="1088"/>
      <c r="F366" s="1088">
        <f t="shared" si="28"/>
        <v>74</v>
      </c>
      <c r="G366" s="1382" t="s">
        <v>5351</v>
      </c>
      <c r="H366" s="1379"/>
      <c r="I366" s="1379" t="s">
        <v>2344</v>
      </c>
      <c r="J366" s="2072"/>
      <c r="K366" s="664"/>
      <c r="L366" s="255"/>
      <c r="M366" s="1381" t="s">
        <v>2564</v>
      </c>
      <c r="N366" s="328" t="s">
        <v>5305</v>
      </c>
      <c r="O366" s="1379" t="s">
        <v>269</v>
      </c>
      <c r="P366" s="1378">
        <v>44526</v>
      </c>
      <c r="Q366" s="1378">
        <v>44526</v>
      </c>
      <c r="R366" s="1195" t="s">
        <v>4265</v>
      </c>
      <c r="S366" s="1083"/>
      <c r="T366" s="1829"/>
      <c r="U366" s="1088"/>
    </row>
    <row r="367" spans="1:21" s="197" customFormat="1" ht="40.5" customHeight="1">
      <c r="A367" s="1088" t="s">
        <v>2512</v>
      </c>
      <c r="B367" s="1378">
        <v>44526</v>
      </c>
      <c r="C367" s="1088">
        <f t="shared" si="29"/>
        <v>1</v>
      </c>
      <c r="D367" s="1088">
        <f t="shared" si="30"/>
        <v>6</v>
      </c>
      <c r="E367" s="1088"/>
      <c r="F367" s="1088">
        <f t="shared" si="28"/>
        <v>75</v>
      </c>
      <c r="G367" s="1382" t="s">
        <v>5352</v>
      </c>
      <c r="H367" s="1379"/>
      <c r="I367" s="1379" t="s">
        <v>2344</v>
      </c>
      <c r="J367" s="2072"/>
      <c r="K367" s="664"/>
      <c r="L367" s="255"/>
      <c r="M367" s="1381" t="s">
        <v>3459</v>
      </c>
      <c r="N367" s="328" t="s">
        <v>5305</v>
      </c>
      <c r="O367" s="1379" t="s">
        <v>5280</v>
      </c>
      <c r="P367" s="1378">
        <v>44526</v>
      </c>
      <c r="Q367" s="1378">
        <v>44526</v>
      </c>
      <c r="R367" s="1195" t="s">
        <v>4265</v>
      </c>
      <c r="S367" s="1083"/>
      <c r="T367" s="1829"/>
      <c r="U367" s="1088"/>
    </row>
    <row r="368" spans="1:21" s="197" customFormat="1" ht="40.5" customHeight="1">
      <c r="A368" s="1088" t="s">
        <v>2512</v>
      </c>
      <c r="B368" s="1378">
        <v>44526</v>
      </c>
      <c r="C368" s="1088">
        <f t="shared" si="29"/>
        <v>1</v>
      </c>
      <c r="D368" s="1088">
        <f t="shared" si="30"/>
        <v>6</v>
      </c>
      <c r="E368" s="1088"/>
      <c r="F368" s="1088">
        <f t="shared" si="28"/>
        <v>76</v>
      </c>
      <c r="G368" s="1382" t="s">
        <v>5353</v>
      </c>
      <c r="H368" s="1379"/>
      <c r="I368" s="1379" t="s">
        <v>2344</v>
      </c>
      <c r="J368" s="2072"/>
      <c r="K368" s="664"/>
      <c r="L368" s="255"/>
      <c r="M368" s="1381" t="s">
        <v>4737</v>
      </c>
      <c r="N368" s="328" t="s">
        <v>1979</v>
      </c>
      <c r="O368" s="1379" t="s">
        <v>77</v>
      </c>
      <c r="P368" s="1378">
        <v>44526</v>
      </c>
      <c r="Q368" s="1378">
        <v>44526</v>
      </c>
      <c r="R368" s="1195" t="s">
        <v>4265</v>
      </c>
      <c r="S368" s="1083"/>
      <c r="T368" s="1829"/>
      <c r="U368" s="1088"/>
    </row>
    <row r="369" spans="1:21" s="197" customFormat="1" ht="40.5" customHeight="1">
      <c r="A369" s="1088" t="s">
        <v>2512</v>
      </c>
      <c r="B369" s="1378">
        <v>44694</v>
      </c>
      <c r="C369" s="1088">
        <v>2</v>
      </c>
      <c r="D369" s="1088">
        <f t="shared" si="30"/>
        <v>6</v>
      </c>
      <c r="E369" s="560"/>
      <c r="F369" s="1088">
        <f t="shared" si="28"/>
        <v>77</v>
      </c>
      <c r="G369" s="1382" t="s">
        <v>5165</v>
      </c>
      <c r="H369" s="1379"/>
      <c r="I369" s="1379"/>
      <c r="J369" s="2072"/>
      <c r="K369" s="664"/>
      <c r="L369" s="255"/>
      <c r="M369" s="1381" t="s">
        <v>5383</v>
      </c>
      <c r="N369" s="328" t="s">
        <v>5166</v>
      </c>
      <c r="O369" s="1379" t="s">
        <v>5159</v>
      </c>
      <c r="P369" s="1378">
        <v>44694</v>
      </c>
      <c r="Q369" s="1378">
        <v>44694</v>
      </c>
      <c r="R369" s="1195" t="s">
        <v>4265</v>
      </c>
      <c r="S369" s="1083"/>
      <c r="T369" s="2067"/>
      <c r="U369" s="1088"/>
    </row>
    <row r="370" spans="1:21" s="197" customFormat="1" ht="67.5" customHeight="1">
      <c r="A370" s="1088" t="s">
        <v>2512</v>
      </c>
      <c r="B370" s="1378">
        <v>44694</v>
      </c>
      <c r="C370" s="1088">
        <v>2</v>
      </c>
      <c r="D370" s="1088">
        <f t="shared" si="30"/>
        <v>6</v>
      </c>
      <c r="E370" s="560" t="s">
        <v>5107</v>
      </c>
      <c r="F370" s="1088">
        <v>1</v>
      </c>
      <c r="G370" s="1382" t="s">
        <v>5185</v>
      </c>
      <c r="H370" s="1379"/>
      <c r="I370" s="1379" t="s">
        <v>551</v>
      </c>
      <c r="J370" s="2072"/>
      <c r="K370" s="664"/>
      <c r="L370" s="255"/>
      <c r="M370" s="1381" t="s">
        <v>5383</v>
      </c>
      <c r="N370" s="328" t="s">
        <v>1979</v>
      </c>
      <c r="O370" s="1379" t="s">
        <v>5107</v>
      </c>
      <c r="P370" s="1378">
        <v>44694</v>
      </c>
      <c r="Q370" s="1378">
        <v>44694</v>
      </c>
      <c r="R370" s="1195" t="s">
        <v>4265</v>
      </c>
      <c r="S370" s="1083"/>
      <c r="T370" s="2067"/>
      <c r="U370" s="1088"/>
    </row>
    <row r="371" spans="1:21" s="197" customFormat="1" ht="75" customHeight="1">
      <c r="A371" s="1088" t="s">
        <v>2512</v>
      </c>
      <c r="B371" s="1378">
        <v>44694</v>
      </c>
      <c r="C371" s="1088">
        <v>2</v>
      </c>
      <c r="D371" s="1088">
        <f t="shared" si="30"/>
        <v>6</v>
      </c>
      <c r="E371" s="560" t="s">
        <v>3480</v>
      </c>
      <c r="F371" s="1088">
        <f>F370+1</f>
        <v>2</v>
      </c>
      <c r="G371" s="1382" t="s">
        <v>5130</v>
      </c>
      <c r="H371" s="1379"/>
      <c r="I371" s="1379" t="s">
        <v>551</v>
      </c>
      <c r="J371" s="2072" t="s">
        <v>5964</v>
      </c>
      <c r="K371" s="664">
        <v>44222</v>
      </c>
      <c r="L371" s="255">
        <v>44377</v>
      </c>
      <c r="M371" s="1381" t="s">
        <v>5953</v>
      </c>
      <c r="N371" s="328" t="s">
        <v>2640</v>
      </c>
      <c r="O371" s="1379" t="s">
        <v>166</v>
      </c>
      <c r="P371" s="1378">
        <v>44694</v>
      </c>
      <c r="Q371" s="1378">
        <v>44694</v>
      </c>
      <c r="R371" s="1195" t="s">
        <v>4265</v>
      </c>
      <c r="S371" s="1083"/>
      <c r="T371" s="2067" t="s">
        <v>5954</v>
      </c>
      <c r="U371" s="1088"/>
    </row>
    <row r="372" spans="1:21" s="197" customFormat="1" ht="40.5" customHeight="1">
      <c r="A372" s="1088" t="s">
        <v>2512</v>
      </c>
      <c r="B372" s="1378">
        <v>44526</v>
      </c>
      <c r="C372" s="1088">
        <f t="shared" ref="C372:C389" si="31">C371</f>
        <v>2</v>
      </c>
      <c r="D372" s="1088">
        <f t="shared" ref="D372:D389" si="32">D371</f>
        <v>6</v>
      </c>
      <c r="E372" s="1088"/>
      <c r="F372" s="1088">
        <f t="shared" ref="F372:F376" si="33">F371+1</f>
        <v>3</v>
      </c>
      <c r="G372" s="1382" t="s">
        <v>5356</v>
      </c>
      <c r="H372" s="1379"/>
      <c r="I372" s="1379" t="s">
        <v>2344</v>
      </c>
      <c r="J372" s="2072"/>
      <c r="K372" s="664"/>
      <c r="L372" s="255"/>
      <c r="M372" s="1381" t="s">
        <v>5404</v>
      </c>
      <c r="N372" s="328" t="s">
        <v>1979</v>
      </c>
      <c r="O372" s="1379" t="s">
        <v>166</v>
      </c>
      <c r="P372" s="1378">
        <v>44526</v>
      </c>
      <c r="Q372" s="1378">
        <v>44526</v>
      </c>
      <c r="R372" s="1195" t="s">
        <v>4265</v>
      </c>
      <c r="S372" s="1083"/>
      <c r="T372" s="1829"/>
      <c r="U372" s="1088"/>
    </row>
    <row r="373" spans="1:21" s="197" customFormat="1" ht="40.5" customHeight="1">
      <c r="A373" s="1088" t="s">
        <v>2512</v>
      </c>
      <c r="B373" s="1378">
        <v>44526</v>
      </c>
      <c r="C373" s="1088">
        <f t="shared" si="31"/>
        <v>2</v>
      </c>
      <c r="D373" s="1088">
        <f t="shared" si="32"/>
        <v>6</v>
      </c>
      <c r="E373" s="1086" t="s">
        <v>4790</v>
      </c>
      <c r="F373" s="1088">
        <f t="shared" si="33"/>
        <v>4</v>
      </c>
      <c r="G373" s="1382" t="s">
        <v>5357</v>
      </c>
      <c r="H373" s="1379"/>
      <c r="I373" s="1379" t="s">
        <v>551</v>
      </c>
      <c r="J373" s="2072"/>
      <c r="K373" s="664"/>
      <c r="L373" s="255"/>
      <c r="M373" s="1381" t="s">
        <v>4143</v>
      </c>
      <c r="N373" s="328" t="s">
        <v>5342</v>
      </c>
      <c r="O373" s="1379" t="s">
        <v>166</v>
      </c>
      <c r="P373" s="1378">
        <v>44526</v>
      </c>
      <c r="Q373" s="1378">
        <v>44526</v>
      </c>
      <c r="R373" s="1195" t="s">
        <v>4265</v>
      </c>
      <c r="S373" s="1083"/>
      <c r="T373" s="2067"/>
      <c r="U373" s="1088"/>
    </row>
    <row r="374" spans="1:21" s="197" customFormat="1" ht="63.75" customHeight="1">
      <c r="A374" s="1088" t="s">
        <v>2512</v>
      </c>
      <c r="B374" s="1378">
        <v>44526</v>
      </c>
      <c r="C374" s="1088">
        <f t="shared" si="31"/>
        <v>2</v>
      </c>
      <c r="D374" s="1088">
        <f t="shared" si="32"/>
        <v>6</v>
      </c>
      <c r="E374" s="1088"/>
      <c r="F374" s="1088">
        <f t="shared" si="33"/>
        <v>5</v>
      </c>
      <c r="G374" s="1382" t="s">
        <v>5358</v>
      </c>
      <c r="H374" s="1379"/>
      <c r="I374" s="1379" t="s">
        <v>2344</v>
      </c>
      <c r="J374" s="2072"/>
      <c r="K374" s="664"/>
      <c r="L374" s="255"/>
      <c r="M374" s="1381" t="s">
        <v>4741</v>
      </c>
      <c r="N374" s="328" t="s">
        <v>1979</v>
      </c>
      <c r="O374" s="1379" t="s">
        <v>4789</v>
      </c>
      <c r="P374" s="1378">
        <v>44526</v>
      </c>
      <c r="Q374" s="1378">
        <v>44526</v>
      </c>
      <c r="R374" s="1195" t="s">
        <v>4265</v>
      </c>
      <c r="S374" s="1083"/>
      <c r="T374" s="1829"/>
      <c r="U374" s="1088"/>
    </row>
    <row r="375" spans="1:21" s="197" customFormat="1" ht="66" customHeight="1">
      <c r="A375" s="1088" t="s">
        <v>2512</v>
      </c>
      <c r="B375" s="1378">
        <v>44526</v>
      </c>
      <c r="C375" s="1088">
        <f t="shared" si="31"/>
        <v>2</v>
      </c>
      <c r="D375" s="1088">
        <f t="shared" si="32"/>
        <v>6</v>
      </c>
      <c r="E375" s="1088"/>
      <c r="F375" s="1088">
        <f t="shared" si="33"/>
        <v>6</v>
      </c>
      <c r="G375" s="1382" t="s">
        <v>5359</v>
      </c>
      <c r="H375" s="1379"/>
      <c r="I375" s="1379" t="s">
        <v>2344</v>
      </c>
      <c r="J375" s="2072"/>
      <c r="K375" s="664"/>
      <c r="L375" s="255"/>
      <c r="M375" s="1381" t="s">
        <v>5405</v>
      </c>
      <c r="N375" s="328" t="s">
        <v>1979</v>
      </c>
      <c r="O375" s="1379" t="s">
        <v>4789</v>
      </c>
      <c r="P375" s="1378">
        <v>44526</v>
      </c>
      <c r="Q375" s="1378">
        <v>44526</v>
      </c>
      <c r="R375" s="1195" t="s">
        <v>4265</v>
      </c>
      <c r="S375" s="1083"/>
      <c r="T375" s="1829"/>
      <c r="U375" s="1088"/>
    </row>
    <row r="376" spans="1:21" s="197" customFormat="1" ht="72.75" customHeight="1">
      <c r="A376" s="1088" t="s">
        <v>2512</v>
      </c>
      <c r="B376" s="1378">
        <v>44526</v>
      </c>
      <c r="C376" s="1088">
        <f t="shared" si="31"/>
        <v>2</v>
      </c>
      <c r="D376" s="1088">
        <f t="shared" si="32"/>
        <v>6</v>
      </c>
      <c r="E376" s="1086" t="s">
        <v>4093</v>
      </c>
      <c r="F376" s="1088">
        <f t="shared" si="33"/>
        <v>7</v>
      </c>
      <c r="G376" s="1382" t="s">
        <v>5360</v>
      </c>
      <c r="H376" s="1379"/>
      <c r="I376" s="1379" t="s">
        <v>551</v>
      </c>
      <c r="J376" s="2072" t="s">
        <v>5964</v>
      </c>
      <c r="K376" s="189">
        <v>44438</v>
      </c>
      <c r="L376" s="190">
        <v>44464</v>
      </c>
      <c r="M376" s="1381" t="s">
        <v>4118</v>
      </c>
      <c r="N376" s="328" t="s">
        <v>2574</v>
      </c>
      <c r="O376" s="1379" t="s">
        <v>4789</v>
      </c>
      <c r="P376" s="1378">
        <v>44526</v>
      </c>
      <c r="Q376" s="1378">
        <v>44526</v>
      </c>
      <c r="R376" s="1195" t="s">
        <v>4265</v>
      </c>
      <c r="S376" s="1083"/>
      <c r="T376" s="2067"/>
      <c r="U376" s="1088"/>
    </row>
    <row r="377" spans="1:21" s="197" customFormat="1" ht="60" customHeight="1">
      <c r="A377" s="1088" t="s">
        <v>2512</v>
      </c>
      <c r="B377" s="1378">
        <v>44526</v>
      </c>
      <c r="C377" s="1088">
        <f t="shared" si="31"/>
        <v>2</v>
      </c>
      <c r="D377" s="1088">
        <f t="shared" si="32"/>
        <v>6</v>
      </c>
      <c r="E377" s="1088"/>
      <c r="F377" s="1088">
        <f t="shared" ref="F377:F386" si="34">F376+1</f>
        <v>8</v>
      </c>
      <c r="G377" s="1382" t="s">
        <v>5361</v>
      </c>
      <c r="H377" s="1379"/>
      <c r="I377" s="1379" t="s">
        <v>2344</v>
      </c>
      <c r="J377" s="2072"/>
      <c r="K377" s="664"/>
      <c r="L377" s="255"/>
      <c r="M377" s="1381" t="s">
        <v>4751</v>
      </c>
      <c r="N377" s="328" t="s">
        <v>2574</v>
      </c>
      <c r="O377" s="1379" t="s">
        <v>4789</v>
      </c>
      <c r="P377" s="1378">
        <v>44526</v>
      </c>
      <c r="Q377" s="1378">
        <v>44526</v>
      </c>
      <c r="R377" s="1195" t="s">
        <v>4265</v>
      </c>
      <c r="S377" s="1083"/>
      <c r="T377" s="1829"/>
      <c r="U377" s="1088"/>
    </row>
    <row r="378" spans="1:21" s="197" customFormat="1" ht="63" customHeight="1">
      <c r="A378" s="1088" t="s">
        <v>2512</v>
      </c>
      <c r="B378" s="1378">
        <v>44526</v>
      </c>
      <c r="C378" s="1088">
        <f t="shared" si="31"/>
        <v>2</v>
      </c>
      <c r="D378" s="1088">
        <f t="shared" si="32"/>
        <v>6</v>
      </c>
      <c r="E378" s="1086" t="s">
        <v>4094</v>
      </c>
      <c r="F378" s="1088">
        <f t="shared" si="34"/>
        <v>9</v>
      </c>
      <c r="G378" s="1382" t="s">
        <v>5362</v>
      </c>
      <c r="H378" s="1379"/>
      <c r="I378" s="1379" t="s">
        <v>551</v>
      </c>
      <c r="J378" s="2072" t="s">
        <v>5964</v>
      </c>
      <c r="K378" s="189">
        <v>44438</v>
      </c>
      <c r="L378" s="255">
        <v>44452</v>
      </c>
      <c r="M378" s="1381" t="s">
        <v>4753</v>
      </c>
      <c r="N378" s="328" t="s">
        <v>2548</v>
      </c>
      <c r="O378" s="1379" t="s">
        <v>4789</v>
      </c>
      <c r="P378" s="1378">
        <v>44526</v>
      </c>
      <c r="Q378" s="1378">
        <v>44526</v>
      </c>
      <c r="R378" s="1195" t="s">
        <v>4265</v>
      </c>
      <c r="S378" s="1083"/>
      <c r="T378" s="2067"/>
      <c r="U378" s="1088"/>
    </row>
    <row r="379" spans="1:21" s="197" customFormat="1" ht="55.5" customHeight="1">
      <c r="A379" s="1088" t="s">
        <v>2512</v>
      </c>
      <c r="B379" s="1378">
        <v>44526</v>
      </c>
      <c r="C379" s="1088">
        <f t="shared" si="31"/>
        <v>2</v>
      </c>
      <c r="D379" s="1088">
        <f t="shared" si="32"/>
        <v>6</v>
      </c>
      <c r="E379" s="1086" t="s">
        <v>4094</v>
      </c>
      <c r="F379" s="1088">
        <f t="shared" si="34"/>
        <v>10</v>
      </c>
      <c r="G379" s="1382" t="s">
        <v>5363</v>
      </c>
      <c r="H379" s="1379"/>
      <c r="I379" s="1379" t="s">
        <v>551</v>
      </c>
      <c r="J379" s="2072" t="s">
        <v>5964</v>
      </c>
      <c r="K379" s="189">
        <v>44438</v>
      </c>
      <c r="L379" s="255">
        <v>44452</v>
      </c>
      <c r="M379" s="1381" t="s">
        <v>4120</v>
      </c>
      <c r="N379" s="328" t="s">
        <v>2548</v>
      </c>
      <c r="O379" s="1379" t="s">
        <v>4789</v>
      </c>
      <c r="P379" s="1378">
        <v>44526</v>
      </c>
      <c r="Q379" s="1378">
        <v>44526</v>
      </c>
      <c r="R379" s="1195" t="s">
        <v>4265</v>
      </c>
      <c r="S379" s="1083"/>
      <c r="T379" s="2067"/>
      <c r="U379" s="1088"/>
    </row>
    <row r="380" spans="1:21" s="197" customFormat="1" ht="58.5" customHeight="1">
      <c r="A380" s="1088" t="s">
        <v>2512</v>
      </c>
      <c r="B380" s="1378">
        <v>44526</v>
      </c>
      <c r="C380" s="1088">
        <f t="shared" si="31"/>
        <v>2</v>
      </c>
      <c r="D380" s="1088">
        <f t="shared" si="32"/>
        <v>6</v>
      </c>
      <c r="E380" s="1086" t="s">
        <v>4094</v>
      </c>
      <c r="F380" s="1088">
        <f t="shared" si="34"/>
        <v>11</v>
      </c>
      <c r="G380" s="1382" t="s">
        <v>4755</v>
      </c>
      <c r="H380" s="1379"/>
      <c r="I380" s="1379" t="s">
        <v>551</v>
      </c>
      <c r="J380" s="2072" t="s">
        <v>5964</v>
      </c>
      <c r="K380" s="189">
        <v>44438</v>
      </c>
      <c r="L380" s="255">
        <v>44452</v>
      </c>
      <c r="M380" s="1381" t="s">
        <v>3183</v>
      </c>
      <c r="N380" s="328" t="s">
        <v>2548</v>
      </c>
      <c r="O380" s="1379" t="s">
        <v>4789</v>
      </c>
      <c r="P380" s="1378">
        <v>44526</v>
      </c>
      <c r="Q380" s="1378">
        <v>44526</v>
      </c>
      <c r="R380" s="1195" t="s">
        <v>4265</v>
      </c>
      <c r="S380" s="1083"/>
      <c r="T380" s="2067"/>
      <c r="U380" s="1088"/>
    </row>
    <row r="381" spans="1:21" s="197" customFormat="1" ht="65.25" customHeight="1">
      <c r="A381" s="1088" t="s">
        <v>2512</v>
      </c>
      <c r="B381" s="1378">
        <v>44526</v>
      </c>
      <c r="C381" s="1088">
        <f t="shared" si="31"/>
        <v>2</v>
      </c>
      <c r="D381" s="1088">
        <f t="shared" si="32"/>
        <v>6</v>
      </c>
      <c r="E381" s="1086" t="s">
        <v>4095</v>
      </c>
      <c r="F381" s="1088">
        <f t="shared" si="34"/>
        <v>12</v>
      </c>
      <c r="G381" s="1382" t="s">
        <v>5364</v>
      </c>
      <c r="H381" s="1379"/>
      <c r="I381" s="1379" t="s">
        <v>551</v>
      </c>
      <c r="J381" s="2072" t="s">
        <v>5964</v>
      </c>
      <c r="K381" s="189">
        <v>44466</v>
      </c>
      <c r="L381" s="255">
        <v>44541</v>
      </c>
      <c r="M381" s="1381" t="s">
        <v>3466</v>
      </c>
      <c r="N381" s="328" t="s">
        <v>2560</v>
      </c>
      <c r="O381" s="1379" t="s">
        <v>4789</v>
      </c>
      <c r="P381" s="1378">
        <v>44526</v>
      </c>
      <c r="Q381" s="1378">
        <v>44526</v>
      </c>
      <c r="R381" s="1195" t="s">
        <v>4265</v>
      </c>
      <c r="S381" s="1083"/>
      <c r="T381" s="2067"/>
      <c r="U381" s="1088"/>
    </row>
    <row r="382" spans="1:21" s="197" customFormat="1" ht="65.25" customHeight="1">
      <c r="A382" s="1088" t="s">
        <v>2512</v>
      </c>
      <c r="B382" s="1378">
        <v>44526</v>
      </c>
      <c r="C382" s="1088">
        <f t="shared" si="31"/>
        <v>2</v>
      </c>
      <c r="D382" s="1088">
        <f t="shared" si="32"/>
        <v>6</v>
      </c>
      <c r="E382" s="1086" t="s">
        <v>4095</v>
      </c>
      <c r="F382" s="1088">
        <f t="shared" si="34"/>
        <v>13</v>
      </c>
      <c r="G382" s="1382" t="s">
        <v>5365</v>
      </c>
      <c r="H382" s="1379"/>
      <c r="I382" s="1379" t="s">
        <v>551</v>
      </c>
      <c r="J382" s="2072" t="s">
        <v>5964</v>
      </c>
      <c r="K382" s="189">
        <v>44466</v>
      </c>
      <c r="L382" s="255">
        <v>44541</v>
      </c>
      <c r="M382" s="1381" t="s">
        <v>2750</v>
      </c>
      <c r="N382" s="328" t="s">
        <v>2560</v>
      </c>
      <c r="O382" s="1379" t="s">
        <v>4789</v>
      </c>
      <c r="P382" s="1378">
        <v>44526</v>
      </c>
      <c r="Q382" s="1378">
        <v>44526</v>
      </c>
      <c r="R382" s="1195" t="s">
        <v>4265</v>
      </c>
      <c r="S382" s="1083"/>
      <c r="T382" s="2067"/>
      <c r="U382" s="1088"/>
    </row>
    <row r="383" spans="1:21" s="197" customFormat="1" ht="62.25" customHeight="1">
      <c r="A383" s="1088" t="s">
        <v>2512</v>
      </c>
      <c r="B383" s="1378">
        <v>44526</v>
      </c>
      <c r="C383" s="1088">
        <f t="shared" si="31"/>
        <v>2</v>
      </c>
      <c r="D383" s="1088">
        <f t="shared" si="32"/>
        <v>6</v>
      </c>
      <c r="E383" s="1086" t="s">
        <v>4095</v>
      </c>
      <c r="F383" s="1088">
        <f t="shared" si="34"/>
        <v>14</v>
      </c>
      <c r="G383" s="1382" t="s">
        <v>5366</v>
      </c>
      <c r="H383" s="1379"/>
      <c r="I383" s="1379" t="s">
        <v>551</v>
      </c>
      <c r="J383" s="2072" t="s">
        <v>5964</v>
      </c>
      <c r="K383" s="189">
        <v>44466</v>
      </c>
      <c r="L383" s="255">
        <v>44541</v>
      </c>
      <c r="M383" s="1381" t="s">
        <v>2739</v>
      </c>
      <c r="N383" s="328" t="s">
        <v>2560</v>
      </c>
      <c r="O383" s="1379" t="s">
        <v>4789</v>
      </c>
      <c r="P383" s="1378">
        <v>44526</v>
      </c>
      <c r="Q383" s="1378">
        <v>44526</v>
      </c>
      <c r="R383" s="1195" t="s">
        <v>4265</v>
      </c>
      <c r="S383" s="1083"/>
      <c r="T383" s="2067"/>
      <c r="U383" s="1088"/>
    </row>
    <row r="384" spans="1:21" s="197" customFormat="1" ht="55.5" customHeight="1">
      <c r="A384" s="1088" t="s">
        <v>2512</v>
      </c>
      <c r="B384" s="1378">
        <v>44526</v>
      </c>
      <c r="C384" s="1088">
        <f t="shared" si="31"/>
        <v>2</v>
      </c>
      <c r="D384" s="1088">
        <f t="shared" si="32"/>
        <v>6</v>
      </c>
      <c r="E384" s="1086" t="s">
        <v>4095</v>
      </c>
      <c r="F384" s="1088">
        <f t="shared" si="34"/>
        <v>15</v>
      </c>
      <c r="G384" s="1382" t="s">
        <v>5367</v>
      </c>
      <c r="H384" s="1379"/>
      <c r="I384" s="1379" t="s">
        <v>551</v>
      </c>
      <c r="J384" s="2072" t="s">
        <v>5964</v>
      </c>
      <c r="K384" s="189">
        <v>44466</v>
      </c>
      <c r="L384" s="255">
        <v>44541</v>
      </c>
      <c r="M384" s="1381" t="s">
        <v>4783</v>
      </c>
      <c r="N384" s="328" t="s">
        <v>2560</v>
      </c>
      <c r="O384" s="1379" t="s">
        <v>4789</v>
      </c>
      <c r="P384" s="1378">
        <v>44526</v>
      </c>
      <c r="Q384" s="1378">
        <v>44526</v>
      </c>
      <c r="R384" s="1195" t="s">
        <v>4265</v>
      </c>
      <c r="S384" s="1083"/>
      <c r="T384" s="2067"/>
      <c r="U384" s="1088"/>
    </row>
    <row r="385" spans="1:21" s="197" customFormat="1" ht="60" customHeight="1">
      <c r="A385" s="1088" t="s">
        <v>2512</v>
      </c>
      <c r="B385" s="1378">
        <v>44526</v>
      </c>
      <c r="C385" s="1088">
        <f t="shared" si="31"/>
        <v>2</v>
      </c>
      <c r="D385" s="1088">
        <f t="shared" si="32"/>
        <v>6</v>
      </c>
      <c r="E385" s="1086" t="s">
        <v>4096</v>
      </c>
      <c r="F385" s="1088">
        <f t="shared" si="34"/>
        <v>16</v>
      </c>
      <c r="G385" s="1382" t="s">
        <v>5368</v>
      </c>
      <c r="H385" s="1379"/>
      <c r="I385" s="1379" t="s">
        <v>551</v>
      </c>
      <c r="J385" s="2072" t="s">
        <v>5964</v>
      </c>
      <c r="K385" s="189">
        <v>44438</v>
      </c>
      <c r="L385" s="255">
        <v>44492</v>
      </c>
      <c r="M385" s="1381" t="s">
        <v>2524</v>
      </c>
      <c r="N385" s="328" t="s">
        <v>2613</v>
      </c>
      <c r="O385" s="1379" t="s">
        <v>4789</v>
      </c>
      <c r="P385" s="1378">
        <v>44526</v>
      </c>
      <c r="Q385" s="1378">
        <v>44526</v>
      </c>
      <c r="R385" s="1195" t="s">
        <v>4265</v>
      </c>
      <c r="S385" s="1083"/>
      <c r="T385" s="2067"/>
      <c r="U385" s="1088"/>
    </row>
    <row r="386" spans="1:21" s="197" customFormat="1" ht="72" customHeight="1">
      <c r="A386" s="1088" t="s">
        <v>2512</v>
      </c>
      <c r="B386" s="1378">
        <v>44526</v>
      </c>
      <c r="C386" s="1088">
        <f t="shared" si="31"/>
        <v>2</v>
      </c>
      <c r="D386" s="1088">
        <f t="shared" si="32"/>
        <v>6</v>
      </c>
      <c r="E386" s="1086" t="s">
        <v>4096</v>
      </c>
      <c r="F386" s="1088">
        <f t="shared" si="34"/>
        <v>17</v>
      </c>
      <c r="G386" s="1382" t="s">
        <v>5369</v>
      </c>
      <c r="H386" s="1379"/>
      <c r="I386" s="1379" t="s">
        <v>551</v>
      </c>
      <c r="J386" s="2072" t="s">
        <v>5964</v>
      </c>
      <c r="K386" s="189">
        <v>44438</v>
      </c>
      <c r="L386" s="255">
        <v>44492</v>
      </c>
      <c r="M386" s="1381" t="s">
        <v>4764</v>
      </c>
      <c r="N386" s="328" t="s">
        <v>2613</v>
      </c>
      <c r="O386" s="1379" t="s">
        <v>4789</v>
      </c>
      <c r="P386" s="1378">
        <v>44526</v>
      </c>
      <c r="Q386" s="1378">
        <v>44526</v>
      </c>
      <c r="R386" s="1195" t="s">
        <v>4265</v>
      </c>
      <c r="S386" s="1083"/>
      <c r="T386" s="2067"/>
      <c r="U386" s="1088"/>
    </row>
    <row r="387" spans="1:21" s="197" customFormat="1" ht="60.75" customHeight="1">
      <c r="A387" s="1088" t="s">
        <v>2512</v>
      </c>
      <c r="B387" s="1378">
        <v>44526</v>
      </c>
      <c r="C387" s="1088">
        <f t="shared" si="31"/>
        <v>2</v>
      </c>
      <c r="D387" s="1088">
        <f t="shared" si="32"/>
        <v>6</v>
      </c>
      <c r="E387" s="1086" t="s">
        <v>4097</v>
      </c>
      <c r="F387" s="1088">
        <f>F386+1</f>
        <v>18</v>
      </c>
      <c r="G387" s="1382" t="s">
        <v>5370</v>
      </c>
      <c r="H387" s="1379"/>
      <c r="I387" s="1379" t="s">
        <v>551</v>
      </c>
      <c r="J387" s="2072" t="s">
        <v>5964</v>
      </c>
      <c r="K387" s="189">
        <v>44487</v>
      </c>
      <c r="L387" s="255">
        <v>44541</v>
      </c>
      <c r="M387" s="1381" t="s">
        <v>5406</v>
      </c>
      <c r="N387" s="328" t="s">
        <v>2699</v>
      </c>
      <c r="O387" s="1379" t="s">
        <v>4789</v>
      </c>
      <c r="P387" s="1378">
        <v>44526</v>
      </c>
      <c r="Q387" s="1378">
        <v>44526</v>
      </c>
      <c r="R387" s="1195" t="s">
        <v>4265</v>
      </c>
      <c r="S387" s="1083"/>
      <c r="T387" s="2067"/>
      <c r="U387" s="1088"/>
    </row>
    <row r="388" spans="1:21" s="197" customFormat="1" ht="57.75" customHeight="1">
      <c r="A388" s="1088" t="s">
        <v>2512</v>
      </c>
      <c r="B388" s="1378">
        <v>44526</v>
      </c>
      <c r="C388" s="1088">
        <f t="shared" si="31"/>
        <v>2</v>
      </c>
      <c r="D388" s="1088">
        <f t="shared" si="32"/>
        <v>6</v>
      </c>
      <c r="E388" s="1086" t="s">
        <v>4098</v>
      </c>
      <c r="F388" s="1088">
        <f>F387+1</f>
        <v>19</v>
      </c>
      <c r="G388" s="1382" t="s">
        <v>5371</v>
      </c>
      <c r="H388" s="1379"/>
      <c r="I388" s="1379" t="s">
        <v>551</v>
      </c>
      <c r="J388" s="2072" t="s">
        <v>5964</v>
      </c>
      <c r="K388" s="189">
        <v>44513</v>
      </c>
      <c r="L388" s="255">
        <v>44541</v>
      </c>
      <c r="M388" s="1381" t="s">
        <v>3186</v>
      </c>
      <c r="N388" s="328" t="s">
        <v>2551</v>
      </c>
      <c r="O388" s="1379" t="s">
        <v>4789</v>
      </c>
      <c r="P388" s="1378">
        <v>44526</v>
      </c>
      <c r="Q388" s="1378">
        <v>44526</v>
      </c>
      <c r="R388" s="1195" t="s">
        <v>4265</v>
      </c>
      <c r="S388" s="1083"/>
      <c r="T388" s="2067"/>
      <c r="U388" s="1088"/>
    </row>
    <row r="389" spans="1:21" s="197" customFormat="1" ht="40.5" customHeight="1">
      <c r="A389" s="1088" t="s">
        <v>2512</v>
      </c>
      <c r="B389" s="1378">
        <v>44526</v>
      </c>
      <c r="C389" s="1088">
        <f t="shared" si="31"/>
        <v>2</v>
      </c>
      <c r="D389" s="1088">
        <f t="shared" si="32"/>
        <v>6</v>
      </c>
      <c r="E389" s="1086" t="s">
        <v>3647</v>
      </c>
      <c r="F389" s="1088">
        <f>F388+1</f>
        <v>20</v>
      </c>
      <c r="G389" s="1382" t="s">
        <v>5372</v>
      </c>
      <c r="H389" s="1379"/>
      <c r="I389" s="1379" t="s">
        <v>551</v>
      </c>
      <c r="J389" s="2072" t="s">
        <v>5963</v>
      </c>
      <c r="K389" s="664"/>
      <c r="L389" s="255"/>
      <c r="M389" s="1381" t="s">
        <v>2515</v>
      </c>
      <c r="N389" s="328" t="s">
        <v>1979</v>
      </c>
      <c r="O389" s="1379" t="s">
        <v>166</v>
      </c>
      <c r="P389" s="1378">
        <v>44526</v>
      </c>
      <c r="Q389" s="1378">
        <v>44526</v>
      </c>
      <c r="R389" s="1195" t="s">
        <v>4265</v>
      </c>
      <c r="S389" s="1083"/>
      <c r="T389" s="2067"/>
      <c r="U389" s="1088"/>
    </row>
    <row r="390" spans="1:21" s="197" customFormat="1" ht="40.5" customHeight="1">
      <c r="A390" s="1088" t="s">
        <v>2512</v>
      </c>
      <c r="B390" s="1378">
        <v>44364</v>
      </c>
      <c r="C390" s="1088">
        <v>9</v>
      </c>
      <c r="D390" s="1088">
        <v>3</v>
      </c>
      <c r="E390" s="1086" t="s">
        <v>3487</v>
      </c>
      <c r="F390" s="1088">
        <v>1</v>
      </c>
      <c r="G390" s="1382" t="s">
        <v>4676</v>
      </c>
      <c r="H390" s="1379"/>
      <c r="I390" s="1379" t="s">
        <v>551</v>
      </c>
      <c r="J390" s="2072" t="s">
        <v>5963</v>
      </c>
      <c r="K390" s="664">
        <v>44231</v>
      </c>
      <c r="L390" s="255">
        <v>44377</v>
      </c>
      <c r="M390" s="1381" t="s">
        <v>2524</v>
      </c>
      <c r="N390" s="328" t="s">
        <v>2613</v>
      </c>
      <c r="O390" s="1379" t="s">
        <v>166</v>
      </c>
      <c r="P390" s="1378">
        <v>44364</v>
      </c>
      <c r="Q390" s="1378">
        <v>44364</v>
      </c>
      <c r="R390" s="1195" t="s">
        <v>4265</v>
      </c>
      <c r="S390" s="1083"/>
      <c r="T390" s="2067"/>
      <c r="U390" s="1088"/>
    </row>
    <row r="391" spans="1:21" s="197" customFormat="1" ht="40.5" customHeight="1">
      <c r="A391" s="1088" t="s">
        <v>2512</v>
      </c>
      <c r="B391" s="1378">
        <v>44364</v>
      </c>
      <c r="C391" s="1088">
        <v>9</v>
      </c>
      <c r="D391" s="1088">
        <v>3</v>
      </c>
      <c r="E391" s="1086" t="s">
        <v>3489</v>
      </c>
      <c r="F391" s="1088">
        <f>F390+1</f>
        <v>2</v>
      </c>
      <c r="G391" s="1382" t="s">
        <v>4677</v>
      </c>
      <c r="H391" s="1379"/>
      <c r="I391" s="1379" t="s">
        <v>551</v>
      </c>
      <c r="J391" s="2072" t="s">
        <v>5963</v>
      </c>
      <c r="K391" s="664">
        <v>44242</v>
      </c>
      <c r="L391" s="255">
        <v>44270</v>
      </c>
      <c r="M391" s="1381" t="s">
        <v>2524</v>
      </c>
      <c r="N391" s="328" t="s">
        <v>2613</v>
      </c>
      <c r="O391" s="1379" t="s">
        <v>166</v>
      </c>
      <c r="P391" s="1378">
        <v>44364</v>
      </c>
      <c r="Q391" s="1378">
        <v>44364</v>
      </c>
      <c r="R391" s="1195" t="s">
        <v>4265</v>
      </c>
      <c r="S391" s="1083"/>
      <c r="T391" s="2067"/>
      <c r="U391" s="1088"/>
    </row>
    <row r="392" spans="1:21" s="197" customFormat="1" ht="40.5" customHeight="1">
      <c r="A392" s="1088" t="s">
        <v>2512</v>
      </c>
      <c r="B392" s="1378">
        <v>44364</v>
      </c>
      <c r="C392" s="1088">
        <v>9</v>
      </c>
      <c r="D392" s="1088">
        <v>3</v>
      </c>
      <c r="E392" s="1086" t="s">
        <v>3491</v>
      </c>
      <c r="F392" s="1088">
        <f t="shared" ref="F392:F455" si="35">F391+1</f>
        <v>3</v>
      </c>
      <c r="G392" s="1382" t="s">
        <v>4678</v>
      </c>
      <c r="H392" s="1379"/>
      <c r="I392" s="1379" t="s">
        <v>551</v>
      </c>
      <c r="J392" s="2072" t="s">
        <v>5963</v>
      </c>
      <c r="K392" s="664">
        <v>44271</v>
      </c>
      <c r="L392" s="255">
        <v>44275</v>
      </c>
      <c r="M392" s="1381" t="s">
        <v>2524</v>
      </c>
      <c r="N392" s="328" t="s">
        <v>2613</v>
      </c>
      <c r="O392" s="1379" t="s">
        <v>166</v>
      </c>
      <c r="P392" s="1378">
        <v>44364</v>
      </c>
      <c r="Q392" s="1378">
        <v>44364</v>
      </c>
      <c r="R392" s="1195" t="s">
        <v>4265</v>
      </c>
      <c r="S392" s="1083"/>
      <c r="T392" s="2067"/>
      <c r="U392" s="1088"/>
    </row>
    <row r="393" spans="1:21" s="197" customFormat="1" ht="40.5" customHeight="1">
      <c r="A393" s="1088" t="s">
        <v>2512</v>
      </c>
      <c r="B393" s="1378">
        <v>44364</v>
      </c>
      <c r="C393" s="1088">
        <v>9</v>
      </c>
      <c r="D393" s="1088">
        <v>3</v>
      </c>
      <c r="E393" s="1086" t="s">
        <v>3493</v>
      </c>
      <c r="F393" s="1088">
        <f t="shared" si="35"/>
        <v>4</v>
      </c>
      <c r="G393" s="1382" t="s">
        <v>4679</v>
      </c>
      <c r="H393" s="1379"/>
      <c r="I393" s="1379" t="s">
        <v>551</v>
      </c>
      <c r="J393" s="2072" t="s">
        <v>5963</v>
      </c>
      <c r="K393" s="664">
        <v>44270</v>
      </c>
      <c r="L393" s="255">
        <v>44275</v>
      </c>
      <c r="M393" s="1381" t="s">
        <v>2524</v>
      </c>
      <c r="N393" s="328" t="s">
        <v>2613</v>
      </c>
      <c r="O393" s="1379" t="s">
        <v>166</v>
      </c>
      <c r="P393" s="1378">
        <v>44364</v>
      </c>
      <c r="Q393" s="1378">
        <v>44364</v>
      </c>
      <c r="R393" s="1195" t="s">
        <v>4265</v>
      </c>
      <c r="S393" s="1083"/>
      <c r="T393" s="2067"/>
      <c r="U393" s="1088"/>
    </row>
    <row r="394" spans="1:21" s="197" customFormat="1" ht="67.5" customHeight="1">
      <c r="A394" s="1088" t="s">
        <v>2512</v>
      </c>
      <c r="B394" s="1378">
        <v>44364</v>
      </c>
      <c r="C394" s="1088">
        <v>9</v>
      </c>
      <c r="D394" s="1088">
        <v>3</v>
      </c>
      <c r="E394" s="1086" t="s">
        <v>3495</v>
      </c>
      <c r="F394" s="1088">
        <f t="shared" si="35"/>
        <v>5</v>
      </c>
      <c r="G394" s="1382" t="s">
        <v>4680</v>
      </c>
      <c r="H394" s="1379"/>
      <c r="I394" s="1379" t="s">
        <v>551</v>
      </c>
      <c r="J394" s="2072" t="s">
        <v>5963</v>
      </c>
      <c r="K394" s="664">
        <v>44227</v>
      </c>
      <c r="L394" s="255">
        <v>44270</v>
      </c>
      <c r="M394" s="1381" t="s">
        <v>2524</v>
      </c>
      <c r="N394" s="328" t="s">
        <v>2613</v>
      </c>
      <c r="O394" s="1379" t="s">
        <v>166</v>
      </c>
      <c r="P394" s="1378">
        <v>44364</v>
      </c>
      <c r="Q394" s="1378">
        <v>44364</v>
      </c>
      <c r="R394" s="1195" t="s">
        <v>4265</v>
      </c>
      <c r="S394" s="1083"/>
      <c r="T394" s="2067"/>
      <c r="U394" s="1088"/>
    </row>
    <row r="395" spans="1:21" s="197" customFormat="1" ht="99" customHeight="1">
      <c r="A395" s="1088" t="s">
        <v>2512</v>
      </c>
      <c r="B395" s="1378">
        <v>44364</v>
      </c>
      <c r="C395" s="1088">
        <v>9</v>
      </c>
      <c r="D395" s="1088">
        <v>3</v>
      </c>
      <c r="E395" s="1086" t="s">
        <v>3643</v>
      </c>
      <c r="F395" s="1088">
        <f t="shared" si="35"/>
        <v>6</v>
      </c>
      <c r="G395" s="1382" t="s">
        <v>4681</v>
      </c>
      <c r="H395" s="1379"/>
      <c r="I395" s="1379" t="s">
        <v>551</v>
      </c>
      <c r="J395" s="2072" t="s">
        <v>5963</v>
      </c>
      <c r="K395" s="664">
        <v>44242</v>
      </c>
      <c r="L395" s="255">
        <v>44332</v>
      </c>
      <c r="M395" s="1381" t="s">
        <v>4143</v>
      </c>
      <c r="N395" s="328" t="s">
        <v>2640</v>
      </c>
      <c r="O395" s="1379" t="s">
        <v>166</v>
      </c>
      <c r="P395" s="1378">
        <v>44364</v>
      </c>
      <c r="Q395" s="1378">
        <v>44364</v>
      </c>
      <c r="R395" s="1195" t="s">
        <v>4265</v>
      </c>
      <c r="S395" s="1083"/>
      <c r="T395" s="2067"/>
      <c r="U395" s="1088"/>
    </row>
    <row r="396" spans="1:21" s="197" customFormat="1" ht="99" customHeight="1">
      <c r="A396" s="1088" t="s">
        <v>2512</v>
      </c>
      <c r="B396" s="1378">
        <v>44364</v>
      </c>
      <c r="C396" s="1088">
        <v>9</v>
      </c>
      <c r="D396" s="1088">
        <v>3</v>
      </c>
      <c r="E396" s="1086" t="s">
        <v>3644</v>
      </c>
      <c r="F396" s="1088">
        <f t="shared" si="35"/>
        <v>7</v>
      </c>
      <c r="G396" s="1382" t="s">
        <v>4681</v>
      </c>
      <c r="H396" s="690" t="s">
        <v>3175</v>
      </c>
      <c r="I396" s="1379" t="s">
        <v>551</v>
      </c>
      <c r="J396" s="2072" t="s">
        <v>5963</v>
      </c>
      <c r="K396" s="664">
        <v>44242</v>
      </c>
      <c r="L396" s="255">
        <v>44332</v>
      </c>
      <c r="M396" s="1381" t="s">
        <v>4143</v>
      </c>
      <c r="N396" s="328" t="s">
        <v>2640</v>
      </c>
      <c r="O396" s="1379" t="s">
        <v>166</v>
      </c>
      <c r="P396" s="1378">
        <v>44364</v>
      </c>
      <c r="Q396" s="1378">
        <v>44364</v>
      </c>
      <c r="R396" s="1195" t="s">
        <v>4265</v>
      </c>
      <c r="S396" s="1083"/>
      <c r="T396" s="2067"/>
      <c r="U396" s="1088"/>
    </row>
    <row r="397" spans="1:21" s="197" customFormat="1" ht="40.5" customHeight="1">
      <c r="A397" s="1088" t="s">
        <v>2512</v>
      </c>
      <c r="B397" s="1378">
        <v>44364</v>
      </c>
      <c r="C397" s="1088">
        <v>9</v>
      </c>
      <c r="D397" s="1088">
        <v>3</v>
      </c>
      <c r="E397" s="1086" t="s">
        <v>3645</v>
      </c>
      <c r="F397" s="1088">
        <f t="shared" si="35"/>
        <v>8</v>
      </c>
      <c r="G397" s="1382" t="s">
        <v>4682</v>
      </c>
      <c r="H397" s="1379"/>
      <c r="I397" s="1379" t="s">
        <v>551</v>
      </c>
      <c r="J397" s="2072" t="s">
        <v>5963</v>
      </c>
      <c r="K397" s="664">
        <v>44378</v>
      </c>
      <c r="L397" s="255">
        <v>44424</v>
      </c>
      <c r="M397" s="1381" t="s">
        <v>4683</v>
      </c>
      <c r="N397" s="328" t="s">
        <v>2613</v>
      </c>
      <c r="O397" s="1379" t="s">
        <v>166</v>
      </c>
      <c r="P397" s="1378">
        <v>44364</v>
      </c>
      <c r="Q397" s="1378">
        <v>44364</v>
      </c>
      <c r="R397" s="1195" t="s">
        <v>4265</v>
      </c>
      <c r="S397" s="1083"/>
      <c r="T397" s="2067"/>
      <c r="U397" s="1088"/>
    </row>
    <row r="398" spans="1:21" s="197" customFormat="1" ht="40.5" customHeight="1">
      <c r="A398" s="1088" t="s">
        <v>2512</v>
      </c>
      <c r="B398" s="1378">
        <v>44364</v>
      </c>
      <c r="C398" s="1088">
        <v>9</v>
      </c>
      <c r="D398" s="1088">
        <v>4</v>
      </c>
      <c r="E398" s="560" t="s">
        <v>3479</v>
      </c>
      <c r="F398" s="1088">
        <f t="shared" si="35"/>
        <v>9</v>
      </c>
      <c r="G398" s="1382" t="s">
        <v>4684</v>
      </c>
      <c r="H398" s="1379"/>
      <c r="I398" s="1379" t="s">
        <v>551</v>
      </c>
      <c r="J398" s="2072" t="s">
        <v>5964</v>
      </c>
      <c r="K398" s="664">
        <v>44222</v>
      </c>
      <c r="L398" s="255">
        <v>44377</v>
      </c>
      <c r="M398" s="1381" t="s">
        <v>4685</v>
      </c>
      <c r="N398" s="328" t="s">
        <v>2640</v>
      </c>
      <c r="O398" s="1379" t="s">
        <v>166</v>
      </c>
      <c r="P398" s="1378">
        <v>44364</v>
      </c>
      <c r="Q398" s="1378">
        <v>44364</v>
      </c>
      <c r="R398" s="1195" t="s">
        <v>4265</v>
      </c>
      <c r="S398" s="1083"/>
      <c r="T398" s="2067"/>
      <c r="U398" s="1088"/>
    </row>
    <row r="399" spans="1:21" s="197" customFormat="1" ht="54" customHeight="1">
      <c r="A399" s="1088" t="s">
        <v>2512</v>
      </c>
      <c r="B399" s="1378">
        <v>44364</v>
      </c>
      <c r="C399" s="1088">
        <v>9</v>
      </c>
      <c r="D399" s="1088">
        <v>4</v>
      </c>
      <c r="E399" s="1086" t="s">
        <v>4397</v>
      </c>
      <c r="F399" s="1088">
        <f t="shared" si="35"/>
        <v>10</v>
      </c>
      <c r="G399" s="1382" t="s">
        <v>4686</v>
      </c>
      <c r="H399" s="1379"/>
      <c r="I399" s="1379" t="s">
        <v>551</v>
      </c>
      <c r="J399" s="2072" t="s">
        <v>5963</v>
      </c>
      <c r="K399" s="664">
        <v>44767</v>
      </c>
      <c r="L399" s="255">
        <v>44814</v>
      </c>
      <c r="M399" s="1381" t="s">
        <v>4687</v>
      </c>
      <c r="N399" s="328" t="s">
        <v>2640</v>
      </c>
      <c r="O399" s="1379" t="s">
        <v>166</v>
      </c>
      <c r="P399" s="1378">
        <v>44364</v>
      </c>
      <c r="Q399" s="1378">
        <v>44364</v>
      </c>
      <c r="R399" s="1195" t="s">
        <v>4265</v>
      </c>
      <c r="S399" s="1083"/>
      <c r="T399" s="2067"/>
      <c r="U399" s="1088"/>
    </row>
    <row r="400" spans="1:21" s="197" customFormat="1" ht="72" customHeight="1">
      <c r="A400" s="1088" t="s">
        <v>2512</v>
      </c>
      <c r="B400" s="1378">
        <v>44364</v>
      </c>
      <c r="C400" s="1088">
        <v>9</v>
      </c>
      <c r="D400" s="1088">
        <v>4</v>
      </c>
      <c r="E400" s="560" t="s">
        <v>4096</v>
      </c>
      <c r="F400" s="1088">
        <f t="shared" si="35"/>
        <v>11</v>
      </c>
      <c r="G400" s="1382" t="s">
        <v>4688</v>
      </c>
      <c r="H400" s="1379"/>
      <c r="I400" s="1379" t="s">
        <v>551</v>
      </c>
      <c r="J400" s="2072" t="s">
        <v>5964</v>
      </c>
      <c r="K400" s="664">
        <v>44438</v>
      </c>
      <c r="L400" s="255">
        <v>44492</v>
      </c>
      <c r="M400" s="1381" t="s">
        <v>2524</v>
      </c>
      <c r="N400" s="328" t="s">
        <v>2613</v>
      </c>
      <c r="O400" s="1379" t="s">
        <v>166</v>
      </c>
      <c r="P400" s="1378">
        <v>44364</v>
      </c>
      <c r="Q400" s="1378">
        <v>44364</v>
      </c>
      <c r="R400" s="1195" t="s">
        <v>4265</v>
      </c>
      <c r="S400" s="1083"/>
      <c r="T400" s="2067"/>
      <c r="U400" s="1088"/>
    </row>
    <row r="401" spans="1:21" s="197" customFormat="1" ht="40.5" customHeight="1">
      <c r="A401" s="1088" t="s">
        <v>2512</v>
      </c>
      <c r="B401" s="1378">
        <v>44364</v>
      </c>
      <c r="C401" s="1088">
        <v>9</v>
      </c>
      <c r="D401" s="1088">
        <v>4</v>
      </c>
      <c r="E401" s="1086" t="s">
        <v>4790</v>
      </c>
      <c r="F401" s="1088">
        <f t="shared" si="35"/>
        <v>12</v>
      </c>
      <c r="G401" s="1382" t="s">
        <v>4689</v>
      </c>
      <c r="H401" s="1379"/>
      <c r="I401" s="1379" t="s">
        <v>551</v>
      </c>
      <c r="J401" s="2072"/>
      <c r="K401" s="664"/>
      <c r="L401" s="255"/>
      <c r="M401" s="1381" t="s">
        <v>4690</v>
      </c>
      <c r="N401" s="328" t="s">
        <v>1979</v>
      </c>
      <c r="O401" s="1379" t="s">
        <v>166</v>
      </c>
      <c r="P401" s="1378">
        <v>44364</v>
      </c>
      <c r="Q401" s="1378">
        <v>44364</v>
      </c>
      <c r="R401" s="1195" t="s">
        <v>4265</v>
      </c>
      <c r="S401" s="1083"/>
      <c r="T401" s="2067"/>
      <c r="U401" s="1088"/>
    </row>
    <row r="402" spans="1:21" s="197" customFormat="1" ht="40.5" customHeight="1">
      <c r="A402" s="1088" t="s">
        <v>2512</v>
      </c>
      <c r="B402" s="1378">
        <v>44364</v>
      </c>
      <c r="C402" s="1088">
        <v>9</v>
      </c>
      <c r="D402" s="1088">
        <v>4</v>
      </c>
      <c r="E402" s="1086" t="s">
        <v>3483</v>
      </c>
      <c r="F402" s="1088">
        <f t="shared" si="35"/>
        <v>13</v>
      </c>
      <c r="G402" s="1382" t="s">
        <v>4691</v>
      </c>
      <c r="H402" s="1379"/>
      <c r="I402" s="1379" t="s">
        <v>551</v>
      </c>
      <c r="J402" s="2072" t="s">
        <v>5964</v>
      </c>
      <c r="K402" s="664">
        <v>44228</v>
      </c>
      <c r="L402" s="255">
        <v>44281</v>
      </c>
      <c r="M402" s="1381" t="s">
        <v>4692</v>
      </c>
      <c r="N402" s="328" t="s">
        <v>2542</v>
      </c>
      <c r="O402" s="1379" t="s">
        <v>166</v>
      </c>
      <c r="P402" s="1378">
        <v>44364</v>
      </c>
      <c r="Q402" s="1378">
        <v>44364</v>
      </c>
      <c r="R402" s="1195" t="s">
        <v>4265</v>
      </c>
      <c r="S402" s="1083"/>
      <c r="T402" s="2067"/>
      <c r="U402" s="1088"/>
    </row>
    <row r="403" spans="1:21" s="197" customFormat="1" ht="40.5" customHeight="1">
      <c r="A403" s="1088" t="s">
        <v>2512</v>
      </c>
      <c r="B403" s="1378">
        <v>44364</v>
      </c>
      <c r="C403" s="1088">
        <v>9</v>
      </c>
      <c r="D403" s="1088">
        <v>4</v>
      </c>
      <c r="E403" s="1086" t="s">
        <v>3939</v>
      </c>
      <c r="F403" s="1088">
        <f t="shared" si="35"/>
        <v>14</v>
      </c>
      <c r="G403" s="1382" t="s">
        <v>4693</v>
      </c>
      <c r="H403" s="1379"/>
      <c r="I403" s="1379" t="s">
        <v>551</v>
      </c>
      <c r="J403" s="2072" t="s">
        <v>5964</v>
      </c>
      <c r="K403" s="664">
        <v>44236</v>
      </c>
      <c r="L403" s="255">
        <v>44257</v>
      </c>
      <c r="M403" s="1381" t="s">
        <v>4021</v>
      </c>
      <c r="N403" s="328" t="s">
        <v>1979</v>
      </c>
      <c r="O403" s="1379" t="s">
        <v>166</v>
      </c>
      <c r="P403" s="1378">
        <v>44364</v>
      </c>
      <c r="Q403" s="1378">
        <v>44364</v>
      </c>
      <c r="R403" s="1195" t="s">
        <v>4265</v>
      </c>
      <c r="S403" s="1083"/>
      <c r="T403" s="2067"/>
      <c r="U403" s="1088"/>
    </row>
    <row r="404" spans="1:21" s="197" customFormat="1" ht="40.5" customHeight="1">
      <c r="A404" s="1088" t="s">
        <v>2512</v>
      </c>
      <c r="B404" s="1378">
        <v>44364</v>
      </c>
      <c r="C404" s="1088">
        <v>9</v>
      </c>
      <c r="D404" s="1088">
        <v>4</v>
      </c>
      <c r="E404" s="1086" t="s">
        <v>3488</v>
      </c>
      <c r="F404" s="1088">
        <f t="shared" si="35"/>
        <v>15</v>
      </c>
      <c r="G404" s="1382" t="s">
        <v>4694</v>
      </c>
      <c r="H404" s="1379"/>
      <c r="I404" s="1379" t="s">
        <v>551</v>
      </c>
      <c r="J404" s="2072" t="s">
        <v>5963</v>
      </c>
      <c r="K404" s="664">
        <v>44508</v>
      </c>
      <c r="L404" s="255">
        <v>44548</v>
      </c>
      <c r="M404" s="1381" t="s">
        <v>3186</v>
      </c>
      <c r="N404" s="328" t="s">
        <v>2551</v>
      </c>
      <c r="O404" s="1379" t="s">
        <v>166</v>
      </c>
      <c r="P404" s="1378">
        <v>44364</v>
      </c>
      <c r="Q404" s="1378">
        <v>44364</v>
      </c>
      <c r="R404" s="1195" t="s">
        <v>4265</v>
      </c>
      <c r="S404" s="1083"/>
      <c r="T404" s="2067"/>
      <c r="U404" s="1088"/>
    </row>
    <row r="405" spans="1:21" s="197" customFormat="1" ht="75" customHeight="1">
      <c r="A405" s="1088" t="s">
        <v>2512</v>
      </c>
      <c r="B405" s="1378">
        <v>44364</v>
      </c>
      <c r="C405" s="1088">
        <v>9</v>
      </c>
      <c r="D405" s="1088">
        <v>4</v>
      </c>
      <c r="E405" s="1086" t="s">
        <v>3646</v>
      </c>
      <c r="F405" s="1088">
        <f t="shared" si="35"/>
        <v>16</v>
      </c>
      <c r="G405" s="1382" t="s">
        <v>4695</v>
      </c>
      <c r="H405" s="1379"/>
      <c r="I405" s="1379" t="s">
        <v>551</v>
      </c>
      <c r="J405" s="2072" t="s">
        <v>5963</v>
      </c>
      <c r="K405" s="664">
        <v>44322</v>
      </c>
      <c r="L405" s="255">
        <v>44347</v>
      </c>
      <c r="M405" s="1381" t="s">
        <v>4696</v>
      </c>
      <c r="N405" s="328" t="s">
        <v>1979</v>
      </c>
      <c r="O405" s="1379" t="s">
        <v>166</v>
      </c>
      <c r="P405" s="1378">
        <v>44364</v>
      </c>
      <c r="Q405" s="1378">
        <v>44364</v>
      </c>
      <c r="R405" s="1195" t="s">
        <v>4265</v>
      </c>
      <c r="S405" s="1083"/>
      <c r="T405" s="2067"/>
      <c r="U405" s="1088"/>
    </row>
    <row r="406" spans="1:21" s="197" customFormat="1" ht="64.5" customHeight="1">
      <c r="A406" s="1088" t="s">
        <v>2512</v>
      </c>
      <c r="B406" s="1378">
        <v>44364</v>
      </c>
      <c r="C406" s="1088">
        <v>9</v>
      </c>
      <c r="D406" s="1088">
        <v>4</v>
      </c>
      <c r="E406" s="1086" t="s">
        <v>3354</v>
      </c>
      <c r="F406" s="1088">
        <f t="shared" si="35"/>
        <v>17</v>
      </c>
      <c r="G406" s="1382" t="s">
        <v>4697</v>
      </c>
      <c r="H406" s="1379"/>
      <c r="I406" s="1379" t="s">
        <v>551</v>
      </c>
      <c r="J406" s="2072" t="s">
        <v>5963</v>
      </c>
      <c r="K406" s="664">
        <v>44194</v>
      </c>
      <c r="L406" s="255">
        <v>44284</v>
      </c>
      <c r="M406" s="1381" t="s">
        <v>4698</v>
      </c>
      <c r="N406" s="328" t="s">
        <v>4271</v>
      </c>
      <c r="O406" s="1379" t="s">
        <v>166</v>
      </c>
      <c r="P406" s="1378">
        <v>44364</v>
      </c>
      <c r="Q406" s="1378">
        <v>44364</v>
      </c>
      <c r="R406" s="1195" t="s">
        <v>4265</v>
      </c>
      <c r="S406" s="1083"/>
      <c r="T406" s="2067"/>
      <c r="U406" s="1088"/>
    </row>
    <row r="407" spans="1:21" s="197" customFormat="1" ht="39.950000000000003" customHeight="1">
      <c r="A407" s="1088" t="s">
        <v>2512</v>
      </c>
      <c r="B407" s="1378">
        <v>44364</v>
      </c>
      <c r="C407" s="1088">
        <v>9</v>
      </c>
      <c r="D407" s="1088">
        <v>4</v>
      </c>
      <c r="E407" s="1088"/>
      <c r="F407" s="1088">
        <f t="shared" si="35"/>
        <v>18</v>
      </c>
      <c r="G407" s="1382" t="s">
        <v>4699</v>
      </c>
      <c r="H407" s="1379"/>
      <c r="I407" s="1379" t="s">
        <v>2344</v>
      </c>
      <c r="J407" s="2072"/>
      <c r="K407" s="664"/>
      <c r="L407" s="255"/>
      <c r="M407" s="1381" t="s">
        <v>4700</v>
      </c>
      <c r="N407" s="328" t="s">
        <v>2560</v>
      </c>
      <c r="O407" s="1379" t="s">
        <v>166</v>
      </c>
      <c r="P407" s="1378">
        <v>44364</v>
      </c>
      <c r="Q407" s="1378">
        <v>44364</v>
      </c>
      <c r="R407" s="1195" t="s">
        <v>4265</v>
      </c>
      <c r="S407" s="1083"/>
      <c r="T407" s="1829"/>
      <c r="U407" s="1088"/>
    </row>
    <row r="408" spans="1:21" s="197" customFormat="1" ht="39.950000000000003" customHeight="1">
      <c r="A408" s="1088" t="s">
        <v>2512</v>
      </c>
      <c r="B408" s="1378">
        <v>44364</v>
      </c>
      <c r="C408" s="1088">
        <v>9</v>
      </c>
      <c r="D408" s="1088">
        <v>4</v>
      </c>
      <c r="E408" s="1088"/>
      <c r="F408" s="1088">
        <f t="shared" si="35"/>
        <v>19</v>
      </c>
      <c r="G408" s="1382" t="s">
        <v>4701</v>
      </c>
      <c r="H408" s="1379"/>
      <c r="I408" s="1379" t="s">
        <v>2344</v>
      </c>
      <c r="J408" s="2072"/>
      <c r="K408" s="664"/>
      <c r="L408" s="255"/>
      <c r="M408" s="1381" t="s">
        <v>4702</v>
      </c>
      <c r="N408" s="328" t="s">
        <v>2560</v>
      </c>
      <c r="O408" s="1379" t="s">
        <v>166</v>
      </c>
      <c r="P408" s="1378">
        <v>44364</v>
      </c>
      <c r="Q408" s="1378">
        <v>44364</v>
      </c>
      <c r="R408" s="1195" t="s">
        <v>4265</v>
      </c>
      <c r="S408" s="1083"/>
      <c r="T408" s="1829"/>
      <c r="U408" s="1088"/>
    </row>
    <row r="409" spans="1:21" s="197" customFormat="1" ht="39.950000000000003" customHeight="1">
      <c r="A409" s="1088" t="s">
        <v>2512</v>
      </c>
      <c r="B409" s="1378">
        <v>44364</v>
      </c>
      <c r="C409" s="1088">
        <v>9</v>
      </c>
      <c r="D409" s="1088">
        <v>4</v>
      </c>
      <c r="E409" s="560" t="s">
        <v>4355</v>
      </c>
      <c r="F409" s="1088">
        <f t="shared" si="35"/>
        <v>20</v>
      </c>
      <c r="G409" s="1382" t="s">
        <v>4703</v>
      </c>
      <c r="H409" s="1379"/>
      <c r="I409" s="1379" t="s">
        <v>551</v>
      </c>
      <c r="J409" s="2072" t="s">
        <v>5964</v>
      </c>
      <c r="K409" s="664">
        <v>44886</v>
      </c>
      <c r="L409" s="255">
        <v>44893</v>
      </c>
      <c r="M409" s="1381" t="s">
        <v>2645</v>
      </c>
      <c r="N409" s="328" t="s">
        <v>2568</v>
      </c>
      <c r="O409" s="1379" t="s">
        <v>166</v>
      </c>
      <c r="P409" s="1378">
        <v>44364</v>
      </c>
      <c r="Q409" s="1378">
        <v>44364</v>
      </c>
      <c r="R409" s="1195" t="s">
        <v>4265</v>
      </c>
      <c r="S409" s="1083"/>
      <c r="T409" s="2067"/>
      <c r="U409" s="1088"/>
    </row>
    <row r="410" spans="1:21" s="197" customFormat="1" ht="39.950000000000003" customHeight="1">
      <c r="A410" s="1088" t="s">
        <v>2512</v>
      </c>
      <c r="B410" s="1378">
        <v>44364</v>
      </c>
      <c r="C410" s="1088">
        <v>9</v>
      </c>
      <c r="D410" s="1088">
        <v>4</v>
      </c>
      <c r="E410" s="1088"/>
      <c r="F410" s="1088">
        <f t="shared" si="35"/>
        <v>21</v>
      </c>
      <c r="G410" s="1382" t="s">
        <v>4704</v>
      </c>
      <c r="H410" s="1379"/>
      <c r="I410" s="1379" t="s">
        <v>2344</v>
      </c>
      <c r="J410" s="2072"/>
      <c r="K410" s="664"/>
      <c r="L410" s="255"/>
      <c r="M410" s="1381" t="s">
        <v>4705</v>
      </c>
      <c r="N410" s="328" t="s">
        <v>1980</v>
      </c>
      <c r="O410" s="1379" t="s">
        <v>166</v>
      </c>
      <c r="P410" s="1378">
        <v>44364</v>
      </c>
      <c r="Q410" s="1378">
        <v>44364</v>
      </c>
      <c r="R410" s="1195" t="s">
        <v>4265</v>
      </c>
      <c r="S410" s="1083"/>
      <c r="T410" s="1829"/>
      <c r="U410" s="1088"/>
    </row>
    <row r="411" spans="1:21" s="197" customFormat="1" ht="39.950000000000003" customHeight="1">
      <c r="A411" s="1088" t="s">
        <v>2512</v>
      </c>
      <c r="B411" s="1378">
        <v>44364</v>
      </c>
      <c r="C411" s="1088">
        <v>9</v>
      </c>
      <c r="D411" s="1088">
        <v>4</v>
      </c>
      <c r="E411" s="1088"/>
      <c r="F411" s="1088">
        <f t="shared" si="35"/>
        <v>22</v>
      </c>
      <c r="G411" s="1382" t="s">
        <v>4706</v>
      </c>
      <c r="H411" s="1379"/>
      <c r="I411" s="1379" t="s">
        <v>2344</v>
      </c>
      <c r="J411" s="2072"/>
      <c r="K411" s="664"/>
      <c r="L411" s="255"/>
      <c r="M411" s="1381" t="s">
        <v>4705</v>
      </c>
      <c r="N411" s="328" t="s">
        <v>1980</v>
      </c>
      <c r="O411" s="1379" t="s">
        <v>166</v>
      </c>
      <c r="P411" s="1378">
        <v>44364</v>
      </c>
      <c r="Q411" s="1378">
        <v>44364</v>
      </c>
      <c r="R411" s="1195" t="s">
        <v>4265</v>
      </c>
      <c r="S411" s="1083"/>
      <c r="T411" s="1829"/>
      <c r="U411" s="1088"/>
    </row>
    <row r="412" spans="1:21" s="197" customFormat="1" ht="51.75" customHeight="1">
      <c r="A412" s="1088" t="s">
        <v>2512</v>
      </c>
      <c r="B412" s="1378">
        <v>44364</v>
      </c>
      <c r="C412" s="1088">
        <v>9</v>
      </c>
      <c r="D412" s="1088">
        <v>4</v>
      </c>
      <c r="E412" s="1086" t="s">
        <v>2767</v>
      </c>
      <c r="F412" s="1088">
        <f t="shared" si="35"/>
        <v>23</v>
      </c>
      <c r="G412" s="1382" t="s">
        <v>3439</v>
      </c>
      <c r="H412" s="1379"/>
      <c r="I412" s="1379" t="s">
        <v>551</v>
      </c>
      <c r="J412" s="2072" t="s">
        <v>5964</v>
      </c>
      <c r="K412" s="664">
        <v>44166</v>
      </c>
      <c r="L412" s="255">
        <v>44196</v>
      </c>
      <c r="M412" s="1381" t="s">
        <v>4299</v>
      </c>
      <c r="N412" s="328" t="s">
        <v>2542</v>
      </c>
      <c r="O412" s="1379" t="s">
        <v>166</v>
      </c>
      <c r="P412" s="1378">
        <v>44364</v>
      </c>
      <c r="Q412" s="1378">
        <v>44364</v>
      </c>
      <c r="R412" s="1195" t="s">
        <v>4265</v>
      </c>
      <c r="S412" s="1083"/>
      <c r="T412" s="2067"/>
      <c r="U412" s="1088"/>
    </row>
    <row r="413" spans="1:21" s="197" customFormat="1" ht="39.950000000000003" customHeight="1">
      <c r="A413" s="1088" t="s">
        <v>2512</v>
      </c>
      <c r="B413" s="1378">
        <v>44364</v>
      </c>
      <c r="C413" s="1088">
        <v>9</v>
      </c>
      <c r="D413" s="1088">
        <v>4</v>
      </c>
      <c r="E413" s="1088"/>
      <c r="F413" s="1088">
        <f t="shared" si="35"/>
        <v>24</v>
      </c>
      <c r="G413" s="1382" t="s">
        <v>4707</v>
      </c>
      <c r="H413" s="1379"/>
      <c r="I413" s="1379" t="s">
        <v>2344</v>
      </c>
      <c r="J413" s="2072"/>
      <c r="K413" s="664"/>
      <c r="L413" s="255"/>
      <c r="M413" s="1381" t="s">
        <v>4708</v>
      </c>
      <c r="N413" s="328" t="s">
        <v>2548</v>
      </c>
      <c r="O413" s="1379" t="s">
        <v>166</v>
      </c>
      <c r="P413" s="1378">
        <v>44364</v>
      </c>
      <c r="Q413" s="1378">
        <v>44364</v>
      </c>
      <c r="R413" s="1195" t="s">
        <v>4265</v>
      </c>
      <c r="S413" s="1083"/>
      <c r="T413" s="1829"/>
      <c r="U413" s="1088"/>
    </row>
    <row r="414" spans="1:21" s="197" customFormat="1" ht="39.950000000000003" customHeight="1">
      <c r="A414" s="1088" t="s">
        <v>2512</v>
      </c>
      <c r="B414" s="1378">
        <v>44364</v>
      </c>
      <c r="C414" s="1088">
        <v>9</v>
      </c>
      <c r="D414" s="1088">
        <v>4</v>
      </c>
      <c r="E414" s="1086" t="s">
        <v>4388</v>
      </c>
      <c r="F414" s="1088">
        <f t="shared" si="35"/>
        <v>25</v>
      </c>
      <c r="G414" s="1382" t="s">
        <v>4709</v>
      </c>
      <c r="H414" s="1379"/>
      <c r="I414" s="1379" t="s">
        <v>551</v>
      </c>
      <c r="J414" s="2072" t="s">
        <v>5963</v>
      </c>
      <c r="K414" s="664">
        <v>44634</v>
      </c>
      <c r="L414" s="255">
        <v>44639</v>
      </c>
      <c r="M414" s="1381" t="s">
        <v>4708</v>
      </c>
      <c r="N414" s="328" t="s">
        <v>2548</v>
      </c>
      <c r="O414" s="1379" t="s">
        <v>166</v>
      </c>
      <c r="P414" s="1378">
        <v>44364</v>
      </c>
      <c r="Q414" s="1378">
        <v>44364</v>
      </c>
      <c r="R414" s="1195" t="s">
        <v>4265</v>
      </c>
      <c r="S414" s="1083"/>
      <c r="T414" s="2067"/>
      <c r="U414" s="1088"/>
    </row>
    <row r="415" spans="1:21" s="197" customFormat="1" ht="39.950000000000003" customHeight="1">
      <c r="A415" s="1088" t="s">
        <v>2512</v>
      </c>
      <c r="B415" s="1378">
        <v>44364</v>
      </c>
      <c r="C415" s="1088">
        <v>9</v>
      </c>
      <c r="D415" s="1088">
        <v>4</v>
      </c>
      <c r="E415" s="1086" t="s">
        <v>3485</v>
      </c>
      <c r="F415" s="1088">
        <f t="shared" si="35"/>
        <v>26</v>
      </c>
      <c r="G415" s="1382" t="s">
        <v>4710</v>
      </c>
      <c r="H415" s="1379"/>
      <c r="I415" s="1379" t="s">
        <v>551</v>
      </c>
      <c r="J415" s="2072" t="s">
        <v>5964</v>
      </c>
      <c r="K415" s="664">
        <v>44361</v>
      </c>
      <c r="L415" s="255">
        <v>44379</v>
      </c>
      <c r="M415" s="1381" t="s">
        <v>4708</v>
      </c>
      <c r="N415" s="328" t="s">
        <v>2548</v>
      </c>
      <c r="O415" s="1379" t="s">
        <v>166</v>
      </c>
      <c r="P415" s="1378">
        <v>44364</v>
      </c>
      <c r="Q415" s="1378">
        <v>44364</v>
      </c>
      <c r="R415" s="1195" t="s">
        <v>4265</v>
      </c>
      <c r="S415" s="1083"/>
      <c r="T415" s="2067"/>
      <c r="U415" s="1088"/>
    </row>
    <row r="416" spans="1:21" s="197" customFormat="1" ht="39.950000000000003" customHeight="1">
      <c r="A416" s="1088" t="s">
        <v>2512</v>
      </c>
      <c r="B416" s="1378">
        <v>44364</v>
      </c>
      <c r="C416" s="1088">
        <v>9</v>
      </c>
      <c r="D416" s="1088">
        <f>D415</f>
        <v>4</v>
      </c>
      <c r="E416" s="1088"/>
      <c r="F416" s="1088">
        <f t="shared" si="35"/>
        <v>27</v>
      </c>
      <c r="G416" s="1382" t="s">
        <v>4711</v>
      </c>
      <c r="H416" s="1379"/>
      <c r="I416" s="1379" t="s">
        <v>2344</v>
      </c>
      <c r="J416" s="2072"/>
      <c r="K416" s="664"/>
      <c r="L416" s="255"/>
      <c r="M416" s="1381" t="s">
        <v>4712</v>
      </c>
      <c r="N416" s="328" t="s">
        <v>1979</v>
      </c>
      <c r="O416" s="1379" t="s">
        <v>166</v>
      </c>
      <c r="P416" s="1378">
        <v>44364</v>
      </c>
      <c r="Q416" s="1378">
        <v>44364</v>
      </c>
      <c r="R416" s="1195" t="s">
        <v>4265</v>
      </c>
      <c r="S416" s="1083"/>
      <c r="T416" s="1829"/>
      <c r="U416" s="1088"/>
    </row>
    <row r="417" spans="1:21" s="197" customFormat="1" ht="39.950000000000003" customHeight="1">
      <c r="A417" s="1088" t="s">
        <v>2512</v>
      </c>
      <c r="B417" s="1378">
        <v>44364</v>
      </c>
      <c r="C417" s="1088">
        <v>9</v>
      </c>
      <c r="D417" s="1088">
        <f t="shared" ref="D417:D445" si="36">D416</f>
        <v>4</v>
      </c>
      <c r="E417" s="1088"/>
      <c r="F417" s="1088">
        <f t="shared" si="35"/>
        <v>28</v>
      </c>
      <c r="G417" s="1382" t="s">
        <v>4713</v>
      </c>
      <c r="H417" s="1379"/>
      <c r="I417" s="1379" t="s">
        <v>2344</v>
      </c>
      <c r="J417" s="2072"/>
      <c r="K417" s="664"/>
      <c r="L417" s="255"/>
      <c r="M417" s="1381" t="s">
        <v>4714</v>
      </c>
      <c r="N417" s="328" t="s">
        <v>1979</v>
      </c>
      <c r="O417" s="1379" t="s">
        <v>166</v>
      </c>
      <c r="P417" s="1378">
        <v>44364</v>
      </c>
      <c r="Q417" s="1378">
        <v>44364</v>
      </c>
      <c r="R417" s="1195" t="s">
        <v>4265</v>
      </c>
      <c r="S417" s="1083"/>
      <c r="T417" s="1829"/>
      <c r="U417" s="1088"/>
    </row>
    <row r="418" spans="1:21" s="197" customFormat="1" ht="39.950000000000003" customHeight="1">
      <c r="A418" s="1088" t="s">
        <v>2512</v>
      </c>
      <c r="B418" s="1378">
        <v>44364</v>
      </c>
      <c r="C418" s="1088">
        <v>9</v>
      </c>
      <c r="D418" s="1088">
        <f t="shared" si="36"/>
        <v>4</v>
      </c>
      <c r="E418" s="1086" t="s">
        <v>4790</v>
      </c>
      <c r="F418" s="1088">
        <f t="shared" si="35"/>
        <v>29</v>
      </c>
      <c r="G418" s="1382" t="s">
        <v>4715</v>
      </c>
      <c r="H418" s="1379"/>
      <c r="I418" s="1379" t="s">
        <v>551</v>
      </c>
      <c r="J418" s="2072"/>
      <c r="K418" s="664"/>
      <c r="L418" s="255"/>
      <c r="M418" s="1381" t="s">
        <v>4143</v>
      </c>
      <c r="N418" s="328" t="s">
        <v>2611</v>
      </c>
      <c r="O418" s="1379" t="s">
        <v>166</v>
      </c>
      <c r="P418" s="1378">
        <v>44364</v>
      </c>
      <c r="Q418" s="1378">
        <v>44364</v>
      </c>
      <c r="R418" s="1195" t="s">
        <v>4265</v>
      </c>
      <c r="S418" s="1083"/>
      <c r="T418" s="2067"/>
      <c r="U418" s="1088"/>
    </row>
    <row r="419" spans="1:21" s="197" customFormat="1" ht="63" customHeight="1">
      <c r="A419" s="1088" t="s">
        <v>2512</v>
      </c>
      <c r="B419" s="1378">
        <v>44364</v>
      </c>
      <c r="C419" s="1088">
        <v>9</v>
      </c>
      <c r="D419" s="1088">
        <v>5</v>
      </c>
      <c r="E419" s="1086" t="s">
        <v>4097</v>
      </c>
      <c r="F419" s="1088">
        <f t="shared" si="35"/>
        <v>30</v>
      </c>
      <c r="G419" s="1382" t="s">
        <v>4716</v>
      </c>
      <c r="H419" s="1379"/>
      <c r="I419" s="1379" t="s">
        <v>551</v>
      </c>
      <c r="J419" s="2072" t="s">
        <v>5964</v>
      </c>
      <c r="K419" s="189">
        <v>44487</v>
      </c>
      <c r="L419" s="255">
        <v>44541</v>
      </c>
      <c r="M419" s="1381" t="s">
        <v>4121</v>
      </c>
      <c r="N419" s="328" t="s">
        <v>2699</v>
      </c>
      <c r="O419" s="1379" t="s">
        <v>166</v>
      </c>
      <c r="P419" s="1378">
        <v>44364</v>
      </c>
      <c r="Q419" s="1378">
        <v>44364</v>
      </c>
      <c r="R419" s="1195" t="s">
        <v>4265</v>
      </c>
      <c r="S419" s="1083"/>
      <c r="T419" s="2067"/>
      <c r="U419" s="1088"/>
    </row>
    <row r="420" spans="1:21" s="197" customFormat="1" ht="56.25" customHeight="1">
      <c r="A420" s="1088" t="s">
        <v>2512</v>
      </c>
      <c r="B420" s="1378">
        <v>44364</v>
      </c>
      <c r="C420" s="1088">
        <v>9</v>
      </c>
      <c r="D420" s="1088">
        <f t="shared" si="36"/>
        <v>5</v>
      </c>
      <c r="E420" s="560" t="s">
        <v>4790</v>
      </c>
      <c r="F420" s="1088">
        <f t="shared" si="35"/>
        <v>31</v>
      </c>
      <c r="G420" s="1382" t="s">
        <v>4717</v>
      </c>
      <c r="H420" s="1379"/>
      <c r="I420" s="1379" t="s">
        <v>551</v>
      </c>
      <c r="J420" s="2072"/>
      <c r="K420" s="664"/>
      <c r="L420" s="255"/>
      <c r="M420" s="1381" t="s">
        <v>4121</v>
      </c>
      <c r="N420" s="328" t="s">
        <v>2699</v>
      </c>
      <c r="O420" s="1379" t="s">
        <v>166</v>
      </c>
      <c r="P420" s="1378">
        <v>44364</v>
      </c>
      <c r="Q420" s="1378">
        <v>44364</v>
      </c>
      <c r="R420" s="1195" t="s">
        <v>4265</v>
      </c>
      <c r="S420" s="1083"/>
      <c r="T420" s="2067"/>
      <c r="U420" s="1088"/>
    </row>
    <row r="421" spans="1:21" s="197" customFormat="1" ht="39.950000000000003" customHeight="1">
      <c r="A421" s="1088" t="s">
        <v>2512</v>
      </c>
      <c r="B421" s="1378">
        <v>44364</v>
      </c>
      <c r="C421" s="1088">
        <v>9</v>
      </c>
      <c r="D421" s="1088">
        <f t="shared" si="36"/>
        <v>5</v>
      </c>
      <c r="E421" s="1086" t="s">
        <v>4790</v>
      </c>
      <c r="F421" s="1088">
        <f t="shared" si="35"/>
        <v>32</v>
      </c>
      <c r="G421" s="1382" t="s">
        <v>4718</v>
      </c>
      <c r="H421" s="1379"/>
      <c r="I421" s="1379" t="s">
        <v>551</v>
      </c>
      <c r="J421" s="2072"/>
      <c r="K421" s="664"/>
      <c r="L421" s="255"/>
      <c r="M421" s="1381" t="s">
        <v>4121</v>
      </c>
      <c r="N421" s="328" t="s">
        <v>2699</v>
      </c>
      <c r="O421" s="1379" t="s">
        <v>166</v>
      </c>
      <c r="P421" s="1378">
        <v>44364</v>
      </c>
      <c r="Q421" s="1378">
        <v>44364</v>
      </c>
      <c r="R421" s="1195" t="s">
        <v>4265</v>
      </c>
      <c r="S421" s="1083"/>
      <c r="T421" s="2067"/>
      <c r="U421" s="1088"/>
    </row>
    <row r="422" spans="1:21" s="197" customFormat="1" ht="56.25" customHeight="1">
      <c r="A422" s="1088" t="s">
        <v>2512</v>
      </c>
      <c r="B422" s="1378">
        <v>44364</v>
      </c>
      <c r="C422" s="1088">
        <v>9</v>
      </c>
      <c r="D422" s="1088">
        <f t="shared" si="36"/>
        <v>5</v>
      </c>
      <c r="E422" s="1086" t="s">
        <v>3488</v>
      </c>
      <c r="F422" s="1088">
        <v>1</v>
      </c>
      <c r="G422" s="1382" t="s">
        <v>4720</v>
      </c>
      <c r="H422" s="1379"/>
      <c r="I422" s="1379" t="s">
        <v>551</v>
      </c>
      <c r="J422" s="2072" t="s">
        <v>5963</v>
      </c>
      <c r="K422" s="189">
        <v>44211</v>
      </c>
      <c r="L422" s="255">
        <v>44270</v>
      </c>
      <c r="M422" s="1381" t="s">
        <v>2524</v>
      </c>
      <c r="N422" s="328" t="s">
        <v>1979</v>
      </c>
      <c r="O422" s="1379" t="s">
        <v>77</v>
      </c>
      <c r="P422" s="1378">
        <v>44364</v>
      </c>
      <c r="Q422" s="1378">
        <v>44364</v>
      </c>
      <c r="R422" s="1195" t="s">
        <v>4265</v>
      </c>
      <c r="S422" s="1083"/>
      <c r="T422" s="2067"/>
      <c r="U422" s="1088"/>
    </row>
    <row r="423" spans="1:21" s="197" customFormat="1" ht="49.5" customHeight="1">
      <c r="A423" s="1088" t="s">
        <v>2512</v>
      </c>
      <c r="B423" s="1378">
        <v>44364</v>
      </c>
      <c r="C423" s="1088">
        <v>9</v>
      </c>
      <c r="D423" s="1088">
        <f t="shared" si="36"/>
        <v>5</v>
      </c>
      <c r="E423" s="1086" t="s">
        <v>3490</v>
      </c>
      <c r="F423" s="1088">
        <f t="shared" si="35"/>
        <v>2</v>
      </c>
      <c r="G423" s="1382" t="s">
        <v>4721</v>
      </c>
      <c r="H423" s="1379"/>
      <c r="I423" s="1379" t="s">
        <v>551</v>
      </c>
      <c r="J423" s="2072" t="s">
        <v>5963</v>
      </c>
      <c r="K423" s="189">
        <v>44211</v>
      </c>
      <c r="L423" s="255">
        <v>44266</v>
      </c>
      <c r="M423" s="1381" t="s">
        <v>2524</v>
      </c>
      <c r="N423" s="328" t="s">
        <v>1979</v>
      </c>
      <c r="O423" s="1379" t="str">
        <f>O422</f>
        <v>RAMO 33</v>
      </c>
      <c r="P423" s="1378">
        <v>44364</v>
      </c>
      <c r="Q423" s="1378">
        <v>44364</v>
      </c>
      <c r="R423" s="1195" t="s">
        <v>4265</v>
      </c>
      <c r="S423" s="1083"/>
      <c r="T423" s="2067"/>
      <c r="U423" s="1088"/>
    </row>
    <row r="424" spans="1:21" s="197" customFormat="1" ht="51" customHeight="1">
      <c r="A424" s="1088" t="s">
        <v>2512</v>
      </c>
      <c r="B424" s="1378">
        <v>44364</v>
      </c>
      <c r="C424" s="1088">
        <v>9</v>
      </c>
      <c r="D424" s="1088">
        <f t="shared" si="36"/>
        <v>5</v>
      </c>
      <c r="E424" s="1086" t="s">
        <v>3492</v>
      </c>
      <c r="F424" s="1088">
        <f t="shared" si="35"/>
        <v>3</v>
      </c>
      <c r="G424" s="1382" t="s">
        <v>4722</v>
      </c>
      <c r="H424" s="1379"/>
      <c r="I424" s="1379" t="s">
        <v>551</v>
      </c>
      <c r="J424" s="2072" t="s">
        <v>5963</v>
      </c>
      <c r="K424" s="664">
        <v>44211</v>
      </c>
      <c r="L424" s="255">
        <v>44256</v>
      </c>
      <c r="M424" s="1381" t="s">
        <v>2524</v>
      </c>
      <c r="N424" s="328" t="s">
        <v>1979</v>
      </c>
      <c r="O424" s="1379" t="str">
        <f t="shared" ref="O424:O446" si="37">O423</f>
        <v>RAMO 33</v>
      </c>
      <c r="P424" s="1378">
        <v>44364</v>
      </c>
      <c r="Q424" s="1378">
        <v>44364</v>
      </c>
      <c r="R424" s="1195" t="s">
        <v>4265</v>
      </c>
      <c r="S424" s="1083"/>
      <c r="T424" s="2067"/>
      <c r="U424" s="1088"/>
    </row>
    <row r="425" spans="1:21" s="197" customFormat="1" ht="67.5" customHeight="1">
      <c r="A425" s="1088" t="s">
        <v>2512</v>
      </c>
      <c r="B425" s="1378">
        <v>44364</v>
      </c>
      <c r="C425" s="1088">
        <v>9</v>
      </c>
      <c r="D425" s="1088">
        <f>D424</f>
        <v>5</v>
      </c>
      <c r="E425" s="1086" t="s">
        <v>3481</v>
      </c>
      <c r="F425" s="1088">
        <f t="shared" si="35"/>
        <v>4</v>
      </c>
      <c r="G425" s="1382" t="s">
        <v>4723</v>
      </c>
      <c r="H425" s="1379"/>
      <c r="I425" s="1379" t="s">
        <v>551</v>
      </c>
      <c r="J425" s="2072" t="s">
        <v>5964</v>
      </c>
      <c r="K425" s="189">
        <v>44440</v>
      </c>
      <c r="L425" s="255">
        <v>44455</v>
      </c>
      <c r="M425" s="1381" t="s">
        <v>2524</v>
      </c>
      <c r="N425" s="328" t="s">
        <v>1979</v>
      </c>
      <c r="O425" s="1379" t="str">
        <f>O424</f>
        <v>RAMO 33</v>
      </c>
      <c r="P425" s="1378">
        <v>44364</v>
      </c>
      <c r="Q425" s="1378">
        <v>44364</v>
      </c>
      <c r="R425" s="1195" t="s">
        <v>4265</v>
      </c>
      <c r="S425" s="1083"/>
      <c r="T425" s="2067"/>
      <c r="U425" s="1088"/>
    </row>
    <row r="426" spans="1:21" s="197" customFormat="1" ht="39.950000000000003" customHeight="1">
      <c r="A426" s="1088" t="s">
        <v>2512</v>
      </c>
      <c r="B426" s="1378">
        <v>44364</v>
      </c>
      <c r="C426" s="1088">
        <v>9</v>
      </c>
      <c r="D426" s="1088">
        <f t="shared" si="36"/>
        <v>5</v>
      </c>
      <c r="E426" s="1086" t="s">
        <v>4388</v>
      </c>
      <c r="F426" s="1088">
        <f t="shared" si="35"/>
        <v>5</v>
      </c>
      <c r="G426" s="1382" t="s">
        <v>4725</v>
      </c>
      <c r="H426" s="1379"/>
      <c r="I426" s="1379" t="s">
        <v>551</v>
      </c>
      <c r="J426" s="2072" t="s">
        <v>5963</v>
      </c>
      <c r="K426" s="189">
        <v>44634</v>
      </c>
      <c r="L426" s="255">
        <v>44639</v>
      </c>
      <c r="M426" s="1381" t="s">
        <v>4708</v>
      </c>
      <c r="N426" s="328" t="s">
        <v>2548</v>
      </c>
      <c r="O426" s="1379" t="str">
        <f t="shared" si="37"/>
        <v>RAMO 33</v>
      </c>
      <c r="P426" s="1378">
        <v>44364</v>
      </c>
      <c r="Q426" s="1378">
        <v>44364</v>
      </c>
      <c r="R426" s="1195" t="s">
        <v>4265</v>
      </c>
      <c r="S426" s="1083"/>
      <c r="T426" s="2067"/>
      <c r="U426" s="1088"/>
    </row>
    <row r="427" spans="1:21" s="197" customFormat="1" ht="39.950000000000003" customHeight="1">
      <c r="A427" s="1088" t="s">
        <v>2512</v>
      </c>
      <c r="B427" s="1378">
        <v>44364</v>
      </c>
      <c r="C427" s="1088">
        <v>9</v>
      </c>
      <c r="D427" s="1088">
        <f>D426</f>
        <v>5</v>
      </c>
      <c r="E427" s="1086" t="s">
        <v>3485</v>
      </c>
      <c r="F427" s="1088">
        <f t="shared" si="35"/>
        <v>6</v>
      </c>
      <c r="G427" s="1382" t="s">
        <v>4724</v>
      </c>
      <c r="H427" s="1379"/>
      <c r="I427" s="1379" t="s">
        <v>551</v>
      </c>
      <c r="J427" s="2072" t="s">
        <v>5964</v>
      </c>
      <c r="K427" s="189">
        <v>44361</v>
      </c>
      <c r="L427" s="255">
        <v>44379</v>
      </c>
      <c r="M427" s="1381" t="s">
        <v>4708</v>
      </c>
      <c r="N427" s="328" t="s">
        <v>2548</v>
      </c>
      <c r="O427" s="1379" t="str">
        <f>O426</f>
        <v>RAMO 33</v>
      </c>
      <c r="P427" s="1378">
        <v>44364</v>
      </c>
      <c r="Q427" s="1378">
        <v>44364</v>
      </c>
      <c r="R427" s="1195" t="s">
        <v>4265</v>
      </c>
      <c r="S427" s="1083"/>
      <c r="T427" s="2067"/>
      <c r="U427" s="1088"/>
    </row>
    <row r="428" spans="1:21" s="197" customFormat="1" ht="51.75" customHeight="1">
      <c r="A428" s="1088" t="s">
        <v>2512</v>
      </c>
      <c r="B428" s="1378">
        <v>44364</v>
      </c>
      <c r="C428" s="1088">
        <v>9</v>
      </c>
      <c r="D428" s="1088">
        <f t="shared" si="36"/>
        <v>5</v>
      </c>
      <c r="E428" s="560" t="s">
        <v>4790</v>
      </c>
      <c r="F428" s="1088">
        <f t="shared" si="35"/>
        <v>7</v>
      </c>
      <c r="G428" s="1382" t="s">
        <v>4726</v>
      </c>
      <c r="H428" s="1379"/>
      <c r="I428" s="1379" t="s">
        <v>551</v>
      </c>
      <c r="J428" s="2072"/>
      <c r="K428" s="664"/>
      <c r="L428" s="255"/>
      <c r="M428" s="1381" t="s">
        <v>4121</v>
      </c>
      <c r="N428" s="328" t="s">
        <v>2699</v>
      </c>
      <c r="O428" s="1379" t="str">
        <f t="shared" si="37"/>
        <v>RAMO 33</v>
      </c>
      <c r="P428" s="1378">
        <v>44364</v>
      </c>
      <c r="Q428" s="1378">
        <v>44364</v>
      </c>
      <c r="R428" s="1195" t="s">
        <v>4265</v>
      </c>
      <c r="S428" s="1083"/>
      <c r="T428" s="2067"/>
      <c r="U428" s="1088"/>
    </row>
    <row r="429" spans="1:21" s="197" customFormat="1" ht="51.75" customHeight="1">
      <c r="A429" s="1088" t="s">
        <v>2512</v>
      </c>
      <c r="B429" s="1378">
        <v>44364</v>
      </c>
      <c r="C429" s="1088">
        <v>9</v>
      </c>
      <c r="D429" s="1088">
        <f>D428</f>
        <v>5</v>
      </c>
      <c r="E429" s="1086" t="s">
        <v>4790</v>
      </c>
      <c r="F429" s="1088">
        <f t="shared" si="35"/>
        <v>8</v>
      </c>
      <c r="G429" s="1382" t="s">
        <v>4727</v>
      </c>
      <c r="H429" s="1379"/>
      <c r="I429" s="1379" t="s">
        <v>551</v>
      </c>
      <c r="J429" s="2072"/>
      <c r="K429" s="664"/>
      <c r="L429" s="255"/>
      <c r="M429" s="1381" t="s">
        <v>4121</v>
      </c>
      <c r="N429" s="328" t="s">
        <v>2699</v>
      </c>
      <c r="O429" s="1379" t="str">
        <f>O428</f>
        <v>RAMO 33</v>
      </c>
      <c r="P429" s="1378">
        <v>44364</v>
      </c>
      <c r="Q429" s="1378">
        <v>44364</v>
      </c>
      <c r="R429" s="1195" t="s">
        <v>4265</v>
      </c>
      <c r="S429" s="1083"/>
      <c r="T429" s="2067"/>
      <c r="U429" s="1088"/>
    </row>
    <row r="430" spans="1:21" s="197" customFormat="1" ht="39.950000000000003" customHeight="1">
      <c r="A430" s="1088" t="s">
        <v>2512</v>
      </c>
      <c r="B430" s="1378">
        <v>44364</v>
      </c>
      <c r="C430" s="1088">
        <v>9</v>
      </c>
      <c r="D430" s="1088">
        <f t="shared" si="36"/>
        <v>5</v>
      </c>
      <c r="E430" s="1088"/>
      <c r="F430" s="1088">
        <f t="shared" si="35"/>
        <v>9</v>
      </c>
      <c r="G430" s="1382" t="s">
        <v>4728</v>
      </c>
      <c r="H430" s="1379"/>
      <c r="I430" s="1379" t="s">
        <v>2344</v>
      </c>
      <c r="J430" s="2072"/>
      <c r="K430" s="664"/>
      <c r="L430" s="255"/>
      <c r="M430" s="1381" t="s">
        <v>4729</v>
      </c>
      <c r="N430" s="328" t="s">
        <v>1979</v>
      </c>
      <c r="O430" s="1379" t="str">
        <f t="shared" si="37"/>
        <v>RAMO 33</v>
      </c>
      <c r="P430" s="1378">
        <v>44364</v>
      </c>
      <c r="Q430" s="1378">
        <v>44364</v>
      </c>
      <c r="R430" s="1195" t="s">
        <v>4265</v>
      </c>
      <c r="S430" s="1083"/>
      <c r="T430" s="1829"/>
      <c r="U430" s="1088"/>
    </row>
    <row r="431" spans="1:21" s="197" customFormat="1" ht="39.950000000000003" customHeight="1">
      <c r="A431" s="1088" t="s">
        <v>2512</v>
      </c>
      <c r="B431" s="1378">
        <v>44364</v>
      </c>
      <c r="C431" s="1088">
        <v>9</v>
      </c>
      <c r="D431" s="1088">
        <f t="shared" si="36"/>
        <v>5</v>
      </c>
      <c r="E431" s="560" t="s">
        <v>3488</v>
      </c>
      <c r="F431" s="1088">
        <f t="shared" si="35"/>
        <v>10</v>
      </c>
      <c r="G431" s="1382" t="s">
        <v>4730</v>
      </c>
      <c r="H431" s="1379"/>
      <c r="I431" s="1379" t="s">
        <v>551</v>
      </c>
      <c r="J431" s="2072" t="s">
        <v>5963</v>
      </c>
      <c r="K431" s="664">
        <v>44508</v>
      </c>
      <c r="L431" s="255">
        <v>44548</v>
      </c>
      <c r="M431" s="1381" t="s">
        <v>3186</v>
      </c>
      <c r="N431" s="328" t="s">
        <v>2551</v>
      </c>
      <c r="O431" s="1379" t="str">
        <f t="shared" si="37"/>
        <v>RAMO 33</v>
      </c>
      <c r="P431" s="1378">
        <v>44364</v>
      </c>
      <c r="Q431" s="1378">
        <v>44364</v>
      </c>
      <c r="R431" s="1195" t="s">
        <v>4265</v>
      </c>
      <c r="S431" s="1083"/>
      <c r="T431" s="2067" t="s">
        <v>5957</v>
      </c>
      <c r="U431" s="1088"/>
    </row>
    <row r="432" spans="1:21" s="197" customFormat="1" ht="39.950000000000003" customHeight="1">
      <c r="A432" s="1088" t="s">
        <v>2512</v>
      </c>
      <c r="B432" s="1378">
        <v>44364</v>
      </c>
      <c r="C432" s="1088">
        <v>9</v>
      </c>
      <c r="D432" s="1088">
        <f t="shared" si="36"/>
        <v>5</v>
      </c>
      <c r="E432" s="560" t="s">
        <v>3488</v>
      </c>
      <c r="F432" s="1088">
        <f t="shared" si="35"/>
        <v>11</v>
      </c>
      <c r="G432" s="1382" t="s">
        <v>4731</v>
      </c>
      <c r="H432" s="1379"/>
      <c r="I432" s="1379" t="s">
        <v>551</v>
      </c>
      <c r="J432" s="2072" t="s">
        <v>5963</v>
      </c>
      <c r="K432" s="664">
        <v>44508</v>
      </c>
      <c r="L432" s="255">
        <v>44548</v>
      </c>
      <c r="M432" s="1381" t="s">
        <v>3186</v>
      </c>
      <c r="N432" s="328" t="s">
        <v>2551</v>
      </c>
      <c r="O432" s="1379" t="str">
        <f t="shared" si="37"/>
        <v>RAMO 33</v>
      </c>
      <c r="P432" s="1378">
        <v>44364</v>
      </c>
      <c r="Q432" s="1378">
        <v>44364</v>
      </c>
      <c r="R432" s="1195" t="s">
        <v>4265</v>
      </c>
      <c r="S432" s="1083"/>
      <c r="T432" s="2067" t="s">
        <v>5957</v>
      </c>
      <c r="U432" s="1088"/>
    </row>
    <row r="433" spans="1:21" s="197" customFormat="1" ht="39.950000000000003" customHeight="1">
      <c r="A433" s="1088" t="s">
        <v>2512</v>
      </c>
      <c r="B433" s="1378">
        <v>44364</v>
      </c>
      <c r="C433" s="1088">
        <v>9</v>
      </c>
      <c r="D433" s="1088">
        <f t="shared" si="36"/>
        <v>5</v>
      </c>
      <c r="E433" s="1931" t="s">
        <v>3101</v>
      </c>
      <c r="F433" s="1088">
        <v>1</v>
      </c>
      <c r="G433" s="1382" t="s">
        <v>4732</v>
      </c>
      <c r="H433" s="690" t="s">
        <v>3175</v>
      </c>
      <c r="I433" s="1379" t="s">
        <v>551</v>
      </c>
      <c r="J433" s="2072"/>
      <c r="K433" s="664"/>
      <c r="L433" s="255"/>
      <c r="M433" s="1381" t="s">
        <v>3104</v>
      </c>
      <c r="N433" s="328" t="s">
        <v>2560</v>
      </c>
      <c r="O433" s="1379" t="s">
        <v>3148</v>
      </c>
      <c r="P433" s="1378">
        <v>44364</v>
      </c>
      <c r="Q433" s="1378">
        <v>44364</v>
      </c>
      <c r="R433" s="1195" t="s">
        <v>4265</v>
      </c>
      <c r="S433" s="1083"/>
      <c r="T433" s="2067"/>
      <c r="U433" s="1088"/>
    </row>
    <row r="434" spans="1:21" s="197" customFormat="1" ht="39.950000000000003" customHeight="1">
      <c r="A434" s="1088" t="s">
        <v>2512</v>
      </c>
      <c r="B434" s="1378">
        <v>44364</v>
      </c>
      <c r="C434" s="1088">
        <v>9</v>
      </c>
      <c r="D434" s="1088">
        <f t="shared" si="36"/>
        <v>5</v>
      </c>
      <c r="E434" s="560" t="s">
        <v>2762</v>
      </c>
      <c r="F434" s="1088">
        <f t="shared" si="35"/>
        <v>2</v>
      </c>
      <c r="G434" s="1382" t="s">
        <v>4733</v>
      </c>
      <c r="H434" s="1379"/>
      <c r="I434" s="1379" t="s">
        <v>551</v>
      </c>
      <c r="J434" s="2072" t="s">
        <v>5964</v>
      </c>
      <c r="K434" s="664">
        <v>43945</v>
      </c>
      <c r="L434" s="255">
        <v>44098</v>
      </c>
      <c r="M434" s="1381" t="s">
        <v>4734</v>
      </c>
      <c r="N434" s="328" t="s">
        <v>2650</v>
      </c>
      <c r="O434" s="1379" t="str">
        <f t="shared" si="37"/>
        <v>CEA</v>
      </c>
      <c r="P434" s="1378">
        <v>44364</v>
      </c>
      <c r="Q434" s="1378">
        <v>44364</v>
      </c>
      <c r="R434" s="1195" t="s">
        <v>4265</v>
      </c>
      <c r="S434" s="1083"/>
      <c r="T434" s="2067" t="s">
        <v>5958</v>
      </c>
      <c r="U434" s="1088"/>
    </row>
    <row r="435" spans="1:21" s="197" customFormat="1" ht="51.75" customHeight="1">
      <c r="A435" s="1088" t="s">
        <v>2512</v>
      </c>
      <c r="B435" s="1378">
        <v>44364</v>
      </c>
      <c r="C435" s="1088">
        <v>9</v>
      </c>
      <c r="D435" s="1088">
        <f t="shared" si="36"/>
        <v>5</v>
      </c>
      <c r="E435" s="1086" t="s">
        <v>3646</v>
      </c>
      <c r="F435" s="1088">
        <f t="shared" si="35"/>
        <v>3</v>
      </c>
      <c r="G435" s="1382" t="s">
        <v>4735</v>
      </c>
      <c r="H435" s="1379"/>
      <c r="I435" s="1379" t="s">
        <v>551</v>
      </c>
      <c r="J435" s="2072" t="s">
        <v>5963</v>
      </c>
      <c r="K435" s="664">
        <v>44322</v>
      </c>
      <c r="L435" s="255">
        <v>44347</v>
      </c>
      <c r="M435" s="1381" t="s">
        <v>4696</v>
      </c>
      <c r="N435" s="328" t="s">
        <v>1979</v>
      </c>
      <c r="O435" s="1379" t="str">
        <f t="shared" si="37"/>
        <v>CEA</v>
      </c>
      <c r="P435" s="1378">
        <v>44364</v>
      </c>
      <c r="Q435" s="1378">
        <v>44364</v>
      </c>
      <c r="R435" s="1195" t="s">
        <v>4265</v>
      </c>
      <c r="S435" s="1083"/>
      <c r="T435" s="2067"/>
      <c r="U435" s="1088"/>
    </row>
    <row r="436" spans="1:21" s="197" customFormat="1" ht="57.75" customHeight="1">
      <c r="A436" s="1088" t="s">
        <v>2512</v>
      </c>
      <c r="B436" s="1378">
        <v>44364</v>
      </c>
      <c r="C436" s="1088">
        <v>9</v>
      </c>
      <c r="D436" s="1088">
        <f t="shared" si="36"/>
        <v>5</v>
      </c>
      <c r="E436" s="1084" t="s">
        <v>3654</v>
      </c>
      <c r="F436" s="1088">
        <v>1</v>
      </c>
      <c r="G436" s="1382" t="s">
        <v>4736</v>
      </c>
      <c r="H436" s="1379"/>
      <c r="I436" s="1379" t="s">
        <v>551</v>
      </c>
      <c r="J436" s="2072" t="s">
        <v>5962</v>
      </c>
      <c r="K436" s="189">
        <v>44242</v>
      </c>
      <c r="L436" s="255">
        <v>44331</v>
      </c>
      <c r="M436" s="1381" t="s">
        <v>4737</v>
      </c>
      <c r="N436" s="328" t="s">
        <v>1979</v>
      </c>
      <c r="O436" s="1379" t="s">
        <v>867</v>
      </c>
      <c r="P436" s="1378">
        <v>44364</v>
      </c>
      <c r="Q436" s="1378">
        <v>44364</v>
      </c>
      <c r="R436" s="1195" t="s">
        <v>4265</v>
      </c>
      <c r="S436" s="1083"/>
      <c r="T436" s="2067"/>
      <c r="U436" s="1088"/>
    </row>
    <row r="437" spans="1:21" s="197" customFormat="1" ht="39.950000000000003" customHeight="1">
      <c r="A437" s="1088" t="s">
        <v>2512</v>
      </c>
      <c r="B437" s="1378">
        <v>44364</v>
      </c>
      <c r="C437" s="1088">
        <v>9</v>
      </c>
      <c r="D437" s="1088">
        <f t="shared" si="36"/>
        <v>5</v>
      </c>
      <c r="E437" s="1084" t="s">
        <v>3653</v>
      </c>
      <c r="F437" s="1088">
        <f t="shared" si="35"/>
        <v>2</v>
      </c>
      <c r="G437" s="1382" t="s">
        <v>4738</v>
      </c>
      <c r="H437" s="1379"/>
      <c r="I437" s="1379" t="s">
        <v>551</v>
      </c>
      <c r="J437" s="2072" t="s">
        <v>5962</v>
      </c>
      <c r="K437" s="1550">
        <v>44280</v>
      </c>
      <c r="L437" s="255">
        <v>44347</v>
      </c>
      <c r="M437" s="1381" t="s">
        <v>4739</v>
      </c>
      <c r="N437" s="328" t="s">
        <v>2640</v>
      </c>
      <c r="O437" s="1379" t="str">
        <f t="shared" si="37"/>
        <v>FOCOCI</v>
      </c>
      <c r="P437" s="1378">
        <v>44364</v>
      </c>
      <c r="Q437" s="1378">
        <v>44364</v>
      </c>
      <c r="R437" s="1195" t="s">
        <v>4265</v>
      </c>
      <c r="S437" s="1083"/>
      <c r="T437" s="2067"/>
      <c r="U437" s="1088"/>
    </row>
    <row r="438" spans="1:21" s="197" customFormat="1" ht="66" customHeight="1">
      <c r="A438" s="1088" t="s">
        <v>2512</v>
      </c>
      <c r="B438" s="1378">
        <v>44364</v>
      </c>
      <c r="C438" s="1088">
        <v>9</v>
      </c>
      <c r="D438" s="1088">
        <f t="shared" si="36"/>
        <v>5</v>
      </c>
      <c r="E438" s="1088"/>
      <c r="F438" s="1088">
        <v>1</v>
      </c>
      <c r="G438" s="1382" t="s">
        <v>4740</v>
      </c>
      <c r="H438" s="1379"/>
      <c r="I438" s="1379" t="s">
        <v>2344</v>
      </c>
      <c r="J438" s="2072"/>
      <c r="K438" s="664"/>
      <c r="L438" s="255"/>
      <c r="M438" s="1381" t="s">
        <v>4741</v>
      </c>
      <c r="N438" s="328" t="s">
        <v>1979</v>
      </c>
      <c r="O438" s="1379" t="s">
        <v>4719</v>
      </c>
      <c r="P438" s="1378">
        <v>44364</v>
      </c>
      <c r="Q438" s="1378">
        <v>44364</v>
      </c>
      <c r="R438" s="1195" t="s">
        <v>4265</v>
      </c>
      <c r="S438" s="1083"/>
      <c r="T438" s="1829"/>
      <c r="U438" s="1088"/>
    </row>
    <row r="439" spans="1:21" s="197" customFormat="1" ht="64.5" customHeight="1">
      <c r="A439" s="1088" t="s">
        <v>2512</v>
      </c>
      <c r="B439" s="1378">
        <v>44364</v>
      </c>
      <c r="C439" s="1088">
        <v>9</v>
      </c>
      <c r="D439" s="1088">
        <f t="shared" si="36"/>
        <v>5</v>
      </c>
      <c r="E439" s="1088"/>
      <c r="F439" s="1088">
        <f t="shared" si="35"/>
        <v>2</v>
      </c>
      <c r="G439" s="1382" t="s">
        <v>4742</v>
      </c>
      <c r="H439" s="1379"/>
      <c r="I439" s="1379" t="s">
        <v>2344</v>
      </c>
      <c r="J439" s="2072"/>
      <c r="K439" s="664"/>
      <c r="L439" s="255"/>
      <c r="M439" s="1381" t="s">
        <v>4743</v>
      </c>
      <c r="N439" s="328" t="s">
        <v>1979</v>
      </c>
      <c r="O439" s="1379" t="str">
        <f t="shared" si="37"/>
        <v>PEPREM (SADER)</v>
      </c>
      <c r="P439" s="1378">
        <v>44364</v>
      </c>
      <c r="Q439" s="1378">
        <v>44364</v>
      </c>
      <c r="R439" s="1195" t="s">
        <v>4265</v>
      </c>
      <c r="S439" s="1083"/>
      <c r="T439" s="1829"/>
      <c r="U439" s="1088"/>
    </row>
    <row r="440" spans="1:21" s="197" customFormat="1" ht="53.25" customHeight="1">
      <c r="A440" s="1088" t="s">
        <v>2512</v>
      </c>
      <c r="B440" s="1378">
        <v>44364</v>
      </c>
      <c r="C440" s="1088">
        <v>9</v>
      </c>
      <c r="D440" s="1088">
        <f t="shared" si="36"/>
        <v>5</v>
      </c>
      <c r="E440" s="1088"/>
      <c r="F440" s="1088">
        <f t="shared" si="35"/>
        <v>3</v>
      </c>
      <c r="G440" s="1382" t="s">
        <v>4744</v>
      </c>
      <c r="H440" s="1379"/>
      <c r="I440" s="1379" t="s">
        <v>2344</v>
      </c>
      <c r="J440" s="2072"/>
      <c r="K440" s="664"/>
      <c r="L440" s="255"/>
      <c r="M440" s="1381" t="s">
        <v>3459</v>
      </c>
      <c r="N440" s="328" t="s">
        <v>2542</v>
      </c>
      <c r="O440" s="1379" t="str">
        <f t="shared" si="37"/>
        <v>PEPREM (SADER)</v>
      </c>
      <c r="P440" s="1378">
        <v>44364</v>
      </c>
      <c r="Q440" s="1378">
        <v>44364</v>
      </c>
      <c r="R440" s="1195" t="s">
        <v>4265</v>
      </c>
      <c r="S440" s="1083"/>
      <c r="T440" s="1829"/>
      <c r="U440" s="1088"/>
    </row>
    <row r="441" spans="1:21" s="197" customFormat="1" ht="67.5" customHeight="1">
      <c r="A441" s="1088" t="s">
        <v>2512</v>
      </c>
      <c r="B441" s="1378">
        <v>44364</v>
      </c>
      <c r="C441" s="1088">
        <v>9</v>
      </c>
      <c r="D441" s="1088">
        <f t="shared" si="36"/>
        <v>5</v>
      </c>
      <c r="E441" s="1088"/>
      <c r="F441" s="1088">
        <f t="shared" si="35"/>
        <v>4</v>
      </c>
      <c r="G441" s="1382" t="s">
        <v>4745</v>
      </c>
      <c r="H441" s="1379"/>
      <c r="I441" s="1379" t="s">
        <v>2344</v>
      </c>
      <c r="J441" s="2072"/>
      <c r="K441" s="664"/>
      <c r="L441" s="255"/>
      <c r="M441" s="1381" t="s">
        <v>4746</v>
      </c>
      <c r="N441" s="328" t="s">
        <v>2542</v>
      </c>
      <c r="O441" s="1379" t="str">
        <f t="shared" si="37"/>
        <v>PEPREM (SADER)</v>
      </c>
      <c r="P441" s="1378">
        <v>44364</v>
      </c>
      <c r="Q441" s="1378">
        <v>44364</v>
      </c>
      <c r="R441" s="1195" t="s">
        <v>4265</v>
      </c>
      <c r="S441" s="1083"/>
      <c r="T441" s="1829"/>
      <c r="U441" s="1088"/>
    </row>
    <row r="442" spans="1:21" s="197" customFormat="1" ht="42.75" customHeight="1">
      <c r="A442" s="1088" t="s">
        <v>2512</v>
      </c>
      <c r="B442" s="1378">
        <v>44364</v>
      </c>
      <c r="C442" s="1088">
        <v>9</v>
      </c>
      <c r="D442" s="1088">
        <f t="shared" si="36"/>
        <v>5</v>
      </c>
      <c r="E442" s="1088"/>
      <c r="F442" s="1088">
        <f t="shared" si="35"/>
        <v>5</v>
      </c>
      <c r="G442" s="1382" t="s">
        <v>4747</v>
      </c>
      <c r="H442" s="1379"/>
      <c r="I442" s="1379" t="s">
        <v>2344</v>
      </c>
      <c r="J442" s="2072"/>
      <c r="K442" s="664"/>
      <c r="L442" s="255"/>
      <c r="M442" s="1381" t="s">
        <v>4748</v>
      </c>
      <c r="N442" s="328" t="s">
        <v>2542</v>
      </c>
      <c r="O442" s="1379" t="str">
        <f t="shared" si="37"/>
        <v>PEPREM (SADER)</v>
      </c>
      <c r="P442" s="1378">
        <v>44364</v>
      </c>
      <c r="Q442" s="1378">
        <v>44364</v>
      </c>
      <c r="R442" s="1195" t="s">
        <v>4265</v>
      </c>
      <c r="S442" s="1083"/>
      <c r="T442" s="1829"/>
      <c r="U442" s="1088"/>
    </row>
    <row r="443" spans="1:21" s="197" customFormat="1" ht="68.25" customHeight="1">
      <c r="A443" s="1088" t="s">
        <v>2512</v>
      </c>
      <c r="B443" s="1378">
        <v>44364</v>
      </c>
      <c r="C443" s="1088">
        <v>9</v>
      </c>
      <c r="D443" s="1088">
        <f t="shared" si="36"/>
        <v>5</v>
      </c>
      <c r="E443" s="1086" t="s">
        <v>4093</v>
      </c>
      <c r="F443" s="1088">
        <f t="shared" si="35"/>
        <v>6</v>
      </c>
      <c r="G443" s="1382" t="s">
        <v>4749</v>
      </c>
      <c r="H443" s="1379"/>
      <c r="I443" s="1379" t="s">
        <v>551</v>
      </c>
      <c r="J443" s="2072" t="s">
        <v>5964</v>
      </c>
      <c r="K443" s="189">
        <v>44438</v>
      </c>
      <c r="L443" s="255">
        <v>44464</v>
      </c>
      <c r="M443" s="1381" t="s">
        <v>4118</v>
      </c>
      <c r="N443" s="328" t="s">
        <v>2574</v>
      </c>
      <c r="O443" s="1379" t="str">
        <f t="shared" si="37"/>
        <v>PEPREM (SADER)</v>
      </c>
      <c r="P443" s="1378">
        <v>44364</v>
      </c>
      <c r="Q443" s="1378">
        <v>44364</v>
      </c>
      <c r="R443" s="1195" t="s">
        <v>4265</v>
      </c>
      <c r="S443" s="1083"/>
      <c r="T443" s="2067"/>
      <c r="U443" s="1088"/>
    </row>
    <row r="444" spans="1:21" s="197" customFormat="1" ht="54.75" customHeight="1">
      <c r="A444" s="1088" t="s">
        <v>2512</v>
      </c>
      <c r="B444" s="1378">
        <v>44364</v>
      </c>
      <c r="C444" s="1088">
        <v>9</v>
      </c>
      <c r="D444" s="1088">
        <f t="shared" si="36"/>
        <v>5</v>
      </c>
      <c r="E444" s="1086" t="s">
        <v>4096</v>
      </c>
      <c r="F444" s="1088">
        <f t="shared" si="35"/>
        <v>7</v>
      </c>
      <c r="G444" s="1382" t="s">
        <v>4750</v>
      </c>
      <c r="H444" s="1379"/>
      <c r="I444" s="1379" t="s">
        <v>551</v>
      </c>
      <c r="J444" s="2072" t="s">
        <v>5964</v>
      </c>
      <c r="K444" s="189">
        <v>44438</v>
      </c>
      <c r="L444" s="255">
        <v>44492</v>
      </c>
      <c r="M444" s="1381" t="s">
        <v>4751</v>
      </c>
      <c r="N444" s="328" t="s">
        <v>2574</v>
      </c>
      <c r="O444" s="1379" t="str">
        <f t="shared" si="37"/>
        <v>PEPREM (SADER)</v>
      </c>
      <c r="P444" s="1378">
        <v>44364</v>
      </c>
      <c r="Q444" s="1378">
        <v>44364</v>
      </c>
      <c r="R444" s="1195" t="s">
        <v>4265</v>
      </c>
      <c r="S444" s="1083"/>
      <c r="T444" s="2067"/>
      <c r="U444" s="1088"/>
    </row>
    <row r="445" spans="1:21" s="197" customFormat="1" ht="51.75" customHeight="1">
      <c r="A445" s="1088" t="s">
        <v>2512</v>
      </c>
      <c r="B445" s="1378">
        <v>44364</v>
      </c>
      <c r="C445" s="1088">
        <v>9</v>
      </c>
      <c r="D445" s="1088">
        <f t="shared" si="36"/>
        <v>5</v>
      </c>
      <c r="E445" s="1086" t="s">
        <v>4094</v>
      </c>
      <c r="F445" s="1088">
        <f t="shared" si="35"/>
        <v>8</v>
      </c>
      <c r="G445" s="1382" t="s">
        <v>4752</v>
      </c>
      <c r="H445" s="1379"/>
      <c r="I445" s="1379" t="s">
        <v>551</v>
      </c>
      <c r="J445" s="2072" t="s">
        <v>5964</v>
      </c>
      <c r="K445" s="664">
        <v>44153</v>
      </c>
      <c r="L445" s="255">
        <v>44191</v>
      </c>
      <c r="M445" s="1381" t="s">
        <v>4753</v>
      </c>
      <c r="N445" s="328" t="s">
        <v>2548</v>
      </c>
      <c r="O445" s="1379" t="str">
        <f t="shared" si="37"/>
        <v>PEPREM (SADER)</v>
      </c>
      <c r="P445" s="1378">
        <v>44364</v>
      </c>
      <c r="Q445" s="1378">
        <v>44364</v>
      </c>
      <c r="R445" s="1195" t="s">
        <v>4265</v>
      </c>
      <c r="S445" s="1083"/>
      <c r="T445" s="2067"/>
      <c r="U445" s="1088"/>
    </row>
    <row r="446" spans="1:21" s="197" customFormat="1" ht="57.75" customHeight="1">
      <c r="A446" s="1088" t="s">
        <v>2512</v>
      </c>
      <c r="B446" s="1378">
        <v>44364</v>
      </c>
      <c r="C446" s="1088">
        <v>9</v>
      </c>
      <c r="D446" s="1088">
        <v>6</v>
      </c>
      <c r="E446" s="1086" t="s">
        <v>4094</v>
      </c>
      <c r="F446" s="1088">
        <f t="shared" si="35"/>
        <v>9</v>
      </c>
      <c r="G446" s="1382" t="s">
        <v>4754</v>
      </c>
      <c r="H446" s="1379"/>
      <c r="I446" s="1379" t="s">
        <v>551</v>
      </c>
      <c r="J446" s="2072" t="s">
        <v>5964</v>
      </c>
      <c r="K446" s="664">
        <v>44153</v>
      </c>
      <c r="L446" s="255">
        <v>44191</v>
      </c>
      <c r="M446" s="1381" t="s">
        <v>4120</v>
      </c>
      <c r="N446" s="328" t="s">
        <v>2548</v>
      </c>
      <c r="O446" s="1379" t="str">
        <f t="shared" si="37"/>
        <v>PEPREM (SADER)</v>
      </c>
      <c r="P446" s="1378">
        <v>44364</v>
      </c>
      <c r="Q446" s="1378">
        <v>44364</v>
      </c>
      <c r="R446" s="1195" t="s">
        <v>4265</v>
      </c>
      <c r="S446" s="1083"/>
      <c r="T446" s="2067"/>
      <c r="U446" s="1088"/>
    </row>
    <row r="447" spans="1:21" s="197" customFormat="1" ht="51" customHeight="1">
      <c r="A447" s="1088" t="s">
        <v>2512</v>
      </c>
      <c r="B447" s="1378">
        <v>44364</v>
      </c>
      <c r="C447" s="1088">
        <v>9</v>
      </c>
      <c r="D447" s="1088">
        <f t="shared" ref="D447:D461" si="38">D446</f>
        <v>6</v>
      </c>
      <c r="E447" s="1086" t="s">
        <v>4094</v>
      </c>
      <c r="F447" s="1088">
        <f t="shared" si="35"/>
        <v>10</v>
      </c>
      <c r="G447" s="1382" t="s">
        <v>4755</v>
      </c>
      <c r="H447" s="1379"/>
      <c r="I447" s="1379" t="s">
        <v>551</v>
      </c>
      <c r="J447" s="2072" t="s">
        <v>5964</v>
      </c>
      <c r="K447" s="664">
        <v>44153</v>
      </c>
      <c r="L447" s="255">
        <v>44191</v>
      </c>
      <c r="M447" s="1381" t="s">
        <v>4756</v>
      </c>
      <c r="N447" s="328" t="s">
        <v>2548</v>
      </c>
      <c r="O447" s="1379" t="str">
        <f t="shared" ref="O447:O461" si="39">O446</f>
        <v>PEPREM (SADER)</v>
      </c>
      <c r="P447" s="1378">
        <v>44364</v>
      </c>
      <c r="Q447" s="1378">
        <v>44364</v>
      </c>
      <c r="R447" s="1195" t="s">
        <v>4265</v>
      </c>
      <c r="S447" s="1083"/>
      <c r="T447" s="2067"/>
      <c r="U447" s="1088"/>
    </row>
    <row r="448" spans="1:21" s="197" customFormat="1" ht="53.25" customHeight="1">
      <c r="A448" s="1088" t="s">
        <v>2512</v>
      </c>
      <c r="B448" s="1378">
        <v>44364</v>
      </c>
      <c r="C448" s="1088">
        <v>9</v>
      </c>
      <c r="D448" s="1088">
        <f t="shared" si="38"/>
        <v>6</v>
      </c>
      <c r="E448" s="1088"/>
      <c r="F448" s="1088">
        <f t="shared" si="35"/>
        <v>11</v>
      </c>
      <c r="G448" s="1382" t="s">
        <v>4757</v>
      </c>
      <c r="H448" s="1379"/>
      <c r="I448" s="1379" t="s">
        <v>2344</v>
      </c>
      <c r="J448" s="2072"/>
      <c r="K448" s="664"/>
      <c r="L448" s="255"/>
      <c r="M448" s="1381" t="s">
        <v>4758</v>
      </c>
      <c r="N448" s="328" t="s">
        <v>2699</v>
      </c>
      <c r="O448" s="1379" t="str">
        <f t="shared" si="39"/>
        <v>PEPREM (SADER)</v>
      </c>
      <c r="P448" s="1378">
        <v>44364</v>
      </c>
      <c r="Q448" s="1378">
        <v>44364</v>
      </c>
      <c r="R448" s="1195" t="s">
        <v>4265</v>
      </c>
      <c r="S448" s="1083"/>
      <c r="T448" s="1829"/>
      <c r="U448" s="1088"/>
    </row>
    <row r="449" spans="1:21" s="197" customFormat="1" ht="53.25" customHeight="1">
      <c r="A449" s="1088" t="s">
        <v>2512</v>
      </c>
      <c r="B449" s="1378">
        <v>44364</v>
      </c>
      <c r="C449" s="1088">
        <v>9</v>
      </c>
      <c r="D449" s="1088">
        <f t="shared" si="38"/>
        <v>6</v>
      </c>
      <c r="E449" s="1088"/>
      <c r="F449" s="1088">
        <f t="shared" si="35"/>
        <v>12</v>
      </c>
      <c r="G449" s="1382" t="s">
        <v>4759</v>
      </c>
      <c r="H449" s="1379"/>
      <c r="I449" s="1379" t="s">
        <v>2344</v>
      </c>
      <c r="J449" s="2072"/>
      <c r="K449" s="664"/>
      <c r="L449" s="255"/>
      <c r="M449" s="1381" t="s">
        <v>4760</v>
      </c>
      <c r="N449" s="328" t="s">
        <v>2650</v>
      </c>
      <c r="O449" s="1379" t="str">
        <f t="shared" si="39"/>
        <v>PEPREM (SADER)</v>
      </c>
      <c r="P449" s="1378">
        <v>44364</v>
      </c>
      <c r="Q449" s="1378">
        <v>44364</v>
      </c>
      <c r="R449" s="1195" t="s">
        <v>4265</v>
      </c>
      <c r="S449" s="1083"/>
      <c r="T449" s="1829"/>
      <c r="U449" s="1088"/>
    </row>
    <row r="450" spans="1:21" s="197" customFormat="1" ht="57.75" customHeight="1">
      <c r="A450" s="1088" t="s">
        <v>2512</v>
      </c>
      <c r="B450" s="1378">
        <v>44364</v>
      </c>
      <c r="C450" s="1088">
        <v>9</v>
      </c>
      <c r="D450" s="1088">
        <f t="shared" si="38"/>
        <v>6</v>
      </c>
      <c r="E450" s="1088"/>
      <c r="F450" s="1088">
        <f t="shared" si="35"/>
        <v>13</v>
      </c>
      <c r="G450" s="1382" t="s">
        <v>4761</v>
      </c>
      <c r="H450" s="1379"/>
      <c r="I450" s="1379" t="s">
        <v>2344</v>
      </c>
      <c r="J450" s="2072"/>
      <c r="K450" s="664"/>
      <c r="L450" s="255"/>
      <c r="M450" s="1381" t="s">
        <v>2655</v>
      </c>
      <c r="N450" s="328" t="s">
        <v>2650</v>
      </c>
      <c r="O450" s="1379" t="str">
        <f t="shared" si="39"/>
        <v>PEPREM (SADER)</v>
      </c>
      <c r="P450" s="1378">
        <v>44364</v>
      </c>
      <c r="Q450" s="1378">
        <v>44364</v>
      </c>
      <c r="R450" s="1195" t="s">
        <v>4265</v>
      </c>
      <c r="S450" s="1083"/>
      <c r="T450" s="1829"/>
      <c r="U450" s="1088"/>
    </row>
    <row r="451" spans="1:21" s="197" customFormat="1" ht="51.75" customHeight="1">
      <c r="A451" s="1088" t="s">
        <v>2512</v>
      </c>
      <c r="B451" s="1378">
        <v>44364</v>
      </c>
      <c r="C451" s="1088">
        <v>9</v>
      </c>
      <c r="D451" s="1088">
        <f t="shared" si="38"/>
        <v>6</v>
      </c>
      <c r="E451" s="1086" t="s">
        <v>4096</v>
      </c>
      <c r="F451" s="1088">
        <f t="shared" si="35"/>
        <v>14</v>
      </c>
      <c r="G451" s="1382" t="s">
        <v>4762</v>
      </c>
      <c r="H451" s="1379"/>
      <c r="I451" s="1379" t="s">
        <v>551</v>
      </c>
      <c r="J451" s="2072" t="s">
        <v>5964</v>
      </c>
      <c r="K451" s="189">
        <v>44438</v>
      </c>
      <c r="L451" s="255">
        <v>44492</v>
      </c>
      <c r="M451" s="1381" t="s">
        <v>2524</v>
      </c>
      <c r="N451" s="328" t="s">
        <v>2613</v>
      </c>
      <c r="O451" s="1379" t="str">
        <f t="shared" si="39"/>
        <v>PEPREM (SADER)</v>
      </c>
      <c r="P451" s="1378">
        <v>44364</v>
      </c>
      <c r="Q451" s="1378">
        <v>44364</v>
      </c>
      <c r="R451" s="1195" t="s">
        <v>4265</v>
      </c>
      <c r="S451" s="1083"/>
      <c r="T451" s="2067"/>
      <c r="U451" s="1088"/>
    </row>
    <row r="452" spans="1:21" s="197" customFormat="1" ht="61.5" customHeight="1">
      <c r="A452" s="1088" t="s">
        <v>2512</v>
      </c>
      <c r="B452" s="1378">
        <v>44364</v>
      </c>
      <c r="C452" s="1088">
        <v>9</v>
      </c>
      <c r="D452" s="1088">
        <f t="shared" si="38"/>
        <v>6</v>
      </c>
      <c r="E452" s="1086" t="s">
        <v>4096</v>
      </c>
      <c r="F452" s="1088">
        <f t="shared" si="35"/>
        <v>15</v>
      </c>
      <c r="G452" s="1382" t="s">
        <v>4763</v>
      </c>
      <c r="H452" s="1379"/>
      <c r="I452" s="1379" t="s">
        <v>551</v>
      </c>
      <c r="J452" s="2072" t="s">
        <v>5964</v>
      </c>
      <c r="K452" s="189">
        <v>44438</v>
      </c>
      <c r="L452" s="255">
        <v>44492</v>
      </c>
      <c r="M452" s="1381" t="s">
        <v>4764</v>
      </c>
      <c r="N452" s="328" t="s">
        <v>2613</v>
      </c>
      <c r="O452" s="1379" t="str">
        <f t="shared" si="39"/>
        <v>PEPREM (SADER)</v>
      </c>
      <c r="P452" s="1378">
        <v>44364</v>
      </c>
      <c r="Q452" s="1378">
        <v>44364</v>
      </c>
      <c r="R452" s="1195" t="s">
        <v>4265</v>
      </c>
      <c r="S452" s="1083"/>
      <c r="T452" s="2067"/>
      <c r="U452" s="1088"/>
    </row>
    <row r="453" spans="1:21" s="197" customFormat="1" ht="54.75" customHeight="1">
      <c r="A453" s="1088" t="s">
        <v>2512</v>
      </c>
      <c r="B453" s="1378">
        <v>44364</v>
      </c>
      <c r="C453" s="1088">
        <v>9</v>
      </c>
      <c r="D453" s="1088">
        <f t="shared" si="38"/>
        <v>6</v>
      </c>
      <c r="E453" s="1088"/>
      <c r="F453" s="1088">
        <f t="shared" si="35"/>
        <v>16</v>
      </c>
      <c r="G453" s="1382" t="s">
        <v>4765</v>
      </c>
      <c r="H453" s="1379"/>
      <c r="I453" s="1379" t="s">
        <v>2344</v>
      </c>
      <c r="J453" s="2072"/>
      <c r="K453" s="664"/>
      <c r="L453" s="255"/>
      <c r="M453" s="1381" t="s">
        <v>2655</v>
      </c>
      <c r="N453" s="328" t="s">
        <v>2551</v>
      </c>
      <c r="O453" s="1379" t="str">
        <f t="shared" si="39"/>
        <v>PEPREM (SADER)</v>
      </c>
      <c r="P453" s="1378">
        <v>44364</v>
      </c>
      <c r="Q453" s="1378">
        <v>44364</v>
      </c>
      <c r="R453" s="1195" t="s">
        <v>4265</v>
      </c>
      <c r="S453" s="1083"/>
      <c r="T453" s="1829"/>
      <c r="U453" s="1088"/>
    </row>
    <row r="454" spans="1:21" s="197" customFormat="1" ht="51" customHeight="1">
      <c r="A454" s="1088" t="s">
        <v>2512</v>
      </c>
      <c r="B454" s="1378">
        <v>44364</v>
      </c>
      <c r="C454" s="1088">
        <v>9</v>
      </c>
      <c r="D454" s="1088">
        <f t="shared" si="38"/>
        <v>6</v>
      </c>
      <c r="E454" s="1088"/>
      <c r="F454" s="1088">
        <f t="shared" si="35"/>
        <v>17</v>
      </c>
      <c r="G454" s="1382" t="s">
        <v>4766</v>
      </c>
      <c r="H454" s="1379"/>
      <c r="I454" s="1379" t="s">
        <v>2344</v>
      </c>
      <c r="J454" s="2072"/>
      <c r="K454" s="664"/>
      <c r="L454" s="255"/>
      <c r="M454" s="1381" t="s">
        <v>4767</v>
      </c>
      <c r="N454" s="328" t="s">
        <v>2551</v>
      </c>
      <c r="O454" s="1379" t="str">
        <f t="shared" si="39"/>
        <v>PEPREM (SADER)</v>
      </c>
      <c r="P454" s="1378">
        <v>44364</v>
      </c>
      <c r="Q454" s="1378">
        <v>44364</v>
      </c>
      <c r="R454" s="1195" t="s">
        <v>4265</v>
      </c>
      <c r="S454" s="1083"/>
      <c r="T454" s="1829"/>
      <c r="U454" s="1088"/>
    </row>
    <row r="455" spans="1:21" s="197" customFormat="1" ht="51.75" customHeight="1">
      <c r="A455" s="1088" t="s">
        <v>2512</v>
      </c>
      <c r="B455" s="1378">
        <v>44364</v>
      </c>
      <c r="C455" s="1088">
        <v>9</v>
      </c>
      <c r="D455" s="1088">
        <f t="shared" si="38"/>
        <v>6</v>
      </c>
      <c r="E455" s="1088"/>
      <c r="F455" s="1088">
        <f t="shared" si="35"/>
        <v>18</v>
      </c>
      <c r="G455" s="1382" t="s">
        <v>4768</v>
      </c>
      <c r="H455" s="1379"/>
      <c r="I455" s="1379" t="s">
        <v>2344</v>
      </c>
      <c r="J455" s="2072"/>
      <c r="K455" s="664"/>
      <c r="L455" s="255"/>
      <c r="M455" s="1381" t="s">
        <v>2606</v>
      </c>
      <c r="N455" s="328" t="s">
        <v>2551</v>
      </c>
      <c r="O455" s="1379" t="str">
        <f t="shared" si="39"/>
        <v>PEPREM (SADER)</v>
      </c>
      <c r="P455" s="1378">
        <v>44364</v>
      </c>
      <c r="Q455" s="1378">
        <v>44364</v>
      </c>
      <c r="R455" s="1195" t="s">
        <v>4265</v>
      </c>
      <c r="S455" s="1083"/>
      <c r="T455" s="1829"/>
      <c r="U455" s="1088"/>
    </row>
    <row r="456" spans="1:21" s="197" customFormat="1" ht="53.25" customHeight="1">
      <c r="A456" s="1088" t="s">
        <v>2512</v>
      </c>
      <c r="B456" s="1378">
        <v>44364</v>
      </c>
      <c r="C456" s="1088">
        <v>9</v>
      </c>
      <c r="D456" s="1088">
        <f t="shared" si="38"/>
        <v>6</v>
      </c>
      <c r="E456" s="1086" t="s">
        <v>4098</v>
      </c>
      <c r="F456" s="1088">
        <f t="shared" ref="F456:F471" si="40">F455+1</f>
        <v>19</v>
      </c>
      <c r="G456" s="1382" t="s">
        <v>4769</v>
      </c>
      <c r="H456" s="1379"/>
      <c r="I456" s="1379" t="s">
        <v>551</v>
      </c>
      <c r="J456" s="2072" t="s">
        <v>5964</v>
      </c>
      <c r="K456" s="189">
        <v>44513</v>
      </c>
      <c r="L456" s="255">
        <v>44541</v>
      </c>
      <c r="M456" s="1381" t="s">
        <v>3186</v>
      </c>
      <c r="N456" s="328" t="s">
        <v>2551</v>
      </c>
      <c r="O456" s="1379" t="str">
        <f t="shared" si="39"/>
        <v>PEPREM (SADER)</v>
      </c>
      <c r="P456" s="1378">
        <v>44364</v>
      </c>
      <c r="Q456" s="1378">
        <v>44364</v>
      </c>
      <c r="R456" s="1195" t="s">
        <v>4265</v>
      </c>
      <c r="S456" s="1083"/>
      <c r="T456" s="2067"/>
      <c r="U456" s="1088"/>
    </row>
    <row r="457" spans="1:21" s="197" customFormat="1" ht="54.75" customHeight="1">
      <c r="A457" s="1088" t="s">
        <v>2512</v>
      </c>
      <c r="B457" s="1378">
        <v>44364</v>
      </c>
      <c r="C457" s="1088">
        <v>9</v>
      </c>
      <c r="D457" s="1088">
        <f t="shared" si="38"/>
        <v>6</v>
      </c>
      <c r="E457" s="1086" t="s">
        <v>2769</v>
      </c>
      <c r="F457" s="1088">
        <f t="shared" si="40"/>
        <v>20</v>
      </c>
      <c r="G457" s="1382" t="s">
        <v>4770</v>
      </c>
      <c r="H457" s="1379"/>
      <c r="I457" s="1379" t="s">
        <v>551</v>
      </c>
      <c r="J457" s="2072" t="s">
        <v>5964</v>
      </c>
      <c r="K457" s="664">
        <v>44166</v>
      </c>
      <c r="L457" s="255">
        <v>44196</v>
      </c>
      <c r="M457" s="1381" t="s">
        <v>3459</v>
      </c>
      <c r="N457" s="328" t="s">
        <v>1980</v>
      </c>
      <c r="O457" s="1379" t="str">
        <f t="shared" si="39"/>
        <v>PEPREM (SADER)</v>
      </c>
      <c r="P457" s="1378">
        <v>44364</v>
      </c>
      <c r="Q457" s="1378">
        <v>44364</v>
      </c>
      <c r="R457" s="1195" t="s">
        <v>4265</v>
      </c>
      <c r="S457" s="1083"/>
      <c r="T457" s="2067"/>
      <c r="U457" s="1088"/>
    </row>
    <row r="458" spans="1:21" s="197" customFormat="1" ht="39.950000000000003" customHeight="1">
      <c r="A458" s="1088" t="s">
        <v>2512</v>
      </c>
      <c r="B458" s="1378">
        <v>44364</v>
      </c>
      <c r="C458" s="1088">
        <v>9</v>
      </c>
      <c r="D458" s="1088">
        <f t="shared" si="38"/>
        <v>6</v>
      </c>
      <c r="E458" s="1088"/>
      <c r="F458" s="1088">
        <f t="shared" si="40"/>
        <v>21</v>
      </c>
      <c r="G458" s="1382" t="s">
        <v>4771</v>
      </c>
      <c r="H458" s="1379"/>
      <c r="I458" s="1379" t="s">
        <v>2344</v>
      </c>
      <c r="J458" s="2072"/>
      <c r="K458" s="664"/>
      <c r="L458" s="255"/>
      <c r="M458" s="1381" t="s">
        <v>4772</v>
      </c>
      <c r="N458" s="328" t="s">
        <v>1980</v>
      </c>
      <c r="O458" s="1379" t="str">
        <f t="shared" si="39"/>
        <v>PEPREM (SADER)</v>
      </c>
      <c r="P458" s="1378">
        <v>44364</v>
      </c>
      <c r="Q458" s="1378">
        <v>44364</v>
      </c>
      <c r="R458" s="1195" t="s">
        <v>4265</v>
      </c>
      <c r="S458" s="1083"/>
      <c r="T458" s="1829"/>
      <c r="U458" s="1088"/>
    </row>
    <row r="459" spans="1:21" s="197" customFormat="1" ht="60" customHeight="1">
      <c r="A459" s="1088" t="s">
        <v>2512</v>
      </c>
      <c r="B459" s="1378">
        <v>44364</v>
      </c>
      <c r="C459" s="1088">
        <v>9</v>
      </c>
      <c r="D459" s="1088">
        <f t="shared" si="38"/>
        <v>6</v>
      </c>
      <c r="E459" s="1088"/>
      <c r="F459" s="1088">
        <f t="shared" si="40"/>
        <v>22</v>
      </c>
      <c r="G459" s="1382" t="s">
        <v>4773</v>
      </c>
      <c r="H459" s="1379"/>
      <c r="I459" s="1379" t="s">
        <v>2344</v>
      </c>
      <c r="J459" s="2072"/>
      <c r="K459" s="664"/>
      <c r="L459" s="255"/>
      <c r="M459" s="1381" t="s">
        <v>4774</v>
      </c>
      <c r="N459" s="328" t="s">
        <v>1980</v>
      </c>
      <c r="O459" s="1379" t="str">
        <f t="shared" si="39"/>
        <v>PEPREM (SADER)</v>
      </c>
      <c r="P459" s="1378">
        <v>44364</v>
      </c>
      <c r="Q459" s="1378">
        <v>44364</v>
      </c>
      <c r="R459" s="1195" t="s">
        <v>4265</v>
      </c>
      <c r="S459" s="1083"/>
      <c r="T459" s="1829"/>
      <c r="U459" s="1088"/>
    </row>
    <row r="460" spans="1:21" s="197" customFormat="1" ht="53.25" customHeight="1">
      <c r="A460" s="1088" t="s">
        <v>2512</v>
      </c>
      <c r="B460" s="1378">
        <v>44364</v>
      </c>
      <c r="C460" s="1088">
        <v>9</v>
      </c>
      <c r="D460" s="1088">
        <f t="shared" si="38"/>
        <v>6</v>
      </c>
      <c r="E460" s="1088"/>
      <c r="F460" s="1088">
        <f t="shared" si="40"/>
        <v>23</v>
      </c>
      <c r="G460" s="1382" t="s">
        <v>4775</v>
      </c>
      <c r="H460" s="1379"/>
      <c r="I460" s="1379" t="s">
        <v>2344</v>
      </c>
      <c r="J460" s="2072"/>
      <c r="K460" s="664"/>
      <c r="L460" s="255"/>
      <c r="M460" s="1381" t="s">
        <v>2524</v>
      </c>
      <c r="N460" s="328" t="s">
        <v>1980</v>
      </c>
      <c r="O460" s="1379" t="str">
        <f t="shared" si="39"/>
        <v>PEPREM (SADER)</v>
      </c>
      <c r="P460" s="1378">
        <v>44364</v>
      </c>
      <c r="Q460" s="1378">
        <v>44364</v>
      </c>
      <c r="R460" s="1195" t="s">
        <v>4265</v>
      </c>
      <c r="S460" s="1083"/>
      <c r="T460" s="1829"/>
      <c r="U460" s="1088"/>
    </row>
    <row r="461" spans="1:21" s="197" customFormat="1" ht="54.75" customHeight="1">
      <c r="A461" s="1088" t="s">
        <v>2512</v>
      </c>
      <c r="B461" s="1378">
        <v>44364</v>
      </c>
      <c r="C461" s="1088">
        <v>9</v>
      </c>
      <c r="D461" s="1088">
        <f t="shared" si="38"/>
        <v>6</v>
      </c>
      <c r="E461" s="1088"/>
      <c r="F461" s="1088">
        <f t="shared" si="40"/>
        <v>24</v>
      </c>
      <c r="G461" s="1382" t="s">
        <v>4776</v>
      </c>
      <c r="H461" s="1379"/>
      <c r="I461" s="1379" t="s">
        <v>2344</v>
      </c>
      <c r="J461" s="2072"/>
      <c r="K461" s="664"/>
      <c r="L461" s="255"/>
      <c r="M461" s="1381" t="s">
        <v>4760</v>
      </c>
      <c r="N461" s="328" t="s">
        <v>1980</v>
      </c>
      <c r="O461" s="1379" t="str">
        <f t="shared" si="39"/>
        <v>PEPREM (SADER)</v>
      </c>
      <c r="P461" s="1378">
        <v>44364</v>
      </c>
      <c r="Q461" s="1378">
        <v>44364</v>
      </c>
      <c r="R461" s="1195" t="s">
        <v>4265</v>
      </c>
      <c r="S461" s="1083"/>
      <c r="T461" s="1829"/>
      <c r="U461" s="1088"/>
    </row>
    <row r="462" spans="1:21" s="197" customFormat="1" ht="56.25" customHeight="1">
      <c r="A462" s="1088" t="s">
        <v>2512</v>
      </c>
      <c r="B462" s="1378">
        <v>44364</v>
      </c>
      <c r="C462" s="1088">
        <v>9</v>
      </c>
      <c r="D462" s="1088">
        <f t="shared" ref="D462:D471" si="41">D461</f>
        <v>6</v>
      </c>
      <c r="E462" s="1088"/>
      <c r="F462" s="1088">
        <f t="shared" si="40"/>
        <v>25</v>
      </c>
      <c r="G462" s="1382" t="s">
        <v>4777</v>
      </c>
      <c r="H462" s="1379"/>
      <c r="I462" s="1379" t="s">
        <v>2344</v>
      </c>
      <c r="J462" s="2072"/>
      <c r="K462" s="664"/>
      <c r="L462" s="255"/>
      <c r="M462" s="1381" t="s">
        <v>4778</v>
      </c>
      <c r="N462" s="328" t="s">
        <v>1980</v>
      </c>
      <c r="O462" s="1379" t="str">
        <f t="shared" ref="O462:O471" si="42">O461</f>
        <v>PEPREM (SADER)</v>
      </c>
      <c r="P462" s="1378">
        <v>44364</v>
      </c>
      <c r="Q462" s="1378">
        <v>44364</v>
      </c>
      <c r="R462" s="1195" t="s">
        <v>4265</v>
      </c>
      <c r="S462" s="1083"/>
      <c r="T462" s="1829"/>
      <c r="U462" s="1088"/>
    </row>
    <row r="463" spans="1:21" s="197" customFormat="1" ht="51.75" customHeight="1">
      <c r="A463" s="1088" t="s">
        <v>2512</v>
      </c>
      <c r="B463" s="1378">
        <v>44364</v>
      </c>
      <c r="C463" s="1088">
        <v>9</v>
      </c>
      <c r="D463" s="1088">
        <f t="shared" si="41"/>
        <v>6</v>
      </c>
      <c r="E463" s="1086" t="s">
        <v>4095</v>
      </c>
      <c r="F463" s="1088">
        <f t="shared" si="40"/>
        <v>26</v>
      </c>
      <c r="G463" s="1382" t="s">
        <v>4779</v>
      </c>
      <c r="H463" s="1379"/>
      <c r="I463" s="1379" t="s">
        <v>551</v>
      </c>
      <c r="J463" s="2072" t="s">
        <v>5964</v>
      </c>
      <c r="K463" s="189">
        <v>44466</v>
      </c>
      <c r="L463" s="255">
        <v>44541</v>
      </c>
      <c r="M463" s="1381" t="s">
        <v>3466</v>
      </c>
      <c r="N463" s="328" t="s">
        <v>2560</v>
      </c>
      <c r="O463" s="1379" t="str">
        <f t="shared" si="42"/>
        <v>PEPREM (SADER)</v>
      </c>
      <c r="P463" s="1378">
        <v>44364</v>
      </c>
      <c r="Q463" s="1378">
        <v>44364</v>
      </c>
      <c r="R463" s="1195" t="s">
        <v>4265</v>
      </c>
      <c r="S463" s="1083"/>
      <c r="T463" s="2067"/>
      <c r="U463" s="1088"/>
    </row>
    <row r="464" spans="1:21" s="197" customFormat="1" ht="39.950000000000003" customHeight="1">
      <c r="A464" s="1088" t="s">
        <v>2512</v>
      </c>
      <c r="B464" s="1378">
        <v>44364</v>
      </c>
      <c r="C464" s="1088">
        <v>9</v>
      </c>
      <c r="D464" s="1088">
        <f t="shared" si="41"/>
        <v>6</v>
      </c>
      <c r="E464" s="1086" t="s">
        <v>4095</v>
      </c>
      <c r="F464" s="1088">
        <f t="shared" si="40"/>
        <v>27</v>
      </c>
      <c r="G464" s="1382" t="s">
        <v>4780</v>
      </c>
      <c r="H464" s="1379"/>
      <c r="I464" s="1379" t="s">
        <v>551</v>
      </c>
      <c r="J464" s="2072" t="s">
        <v>5964</v>
      </c>
      <c r="K464" s="189">
        <v>44466</v>
      </c>
      <c r="L464" s="255">
        <v>44541</v>
      </c>
      <c r="M464" s="1381" t="s">
        <v>2750</v>
      </c>
      <c r="N464" s="328" t="s">
        <v>2560</v>
      </c>
      <c r="O464" s="1379" t="str">
        <f t="shared" si="42"/>
        <v>PEPREM (SADER)</v>
      </c>
      <c r="P464" s="1378">
        <v>44364</v>
      </c>
      <c r="Q464" s="1378">
        <v>44364</v>
      </c>
      <c r="R464" s="1195" t="s">
        <v>4265</v>
      </c>
      <c r="S464" s="1083"/>
      <c r="T464" s="2067"/>
      <c r="U464" s="1088"/>
    </row>
    <row r="465" spans="1:21" s="197" customFormat="1" ht="56.25" customHeight="1">
      <c r="A465" s="1088" t="s">
        <v>2512</v>
      </c>
      <c r="B465" s="1378">
        <v>44364</v>
      </c>
      <c r="C465" s="1088">
        <v>9</v>
      </c>
      <c r="D465" s="1088">
        <f t="shared" si="41"/>
        <v>6</v>
      </c>
      <c r="E465" s="1086" t="s">
        <v>4095</v>
      </c>
      <c r="F465" s="1088">
        <f t="shared" si="40"/>
        <v>28</v>
      </c>
      <c r="G465" s="1382" t="s">
        <v>4781</v>
      </c>
      <c r="H465" s="1379"/>
      <c r="I465" s="1379" t="s">
        <v>551</v>
      </c>
      <c r="J465" s="2072" t="s">
        <v>5964</v>
      </c>
      <c r="K465" s="189">
        <v>44466</v>
      </c>
      <c r="L465" s="255">
        <v>44541</v>
      </c>
      <c r="M465" s="1381" t="s">
        <v>2739</v>
      </c>
      <c r="N465" s="328" t="s">
        <v>2560</v>
      </c>
      <c r="O465" s="1379" t="str">
        <f t="shared" si="42"/>
        <v>PEPREM (SADER)</v>
      </c>
      <c r="P465" s="1378">
        <v>44364</v>
      </c>
      <c r="Q465" s="1378">
        <v>44364</v>
      </c>
      <c r="R465" s="1195" t="s">
        <v>4265</v>
      </c>
      <c r="S465" s="1083"/>
      <c r="T465" s="2067"/>
      <c r="U465" s="1088"/>
    </row>
    <row r="466" spans="1:21" s="197" customFormat="1" ht="49.5" customHeight="1">
      <c r="A466" s="1088" t="s">
        <v>2512</v>
      </c>
      <c r="B466" s="1378">
        <v>44364</v>
      </c>
      <c r="C466" s="1088">
        <v>9</v>
      </c>
      <c r="D466" s="1088">
        <f t="shared" si="41"/>
        <v>6</v>
      </c>
      <c r="E466" s="1086" t="s">
        <v>4095</v>
      </c>
      <c r="F466" s="1088">
        <f t="shared" si="40"/>
        <v>29</v>
      </c>
      <c r="G466" s="1382" t="s">
        <v>4782</v>
      </c>
      <c r="H466" s="1379"/>
      <c r="I466" s="1379" t="s">
        <v>551</v>
      </c>
      <c r="J466" s="2072" t="s">
        <v>5964</v>
      </c>
      <c r="K466" s="189">
        <v>44466</v>
      </c>
      <c r="L466" s="255">
        <v>44541</v>
      </c>
      <c r="M466" s="1381" t="s">
        <v>4783</v>
      </c>
      <c r="N466" s="328" t="s">
        <v>2560</v>
      </c>
      <c r="O466" s="1379" t="str">
        <f t="shared" si="42"/>
        <v>PEPREM (SADER)</v>
      </c>
      <c r="P466" s="1378">
        <v>44364</v>
      </c>
      <c r="Q466" s="1378">
        <v>44364</v>
      </c>
      <c r="R466" s="1195" t="s">
        <v>4265</v>
      </c>
      <c r="S466" s="1083"/>
      <c r="T466" s="2067"/>
      <c r="U466" s="1088"/>
    </row>
    <row r="467" spans="1:21" s="197" customFormat="1" ht="57.75" customHeight="1">
      <c r="A467" s="1088" t="s">
        <v>2512</v>
      </c>
      <c r="B467" s="1378">
        <v>44364</v>
      </c>
      <c r="C467" s="1088">
        <v>9</v>
      </c>
      <c r="D467" s="1088">
        <f t="shared" si="41"/>
        <v>6</v>
      </c>
      <c r="E467" s="1088"/>
      <c r="F467" s="1088">
        <f t="shared" si="40"/>
        <v>30</v>
      </c>
      <c r="G467" s="1382" t="s">
        <v>4784</v>
      </c>
      <c r="H467" s="1379"/>
      <c r="I467" s="1379" t="s">
        <v>2344</v>
      </c>
      <c r="J467" s="2072"/>
      <c r="K467" s="664"/>
      <c r="L467" s="255"/>
      <c r="M467" s="1381" t="s">
        <v>4785</v>
      </c>
      <c r="N467" s="328" t="s">
        <v>2568</v>
      </c>
      <c r="O467" s="1379" t="str">
        <f t="shared" si="42"/>
        <v>PEPREM (SADER)</v>
      </c>
      <c r="P467" s="1378">
        <v>44364</v>
      </c>
      <c r="Q467" s="1378">
        <v>44364</v>
      </c>
      <c r="R467" s="1195" t="s">
        <v>4265</v>
      </c>
      <c r="S467" s="1083"/>
      <c r="T467" s="1829"/>
      <c r="U467" s="1088"/>
    </row>
    <row r="468" spans="1:21" s="197" customFormat="1" ht="51.75" customHeight="1">
      <c r="A468" s="1088" t="s">
        <v>2512</v>
      </c>
      <c r="B468" s="1378">
        <v>44364</v>
      </c>
      <c r="C468" s="1088">
        <v>9</v>
      </c>
      <c r="D468" s="1088">
        <f t="shared" si="41"/>
        <v>6</v>
      </c>
      <c r="E468" s="1088"/>
      <c r="F468" s="1088">
        <f t="shared" si="40"/>
        <v>31</v>
      </c>
      <c r="G468" s="1382" t="s">
        <v>4786</v>
      </c>
      <c r="H468" s="1379"/>
      <c r="I468" s="1379" t="s">
        <v>2344</v>
      </c>
      <c r="J468" s="2072"/>
      <c r="K468" s="664"/>
      <c r="L468" s="255"/>
      <c r="M468" s="1381" t="s">
        <v>2655</v>
      </c>
      <c r="N468" s="328" t="s">
        <v>2568</v>
      </c>
      <c r="O468" s="1379" t="str">
        <f t="shared" si="42"/>
        <v>PEPREM (SADER)</v>
      </c>
      <c r="P468" s="1378">
        <v>44364</v>
      </c>
      <c r="Q468" s="1378">
        <v>44364</v>
      </c>
      <c r="R468" s="1195" t="s">
        <v>4265</v>
      </c>
      <c r="S468" s="1083"/>
      <c r="T468" s="1829"/>
      <c r="U468" s="1088"/>
    </row>
    <row r="469" spans="1:21" s="197" customFormat="1" ht="56.25" customHeight="1">
      <c r="A469" s="1088" t="s">
        <v>2512</v>
      </c>
      <c r="B469" s="1378">
        <v>44364</v>
      </c>
      <c r="C469" s="1088">
        <v>9</v>
      </c>
      <c r="D469" s="1088">
        <f t="shared" si="41"/>
        <v>6</v>
      </c>
      <c r="E469" s="1086" t="s">
        <v>4096</v>
      </c>
      <c r="F469" s="1088">
        <f t="shared" si="40"/>
        <v>32</v>
      </c>
      <c r="G469" s="1382" t="s">
        <v>4787</v>
      </c>
      <c r="H469" s="1379"/>
      <c r="I469" s="1379" t="s">
        <v>551</v>
      </c>
      <c r="J469" s="2072" t="s">
        <v>5964</v>
      </c>
      <c r="K469" s="189">
        <v>44438</v>
      </c>
      <c r="L469" s="255">
        <v>44492</v>
      </c>
      <c r="M469" s="1381" t="s">
        <v>2524</v>
      </c>
      <c r="N469" s="328" t="s">
        <v>2613</v>
      </c>
      <c r="O469" s="1379" t="str">
        <f t="shared" si="42"/>
        <v>PEPREM (SADER)</v>
      </c>
      <c r="P469" s="1378">
        <v>44364</v>
      </c>
      <c r="Q469" s="1378">
        <v>44364</v>
      </c>
      <c r="R469" s="1195" t="s">
        <v>4265</v>
      </c>
      <c r="S469" s="1083"/>
      <c r="T469" s="2067"/>
      <c r="U469" s="1088"/>
    </row>
    <row r="470" spans="1:21" s="197" customFormat="1" ht="39.950000000000003" customHeight="1">
      <c r="A470" s="1088" t="s">
        <v>2512</v>
      </c>
      <c r="B470" s="1378">
        <v>44364</v>
      </c>
      <c r="C470" s="1088">
        <v>9</v>
      </c>
      <c r="D470" s="1088">
        <f t="shared" si="41"/>
        <v>6</v>
      </c>
      <c r="E470" s="1088"/>
      <c r="F470" s="1088">
        <f t="shared" si="40"/>
        <v>33</v>
      </c>
      <c r="G470" s="1382" t="s">
        <v>4788</v>
      </c>
      <c r="H470" s="1379"/>
      <c r="I470" s="1379" t="s">
        <v>2344</v>
      </c>
      <c r="J470" s="2072"/>
      <c r="K470" s="664"/>
      <c r="L470" s="255"/>
      <c r="M470" s="1381" t="s">
        <v>3460</v>
      </c>
      <c r="N470" s="328" t="s">
        <v>2548</v>
      </c>
      <c r="O470" s="1379" t="str">
        <f t="shared" si="42"/>
        <v>PEPREM (SADER)</v>
      </c>
      <c r="P470" s="1378">
        <v>44364</v>
      </c>
      <c r="Q470" s="1378">
        <v>44364</v>
      </c>
      <c r="R470" s="1195" t="s">
        <v>4265</v>
      </c>
      <c r="S470" s="1083"/>
      <c r="T470" s="1829"/>
      <c r="U470" s="1088"/>
    </row>
    <row r="471" spans="1:21" s="197" customFormat="1" ht="64.5" customHeight="1">
      <c r="A471" s="1088" t="s">
        <v>2512</v>
      </c>
      <c r="B471" s="1378">
        <v>44364</v>
      </c>
      <c r="C471" s="1088">
        <v>9</v>
      </c>
      <c r="D471" s="1088">
        <f t="shared" si="41"/>
        <v>6</v>
      </c>
      <c r="E471" s="1086" t="s">
        <v>4097</v>
      </c>
      <c r="F471" s="1088">
        <f t="shared" si="40"/>
        <v>34</v>
      </c>
      <c r="G471" s="1382" t="s">
        <v>4716</v>
      </c>
      <c r="H471" s="1379"/>
      <c r="I471" s="1379" t="s">
        <v>551</v>
      </c>
      <c r="J471" s="2072" t="s">
        <v>5964</v>
      </c>
      <c r="K471" s="189">
        <v>44487</v>
      </c>
      <c r="L471" s="255">
        <v>44541</v>
      </c>
      <c r="M471" s="1381" t="s">
        <v>4121</v>
      </c>
      <c r="N471" s="328" t="s">
        <v>2699</v>
      </c>
      <c r="O471" s="1379" t="str">
        <f t="shared" si="42"/>
        <v>PEPREM (SADER)</v>
      </c>
      <c r="P471" s="1378">
        <v>44364</v>
      </c>
      <c r="Q471" s="1378">
        <v>44364</v>
      </c>
      <c r="R471" s="1195" t="s">
        <v>4265</v>
      </c>
      <c r="S471" s="1083"/>
      <c r="T471" s="2067"/>
      <c r="U471" s="1088"/>
    </row>
    <row r="472" spans="1:21" s="197" customFormat="1" ht="58.5" customHeight="1">
      <c r="A472" s="1088" t="s">
        <v>2512</v>
      </c>
      <c r="B472" s="1378">
        <v>44181</v>
      </c>
      <c r="C472" s="1088">
        <v>8</v>
      </c>
      <c r="D472" s="1088">
        <v>3</v>
      </c>
      <c r="E472" s="1086" t="s">
        <v>3354</v>
      </c>
      <c r="F472" s="1088">
        <v>1</v>
      </c>
      <c r="G472" s="1382" t="s">
        <v>4315</v>
      </c>
      <c r="H472" s="1379"/>
      <c r="I472" s="1379" t="s">
        <v>551</v>
      </c>
      <c r="J472" s="1379"/>
      <c r="K472" s="5">
        <v>44194</v>
      </c>
      <c r="L472" s="5">
        <v>44284</v>
      </c>
      <c r="M472" s="1828" t="s">
        <v>4271</v>
      </c>
      <c r="N472" s="328" t="s">
        <v>4271</v>
      </c>
      <c r="O472" s="1379" t="s">
        <v>166</v>
      </c>
      <c r="P472" s="1378">
        <v>44181</v>
      </c>
      <c r="Q472" s="1378">
        <v>44181</v>
      </c>
      <c r="R472" s="1195" t="s">
        <v>4265</v>
      </c>
      <c r="S472" s="1083"/>
      <c r="T472" s="1829"/>
      <c r="U472" s="1088"/>
    </row>
    <row r="473" spans="1:21" s="197" customFormat="1" ht="55.5" customHeight="1">
      <c r="A473" s="1088" t="s">
        <v>2512</v>
      </c>
      <c r="B473" s="1378">
        <v>44181</v>
      </c>
      <c r="C473" s="1088">
        <v>8</v>
      </c>
      <c r="D473" s="1088">
        <v>3</v>
      </c>
      <c r="E473" s="1086" t="s">
        <v>3354</v>
      </c>
      <c r="F473" s="1088">
        <f t="shared" ref="F473:F480" si="43">F472+1</f>
        <v>2</v>
      </c>
      <c r="G473" s="1382" t="s">
        <v>4316</v>
      </c>
      <c r="H473" s="1379"/>
      <c r="I473" s="1379" t="s">
        <v>551</v>
      </c>
      <c r="J473" s="1379"/>
      <c r="K473" s="5">
        <v>44194</v>
      </c>
      <c r="L473" s="5">
        <v>44284</v>
      </c>
      <c r="M473" s="1828" t="s">
        <v>4271</v>
      </c>
      <c r="N473" s="328" t="s">
        <v>4271</v>
      </c>
      <c r="O473" s="1379" t="s">
        <v>166</v>
      </c>
      <c r="P473" s="1378">
        <v>44181</v>
      </c>
      <c r="Q473" s="1378">
        <v>44181</v>
      </c>
      <c r="R473" s="1195" t="s">
        <v>4265</v>
      </c>
      <c r="S473" s="1083"/>
      <c r="T473" s="1829"/>
      <c r="U473" s="1088"/>
    </row>
    <row r="474" spans="1:21" s="197" customFormat="1" ht="40.5" customHeight="1">
      <c r="A474" s="1088" t="s">
        <v>2512</v>
      </c>
      <c r="B474" s="1378">
        <v>44181</v>
      </c>
      <c r="C474" s="1088">
        <v>8</v>
      </c>
      <c r="D474" s="1088">
        <v>4</v>
      </c>
      <c r="E474" s="1088"/>
      <c r="F474" s="1088">
        <f t="shared" si="43"/>
        <v>3</v>
      </c>
      <c r="G474" s="1382" t="s">
        <v>4273</v>
      </c>
      <c r="H474" s="1379"/>
      <c r="I474" s="1379" t="s">
        <v>551</v>
      </c>
      <c r="J474" s="2072"/>
      <c r="K474" s="664"/>
      <c r="L474" s="255"/>
      <c r="M474" s="1381" t="s">
        <v>1979</v>
      </c>
      <c r="N474" s="328" t="s">
        <v>1979</v>
      </c>
      <c r="O474" s="1379" t="s">
        <v>166</v>
      </c>
      <c r="P474" s="1378">
        <v>44181</v>
      </c>
      <c r="Q474" s="1378">
        <v>44181</v>
      </c>
      <c r="R474" s="1195" t="s">
        <v>4265</v>
      </c>
      <c r="S474" s="1083"/>
      <c r="T474" s="1829"/>
      <c r="U474" s="1088"/>
    </row>
    <row r="475" spans="1:21" s="197" customFormat="1" ht="40.5" customHeight="1">
      <c r="A475" s="1088" t="s">
        <v>2512</v>
      </c>
      <c r="B475" s="1378">
        <v>44181</v>
      </c>
      <c r="C475" s="1088">
        <v>8</v>
      </c>
      <c r="D475" s="1088">
        <v>4</v>
      </c>
      <c r="E475" s="1086" t="s">
        <v>3647</v>
      </c>
      <c r="F475" s="1088">
        <f t="shared" si="43"/>
        <v>4</v>
      </c>
      <c r="G475" s="1382" t="s">
        <v>4317</v>
      </c>
      <c r="H475" s="1379"/>
      <c r="I475" s="1379" t="s">
        <v>551</v>
      </c>
      <c r="J475" s="1379"/>
      <c r="K475" s="5">
        <v>44018</v>
      </c>
      <c r="L475" s="5">
        <v>44104</v>
      </c>
      <c r="M475" s="1381" t="s">
        <v>1979</v>
      </c>
      <c r="N475" s="328" t="s">
        <v>1979</v>
      </c>
      <c r="O475" s="1379" t="s">
        <v>166</v>
      </c>
      <c r="P475" s="1378">
        <v>44181</v>
      </c>
      <c r="Q475" s="1378">
        <v>44181</v>
      </c>
      <c r="R475" s="1195" t="s">
        <v>4265</v>
      </c>
      <c r="S475" s="1083"/>
      <c r="T475" s="1829"/>
      <c r="U475" s="1088"/>
    </row>
    <row r="476" spans="1:21" s="197" customFormat="1" ht="40.5" customHeight="1">
      <c r="A476" s="1088" t="s">
        <v>2512</v>
      </c>
      <c r="B476" s="1378">
        <v>44181</v>
      </c>
      <c r="C476" s="1088">
        <v>8</v>
      </c>
      <c r="D476" s="1088">
        <v>4</v>
      </c>
      <c r="E476" s="1086" t="s">
        <v>3348</v>
      </c>
      <c r="F476" s="1088">
        <v>1</v>
      </c>
      <c r="G476" s="1382" t="s">
        <v>4317</v>
      </c>
      <c r="H476" s="1379"/>
      <c r="I476" s="1379" t="s">
        <v>551</v>
      </c>
      <c r="J476" s="1379"/>
      <c r="K476" s="5">
        <v>44195</v>
      </c>
      <c r="L476" s="5">
        <v>44227</v>
      </c>
      <c r="M476" s="1381" t="s">
        <v>1979</v>
      </c>
      <c r="N476" s="328" t="s">
        <v>1979</v>
      </c>
      <c r="O476" s="1379" t="s">
        <v>2716</v>
      </c>
      <c r="P476" s="1378">
        <v>44181</v>
      </c>
      <c r="Q476" s="1378">
        <v>44181</v>
      </c>
      <c r="R476" s="1195" t="s">
        <v>4265</v>
      </c>
      <c r="S476" s="1083"/>
      <c r="T476" s="1829"/>
      <c r="U476" s="1088"/>
    </row>
    <row r="477" spans="1:21" s="197" customFormat="1" ht="53.25" customHeight="1">
      <c r="A477" s="1088" t="s">
        <v>2512</v>
      </c>
      <c r="B477" s="1378">
        <v>44181</v>
      </c>
      <c r="C477" s="1088">
        <v>8</v>
      </c>
      <c r="D477" s="1088">
        <v>4</v>
      </c>
      <c r="E477" s="1086" t="s">
        <v>3344</v>
      </c>
      <c r="F477" s="1088">
        <v>1</v>
      </c>
      <c r="G477" s="1382" t="s">
        <v>4318</v>
      </c>
      <c r="H477" s="1379"/>
      <c r="I477" s="1379" t="s">
        <v>551</v>
      </c>
      <c r="J477" s="1379"/>
      <c r="K477" s="5">
        <v>44169</v>
      </c>
      <c r="L477" s="5">
        <v>44180</v>
      </c>
      <c r="M477" s="1381" t="s">
        <v>4314</v>
      </c>
      <c r="N477" s="328" t="s">
        <v>1979</v>
      </c>
      <c r="O477" s="1379" t="s">
        <v>77</v>
      </c>
      <c r="P477" s="1378">
        <v>44181</v>
      </c>
      <c r="Q477" s="1378">
        <v>44181</v>
      </c>
      <c r="R477" s="1195" t="s">
        <v>4265</v>
      </c>
      <c r="S477" s="1083"/>
      <c r="T477" s="1829"/>
      <c r="U477" s="1088"/>
    </row>
    <row r="478" spans="1:21" s="197" customFormat="1" ht="57" customHeight="1">
      <c r="A478" s="1088" t="s">
        <v>2512</v>
      </c>
      <c r="B478" s="1378">
        <v>44181</v>
      </c>
      <c r="C478" s="1088">
        <v>8</v>
      </c>
      <c r="D478" s="1088">
        <v>4</v>
      </c>
      <c r="E478" s="1086" t="s">
        <v>3344</v>
      </c>
      <c r="F478" s="1088">
        <f t="shared" si="43"/>
        <v>2</v>
      </c>
      <c r="G478" s="1382" t="s">
        <v>4319</v>
      </c>
      <c r="H478" s="1379"/>
      <c r="I478" s="1379" t="s">
        <v>551</v>
      </c>
      <c r="J478" s="1379"/>
      <c r="K478" s="5">
        <v>44169</v>
      </c>
      <c r="L478" s="5">
        <v>44180</v>
      </c>
      <c r="M478" s="1381" t="s">
        <v>4314</v>
      </c>
      <c r="N478" s="328" t="s">
        <v>1979</v>
      </c>
      <c r="O478" s="1379" t="s">
        <v>77</v>
      </c>
      <c r="P478" s="1378">
        <v>44181</v>
      </c>
      <c r="Q478" s="1378">
        <v>44181</v>
      </c>
      <c r="R478" s="1195" t="s">
        <v>4265</v>
      </c>
      <c r="S478" s="1083"/>
      <c r="T478" s="1829"/>
      <c r="U478" s="1088"/>
    </row>
    <row r="479" spans="1:21" s="197" customFormat="1" ht="40.5" customHeight="1">
      <c r="A479" s="1088" t="s">
        <v>2512</v>
      </c>
      <c r="B479" s="1378">
        <v>44181</v>
      </c>
      <c r="C479" s="1088">
        <v>8</v>
      </c>
      <c r="D479" s="1088">
        <v>4</v>
      </c>
      <c r="E479" s="1086" t="s">
        <v>3337</v>
      </c>
      <c r="F479" s="1088">
        <f t="shared" si="43"/>
        <v>3</v>
      </c>
      <c r="G479" s="1382" t="s">
        <v>4320</v>
      </c>
      <c r="H479" s="1379"/>
      <c r="I479" s="1379" t="s">
        <v>551</v>
      </c>
      <c r="J479" s="1379"/>
      <c r="K479" s="5">
        <v>44165</v>
      </c>
      <c r="L479" s="5">
        <v>44180</v>
      </c>
      <c r="M479" s="1381" t="s">
        <v>4321</v>
      </c>
      <c r="N479" s="328" t="s">
        <v>2560</v>
      </c>
      <c r="O479" s="1379" t="s">
        <v>77</v>
      </c>
      <c r="P479" s="1378">
        <v>44181</v>
      </c>
      <c r="Q479" s="1378">
        <v>44181</v>
      </c>
      <c r="R479" s="1195" t="s">
        <v>4265</v>
      </c>
      <c r="S479" s="1083"/>
      <c r="T479" s="1829"/>
      <c r="U479" s="1088"/>
    </row>
    <row r="480" spans="1:21" s="197" customFormat="1" ht="40.5" customHeight="1">
      <c r="A480" s="1088" t="s">
        <v>2512</v>
      </c>
      <c r="B480" s="1378">
        <v>44181</v>
      </c>
      <c r="C480" s="1088">
        <v>8</v>
      </c>
      <c r="D480" s="1088">
        <v>4</v>
      </c>
      <c r="E480" s="1086" t="s">
        <v>3350</v>
      </c>
      <c r="F480" s="1088">
        <f t="shared" si="43"/>
        <v>4</v>
      </c>
      <c r="G480" s="1382" t="s">
        <v>4322</v>
      </c>
      <c r="H480" s="1379"/>
      <c r="I480" s="1379" t="s">
        <v>551</v>
      </c>
      <c r="J480" s="1379"/>
      <c r="K480" s="5">
        <v>44172</v>
      </c>
      <c r="L480" s="5">
        <v>44184</v>
      </c>
      <c r="M480" s="1381" t="s">
        <v>3199</v>
      </c>
      <c r="N480" s="328" t="s">
        <v>1979</v>
      </c>
      <c r="O480" s="1379" t="s">
        <v>77</v>
      </c>
      <c r="P480" s="1378">
        <v>44181</v>
      </c>
      <c r="Q480" s="1378">
        <v>44181</v>
      </c>
      <c r="R480" s="1195" t="s">
        <v>4265</v>
      </c>
      <c r="S480" s="1083"/>
      <c r="T480" s="1829"/>
      <c r="U480" s="1088"/>
    </row>
    <row r="481" spans="1:21" s="197" customFormat="1" ht="40.5" customHeight="1">
      <c r="A481" s="1088" t="s">
        <v>2512</v>
      </c>
      <c r="B481" s="1378">
        <v>44161</v>
      </c>
      <c r="C481" s="1088">
        <v>7</v>
      </c>
      <c r="D481" s="1088">
        <v>3</v>
      </c>
      <c r="E481" s="1088"/>
      <c r="F481" s="1088">
        <v>1</v>
      </c>
      <c r="G481" s="1382" t="s">
        <v>4266</v>
      </c>
      <c r="H481" s="1379"/>
      <c r="I481" s="1379" t="s">
        <v>551</v>
      </c>
      <c r="J481" s="2072"/>
      <c r="K481" s="664"/>
      <c r="L481" s="255"/>
      <c r="M481" s="1381" t="s">
        <v>4267</v>
      </c>
      <c r="N481" s="328" t="s">
        <v>2516</v>
      </c>
      <c r="O481" s="1379" t="s">
        <v>166</v>
      </c>
      <c r="P481" s="1378">
        <v>44181</v>
      </c>
      <c r="Q481" s="1378">
        <v>44181</v>
      </c>
      <c r="R481" s="1195" t="s">
        <v>4265</v>
      </c>
      <c r="S481" s="1083"/>
      <c r="T481" s="1829"/>
      <c r="U481" s="1088"/>
    </row>
    <row r="482" spans="1:21" s="197" customFormat="1" ht="40.5" customHeight="1">
      <c r="A482" s="1088" t="s">
        <v>2512</v>
      </c>
      <c r="B482" s="1378">
        <v>44161</v>
      </c>
      <c r="C482" s="1088">
        <v>7</v>
      </c>
      <c r="D482" s="1088">
        <v>3</v>
      </c>
      <c r="E482" s="1088"/>
      <c r="F482" s="1088">
        <f>F481+1</f>
        <v>2</v>
      </c>
      <c r="G482" s="1382" t="s">
        <v>4268</v>
      </c>
      <c r="H482" s="1379"/>
      <c r="I482" s="1379" t="s">
        <v>551</v>
      </c>
      <c r="J482" s="2072"/>
      <c r="K482" s="664"/>
      <c r="L482" s="255"/>
      <c r="M482" s="1381" t="s">
        <v>4267</v>
      </c>
      <c r="N482" s="328" t="s">
        <v>2516</v>
      </c>
      <c r="O482" s="1379" t="s">
        <v>166</v>
      </c>
      <c r="P482" s="1378">
        <v>44181</v>
      </c>
      <c r="Q482" s="1378">
        <v>44181</v>
      </c>
      <c r="R482" s="1195" t="s">
        <v>4265</v>
      </c>
      <c r="S482" s="1083"/>
      <c r="T482" s="1829"/>
      <c r="U482" s="1088"/>
    </row>
    <row r="483" spans="1:21" s="197" customFormat="1" ht="40.5" customHeight="1">
      <c r="A483" s="1088" t="s">
        <v>2512</v>
      </c>
      <c r="B483" s="1378">
        <v>44161</v>
      </c>
      <c r="C483" s="1088">
        <v>7</v>
      </c>
      <c r="D483" s="1088">
        <v>3</v>
      </c>
      <c r="E483" s="1086" t="s">
        <v>3354</v>
      </c>
      <c r="F483" s="1088">
        <f t="shared" ref="F483:F522" si="44">F482+1</f>
        <v>3</v>
      </c>
      <c r="G483" s="1382" t="s">
        <v>4269</v>
      </c>
      <c r="H483" s="1379"/>
      <c r="I483" s="1379" t="s">
        <v>551</v>
      </c>
      <c r="J483" s="1379"/>
      <c r="K483" s="5">
        <v>44194</v>
      </c>
      <c r="L483" s="5">
        <v>44284</v>
      </c>
      <c r="M483" s="1381" t="s">
        <v>4270</v>
      </c>
      <c r="N483" s="328" t="s">
        <v>4271</v>
      </c>
      <c r="O483" s="1379" t="s">
        <v>166</v>
      </c>
      <c r="P483" s="1378">
        <v>44181</v>
      </c>
      <c r="Q483" s="1378">
        <v>44181</v>
      </c>
      <c r="R483" s="1195" t="s">
        <v>4265</v>
      </c>
      <c r="S483" s="1083"/>
      <c r="T483" s="1829"/>
      <c r="U483" s="1088"/>
    </row>
    <row r="484" spans="1:21" s="197" customFormat="1" ht="40.5" customHeight="1">
      <c r="A484" s="1088" t="s">
        <v>2512</v>
      </c>
      <c r="B484" s="1378">
        <v>44161</v>
      </c>
      <c r="C484" s="1088">
        <v>7</v>
      </c>
      <c r="D484" s="1088">
        <v>3</v>
      </c>
      <c r="E484" s="1086" t="s">
        <v>3354</v>
      </c>
      <c r="F484" s="1088">
        <f t="shared" si="44"/>
        <v>4</v>
      </c>
      <c r="G484" s="1382" t="s">
        <v>4272</v>
      </c>
      <c r="H484" s="1379"/>
      <c r="I484" s="1379" t="s">
        <v>551</v>
      </c>
      <c r="J484" s="1379"/>
      <c r="K484" s="5">
        <v>44194</v>
      </c>
      <c r="L484" s="5">
        <v>44284</v>
      </c>
      <c r="M484" s="1381" t="s">
        <v>4270</v>
      </c>
      <c r="N484" s="328" t="s">
        <v>4271</v>
      </c>
      <c r="O484" s="1379" t="s">
        <v>166</v>
      </c>
      <c r="P484" s="1378">
        <v>44181</v>
      </c>
      <c r="Q484" s="1378">
        <v>44181</v>
      </c>
      <c r="R484" s="1195" t="s">
        <v>4265</v>
      </c>
      <c r="S484" s="1083"/>
      <c r="T484" s="1829"/>
      <c r="U484" s="1088"/>
    </row>
    <row r="485" spans="1:21" s="197" customFormat="1" ht="40.5" customHeight="1">
      <c r="A485" s="1088" t="s">
        <v>2512</v>
      </c>
      <c r="B485" s="1378">
        <v>44161</v>
      </c>
      <c r="C485" s="1088">
        <v>7</v>
      </c>
      <c r="D485" s="1088">
        <v>3</v>
      </c>
      <c r="E485" s="1088"/>
      <c r="F485" s="1088">
        <f t="shared" si="44"/>
        <v>5</v>
      </c>
      <c r="G485" s="1382" t="s">
        <v>4273</v>
      </c>
      <c r="H485" s="1379"/>
      <c r="I485" s="1379" t="s">
        <v>2344</v>
      </c>
      <c r="J485" s="2072"/>
      <c r="K485" s="664"/>
      <c r="L485" s="255"/>
      <c r="M485" s="1381" t="s">
        <v>1979</v>
      </c>
      <c r="N485" s="328" t="s">
        <v>2516</v>
      </c>
      <c r="O485" s="1379" t="s">
        <v>166</v>
      </c>
      <c r="P485" s="1378">
        <v>44181</v>
      </c>
      <c r="Q485" s="1378">
        <v>44181</v>
      </c>
      <c r="R485" s="1195" t="s">
        <v>4265</v>
      </c>
      <c r="S485" s="1083"/>
      <c r="T485" s="1829"/>
      <c r="U485" s="1088"/>
    </row>
    <row r="486" spans="1:21" s="197" customFormat="1" ht="83.25" customHeight="1">
      <c r="A486" s="1088" t="s">
        <v>2512</v>
      </c>
      <c r="B486" s="1378">
        <v>44161</v>
      </c>
      <c r="C486" s="1088">
        <v>7</v>
      </c>
      <c r="D486" s="1088">
        <v>4</v>
      </c>
      <c r="E486" s="1929" t="s">
        <v>3101</v>
      </c>
      <c r="F486" s="1088">
        <v>1</v>
      </c>
      <c r="G486" s="1382" t="s">
        <v>4274</v>
      </c>
      <c r="H486" s="1379"/>
      <c r="I486" s="1379" t="s">
        <v>551</v>
      </c>
      <c r="J486" s="2072"/>
      <c r="K486" s="664"/>
      <c r="L486" s="255"/>
      <c r="M486" s="1381" t="s">
        <v>2560</v>
      </c>
      <c r="N486" s="328" t="s">
        <v>2560</v>
      </c>
      <c r="O486" s="1379" t="s">
        <v>3148</v>
      </c>
      <c r="P486" s="1378">
        <v>44181</v>
      </c>
      <c r="Q486" s="1378">
        <v>44181</v>
      </c>
      <c r="R486" s="1195" t="s">
        <v>4265</v>
      </c>
      <c r="S486" s="1083"/>
      <c r="T486" s="1829"/>
      <c r="U486" s="1088"/>
    </row>
    <row r="487" spans="1:21" s="197" customFormat="1" ht="70.5" customHeight="1">
      <c r="A487" s="1088" t="s">
        <v>2512</v>
      </c>
      <c r="B487" s="1378">
        <v>44161</v>
      </c>
      <c r="C487" s="1088">
        <v>7</v>
      </c>
      <c r="D487" s="1088">
        <v>4</v>
      </c>
      <c r="E487" s="1379"/>
      <c r="F487" s="1088">
        <v>1</v>
      </c>
      <c r="G487" s="1382" t="s">
        <v>4275</v>
      </c>
      <c r="H487" s="1379"/>
      <c r="I487" s="1379" t="s">
        <v>551</v>
      </c>
      <c r="J487" s="2072"/>
      <c r="K487" s="664"/>
      <c r="L487" s="255"/>
      <c r="M487" s="1381" t="s">
        <v>4276</v>
      </c>
      <c r="N487" s="328" t="s">
        <v>2516</v>
      </c>
      <c r="O487" s="1379" t="s">
        <v>247</v>
      </c>
      <c r="P487" s="1378">
        <v>44181</v>
      </c>
      <c r="Q487" s="1378">
        <v>44181</v>
      </c>
      <c r="R487" s="1195" t="s">
        <v>4265</v>
      </c>
      <c r="S487" s="1083"/>
      <c r="T487" s="1831" t="s">
        <v>4323</v>
      </c>
      <c r="U487" s="1088"/>
    </row>
    <row r="488" spans="1:21" s="197" customFormat="1" ht="40.5" customHeight="1">
      <c r="A488" s="1088" t="s">
        <v>2512</v>
      </c>
      <c r="B488" s="1378">
        <v>44161</v>
      </c>
      <c r="C488" s="1088">
        <v>7</v>
      </c>
      <c r="D488" s="1088">
        <v>4</v>
      </c>
      <c r="E488" s="1929" t="s">
        <v>3101</v>
      </c>
      <c r="F488" s="1088">
        <v>1</v>
      </c>
      <c r="G488" s="1382" t="s">
        <v>4277</v>
      </c>
      <c r="H488" s="1379"/>
      <c r="I488" s="1379" t="s">
        <v>551</v>
      </c>
      <c r="J488" s="2072"/>
      <c r="K488" s="664"/>
      <c r="L488" s="255"/>
      <c r="M488" s="1381" t="s">
        <v>1979</v>
      </c>
      <c r="N488" s="328" t="s">
        <v>2516</v>
      </c>
      <c r="O488" s="1379" t="s">
        <v>4278</v>
      </c>
      <c r="P488" s="1378">
        <v>44181</v>
      </c>
      <c r="Q488" s="1378">
        <v>44181</v>
      </c>
      <c r="R488" s="1195" t="s">
        <v>4265</v>
      </c>
      <c r="S488" s="1083"/>
      <c r="T488" s="1829"/>
      <c r="U488" s="1088"/>
    </row>
    <row r="489" spans="1:21" s="197" customFormat="1" ht="40.5" customHeight="1">
      <c r="A489" s="1088" t="s">
        <v>2512</v>
      </c>
      <c r="B489" s="1378">
        <v>44161</v>
      </c>
      <c r="C489" s="1088">
        <v>7</v>
      </c>
      <c r="D489" s="1088">
        <v>4</v>
      </c>
      <c r="E489" s="1929" t="s">
        <v>3101</v>
      </c>
      <c r="F489" s="1088">
        <f t="shared" si="44"/>
        <v>2</v>
      </c>
      <c r="G489" s="1382" t="s">
        <v>4279</v>
      </c>
      <c r="H489" s="1379"/>
      <c r="I489" s="1379" t="s">
        <v>551</v>
      </c>
      <c r="J489" s="2072"/>
      <c r="K489" s="664"/>
      <c r="L489" s="255"/>
      <c r="M489" s="1381" t="s">
        <v>1979</v>
      </c>
      <c r="N489" s="328" t="s">
        <v>2516</v>
      </c>
      <c r="O489" s="1379" t="s">
        <v>4278</v>
      </c>
      <c r="P489" s="1378">
        <v>44181</v>
      </c>
      <c r="Q489" s="1378">
        <v>44181</v>
      </c>
      <c r="R489" s="1195" t="s">
        <v>4265</v>
      </c>
      <c r="S489" s="1083"/>
      <c r="T489" s="1829"/>
      <c r="U489" s="1088"/>
    </row>
    <row r="490" spans="1:21" s="197" customFormat="1" ht="80.25" customHeight="1">
      <c r="A490" s="1088" t="s">
        <v>2512</v>
      </c>
      <c r="B490" s="1378">
        <v>44161</v>
      </c>
      <c r="C490" s="1088">
        <v>7</v>
      </c>
      <c r="D490" s="1088">
        <v>4</v>
      </c>
      <c r="E490" s="1929" t="s">
        <v>3101</v>
      </c>
      <c r="F490" s="1088">
        <v>1</v>
      </c>
      <c r="G490" s="1382" t="s">
        <v>4274</v>
      </c>
      <c r="H490" s="1379"/>
      <c r="I490" s="1379" t="s">
        <v>551</v>
      </c>
      <c r="J490" s="2072"/>
      <c r="K490" s="664"/>
      <c r="L490" s="255"/>
      <c r="M490" s="1381" t="s">
        <v>2560</v>
      </c>
      <c r="N490" s="328" t="s">
        <v>2560</v>
      </c>
      <c r="O490" s="1379" t="s">
        <v>3148</v>
      </c>
      <c r="P490" s="1378">
        <v>44181</v>
      </c>
      <c r="Q490" s="1378">
        <v>44181</v>
      </c>
      <c r="R490" s="1195" t="s">
        <v>4265</v>
      </c>
      <c r="S490" s="1083"/>
      <c r="T490" s="1829"/>
      <c r="U490" s="1088"/>
    </row>
    <row r="491" spans="1:21" s="197" customFormat="1" ht="40.5" customHeight="1">
      <c r="A491" s="1088" t="s">
        <v>2512</v>
      </c>
      <c r="B491" s="1378">
        <v>44161</v>
      </c>
      <c r="C491" s="1088">
        <v>7</v>
      </c>
      <c r="D491" s="1088">
        <v>4</v>
      </c>
      <c r="E491" s="1086" t="s">
        <v>3341</v>
      </c>
      <c r="F491" s="1088">
        <v>1</v>
      </c>
      <c r="G491" s="1382" t="s">
        <v>4280</v>
      </c>
      <c r="H491" s="1379"/>
      <c r="I491" s="1379" t="s">
        <v>551</v>
      </c>
      <c r="J491" s="1379"/>
      <c r="K491" s="255">
        <v>44166</v>
      </c>
      <c r="L491" s="255">
        <v>44189</v>
      </c>
      <c r="M491" s="1381" t="s">
        <v>1979</v>
      </c>
      <c r="N491" s="328" t="s">
        <v>2516</v>
      </c>
      <c r="O491" s="1379" t="s">
        <v>3340</v>
      </c>
      <c r="P491" s="1378">
        <v>44181</v>
      </c>
      <c r="Q491" s="1378">
        <v>44181</v>
      </c>
      <c r="R491" s="1195" t="s">
        <v>4265</v>
      </c>
      <c r="S491" s="1083"/>
      <c r="T491" s="1829"/>
      <c r="U491" s="1088"/>
    </row>
    <row r="492" spans="1:21" s="197" customFormat="1" ht="52.5" customHeight="1">
      <c r="A492" s="1088" t="s">
        <v>2512</v>
      </c>
      <c r="B492" s="1378">
        <v>44161</v>
      </c>
      <c r="C492" s="1088">
        <v>7</v>
      </c>
      <c r="D492" s="1088">
        <v>4</v>
      </c>
      <c r="E492" s="1086" t="s">
        <v>2769</v>
      </c>
      <c r="F492" s="1088">
        <v>1</v>
      </c>
      <c r="G492" s="1382" t="s">
        <v>4281</v>
      </c>
      <c r="H492" s="1379"/>
      <c r="I492" s="1379" t="s">
        <v>551</v>
      </c>
      <c r="J492" s="1379"/>
      <c r="K492" s="255">
        <v>44166</v>
      </c>
      <c r="L492" s="255">
        <v>44196</v>
      </c>
      <c r="M492" s="1381" t="s">
        <v>4282</v>
      </c>
      <c r="N492" s="328" t="s">
        <v>1980</v>
      </c>
      <c r="O492" s="1382" t="s">
        <v>4283</v>
      </c>
      <c r="P492" s="1378">
        <v>44181</v>
      </c>
      <c r="Q492" s="1378">
        <v>44181</v>
      </c>
      <c r="R492" s="1195" t="s">
        <v>4265</v>
      </c>
      <c r="S492" s="1083"/>
      <c r="T492" s="1829"/>
      <c r="U492" s="1088"/>
    </row>
    <row r="493" spans="1:21" s="197" customFormat="1" ht="58.5" customHeight="1">
      <c r="A493" s="1088" t="s">
        <v>2512</v>
      </c>
      <c r="B493" s="1378">
        <v>44161</v>
      </c>
      <c r="C493" s="1088">
        <v>7</v>
      </c>
      <c r="D493" s="1088">
        <v>4</v>
      </c>
      <c r="E493" s="1086" t="s">
        <v>3364</v>
      </c>
      <c r="F493" s="1088">
        <f t="shared" si="44"/>
        <v>2</v>
      </c>
      <c r="G493" s="1382" t="s">
        <v>4284</v>
      </c>
      <c r="H493" s="1379"/>
      <c r="I493" s="1379" t="s">
        <v>551</v>
      </c>
      <c r="J493" s="1379"/>
      <c r="K493" s="255">
        <v>44150</v>
      </c>
      <c r="L493" s="255">
        <v>44181</v>
      </c>
      <c r="M493" s="1381" t="s">
        <v>4292</v>
      </c>
      <c r="N493" s="328" t="s">
        <v>2539</v>
      </c>
      <c r="O493" s="1382" t="s">
        <v>4283</v>
      </c>
      <c r="P493" s="1378">
        <v>44181</v>
      </c>
      <c r="Q493" s="1378">
        <v>44181</v>
      </c>
      <c r="R493" s="1195" t="s">
        <v>4265</v>
      </c>
      <c r="S493" s="1083"/>
      <c r="T493" s="1829"/>
      <c r="U493" s="1088"/>
    </row>
    <row r="494" spans="1:21" s="197" customFormat="1" ht="53.25" customHeight="1">
      <c r="A494" s="1088" t="s">
        <v>2512</v>
      </c>
      <c r="B494" s="1378">
        <v>44161</v>
      </c>
      <c r="C494" s="1088">
        <v>7</v>
      </c>
      <c r="D494" s="1088">
        <v>4</v>
      </c>
      <c r="E494" s="1086" t="s">
        <v>3364</v>
      </c>
      <c r="F494" s="1088">
        <f t="shared" si="44"/>
        <v>3</v>
      </c>
      <c r="G494" s="1382" t="s">
        <v>4285</v>
      </c>
      <c r="H494" s="1379"/>
      <c r="I494" s="1379" t="s">
        <v>551</v>
      </c>
      <c r="J494" s="1379"/>
      <c r="K494" s="255">
        <v>44150</v>
      </c>
      <c r="L494" s="255">
        <v>44181</v>
      </c>
      <c r="M494" s="1381" t="s">
        <v>4293</v>
      </c>
      <c r="N494" s="328" t="s">
        <v>2539</v>
      </c>
      <c r="O494" s="1382" t="s">
        <v>4283</v>
      </c>
      <c r="P494" s="1378">
        <v>44181</v>
      </c>
      <c r="Q494" s="1378">
        <v>44181</v>
      </c>
      <c r="R494" s="1195" t="s">
        <v>4265</v>
      </c>
      <c r="S494" s="1083"/>
      <c r="T494" s="1829"/>
      <c r="U494" s="1088"/>
    </row>
    <row r="495" spans="1:21" s="197" customFormat="1" ht="60" customHeight="1">
      <c r="A495" s="1088" t="s">
        <v>2512</v>
      </c>
      <c r="B495" s="1378">
        <v>44161</v>
      </c>
      <c r="C495" s="1088">
        <v>7</v>
      </c>
      <c r="D495" s="1088">
        <v>4</v>
      </c>
      <c r="E495" s="1086" t="s">
        <v>3364</v>
      </c>
      <c r="F495" s="1088">
        <f t="shared" si="44"/>
        <v>4</v>
      </c>
      <c r="G495" s="1382" t="s">
        <v>4286</v>
      </c>
      <c r="H495" s="1379"/>
      <c r="I495" s="1379" t="s">
        <v>551</v>
      </c>
      <c r="J495" s="1379"/>
      <c r="K495" s="255">
        <v>44150</v>
      </c>
      <c r="L495" s="255">
        <v>44181</v>
      </c>
      <c r="M495" s="1381" t="s">
        <v>4293</v>
      </c>
      <c r="N495" s="328" t="s">
        <v>2539</v>
      </c>
      <c r="O495" s="1382" t="s">
        <v>4283</v>
      </c>
      <c r="P495" s="1378">
        <v>44181</v>
      </c>
      <c r="Q495" s="1378">
        <v>44181</v>
      </c>
      <c r="R495" s="1195" t="s">
        <v>4265</v>
      </c>
      <c r="S495" s="1083"/>
      <c r="T495" s="1829"/>
      <c r="U495" s="1088"/>
    </row>
    <row r="496" spans="1:21" s="197" customFormat="1" ht="56.25" customHeight="1">
      <c r="A496" s="1088" t="s">
        <v>2512</v>
      </c>
      <c r="B496" s="1378">
        <v>44161</v>
      </c>
      <c r="C496" s="1088">
        <v>7</v>
      </c>
      <c r="D496" s="1088">
        <v>4</v>
      </c>
      <c r="E496" s="1086" t="s">
        <v>3364</v>
      </c>
      <c r="F496" s="1088">
        <f t="shared" si="44"/>
        <v>5</v>
      </c>
      <c r="G496" s="1382" t="s">
        <v>4287</v>
      </c>
      <c r="H496" s="1379"/>
      <c r="I496" s="1379" t="s">
        <v>551</v>
      </c>
      <c r="J496" s="1379"/>
      <c r="K496" s="255">
        <v>44150</v>
      </c>
      <c r="L496" s="255">
        <v>44181</v>
      </c>
      <c r="M496" s="1381" t="s">
        <v>4293</v>
      </c>
      <c r="N496" s="328" t="s">
        <v>2539</v>
      </c>
      <c r="O496" s="1382" t="s">
        <v>4283</v>
      </c>
      <c r="P496" s="1378">
        <v>44181</v>
      </c>
      <c r="Q496" s="1378">
        <v>44181</v>
      </c>
      <c r="R496" s="1195" t="s">
        <v>4265</v>
      </c>
      <c r="S496" s="1083"/>
      <c r="T496" s="1829"/>
      <c r="U496" s="1088"/>
    </row>
    <row r="497" spans="1:21" s="197" customFormat="1" ht="40.5" customHeight="1">
      <c r="A497" s="1088" t="s">
        <v>2512</v>
      </c>
      <c r="B497" s="1378">
        <v>44161</v>
      </c>
      <c r="C497" s="1088">
        <v>7</v>
      </c>
      <c r="D497" s="1088">
        <v>4</v>
      </c>
      <c r="E497" s="1086" t="s">
        <v>3364</v>
      </c>
      <c r="F497" s="1088">
        <f t="shared" si="44"/>
        <v>6</v>
      </c>
      <c r="G497" s="1382" t="s">
        <v>4288</v>
      </c>
      <c r="H497" s="1379"/>
      <c r="I497" s="1379" t="s">
        <v>551</v>
      </c>
      <c r="J497" s="1379"/>
      <c r="K497" s="255">
        <v>44150</v>
      </c>
      <c r="L497" s="255">
        <v>44181</v>
      </c>
      <c r="M497" s="1381" t="s">
        <v>4294</v>
      </c>
      <c r="N497" s="328" t="s">
        <v>2539</v>
      </c>
      <c r="O497" s="1382" t="s">
        <v>4283</v>
      </c>
      <c r="P497" s="1378">
        <v>44181</v>
      </c>
      <c r="Q497" s="1378">
        <v>44181</v>
      </c>
      <c r="R497" s="1195" t="s">
        <v>4265</v>
      </c>
      <c r="S497" s="1083"/>
      <c r="T497" s="1829"/>
      <c r="U497" s="1088"/>
    </row>
    <row r="498" spans="1:21" s="197" customFormat="1" ht="54.75" customHeight="1">
      <c r="A498" s="1088" t="s">
        <v>2512</v>
      </c>
      <c r="B498" s="1378">
        <v>44161</v>
      </c>
      <c r="C498" s="1088">
        <v>7</v>
      </c>
      <c r="D498" s="1088">
        <v>4</v>
      </c>
      <c r="E498" s="1086" t="s">
        <v>3364</v>
      </c>
      <c r="F498" s="1088">
        <f t="shared" si="44"/>
        <v>7</v>
      </c>
      <c r="G498" s="1382" t="s">
        <v>4289</v>
      </c>
      <c r="H498" s="1379"/>
      <c r="I498" s="1379" t="s">
        <v>551</v>
      </c>
      <c r="J498" s="1379"/>
      <c r="K498" s="255">
        <v>44150</v>
      </c>
      <c r="L498" s="255">
        <v>44181</v>
      </c>
      <c r="M498" s="1381" t="s">
        <v>4295</v>
      </c>
      <c r="N498" s="328" t="s">
        <v>2539</v>
      </c>
      <c r="O498" s="1382" t="s">
        <v>4283</v>
      </c>
      <c r="P498" s="1378">
        <v>44181</v>
      </c>
      <c r="Q498" s="1378">
        <v>44181</v>
      </c>
      <c r="R498" s="1195" t="s">
        <v>4265</v>
      </c>
      <c r="S498" s="1083"/>
      <c r="T498" s="1829"/>
      <c r="U498" s="1088"/>
    </row>
    <row r="499" spans="1:21" s="197" customFormat="1" ht="60.75" customHeight="1">
      <c r="A499" s="1088" t="s">
        <v>2512</v>
      </c>
      <c r="B499" s="1378">
        <v>44161</v>
      </c>
      <c r="C499" s="1088">
        <v>7</v>
      </c>
      <c r="D499" s="1088">
        <v>4</v>
      </c>
      <c r="E499" s="1086" t="s">
        <v>3278</v>
      </c>
      <c r="F499" s="1088">
        <f t="shared" si="44"/>
        <v>8</v>
      </c>
      <c r="G499" s="1382" t="s">
        <v>4290</v>
      </c>
      <c r="H499" s="1379"/>
      <c r="I499" s="1379" t="s">
        <v>551</v>
      </c>
      <c r="J499" s="1379"/>
      <c r="K499" s="255">
        <v>44166</v>
      </c>
      <c r="L499" s="255">
        <v>44196</v>
      </c>
      <c r="M499" s="1381" t="s">
        <v>2649</v>
      </c>
      <c r="N499" s="328" t="s">
        <v>2649</v>
      </c>
      <c r="O499" s="1382" t="s">
        <v>4283</v>
      </c>
      <c r="P499" s="1378">
        <v>44181</v>
      </c>
      <c r="Q499" s="1378">
        <v>44181</v>
      </c>
      <c r="R499" s="1195" t="s">
        <v>4265</v>
      </c>
      <c r="S499" s="1083"/>
      <c r="T499" s="1829"/>
      <c r="U499" s="1088"/>
    </row>
    <row r="500" spans="1:21" s="197" customFormat="1" ht="40.5" customHeight="1">
      <c r="A500" s="1088" t="s">
        <v>2512</v>
      </c>
      <c r="B500" s="1378">
        <v>44161</v>
      </c>
      <c r="C500" s="1088">
        <v>7</v>
      </c>
      <c r="D500" s="1088">
        <v>4</v>
      </c>
      <c r="E500" s="1086" t="s">
        <v>2766</v>
      </c>
      <c r="F500" s="1088">
        <f t="shared" si="44"/>
        <v>9</v>
      </c>
      <c r="G500" s="1382" t="s">
        <v>4291</v>
      </c>
      <c r="H500" s="1379"/>
      <c r="I500" s="1379" t="s">
        <v>551</v>
      </c>
      <c r="J500" s="1379"/>
      <c r="K500" s="255">
        <v>44144</v>
      </c>
      <c r="L500" s="255">
        <v>44191</v>
      </c>
      <c r="M500" s="1381" t="s">
        <v>4296</v>
      </c>
      <c r="N500" s="328" t="s">
        <v>2650</v>
      </c>
      <c r="O500" s="1382" t="s">
        <v>4283</v>
      </c>
      <c r="P500" s="1378">
        <v>44181</v>
      </c>
      <c r="Q500" s="1378">
        <v>44181</v>
      </c>
      <c r="R500" s="1195" t="s">
        <v>4265</v>
      </c>
      <c r="S500" s="1083"/>
      <c r="T500" s="1829"/>
      <c r="U500" s="1088"/>
    </row>
    <row r="501" spans="1:21" s="197" customFormat="1" ht="60" customHeight="1">
      <c r="A501" s="1088" t="s">
        <v>2512</v>
      </c>
      <c r="B501" s="1378">
        <v>44161</v>
      </c>
      <c r="C501" s="1088">
        <v>7</v>
      </c>
      <c r="D501" s="1088">
        <v>4</v>
      </c>
      <c r="E501" s="1086" t="s">
        <v>2767</v>
      </c>
      <c r="F501" s="1088">
        <f t="shared" si="44"/>
        <v>10</v>
      </c>
      <c r="G501" s="1382" t="s">
        <v>3437</v>
      </c>
      <c r="H501" s="1379"/>
      <c r="I501" s="1379" t="s">
        <v>551</v>
      </c>
      <c r="J501" s="1379"/>
      <c r="K501" s="255">
        <v>44166</v>
      </c>
      <c r="L501" s="255">
        <v>44196</v>
      </c>
      <c r="M501" s="1381" t="s">
        <v>4297</v>
      </c>
      <c r="N501" s="328" t="s">
        <v>2542</v>
      </c>
      <c r="O501" s="1382" t="s">
        <v>4283</v>
      </c>
      <c r="P501" s="1378">
        <v>44181</v>
      </c>
      <c r="Q501" s="1378">
        <v>44181</v>
      </c>
      <c r="R501" s="1195" t="s">
        <v>4265</v>
      </c>
      <c r="S501" s="1083"/>
      <c r="T501" s="1829"/>
      <c r="U501" s="1088"/>
    </row>
    <row r="502" spans="1:21" s="197" customFormat="1" ht="52.5" customHeight="1">
      <c r="A502" s="1088" t="s">
        <v>2512</v>
      </c>
      <c r="B502" s="1378">
        <v>44161</v>
      </c>
      <c r="C502" s="1088">
        <v>7</v>
      </c>
      <c r="D502" s="1088">
        <v>4</v>
      </c>
      <c r="E502" s="1086" t="s">
        <v>2767</v>
      </c>
      <c r="F502" s="1088">
        <f t="shared" si="44"/>
        <v>11</v>
      </c>
      <c r="G502" s="1382" t="s">
        <v>3438</v>
      </c>
      <c r="H502" s="1379"/>
      <c r="I502" s="1379" t="s">
        <v>551</v>
      </c>
      <c r="J502" s="1379"/>
      <c r="K502" s="255">
        <v>44166</v>
      </c>
      <c r="L502" s="255">
        <v>44196</v>
      </c>
      <c r="M502" s="1381" t="s">
        <v>4298</v>
      </c>
      <c r="N502" s="328" t="s">
        <v>2542</v>
      </c>
      <c r="O502" s="1382" t="s">
        <v>4283</v>
      </c>
      <c r="P502" s="1378">
        <v>44181</v>
      </c>
      <c r="Q502" s="1378">
        <v>44181</v>
      </c>
      <c r="R502" s="1195" t="s">
        <v>4265</v>
      </c>
      <c r="S502" s="1083"/>
      <c r="T502" s="1829"/>
      <c r="U502" s="1088"/>
    </row>
    <row r="503" spans="1:21" s="197" customFormat="1" ht="54.75" customHeight="1">
      <c r="A503" s="1088" t="s">
        <v>2512</v>
      </c>
      <c r="B503" s="1378">
        <v>44161</v>
      </c>
      <c r="C503" s="1088">
        <v>7</v>
      </c>
      <c r="D503" s="1088">
        <v>4</v>
      </c>
      <c r="E503" s="1086" t="s">
        <v>2767</v>
      </c>
      <c r="F503" s="1088">
        <f t="shared" si="44"/>
        <v>12</v>
      </c>
      <c r="G503" s="1417" t="s">
        <v>3439</v>
      </c>
      <c r="H503" s="1379"/>
      <c r="I503" s="1379" t="s">
        <v>551</v>
      </c>
      <c r="J503" s="1379"/>
      <c r="K503" s="255">
        <v>44166</v>
      </c>
      <c r="L503" s="255">
        <v>44196</v>
      </c>
      <c r="M503" s="1079" t="s">
        <v>4299</v>
      </c>
      <c r="N503" s="328" t="s">
        <v>2542</v>
      </c>
      <c r="O503" s="1382" t="s">
        <v>4283</v>
      </c>
      <c r="P503" s="1378">
        <v>44181</v>
      </c>
      <c r="Q503" s="1378">
        <v>44181</v>
      </c>
      <c r="R503" s="1195" t="s">
        <v>4265</v>
      </c>
      <c r="S503" s="1083"/>
      <c r="T503" s="1829"/>
      <c r="U503" s="1088"/>
    </row>
    <row r="504" spans="1:21" s="197" customFormat="1" ht="58.5" customHeight="1">
      <c r="A504" s="1088" t="s">
        <v>2512</v>
      </c>
      <c r="B504" s="1378">
        <v>44161</v>
      </c>
      <c r="C504" s="1088">
        <v>7</v>
      </c>
      <c r="D504" s="1088">
        <v>4</v>
      </c>
      <c r="E504" s="1086" t="s">
        <v>2768</v>
      </c>
      <c r="F504" s="1088">
        <f t="shared" si="44"/>
        <v>13</v>
      </c>
      <c r="G504" s="1417" t="s">
        <v>3440</v>
      </c>
      <c r="H504" s="1379"/>
      <c r="I504" s="1379" t="s">
        <v>551</v>
      </c>
      <c r="J504" s="1379"/>
      <c r="K504" s="255">
        <v>44140</v>
      </c>
      <c r="L504" s="255">
        <v>44191</v>
      </c>
      <c r="M504" s="1079" t="s">
        <v>4300</v>
      </c>
      <c r="N504" s="328" t="s">
        <v>2551</v>
      </c>
      <c r="O504" s="1382" t="s">
        <v>4283</v>
      </c>
      <c r="P504" s="1378">
        <v>44181</v>
      </c>
      <c r="Q504" s="1378">
        <v>44181</v>
      </c>
      <c r="R504" s="1195" t="s">
        <v>4265</v>
      </c>
      <c r="S504" s="1083"/>
      <c r="T504" s="1829"/>
      <c r="U504" s="1088"/>
    </row>
    <row r="505" spans="1:21" s="197" customFormat="1" ht="54.75" customHeight="1">
      <c r="A505" s="1088" t="s">
        <v>2512</v>
      </c>
      <c r="B505" s="1378">
        <v>44161</v>
      </c>
      <c r="C505" s="1088">
        <v>7</v>
      </c>
      <c r="D505" s="1088">
        <v>4</v>
      </c>
      <c r="E505" s="1086" t="s">
        <v>2768</v>
      </c>
      <c r="F505" s="1088">
        <f t="shared" si="44"/>
        <v>14</v>
      </c>
      <c r="G505" s="1417" t="s">
        <v>3441</v>
      </c>
      <c r="H505" s="1379"/>
      <c r="I505" s="1379" t="s">
        <v>551</v>
      </c>
      <c r="J505" s="1379"/>
      <c r="K505" s="255">
        <v>44140</v>
      </c>
      <c r="L505" s="255">
        <v>44191</v>
      </c>
      <c r="M505" s="1079" t="s">
        <v>4301</v>
      </c>
      <c r="N505" s="328" t="s">
        <v>2551</v>
      </c>
      <c r="O505" s="1382" t="s">
        <v>4283</v>
      </c>
      <c r="P505" s="1378">
        <v>44181</v>
      </c>
      <c r="Q505" s="1378">
        <v>44181</v>
      </c>
      <c r="R505" s="1195" t="s">
        <v>4265</v>
      </c>
      <c r="S505" s="1083"/>
      <c r="T505" s="1829"/>
      <c r="U505" s="1088"/>
    </row>
    <row r="506" spans="1:21" s="197" customFormat="1" ht="69" customHeight="1">
      <c r="A506" s="1088" t="s">
        <v>2512</v>
      </c>
      <c r="B506" s="1378">
        <v>44161</v>
      </c>
      <c r="C506" s="1088">
        <v>7</v>
      </c>
      <c r="D506" s="1088">
        <v>5</v>
      </c>
      <c r="E506" s="1086" t="s">
        <v>3280</v>
      </c>
      <c r="F506" s="1088">
        <f t="shared" si="44"/>
        <v>15</v>
      </c>
      <c r="G506" s="1417" t="s">
        <v>3442</v>
      </c>
      <c r="H506" s="1379"/>
      <c r="I506" s="1379" t="s">
        <v>551</v>
      </c>
      <c r="J506" s="1379"/>
      <c r="K506" s="255">
        <v>44139</v>
      </c>
      <c r="L506" s="255">
        <v>44191</v>
      </c>
      <c r="M506" s="1079" t="s">
        <v>4302</v>
      </c>
      <c r="N506" s="328" t="s">
        <v>1979</v>
      </c>
      <c r="O506" s="1382" t="s">
        <v>4283</v>
      </c>
      <c r="P506" s="1378">
        <v>44181</v>
      </c>
      <c r="Q506" s="1378">
        <v>44181</v>
      </c>
      <c r="R506" s="1195" t="s">
        <v>4265</v>
      </c>
      <c r="S506" s="1083"/>
      <c r="T506" s="1829"/>
      <c r="U506" s="1088"/>
    </row>
    <row r="507" spans="1:21" s="197" customFormat="1" ht="70.5" customHeight="1">
      <c r="A507" s="1088" t="s">
        <v>2512</v>
      </c>
      <c r="B507" s="1378">
        <v>44161</v>
      </c>
      <c r="C507" s="1088">
        <v>7</v>
      </c>
      <c r="D507" s="1088">
        <v>5</v>
      </c>
      <c r="E507" s="1086" t="s">
        <v>3280</v>
      </c>
      <c r="F507" s="1088">
        <f t="shared" si="44"/>
        <v>16</v>
      </c>
      <c r="G507" s="1417" t="s">
        <v>3443</v>
      </c>
      <c r="H507" s="1379"/>
      <c r="I507" s="1379" t="s">
        <v>551</v>
      </c>
      <c r="J507" s="1379"/>
      <c r="K507" s="255">
        <v>44139</v>
      </c>
      <c r="L507" s="255">
        <v>44191</v>
      </c>
      <c r="M507" s="1079" t="s">
        <v>4303</v>
      </c>
      <c r="N507" s="328" t="s">
        <v>1979</v>
      </c>
      <c r="O507" s="1382" t="s">
        <v>4283</v>
      </c>
      <c r="P507" s="1378">
        <v>44181</v>
      </c>
      <c r="Q507" s="1378">
        <v>44181</v>
      </c>
      <c r="R507" s="1195" t="s">
        <v>4265</v>
      </c>
      <c r="S507" s="1083"/>
      <c r="T507" s="1829"/>
      <c r="U507" s="1088"/>
    </row>
    <row r="508" spans="1:21" s="197" customFormat="1" ht="75" customHeight="1">
      <c r="A508" s="1088" t="s">
        <v>2512</v>
      </c>
      <c r="B508" s="1378">
        <v>44161</v>
      </c>
      <c r="C508" s="1088">
        <v>7</v>
      </c>
      <c r="D508" s="1088">
        <v>5</v>
      </c>
      <c r="E508" s="1086" t="s">
        <v>3280</v>
      </c>
      <c r="F508" s="1088">
        <f t="shared" si="44"/>
        <v>17</v>
      </c>
      <c r="G508" s="1417" t="s">
        <v>3444</v>
      </c>
      <c r="H508" s="1379"/>
      <c r="I508" s="1379" t="s">
        <v>551</v>
      </c>
      <c r="J508" s="1379"/>
      <c r="K508" s="255">
        <v>44139</v>
      </c>
      <c r="L508" s="255">
        <v>44191</v>
      </c>
      <c r="M508" s="1079" t="s">
        <v>4304</v>
      </c>
      <c r="N508" s="328" t="s">
        <v>1979</v>
      </c>
      <c r="O508" s="1382" t="s">
        <v>4283</v>
      </c>
      <c r="P508" s="1378">
        <v>44181</v>
      </c>
      <c r="Q508" s="1378">
        <v>44181</v>
      </c>
      <c r="R508" s="1195" t="s">
        <v>4265</v>
      </c>
      <c r="S508" s="1083"/>
      <c r="T508" s="1829"/>
      <c r="U508" s="1088"/>
    </row>
    <row r="509" spans="1:21" s="197" customFormat="1" ht="72.75" customHeight="1">
      <c r="A509" s="1088" t="s">
        <v>2512</v>
      </c>
      <c r="B509" s="1378">
        <v>44161</v>
      </c>
      <c r="C509" s="1088">
        <v>7</v>
      </c>
      <c r="D509" s="1088">
        <v>5</v>
      </c>
      <c r="E509" s="1086" t="s">
        <v>3280</v>
      </c>
      <c r="F509" s="1088">
        <f t="shared" si="44"/>
        <v>18</v>
      </c>
      <c r="G509" s="1417" t="s">
        <v>3445</v>
      </c>
      <c r="H509" s="1379"/>
      <c r="I509" s="1379" t="s">
        <v>551</v>
      </c>
      <c r="J509" s="1379"/>
      <c r="K509" s="255">
        <v>44139</v>
      </c>
      <c r="L509" s="255">
        <v>44191</v>
      </c>
      <c r="M509" s="1079" t="s">
        <v>4304</v>
      </c>
      <c r="N509" s="328" t="s">
        <v>1979</v>
      </c>
      <c r="O509" s="1382" t="s">
        <v>4283</v>
      </c>
      <c r="P509" s="1378">
        <v>44181</v>
      </c>
      <c r="Q509" s="1378">
        <v>44181</v>
      </c>
      <c r="R509" s="1195" t="s">
        <v>4265</v>
      </c>
      <c r="S509" s="1083"/>
      <c r="T509" s="1829"/>
      <c r="U509" s="1088"/>
    </row>
    <row r="510" spans="1:21" s="197" customFormat="1" ht="69.75" customHeight="1">
      <c r="A510" s="1088" t="s">
        <v>2512</v>
      </c>
      <c r="B510" s="1378">
        <v>44161</v>
      </c>
      <c r="C510" s="1088">
        <v>7</v>
      </c>
      <c r="D510" s="1088">
        <v>5</v>
      </c>
      <c r="E510" s="1086" t="s">
        <v>3280</v>
      </c>
      <c r="F510" s="1088">
        <f t="shared" si="44"/>
        <v>19</v>
      </c>
      <c r="G510" s="1417" t="s">
        <v>3446</v>
      </c>
      <c r="H510" s="1379"/>
      <c r="I510" s="1379" t="s">
        <v>551</v>
      </c>
      <c r="J510" s="1379"/>
      <c r="K510" s="255">
        <v>44139</v>
      </c>
      <c r="L510" s="255">
        <v>44191</v>
      </c>
      <c r="M510" s="1079" t="s">
        <v>4305</v>
      </c>
      <c r="N510" s="328" t="s">
        <v>1979</v>
      </c>
      <c r="O510" s="1382" t="s">
        <v>4283</v>
      </c>
      <c r="P510" s="1378">
        <v>44181</v>
      </c>
      <c r="Q510" s="1378">
        <v>44181</v>
      </c>
      <c r="R510" s="1195" t="s">
        <v>4265</v>
      </c>
      <c r="S510" s="1083"/>
      <c r="T510" s="1829"/>
      <c r="U510" s="1088"/>
    </row>
    <row r="511" spans="1:21" s="197" customFormat="1" ht="71.25" customHeight="1">
      <c r="A511" s="1088" t="s">
        <v>2512</v>
      </c>
      <c r="B511" s="1378">
        <v>44161</v>
      </c>
      <c r="C511" s="1088">
        <v>7</v>
      </c>
      <c r="D511" s="1088">
        <v>5</v>
      </c>
      <c r="E511" s="1086" t="s">
        <v>3280</v>
      </c>
      <c r="F511" s="1088">
        <f t="shared" si="44"/>
        <v>20</v>
      </c>
      <c r="G511" s="1417" t="s">
        <v>3447</v>
      </c>
      <c r="H511" s="1379"/>
      <c r="I511" s="1379" t="s">
        <v>551</v>
      </c>
      <c r="J511" s="1379"/>
      <c r="K511" s="255">
        <v>44139</v>
      </c>
      <c r="L511" s="255">
        <v>44191</v>
      </c>
      <c r="M511" s="1079" t="s">
        <v>4305</v>
      </c>
      <c r="N511" s="328" t="s">
        <v>1979</v>
      </c>
      <c r="O511" s="1382" t="s">
        <v>4283</v>
      </c>
      <c r="P511" s="1378">
        <v>44181</v>
      </c>
      <c r="Q511" s="1378">
        <v>44181</v>
      </c>
      <c r="R511" s="1195" t="s">
        <v>4265</v>
      </c>
      <c r="S511" s="1083"/>
      <c r="T511" s="1829"/>
      <c r="U511" s="1088"/>
    </row>
    <row r="512" spans="1:21" s="197" customFormat="1" ht="68.25" customHeight="1">
      <c r="A512" s="1088" t="s">
        <v>2512</v>
      </c>
      <c r="B512" s="1378">
        <v>44161</v>
      </c>
      <c r="C512" s="1088">
        <v>7</v>
      </c>
      <c r="D512" s="1088">
        <v>5</v>
      </c>
      <c r="E512" s="1086" t="s">
        <v>3280</v>
      </c>
      <c r="F512" s="1088">
        <f t="shared" si="44"/>
        <v>21</v>
      </c>
      <c r="G512" s="1417" t="s">
        <v>3448</v>
      </c>
      <c r="H512" s="1379"/>
      <c r="I512" s="1379" t="s">
        <v>551</v>
      </c>
      <c r="J512" s="1379"/>
      <c r="K512" s="255">
        <v>44139</v>
      </c>
      <c r="L512" s="255">
        <v>44191</v>
      </c>
      <c r="M512" s="1079" t="s">
        <v>4305</v>
      </c>
      <c r="N512" s="328" t="s">
        <v>1979</v>
      </c>
      <c r="O512" s="1382" t="s">
        <v>4283</v>
      </c>
      <c r="P512" s="1378">
        <v>44181</v>
      </c>
      <c r="Q512" s="1378">
        <v>44181</v>
      </c>
      <c r="R512" s="1195" t="s">
        <v>4265</v>
      </c>
      <c r="S512" s="1083"/>
      <c r="T512" s="1829"/>
      <c r="U512" s="1088"/>
    </row>
    <row r="513" spans="1:21" s="197" customFormat="1" ht="63.75" customHeight="1">
      <c r="A513" s="1088" t="s">
        <v>2512</v>
      </c>
      <c r="B513" s="1378">
        <v>44161</v>
      </c>
      <c r="C513" s="1088">
        <v>7</v>
      </c>
      <c r="D513" s="1088">
        <v>5</v>
      </c>
      <c r="E513" s="1086" t="s">
        <v>3282</v>
      </c>
      <c r="F513" s="1088">
        <f t="shared" si="44"/>
        <v>22</v>
      </c>
      <c r="G513" s="1417" t="s">
        <v>3449</v>
      </c>
      <c r="H513" s="1379"/>
      <c r="I513" s="1379" t="s">
        <v>551</v>
      </c>
      <c r="J513" s="1379"/>
      <c r="K513" s="255">
        <v>44172</v>
      </c>
      <c r="L513" s="255">
        <v>44196</v>
      </c>
      <c r="M513" s="1079" t="s">
        <v>4306</v>
      </c>
      <c r="N513" s="328" t="s">
        <v>1979</v>
      </c>
      <c r="O513" s="1382" t="s">
        <v>4283</v>
      </c>
      <c r="P513" s="1378">
        <v>44181</v>
      </c>
      <c r="Q513" s="1378">
        <v>44181</v>
      </c>
      <c r="R513" s="1195" t="s">
        <v>4265</v>
      </c>
      <c r="S513" s="1083"/>
      <c r="T513" s="1829"/>
      <c r="U513" s="1088"/>
    </row>
    <row r="514" spans="1:21" s="197" customFormat="1" ht="62.25" customHeight="1">
      <c r="A514" s="1088" t="s">
        <v>2512</v>
      </c>
      <c r="B514" s="1378">
        <v>44161</v>
      </c>
      <c r="C514" s="1088">
        <v>7</v>
      </c>
      <c r="D514" s="1088">
        <v>5</v>
      </c>
      <c r="E514" s="1086" t="s">
        <v>3284</v>
      </c>
      <c r="F514" s="1088">
        <f t="shared" si="44"/>
        <v>23</v>
      </c>
      <c r="G514" s="1417" t="s">
        <v>3450</v>
      </c>
      <c r="H514" s="1379"/>
      <c r="I514" s="1379" t="s">
        <v>551</v>
      </c>
      <c r="J514" s="1379"/>
      <c r="K514" s="255">
        <v>44153</v>
      </c>
      <c r="L514" s="255">
        <v>44191</v>
      </c>
      <c r="M514" s="1079" t="s">
        <v>4307</v>
      </c>
      <c r="N514" s="328" t="s">
        <v>1979</v>
      </c>
      <c r="O514" s="1382" t="s">
        <v>4283</v>
      </c>
      <c r="P514" s="1378">
        <v>44181</v>
      </c>
      <c r="Q514" s="1378">
        <v>44181</v>
      </c>
      <c r="R514" s="1195" t="s">
        <v>4265</v>
      </c>
      <c r="S514" s="1083"/>
      <c r="T514" s="1829"/>
      <c r="U514" s="1088"/>
    </row>
    <row r="515" spans="1:21" s="197" customFormat="1" ht="56.25" customHeight="1">
      <c r="A515" s="1088" t="s">
        <v>2512</v>
      </c>
      <c r="B515" s="1378">
        <v>44161</v>
      </c>
      <c r="C515" s="1088">
        <v>7</v>
      </c>
      <c r="D515" s="1088">
        <v>5</v>
      </c>
      <c r="E515" s="1086" t="s">
        <v>3284</v>
      </c>
      <c r="F515" s="1088">
        <f t="shared" si="44"/>
        <v>24</v>
      </c>
      <c r="G515" s="1417" t="s">
        <v>3451</v>
      </c>
      <c r="H515" s="1379"/>
      <c r="I515" s="1379" t="s">
        <v>551</v>
      </c>
      <c r="J515" s="1379"/>
      <c r="K515" s="255">
        <v>44153</v>
      </c>
      <c r="L515" s="255">
        <v>44191</v>
      </c>
      <c r="M515" s="1079" t="s">
        <v>4308</v>
      </c>
      <c r="N515" s="328" t="s">
        <v>1979</v>
      </c>
      <c r="O515" s="1382" t="s">
        <v>4283</v>
      </c>
      <c r="P515" s="1378">
        <v>44181</v>
      </c>
      <c r="Q515" s="1378">
        <v>44181</v>
      </c>
      <c r="R515" s="1195" t="s">
        <v>4265</v>
      </c>
      <c r="S515" s="1083"/>
      <c r="T515" s="1829"/>
      <c r="U515" s="1088"/>
    </row>
    <row r="516" spans="1:21" s="197" customFormat="1" ht="55.5" customHeight="1">
      <c r="A516" s="1088" t="s">
        <v>2512</v>
      </c>
      <c r="B516" s="1378">
        <v>44161</v>
      </c>
      <c r="C516" s="1088">
        <v>7</v>
      </c>
      <c r="D516" s="1088">
        <v>5</v>
      </c>
      <c r="E516" s="1086" t="s">
        <v>3284</v>
      </c>
      <c r="F516" s="1088">
        <f t="shared" si="44"/>
        <v>25</v>
      </c>
      <c r="G516" s="1417" t="s">
        <v>3452</v>
      </c>
      <c r="H516" s="1379"/>
      <c r="I516" s="1379" t="s">
        <v>551</v>
      </c>
      <c r="J516" s="1379"/>
      <c r="K516" s="255">
        <v>44153</v>
      </c>
      <c r="L516" s="255">
        <v>44191</v>
      </c>
      <c r="M516" s="1079" t="s">
        <v>4309</v>
      </c>
      <c r="N516" s="328" t="s">
        <v>1979</v>
      </c>
      <c r="O516" s="1382" t="s">
        <v>4283</v>
      </c>
      <c r="P516" s="1378">
        <v>44181</v>
      </c>
      <c r="Q516" s="1378">
        <v>44181</v>
      </c>
      <c r="R516" s="1195" t="s">
        <v>4265</v>
      </c>
      <c r="S516" s="1083"/>
      <c r="T516" s="1829"/>
      <c r="U516" s="1088"/>
    </row>
    <row r="517" spans="1:21" s="197" customFormat="1" ht="65.25" customHeight="1">
      <c r="A517" s="1088" t="s">
        <v>2512</v>
      </c>
      <c r="B517" s="1378">
        <v>44161</v>
      </c>
      <c r="C517" s="1088">
        <v>7</v>
      </c>
      <c r="D517" s="1088">
        <v>5</v>
      </c>
      <c r="E517" s="1086" t="s">
        <v>3284</v>
      </c>
      <c r="F517" s="1088">
        <f t="shared" si="44"/>
        <v>26</v>
      </c>
      <c r="G517" s="1417" t="s">
        <v>3453</v>
      </c>
      <c r="H517" s="1379"/>
      <c r="I517" s="1379" t="s">
        <v>551</v>
      </c>
      <c r="J517" s="1379"/>
      <c r="K517" s="255">
        <v>44153</v>
      </c>
      <c r="L517" s="255">
        <v>44191</v>
      </c>
      <c r="M517" s="1079" t="s">
        <v>4310</v>
      </c>
      <c r="N517" s="328" t="s">
        <v>1979</v>
      </c>
      <c r="O517" s="1382" t="s">
        <v>4283</v>
      </c>
      <c r="P517" s="1378">
        <v>44181</v>
      </c>
      <c r="Q517" s="1378">
        <v>44181</v>
      </c>
      <c r="R517" s="1195" t="s">
        <v>4265</v>
      </c>
      <c r="S517" s="1083"/>
      <c r="T517" s="1829"/>
      <c r="U517" s="1088"/>
    </row>
    <row r="518" spans="1:21" s="197" customFormat="1" ht="77.25" customHeight="1">
      <c r="A518" s="1088" t="s">
        <v>2512</v>
      </c>
      <c r="B518" s="1378">
        <v>44161</v>
      </c>
      <c r="C518" s="1088">
        <v>7</v>
      </c>
      <c r="D518" s="1088">
        <v>5</v>
      </c>
      <c r="E518" s="1086" t="s">
        <v>3287</v>
      </c>
      <c r="F518" s="1088">
        <f t="shared" si="44"/>
        <v>27</v>
      </c>
      <c r="G518" s="1417" t="s">
        <v>3454</v>
      </c>
      <c r="H518" s="1379"/>
      <c r="I518" s="1379" t="s">
        <v>551</v>
      </c>
      <c r="J518" s="1379"/>
      <c r="K518" s="255">
        <v>44139</v>
      </c>
      <c r="L518" s="255">
        <v>44196</v>
      </c>
      <c r="M518" s="1079" t="s">
        <v>4311</v>
      </c>
      <c r="N518" s="328" t="s">
        <v>1979</v>
      </c>
      <c r="O518" s="1382" t="s">
        <v>4283</v>
      </c>
      <c r="P518" s="1378">
        <v>44181</v>
      </c>
      <c r="Q518" s="1378">
        <v>44181</v>
      </c>
      <c r="R518" s="1195" t="s">
        <v>4265</v>
      </c>
      <c r="S518" s="1083"/>
      <c r="T518" s="1829"/>
      <c r="U518" s="1088"/>
    </row>
    <row r="519" spans="1:21" s="197" customFormat="1" ht="55.5" customHeight="1">
      <c r="A519" s="1088" t="s">
        <v>2512</v>
      </c>
      <c r="B519" s="1378">
        <v>44161</v>
      </c>
      <c r="C519" s="1088">
        <v>7</v>
      </c>
      <c r="D519" s="1088">
        <v>5</v>
      </c>
      <c r="E519" s="1086" t="s">
        <v>3287</v>
      </c>
      <c r="F519" s="1088">
        <f t="shared" si="44"/>
        <v>28</v>
      </c>
      <c r="G519" s="1417" t="s">
        <v>3455</v>
      </c>
      <c r="H519" s="1379"/>
      <c r="I519" s="1379" t="s">
        <v>551</v>
      </c>
      <c r="J519" s="1379"/>
      <c r="K519" s="255">
        <v>44139</v>
      </c>
      <c r="L519" s="255">
        <v>44196</v>
      </c>
      <c r="M519" s="1079" t="s">
        <v>4312</v>
      </c>
      <c r="N519" s="328" t="s">
        <v>1979</v>
      </c>
      <c r="O519" s="1382" t="s">
        <v>4283</v>
      </c>
      <c r="P519" s="1378">
        <v>44181</v>
      </c>
      <c r="Q519" s="1378">
        <v>44181</v>
      </c>
      <c r="R519" s="1195" t="s">
        <v>4265</v>
      </c>
      <c r="S519" s="1083"/>
      <c r="T519" s="1829"/>
      <c r="U519" s="1088"/>
    </row>
    <row r="520" spans="1:21" s="197" customFormat="1" ht="71.25" customHeight="1">
      <c r="A520" s="1088" t="s">
        <v>2512</v>
      </c>
      <c r="B520" s="1378">
        <v>44161</v>
      </c>
      <c r="C520" s="1088">
        <v>7</v>
      </c>
      <c r="D520" s="1088">
        <v>5</v>
      </c>
      <c r="E520" s="1086" t="s">
        <v>3287</v>
      </c>
      <c r="F520" s="1088">
        <f t="shared" si="44"/>
        <v>29</v>
      </c>
      <c r="G520" s="1417" t="s">
        <v>3456</v>
      </c>
      <c r="H520" s="1379"/>
      <c r="I520" s="1379" t="s">
        <v>551</v>
      </c>
      <c r="J520" s="1379"/>
      <c r="K520" s="255">
        <v>44139</v>
      </c>
      <c r="L520" s="255">
        <v>44196</v>
      </c>
      <c r="M520" s="1079" t="s">
        <v>4313</v>
      </c>
      <c r="N520" s="328" t="s">
        <v>1979</v>
      </c>
      <c r="O520" s="1382" t="s">
        <v>4283</v>
      </c>
      <c r="P520" s="1378">
        <v>44181</v>
      </c>
      <c r="Q520" s="1378">
        <v>44181</v>
      </c>
      <c r="R520" s="1195" t="s">
        <v>4265</v>
      </c>
      <c r="S520" s="1083"/>
      <c r="T520" s="1829"/>
      <c r="U520" s="1088"/>
    </row>
    <row r="521" spans="1:21" s="197" customFormat="1" ht="60.75" customHeight="1">
      <c r="A521" s="1088" t="s">
        <v>2512</v>
      </c>
      <c r="B521" s="1378">
        <v>44161</v>
      </c>
      <c r="C521" s="1088">
        <v>7</v>
      </c>
      <c r="D521" s="1088">
        <v>5</v>
      </c>
      <c r="E521" s="1086" t="s">
        <v>3284</v>
      </c>
      <c r="F521" s="1088">
        <f t="shared" si="44"/>
        <v>30</v>
      </c>
      <c r="G521" s="1417" t="s">
        <v>3457</v>
      </c>
      <c r="H521" s="1379"/>
      <c r="I521" s="1379" t="s">
        <v>551</v>
      </c>
      <c r="J521" s="1379"/>
      <c r="K521" s="255">
        <v>44153</v>
      </c>
      <c r="L521" s="255">
        <v>44191</v>
      </c>
      <c r="M521" s="1079" t="s">
        <v>4314</v>
      </c>
      <c r="N521" s="328" t="s">
        <v>1979</v>
      </c>
      <c r="O521" s="1382" t="s">
        <v>4283</v>
      </c>
      <c r="P521" s="1378">
        <v>44181</v>
      </c>
      <c r="Q521" s="1378">
        <v>44181</v>
      </c>
      <c r="R521" s="1195" t="s">
        <v>4265</v>
      </c>
      <c r="S521" s="1083"/>
      <c r="T521" s="1829"/>
      <c r="U521" s="1088"/>
    </row>
    <row r="522" spans="1:21" s="197" customFormat="1" ht="53.25" customHeight="1">
      <c r="A522" s="1088" t="s">
        <v>2512</v>
      </c>
      <c r="B522" s="1378">
        <v>44161</v>
      </c>
      <c r="C522" s="1088">
        <v>7</v>
      </c>
      <c r="D522" s="1088">
        <v>5</v>
      </c>
      <c r="E522" s="1086" t="s">
        <v>3287</v>
      </c>
      <c r="F522" s="1088">
        <f t="shared" si="44"/>
        <v>31</v>
      </c>
      <c r="G522" s="1417" t="s">
        <v>3458</v>
      </c>
      <c r="H522" s="1379"/>
      <c r="I522" s="1379" t="s">
        <v>551</v>
      </c>
      <c r="J522" s="1379"/>
      <c r="K522" s="255">
        <v>44139</v>
      </c>
      <c r="L522" s="255">
        <v>44196</v>
      </c>
      <c r="M522" s="1079" t="s">
        <v>4314</v>
      </c>
      <c r="N522" s="328" t="s">
        <v>1979</v>
      </c>
      <c r="O522" s="1382" t="s">
        <v>4283</v>
      </c>
      <c r="P522" s="1378">
        <v>44181</v>
      </c>
      <c r="Q522" s="1378">
        <v>44181</v>
      </c>
      <c r="R522" s="1195" t="s">
        <v>4265</v>
      </c>
      <c r="S522" s="1083"/>
      <c r="T522" s="1829"/>
      <c r="U522" s="1088"/>
    </row>
    <row r="523" spans="1:21" s="197" customFormat="1" ht="41.25" customHeight="1">
      <c r="A523" s="1088" t="s">
        <v>2512</v>
      </c>
      <c r="B523" s="1378">
        <v>44041</v>
      </c>
      <c r="C523" s="1088">
        <v>6</v>
      </c>
      <c r="D523" s="1088">
        <v>3</v>
      </c>
      <c r="E523" s="1086" t="s">
        <v>2770</v>
      </c>
      <c r="F523" s="1088">
        <v>1</v>
      </c>
      <c r="G523" s="1382" t="s">
        <v>3096</v>
      </c>
      <c r="H523" s="1379"/>
      <c r="I523" s="1379" t="s">
        <v>551</v>
      </c>
      <c r="J523" s="2072"/>
      <c r="K523" s="664">
        <v>43894</v>
      </c>
      <c r="L523" s="255">
        <v>43960</v>
      </c>
      <c r="M523" s="1381" t="s">
        <v>3102</v>
      </c>
      <c r="N523" s="328" t="s">
        <v>2516</v>
      </c>
      <c r="O523" s="1379" t="s">
        <v>166</v>
      </c>
      <c r="P523" s="1378">
        <f>B523</f>
        <v>44041</v>
      </c>
      <c r="Q523" s="1378">
        <f>B523</f>
        <v>44041</v>
      </c>
      <c r="R523" s="1195" t="s">
        <v>4265</v>
      </c>
      <c r="S523" s="1083" t="s">
        <v>3097</v>
      </c>
      <c r="T523" s="1829"/>
      <c r="U523" s="1088"/>
    </row>
    <row r="524" spans="1:21" s="197" customFormat="1" ht="40.5" customHeight="1">
      <c r="A524" s="1088" t="s">
        <v>2512</v>
      </c>
      <c r="B524" s="1378">
        <v>44041</v>
      </c>
      <c r="C524" s="1088">
        <v>6</v>
      </c>
      <c r="D524" s="1088">
        <v>3</v>
      </c>
      <c r="E524" s="1086" t="s">
        <v>2770</v>
      </c>
      <c r="F524" s="1088">
        <v>2</v>
      </c>
      <c r="G524" s="1382" t="s">
        <v>3098</v>
      </c>
      <c r="H524" s="1379"/>
      <c r="I524" s="1379" t="s">
        <v>551</v>
      </c>
      <c r="J524" s="2072"/>
      <c r="K524" s="664">
        <v>43894</v>
      </c>
      <c r="L524" s="255">
        <v>43960</v>
      </c>
      <c r="M524" s="1381" t="s">
        <v>3102</v>
      </c>
      <c r="N524" s="328" t="s">
        <v>2516</v>
      </c>
      <c r="O524" s="1379" t="s">
        <v>166</v>
      </c>
      <c r="P524" s="1378">
        <f>B524</f>
        <v>44041</v>
      </c>
      <c r="Q524" s="1378">
        <f>B524</f>
        <v>44041</v>
      </c>
      <c r="R524" s="1195" t="s">
        <v>4265</v>
      </c>
      <c r="S524" s="1083" t="s">
        <v>3097</v>
      </c>
      <c r="T524" s="1829"/>
      <c r="U524" s="1088"/>
    </row>
    <row r="525" spans="1:21" s="197" customFormat="1" ht="40.5" customHeight="1">
      <c r="A525" s="1088" t="s">
        <v>2512</v>
      </c>
      <c r="B525" s="1378">
        <v>44041</v>
      </c>
      <c r="C525" s="1088">
        <v>6</v>
      </c>
      <c r="D525" s="1088">
        <v>3</v>
      </c>
      <c r="E525" s="1086" t="s">
        <v>2760</v>
      </c>
      <c r="F525" s="1088">
        <v>3</v>
      </c>
      <c r="G525" s="1382" t="s">
        <v>3100</v>
      </c>
      <c r="H525" s="1379"/>
      <c r="I525" s="1379" t="s">
        <v>551</v>
      </c>
      <c r="J525" s="2072"/>
      <c r="K525" s="189">
        <v>43893</v>
      </c>
      <c r="L525" s="255">
        <v>43982</v>
      </c>
      <c r="M525" s="1381" t="s">
        <v>1611</v>
      </c>
      <c r="N525" s="328" t="s">
        <v>2542</v>
      </c>
      <c r="O525" s="1379" t="s">
        <v>166</v>
      </c>
      <c r="P525" s="1378">
        <f t="shared" ref="P525:P536" si="45">B525</f>
        <v>44041</v>
      </c>
      <c r="Q525" s="1378">
        <f t="shared" ref="Q525:Q536" si="46">B525</f>
        <v>44041</v>
      </c>
      <c r="R525" s="1195" t="s">
        <v>4265</v>
      </c>
      <c r="S525" s="1081" t="s">
        <v>2950</v>
      </c>
      <c r="T525" s="1829"/>
      <c r="U525" s="1088"/>
    </row>
    <row r="526" spans="1:21" s="197" customFormat="1" ht="51.75" customHeight="1">
      <c r="A526" s="1088" t="s">
        <v>2512</v>
      </c>
      <c r="B526" s="1378">
        <v>44041</v>
      </c>
      <c r="C526" s="1088">
        <v>6</v>
      </c>
      <c r="D526" s="1088">
        <v>3</v>
      </c>
      <c r="E526" s="1832" t="s">
        <v>3101</v>
      </c>
      <c r="F526" s="1088">
        <v>4</v>
      </c>
      <c r="G526" s="1382" t="s">
        <v>3099</v>
      </c>
      <c r="H526" s="1379"/>
      <c r="I526" s="1379" t="s">
        <v>551</v>
      </c>
      <c r="J526" s="1379"/>
      <c r="K526" s="1088" t="s">
        <v>3101</v>
      </c>
      <c r="L526" s="1088" t="s">
        <v>3101</v>
      </c>
      <c r="M526" s="1379" t="s">
        <v>2568</v>
      </c>
      <c r="N526" s="1379" t="s">
        <v>2568</v>
      </c>
      <c r="O526" s="1379" t="s">
        <v>166</v>
      </c>
      <c r="P526" s="1378">
        <f t="shared" si="45"/>
        <v>44041</v>
      </c>
      <c r="Q526" s="1378">
        <f t="shared" si="46"/>
        <v>44041</v>
      </c>
      <c r="R526" s="1195" t="s">
        <v>4265</v>
      </c>
      <c r="S526" s="1081"/>
      <c r="T526" s="1829"/>
      <c r="U526" s="1088"/>
    </row>
    <row r="527" spans="1:21" s="197" customFormat="1" ht="25.5">
      <c r="A527" s="1088" t="s">
        <v>2512</v>
      </c>
      <c r="B527" s="1378">
        <v>44041</v>
      </c>
      <c r="C527" s="1088">
        <v>6</v>
      </c>
      <c r="D527" s="1088">
        <v>3</v>
      </c>
      <c r="E527" s="1088"/>
      <c r="F527" s="1088">
        <v>5</v>
      </c>
      <c r="G527" s="1382" t="s">
        <v>3103</v>
      </c>
      <c r="H527" s="1379"/>
      <c r="I527" s="1379" t="s">
        <v>551</v>
      </c>
      <c r="J527" s="1379"/>
      <c r="K527" s="1379"/>
      <c r="L527" s="1379"/>
      <c r="M527" s="1379" t="s">
        <v>3104</v>
      </c>
      <c r="N527" s="1379" t="s">
        <v>2560</v>
      </c>
      <c r="O527" s="1379" t="s">
        <v>166</v>
      </c>
      <c r="P527" s="1378">
        <f t="shared" si="45"/>
        <v>44041</v>
      </c>
      <c r="Q527" s="1378">
        <f t="shared" si="46"/>
        <v>44041</v>
      </c>
      <c r="R527" s="1195" t="s">
        <v>4265</v>
      </c>
      <c r="S527" s="1081"/>
      <c r="T527" s="1829"/>
      <c r="U527" s="1088"/>
    </row>
    <row r="528" spans="1:21" s="197" customFormat="1" ht="25.5">
      <c r="A528" s="1088" t="s">
        <v>2512</v>
      </c>
      <c r="B528" s="1378">
        <v>44041</v>
      </c>
      <c r="C528" s="1088">
        <v>6</v>
      </c>
      <c r="D528" s="1088">
        <v>3</v>
      </c>
      <c r="E528" s="1086" t="s">
        <v>2893</v>
      </c>
      <c r="F528" s="1088">
        <v>6</v>
      </c>
      <c r="G528" s="1382" t="s">
        <v>3105</v>
      </c>
      <c r="H528" s="1379"/>
      <c r="I528" s="1379" t="s">
        <v>551</v>
      </c>
      <c r="J528" s="2072"/>
      <c r="K528" s="189">
        <v>44008</v>
      </c>
      <c r="L528" s="255">
        <v>44074</v>
      </c>
      <c r="M528" s="1381" t="s">
        <v>3106</v>
      </c>
      <c r="N528" s="1379" t="s">
        <v>2699</v>
      </c>
      <c r="O528" s="1379" t="s">
        <v>166</v>
      </c>
      <c r="P528" s="1378">
        <f t="shared" si="45"/>
        <v>44041</v>
      </c>
      <c r="Q528" s="1378">
        <f t="shared" si="46"/>
        <v>44041</v>
      </c>
      <c r="R528" s="1195" t="s">
        <v>4265</v>
      </c>
      <c r="S528" s="1081"/>
      <c r="T528" s="1829"/>
      <c r="U528" s="1088"/>
    </row>
    <row r="529" spans="1:21" s="197" customFormat="1" ht="30">
      <c r="A529" s="1088" t="s">
        <v>2512</v>
      </c>
      <c r="B529" s="1378">
        <v>44041</v>
      </c>
      <c r="C529" s="1088">
        <v>6</v>
      </c>
      <c r="D529" s="1088">
        <v>3</v>
      </c>
      <c r="E529" s="1086" t="s">
        <v>2894</v>
      </c>
      <c r="F529" s="1088">
        <v>7</v>
      </c>
      <c r="G529" s="1382" t="s">
        <v>3107</v>
      </c>
      <c r="H529" s="1379"/>
      <c r="I529" s="1379" t="s">
        <v>551</v>
      </c>
      <c r="J529" s="2072"/>
      <c r="K529" s="189">
        <v>44018</v>
      </c>
      <c r="L529" s="255">
        <v>44104</v>
      </c>
      <c r="M529" s="1379" t="s">
        <v>3108</v>
      </c>
      <c r="N529" s="1379" t="s">
        <v>2699</v>
      </c>
      <c r="O529" s="1379" t="s">
        <v>166</v>
      </c>
      <c r="P529" s="1378">
        <f t="shared" si="45"/>
        <v>44041</v>
      </c>
      <c r="Q529" s="1378">
        <f t="shared" si="46"/>
        <v>44041</v>
      </c>
      <c r="R529" s="1195" t="s">
        <v>4265</v>
      </c>
      <c r="S529" s="1081"/>
      <c r="T529" s="1829"/>
      <c r="U529" s="1088"/>
    </row>
    <row r="530" spans="1:21" s="197" customFormat="1" ht="91.5" customHeight="1">
      <c r="A530" s="1088" t="s">
        <v>2512</v>
      </c>
      <c r="B530" s="1378">
        <v>44041</v>
      </c>
      <c r="C530" s="1088">
        <v>6</v>
      </c>
      <c r="D530" s="1088">
        <v>3</v>
      </c>
      <c r="E530" s="1086" t="s">
        <v>2762</v>
      </c>
      <c r="F530" s="1088">
        <v>8</v>
      </c>
      <c r="G530" s="1382" t="s">
        <v>3109</v>
      </c>
      <c r="H530" s="1379"/>
      <c r="I530" s="1379" t="s">
        <v>551</v>
      </c>
      <c r="J530" s="2072"/>
      <c r="K530" s="189">
        <v>43945</v>
      </c>
      <c r="L530" s="255">
        <v>44098</v>
      </c>
      <c r="M530" s="1379" t="s">
        <v>2650</v>
      </c>
      <c r="N530" s="1379" t="s">
        <v>2650</v>
      </c>
      <c r="O530" s="1379" t="s">
        <v>166</v>
      </c>
      <c r="P530" s="1378">
        <f t="shared" si="45"/>
        <v>44041</v>
      </c>
      <c r="Q530" s="1378">
        <f t="shared" si="46"/>
        <v>44041</v>
      </c>
      <c r="R530" s="1195" t="s">
        <v>4265</v>
      </c>
      <c r="S530" s="1081"/>
      <c r="T530" s="1829"/>
      <c r="U530" s="1088"/>
    </row>
    <row r="531" spans="1:21" s="197" customFormat="1" ht="44.25" customHeight="1">
      <c r="A531" s="1088" t="s">
        <v>2512</v>
      </c>
      <c r="B531" s="1378">
        <v>44041</v>
      </c>
      <c r="C531" s="1088">
        <v>6</v>
      </c>
      <c r="D531" s="1088">
        <v>3</v>
      </c>
      <c r="E531" s="1086" t="s">
        <v>2864</v>
      </c>
      <c r="F531" s="1088">
        <v>9</v>
      </c>
      <c r="G531" s="1382" t="s">
        <v>3110</v>
      </c>
      <c r="H531" s="1379" t="s">
        <v>3111</v>
      </c>
      <c r="I531" s="1379" t="s">
        <v>551</v>
      </c>
      <c r="J531" s="2072"/>
      <c r="K531" s="189">
        <v>43952</v>
      </c>
      <c r="L531" s="5">
        <v>43987</v>
      </c>
      <c r="M531" s="1385" t="s">
        <v>3112</v>
      </c>
      <c r="N531" s="1379" t="s">
        <v>2574</v>
      </c>
      <c r="O531" s="1379" t="s">
        <v>166</v>
      </c>
      <c r="P531" s="1378">
        <f t="shared" si="45"/>
        <v>44041</v>
      </c>
      <c r="Q531" s="1378">
        <f t="shared" si="46"/>
        <v>44041</v>
      </c>
      <c r="R531" s="1195" t="s">
        <v>4265</v>
      </c>
      <c r="S531" s="1081"/>
      <c r="T531" s="1829"/>
      <c r="U531" s="1088"/>
    </row>
    <row r="532" spans="1:21" s="197" customFormat="1" ht="25.5">
      <c r="A532" s="1088" t="s">
        <v>2512</v>
      </c>
      <c r="B532" s="1378">
        <v>44041</v>
      </c>
      <c r="C532" s="1088">
        <v>6</v>
      </c>
      <c r="D532" s="1088">
        <v>3</v>
      </c>
      <c r="E532" s="1086" t="s">
        <v>3646</v>
      </c>
      <c r="F532" s="1088">
        <v>10</v>
      </c>
      <c r="G532" s="1382" t="s">
        <v>3113</v>
      </c>
      <c r="H532" s="1379"/>
      <c r="I532" s="1379" t="s">
        <v>551</v>
      </c>
      <c r="J532" s="1379"/>
      <c r="K532" s="1379"/>
      <c r="L532" s="1379"/>
      <c r="M532" s="1382" t="s">
        <v>3114</v>
      </c>
      <c r="N532" s="1379" t="s">
        <v>2516</v>
      </c>
      <c r="O532" s="1379" t="s">
        <v>166</v>
      </c>
      <c r="P532" s="1378">
        <f t="shared" si="45"/>
        <v>44041</v>
      </c>
      <c r="Q532" s="1378">
        <f t="shared" si="46"/>
        <v>44041</v>
      </c>
      <c r="R532" s="1195" t="s">
        <v>4265</v>
      </c>
      <c r="S532" s="1081"/>
      <c r="T532" s="1829"/>
      <c r="U532" s="1088"/>
    </row>
    <row r="533" spans="1:21" s="197" customFormat="1" ht="26.25" customHeight="1">
      <c r="A533" s="1088" t="s">
        <v>2512</v>
      </c>
      <c r="B533" s="1378">
        <v>44041</v>
      </c>
      <c r="C533" s="1088">
        <v>6</v>
      </c>
      <c r="D533" s="1088">
        <v>3</v>
      </c>
      <c r="E533" s="1086" t="s">
        <v>3646</v>
      </c>
      <c r="F533" s="1088">
        <v>11</v>
      </c>
      <c r="G533" s="1382" t="s">
        <v>3115</v>
      </c>
      <c r="H533" s="1379"/>
      <c r="I533" s="1379" t="s">
        <v>551</v>
      </c>
      <c r="J533" s="1379"/>
      <c r="K533" s="1379"/>
      <c r="L533" s="1379"/>
      <c r="M533" s="1382" t="s">
        <v>3114</v>
      </c>
      <c r="N533" s="1379" t="s">
        <v>2516</v>
      </c>
      <c r="O533" s="1379" t="s">
        <v>166</v>
      </c>
      <c r="P533" s="1378">
        <f t="shared" si="45"/>
        <v>44041</v>
      </c>
      <c r="Q533" s="1378">
        <f t="shared" si="46"/>
        <v>44041</v>
      </c>
      <c r="R533" s="1195" t="s">
        <v>4265</v>
      </c>
      <c r="S533" s="1081"/>
      <c r="T533" s="1829"/>
      <c r="U533" s="1088"/>
    </row>
    <row r="534" spans="1:21" s="197" customFormat="1" ht="38.25">
      <c r="A534" s="1088" t="s">
        <v>2512</v>
      </c>
      <c r="B534" s="1378">
        <v>44041</v>
      </c>
      <c r="C534" s="1088">
        <v>6</v>
      </c>
      <c r="D534" s="1088">
        <v>3</v>
      </c>
      <c r="E534" s="1086" t="s">
        <v>3646</v>
      </c>
      <c r="F534" s="1088">
        <v>12</v>
      </c>
      <c r="G534" s="1382" t="s">
        <v>3116</v>
      </c>
      <c r="H534" s="1379"/>
      <c r="I534" s="1379" t="s">
        <v>551</v>
      </c>
      <c r="J534" s="1379"/>
      <c r="K534" s="1379"/>
      <c r="L534" s="1379"/>
      <c r="M534" s="1382" t="s">
        <v>3114</v>
      </c>
      <c r="N534" s="1379" t="s">
        <v>2516</v>
      </c>
      <c r="O534" s="1379" t="s">
        <v>166</v>
      </c>
      <c r="P534" s="1378">
        <f t="shared" si="45"/>
        <v>44041</v>
      </c>
      <c r="Q534" s="1378">
        <f t="shared" si="46"/>
        <v>44041</v>
      </c>
      <c r="R534" s="1195" t="s">
        <v>4265</v>
      </c>
      <c r="S534" s="1081"/>
      <c r="T534" s="1829"/>
      <c r="U534" s="1088"/>
    </row>
    <row r="535" spans="1:21" s="197" customFormat="1" ht="38.25">
      <c r="A535" s="1088" t="s">
        <v>2512</v>
      </c>
      <c r="B535" s="1378">
        <v>44041</v>
      </c>
      <c r="C535" s="1088">
        <v>6</v>
      </c>
      <c r="D535" s="1088">
        <v>3</v>
      </c>
      <c r="E535" s="1086" t="s">
        <v>3066</v>
      </c>
      <c r="F535" s="1088">
        <v>13</v>
      </c>
      <c r="G535" s="1382" t="s">
        <v>3117</v>
      </c>
      <c r="H535" s="1379"/>
      <c r="I535" s="1379" t="s">
        <v>551</v>
      </c>
      <c r="J535" s="1379"/>
      <c r="K535" s="1379"/>
      <c r="L535" s="1379"/>
      <c r="M535" s="1382" t="s">
        <v>3118</v>
      </c>
      <c r="N535" s="1382" t="s">
        <v>2560</v>
      </c>
      <c r="O535" s="1379" t="s">
        <v>166</v>
      </c>
      <c r="P535" s="1378">
        <f t="shared" si="45"/>
        <v>44041</v>
      </c>
      <c r="Q535" s="1378">
        <f t="shared" si="46"/>
        <v>44041</v>
      </c>
      <c r="R535" s="1195" t="s">
        <v>4265</v>
      </c>
      <c r="S535" s="1081"/>
      <c r="T535" s="1829"/>
      <c r="U535" s="1088"/>
    </row>
    <row r="536" spans="1:21" s="197" customFormat="1" ht="30" customHeight="1">
      <c r="A536" s="1088" t="s">
        <v>2512</v>
      </c>
      <c r="B536" s="1378">
        <v>44041</v>
      </c>
      <c r="C536" s="1088">
        <v>6</v>
      </c>
      <c r="D536" s="1088">
        <v>3</v>
      </c>
      <c r="E536" s="1086" t="s">
        <v>3058</v>
      </c>
      <c r="F536" s="1088">
        <v>14</v>
      </c>
      <c r="G536" s="1382" t="s">
        <v>3119</v>
      </c>
      <c r="H536" s="1379"/>
      <c r="I536" s="1379" t="s">
        <v>551</v>
      </c>
      <c r="J536" s="1379"/>
      <c r="K536" s="1379"/>
      <c r="L536" s="1379"/>
      <c r="M536" s="1382" t="s">
        <v>3120</v>
      </c>
      <c r="N536" s="1382" t="s">
        <v>2516</v>
      </c>
      <c r="O536" s="1379" t="s">
        <v>166</v>
      </c>
      <c r="P536" s="1378">
        <f t="shared" si="45"/>
        <v>44041</v>
      </c>
      <c r="Q536" s="1378">
        <f t="shared" si="46"/>
        <v>44041</v>
      </c>
      <c r="R536" s="1195" t="s">
        <v>4265</v>
      </c>
      <c r="S536" s="1081"/>
      <c r="T536" s="1829"/>
      <c r="U536" s="1088"/>
    </row>
    <row r="537" spans="1:21" s="197" customFormat="1" ht="25.5">
      <c r="A537" s="1088" t="s">
        <v>2512</v>
      </c>
      <c r="B537" s="1378">
        <v>44041</v>
      </c>
      <c r="C537" s="1088">
        <v>6</v>
      </c>
      <c r="D537" s="1088">
        <v>4</v>
      </c>
      <c r="E537" s="1086" t="s">
        <v>3059</v>
      </c>
      <c r="F537" s="1088">
        <v>15</v>
      </c>
      <c r="G537" s="1382" t="s">
        <v>3121</v>
      </c>
      <c r="H537" s="1379"/>
      <c r="I537" s="1379" t="s">
        <v>551</v>
      </c>
      <c r="J537" s="1379"/>
      <c r="K537" s="1379"/>
      <c r="L537" s="1379"/>
      <c r="M537" s="1382" t="s">
        <v>2613</v>
      </c>
      <c r="N537" s="1382" t="s">
        <v>2613</v>
      </c>
      <c r="O537" s="1379" t="s">
        <v>166</v>
      </c>
      <c r="P537" s="1378">
        <f>B537</f>
        <v>44041</v>
      </c>
      <c r="Q537" s="1378">
        <f>B537</f>
        <v>44041</v>
      </c>
      <c r="R537" s="1195" t="s">
        <v>4265</v>
      </c>
      <c r="S537" s="1081"/>
      <c r="T537" s="1829"/>
      <c r="U537" s="1088"/>
    </row>
    <row r="538" spans="1:21" s="197" customFormat="1" ht="38.25">
      <c r="A538" s="1088" t="s">
        <v>2512</v>
      </c>
      <c r="B538" s="1378">
        <v>44041</v>
      </c>
      <c r="C538" s="1088">
        <v>6</v>
      </c>
      <c r="D538" s="1088">
        <v>4</v>
      </c>
      <c r="E538" s="1086" t="s">
        <v>2868</v>
      </c>
      <c r="F538" s="1088">
        <v>16</v>
      </c>
      <c r="G538" s="1382" t="s">
        <v>3122</v>
      </c>
      <c r="H538" s="1379"/>
      <c r="I538" s="1379" t="s">
        <v>551</v>
      </c>
      <c r="J538" s="1379"/>
      <c r="K538" s="5">
        <v>44046</v>
      </c>
      <c r="L538" s="5">
        <v>44099</v>
      </c>
      <c r="M538" s="1385" t="s">
        <v>3123</v>
      </c>
      <c r="N538" s="1382" t="s">
        <v>2516</v>
      </c>
      <c r="O538" s="1379" t="s">
        <v>166</v>
      </c>
      <c r="P538" s="1378">
        <f>B538</f>
        <v>44041</v>
      </c>
      <c r="Q538" s="1378">
        <f>B538</f>
        <v>44041</v>
      </c>
      <c r="R538" s="1195" t="s">
        <v>4265</v>
      </c>
      <c r="S538" s="1081"/>
      <c r="T538" s="1829"/>
      <c r="U538" s="1088"/>
    </row>
    <row r="539" spans="1:21" s="197" customFormat="1" ht="38.25">
      <c r="A539" s="1088" t="s">
        <v>2512</v>
      </c>
      <c r="B539" s="1378">
        <v>44041</v>
      </c>
      <c r="C539" s="1088">
        <v>6</v>
      </c>
      <c r="D539" s="1088">
        <v>4</v>
      </c>
      <c r="E539" s="1086" t="s">
        <v>2868</v>
      </c>
      <c r="F539" s="1088">
        <v>17</v>
      </c>
      <c r="G539" s="1382" t="s">
        <v>3124</v>
      </c>
      <c r="H539" s="1379"/>
      <c r="I539" s="1379" t="s">
        <v>551</v>
      </c>
      <c r="J539" s="1379"/>
      <c r="K539" s="5">
        <v>44046</v>
      </c>
      <c r="L539" s="5">
        <v>44099</v>
      </c>
      <c r="M539" s="1385" t="s">
        <v>3123</v>
      </c>
      <c r="N539" s="1382" t="s">
        <v>2516</v>
      </c>
      <c r="O539" s="1379" t="s">
        <v>166</v>
      </c>
      <c r="P539" s="1378">
        <f>B539</f>
        <v>44041</v>
      </c>
      <c r="Q539" s="1378">
        <f>B539</f>
        <v>44041</v>
      </c>
      <c r="R539" s="1195" t="s">
        <v>4265</v>
      </c>
      <c r="S539" s="1081"/>
      <c r="T539" s="1829"/>
      <c r="U539" s="1088"/>
    </row>
    <row r="540" spans="1:21" s="197" customFormat="1" ht="25.5">
      <c r="A540" s="1088" t="s">
        <v>2512</v>
      </c>
      <c r="B540" s="1378">
        <v>44041</v>
      </c>
      <c r="C540" s="1088">
        <v>6</v>
      </c>
      <c r="D540" s="1088">
        <v>4</v>
      </c>
      <c r="E540" s="1088"/>
      <c r="F540" s="1088">
        <v>18</v>
      </c>
      <c r="G540" s="1382" t="s">
        <v>3125</v>
      </c>
      <c r="H540" s="1379"/>
      <c r="I540" s="1379"/>
      <c r="J540" s="1379"/>
      <c r="K540" s="1379"/>
      <c r="L540" s="1379"/>
      <c r="M540" s="1382" t="s">
        <v>3126</v>
      </c>
      <c r="N540" s="1382" t="s">
        <v>2699</v>
      </c>
      <c r="O540" s="1379" t="s">
        <v>166</v>
      </c>
      <c r="P540" s="1378">
        <f>B540</f>
        <v>44041</v>
      </c>
      <c r="Q540" s="1378">
        <f>B540</f>
        <v>44041</v>
      </c>
      <c r="R540" s="1195" t="s">
        <v>4265</v>
      </c>
      <c r="S540" s="1081"/>
      <c r="T540" s="1829"/>
      <c r="U540" s="1088"/>
    </row>
    <row r="541" spans="1:21" s="197" customFormat="1" ht="41.25" customHeight="1">
      <c r="A541" s="1088" t="s">
        <v>2512</v>
      </c>
      <c r="B541" s="1378">
        <v>44041</v>
      </c>
      <c r="C541" s="1088">
        <v>6</v>
      </c>
      <c r="D541" s="1088">
        <v>4</v>
      </c>
      <c r="E541" s="1086" t="s">
        <v>2773</v>
      </c>
      <c r="F541" s="1088">
        <v>1</v>
      </c>
      <c r="G541" s="1382" t="s">
        <v>3127</v>
      </c>
      <c r="H541" s="1379"/>
      <c r="I541" s="1379" t="s">
        <v>551</v>
      </c>
      <c r="J541" s="1379"/>
      <c r="K541" s="255">
        <v>43962</v>
      </c>
      <c r="L541" s="255">
        <v>44054</v>
      </c>
      <c r="M541" s="1385" t="s">
        <v>3128</v>
      </c>
      <c r="N541" s="1382" t="s">
        <v>2516</v>
      </c>
      <c r="O541" s="1379" t="s">
        <v>77</v>
      </c>
      <c r="P541" s="1378">
        <f>B541</f>
        <v>44041</v>
      </c>
      <c r="Q541" s="1378">
        <f>B541</f>
        <v>44041</v>
      </c>
      <c r="R541" s="1195" t="s">
        <v>4265</v>
      </c>
      <c r="S541" s="1081"/>
      <c r="T541" s="1829"/>
      <c r="U541" s="1088"/>
    </row>
    <row r="542" spans="1:21" s="197" customFormat="1" ht="38.25">
      <c r="A542" s="1088" t="s">
        <v>2512</v>
      </c>
      <c r="B542" s="1378">
        <v>44041</v>
      </c>
      <c r="C542" s="1088">
        <v>6</v>
      </c>
      <c r="D542" s="1088">
        <v>4</v>
      </c>
      <c r="E542" s="1086" t="s">
        <v>2775</v>
      </c>
      <c r="F542" s="1088">
        <v>2</v>
      </c>
      <c r="G542" s="1382" t="s">
        <v>3129</v>
      </c>
      <c r="H542" s="1379"/>
      <c r="I542" s="1379" t="s">
        <v>551</v>
      </c>
      <c r="J542" s="1379"/>
      <c r="K542" s="5">
        <v>43984</v>
      </c>
      <c r="L542" s="5">
        <v>44040</v>
      </c>
      <c r="M542" s="1385" t="s">
        <v>3130</v>
      </c>
      <c r="N542" s="1382" t="s">
        <v>2516</v>
      </c>
      <c r="O542" s="1379" t="s">
        <v>77</v>
      </c>
      <c r="P542" s="1378">
        <f t="shared" ref="P542:P599" si="47">B542</f>
        <v>44041</v>
      </c>
      <c r="Q542" s="1378">
        <f t="shared" ref="Q542:Q599" si="48">B542</f>
        <v>44041</v>
      </c>
      <c r="R542" s="1195" t="s">
        <v>4265</v>
      </c>
      <c r="S542" s="1386" t="s">
        <v>2933</v>
      </c>
      <c r="T542" s="1829"/>
      <c r="U542" s="1088"/>
    </row>
    <row r="543" spans="1:21" s="197" customFormat="1" ht="38.25">
      <c r="A543" s="1088" t="s">
        <v>2512</v>
      </c>
      <c r="B543" s="1378">
        <v>44041</v>
      </c>
      <c r="C543" s="1088">
        <v>6</v>
      </c>
      <c r="D543" s="1088">
        <v>4</v>
      </c>
      <c r="E543" s="1086" t="s">
        <v>2775</v>
      </c>
      <c r="F543" s="1088">
        <v>3</v>
      </c>
      <c r="G543" s="1382" t="s">
        <v>3131</v>
      </c>
      <c r="H543" s="1379"/>
      <c r="I543" s="1379" t="s">
        <v>551</v>
      </c>
      <c r="J543" s="1379"/>
      <c r="K543" s="5">
        <v>43984</v>
      </c>
      <c r="L543" s="5">
        <v>44040</v>
      </c>
      <c r="M543" s="1382" t="s">
        <v>3130</v>
      </c>
      <c r="N543" s="1382" t="s">
        <v>2516</v>
      </c>
      <c r="O543" s="1379" t="s">
        <v>77</v>
      </c>
      <c r="P543" s="1378">
        <f t="shared" si="47"/>
        <v>44041</v>
      </c>
      <c r="Q543" s="1378">
        <f t="shared" si="48"/>
        <v>44041</v>
      </c>
      <c r="R543" s="1195" t="s">
        <v>4265</v>
      </c>
      <c r="S543" s="1386" t="s">
        <v>2933</v>
      </c>
      <c r="T543" s="1829"/>
      <c r="U543" s="1088"/>
    </row>
    <row r="544" spans="1:21" s="197" customFormat="1" ht="84" customHeight="1">
      <c r="A544" s="1088" t="s">
        <v>2512</v>
      </c>
      <c r="B544" s="1378">
        <v>44041</v>
      </c>
      <c r="C544" s="1088">
        <v>6</v>
      </c>
      <c r="D544" s="1088">
        <v>4</v>
      </c>
      <c r="E544" s="1086" t="s">
        <v>2775</v>
      </c>
      <c r="F544" s="1088">
        <v>4</v>
      </c>
      <c r="G544" s="1382" t="s">
        <v>3132</v>
      </c>
      <c r="H544" s="1379"/>
      <c r="I544" s="1379" t="s">
        <v>551</v>
      </c>
      <c r="J544" s="1379"/>
      <c r="K544" s="5">
        <v>43984</v>
      </c>
      <c r="L544" s="5">
        <v>44040</v>
      </c>
      <c r="M544" s="1382" t="s">
        <v>3130</v>
      </c>
      <c r="N544" s="1382" t="s">
        <v>2516</v>
      </c>
      <c r="O544" s="1379" t="s">
        <v>77</v>
      </c>
      <c r="P544" s="1378">
        <f t="shared" si="47"/>
        <v>44041</v>
      </c>
      <c r="Q544" s="1378">
        <f t="shared" si="48"/>
        <v>44041</v>
      </c>
      <c r="R544" s="1195" t="s">
        <v>4265</v>
      </c>
      <c r="S544" s="1386" t="s">
        <v>2933</v>
      </c>
      <c r="T544" s="1829"/>
      <c r="U544" s="1088"/>
    </row>
    <row r="545" spans="1:21" s="197" customFormat="1" ht="38.25">
      <c r="A545" s="1088" t="s">
        <v>2512</v>
      </c>
      <c r="B545" s="1378">
        <v>44041</v>
      </c>
      <c r="C545" s="1088">
        <v>6</v>
      </c>
      <c r="D545" s="1088">
        <v>4</v>
      </c>
      <c r="E545" s="1086" t="s">
        <v>2776</v>
      </c>
      <c r="F545" s="1088">
        <v>5</v>
      </c>
      <c r="G545" s="1382" t="s">
        <v>3135</v>
      </c>
      <c r="H545" s="1379"/>
      <c r="I545" s="1379" t="s">
        <v>551</v>
      </c>
      <c r="J545" s="1379"/>
      <c r="K545" s="5">
        <v>43984</v>
      </c>
      <c r="L545" s="5">
        <v>44040</v>
      </c>
      <c r="M545" s="1385" t="s">
        <v>3134</v>
      </c>
      <c r="N545" s="1382" t="s">
        <v>2516</v>
      </c>
      <c r="O545" s="1379" t="s">
        <v>77</v>
      </c>
      <c r="P545" s="1378">
        <f t="shared" si="47"/>
        <v>44041</v>
      </c>
      <c r="Q545" s="1378">
        <f t="shared" si="48"/>
        <v>44041</v>
      </c>
      <c r="R545" s="1195" t="s">
        <v>4265</v>
      </c>
      <c r="S545" s="1387" t="s">
        <v>2931</v>
      </c>
      <c r="T545" s="1830"/>
      <c r="U545" s="1088"/>
    </row>
    <row r="546" spans="1:21" s="197" customFormat="1" ht="38.25">
      <c r="A546" s="1088" t="s">
        <v>2512</v>
      </c>
      <c r="B546" s="1378">
        <v>44041</v>
      </c>
      <c r="C546" s="1088">
        <v>6</v>
      </c>
      <c r="D546" s="1088">
        <v>4</v>
      </c>
      <c r="E546" s="1086" t="s">
        <v>2776</v>
      </c>
      <c r="F546" s="1088">
        <v>6</v>
      </c>
      <c r="G546" s="1382" t="s">
        <v>3133</v>
      </c>
      <c r="H546" s="1379"/>
      <c r="I546" s="1379" t="s">
        <v>551</v>
      </c>
      <c r="J546" s="1379"/>
      <c r="K546" s="5">
        <v>43984</v>
      </c>
      <c r="L546" s="5">
        <v>44040</v>
      </c>
      <c r="M546" s="1385" t="s">
        <v>3134</v>
      </c>
      <c r="N546" s="1382" t="s">
        <v>2516</v>
      </c>
      <c r="O546" s="1379" t="s">
        <v>77</v>
      </c>
      <c r="P546" s="1378">
        <f t="shared" si="47"/>
        <v>44041</v>
      </c>
      <c r="Q546" s="1378">
        <f t="shared" si="48"/>
        <v>44041</v>
      </c>
      <c r="R546" s="1195" t="s">
        <v>4265</v>
      </c>
      <c r="S546" s="1387" t="s">
        <v>2931</v>
      </c>
      <c r="T546" s="1830"/>
      <c r="U546" s="1088"/>
    </row>
    <row r="547" spans="1:21" s="197" customFormat="1" ht="38.25">
      <c r="A547" s="1088" t="s">
        <v>2512</v>
      </c>
      <c r="B547" s="1378">
        <v>44041</v>
      </c>
      <c r="C547" s="1088">
        <v>6</v>
      </c>
      <c r="D547" s="1088">
        <v>4</v>
      </c>
      <c r="E547" s="1086" t="s">
        <v>2776</v>
      </c>
      <c r="F547" s="1088">
        <v>7</v>
      </c>
      <c r="G547" s="1382" t="s">
        <v>3136</v>
      </c>
      <c r="H547" s="1379"/>
      <c r="I547" s="1379" t="s">
        <v>551</v>
      </c>
      <c r="J547" s="1379"/>
      <c r="K547" s="5">
        <v>43984</v>
      </c>
      <c r="L547" s="5">
        <v>44040</v>
      </c>
      <c r="M547" s="1385" t="s">
        <v>3134</v>
      </c>
      <c r="N547" s="1382" t="s">
        <v>2516</v>
      </c>
      <c r="O547" s="1379" t="s">
        <v>77</v>
      </c>
      <c r="P547" s="1378">
        <f t="shared" si="47"/>
        <v>44041</v>
      </c>
      <c r="Q547" s="1378">
        <f t="shared" si="48"/>
        <v>44041</v>
      </c>
      <c r="R547" s="1195" t="s">
        <v>4265</v>
      </c>
      <c r="S547" s="1387" t="s">
        <v>2931</v>
      </c>
      <c r="T547" s="1830"/>
      <c r="U547" s="1088"/>
    </row>
    <row r="548" spans="1:21" s="197" customFormat="1" ht="42" customHeight="1">
      <c r="A548" s="1088" t="s">
        <v>2512</v>
      </c>
      <c r="B548" s="1378">
        <v>44041</v>
      </c>
      <c r="C548" s="1088">
        <v>6</v>
      </c>
      <c r="D548" s="1088">
        <v>4</v>
      </c>
      <c r="E548" s="1086" t="s">
        <v>2866</v>
      </c>
      <c r="F548" s="1088">
        <v>8</v>
      </c>
      <c r="G548" s="1382" t="s">
        <v>3137</v>
      </c>
      <c r="H548" s="1379"/>
      <c r="I548" s="1379" t="s">
        <v>551</v>
      </c>
      <c r="J548" s="1379"/>
      <c r="K548" s="255">
        <v>43997</v>
      </c>
      <c r="L548" s="255">
        <v>44011</v>
      </c>
      <c r="M548" s="1385" t="s">
        <v>3138</v>
      </c>
      <c r="N548" s="1382" t="s">
        <v>2516</v>
      </c>
      <c r="O548" s="1379" t="s">
        <v>77</v>
      </c>
      <c r="P548" s="1378">
        <f t="shared" si="47"/>
        <v>44041</v>
      </c>
      <c r="Q548" s="1378">
        <f t="shared" si="48"/>
        <v>44041</v>
      </c>
      <c r="R548" s="1195" t="s">
        <v>4265</v>
      </c>
      <c r="S548" s="1386" t="s">
        <v>2932</v>
      </c>
      <c r="T548" s="1829"/>
      <c r="U548" s="1088"/>
    </row>
    <row r="549" spans="1:21" s="197" customFormat="1" ht="25.5">
      <c r="A549" s="1088" t="s">
        <v>2512</v>
      </c>
      <c r="B549" s="1378">
        <v>44041</v>
      </c>
      <c r="C549" s="1088">
        <v>6</v>
      </c>
      <c r="D549" s="1088">
        <v>4</v>
      </c>
      <c r="E549" s="1086" t="s">
        <v>2866</v>
      </c>
      <c r="F549" s="1088">
        <v>9</v>
      </c>
      <c r="G549" s="1382" t="s">
        <v>3139</v>
      </c>
      <c r="H549" s="1379"/>
      <c r="I549" s="1379" t="s">
        <v>551</v>
      </c>
      <c r="J549" s="1379"/>
      <c r="K549" s="255">
        <v>43997</v>
      </c>
      <c r="L549" s="255">
        <v>44011</v>
      </c>
      <c r="M549" s="1385" t="s">
        <v>3138</v>
      </c>
      <c r="N549" s="1382" t="s">
        <v>2516</v>
      </c>
      <c r="O549" s="1379" t="s">
        <v>77</v>
      </c>
      <c r="P549" s="1378">
        <f t="shared" si="47"/>
        <v>44041</v>
      </c>
      <c r="Q549" s="1378">
        <f t="shared" si="48"/>
        <v>44041</v>
      </c>
      <c r="R549" s="1195" t="s">
        <v>4265</v>
      </c>
      <c r="S549" s="1386" t="s">
        <v>2932</v>
      </c>
      <c r="T549" s="1829"/>
      <c r="U549" s="1088"/>
    </row>
    <row r="550" spans="1:21" s="197" customFormat="1" ht="40.5" customHeight="1">
      <c r="A550" s="1088" t="s">
        <v>2512</v>
      </c>
      <c r="B550" s="1378">
        <v>44041</v>
      </c>
      <c r="C550" s="1088">
        <v>6</v>
      </c>
      <c r="D550" s="1088">
        <v>4</v>
      </c>
      <c r="E550" s="1086" t="s">
        <v>2866</v>
      </c>
      <c r="F550" s="1088">
        <v>10</v>
      </c>
      <c r="G550" s="1382" t="s">
        <v>3140</v>
      </c>
      <c r="H550" s="1379"/>
      <c r="I550" s="1379" t="s">
        <v>551</v>
      </c>
      <c r="J550" s="1379"/>
      <c r="K550" s="255">
        <v>43997</v>
      </c>
      <c r="L550" s="255">
        <v>44011</v>
      </c>
      <c r="M550" s="1385" t="s">
        <v>3138</v>
      </c>
      <c r="N550" s="1382" t="s">
        <v>2516</v>
      </c>
      <c r="O550" s="1379" t="s">
        <v>77</v>
      </c>
      <c r="P550" s="1378">
        <f t="shared" si="47"/>
        <v>44041</v>
      </c>
      <c r="Q550" s="1378">
        <f t="shared" si="48"/>
        <v>44041</v>
      </c>
      <c r="R550" s="1195" t="s">
        <v>4265</v>
      </c>
      <c r="S550" s="1386" t="s">
        <v>2932</v>
      </c>
      <c r="T550" s="1829"/>
      <c r="U550" s="1088"/>
    </row>
    <row r="551" spans="1:21" s="197" customFormat="1" ht="38.25">
      <c r="A551" s="1088" t="s">
        <v>2512</v>
      </c>
      <c r="B551" s="1378">
        <v>44041</v>
      </c>
      <c r="C551" s="1088">
        <v>6</v>
      </c>
      <c r="D551" s="1088">
        <v>4</v>
      </c>
      <c r="E551" s="1086" t="s">
        <v>2778</v>
      </c>
      <c r="F551" s="1088">
        <v>11</v>
      </c>
      <c r="G551" s="1382" t="s">
        <v>3141</v>
      </c>
      <c r="H551" s="1379"/>
      <c r="I551" s="1379" t="s">
        <v>551</v>
      </c>
      <c r="J551" s="1379"/>
      <c r="K551" s="5">
        <v>44032</v>
      </c>
      <c r="L551" s="5">
        <v>44063</v>
      </c>
      <c r="M551" s="1385" t="s">
        <v>3142</v>
      </c>
      <c r="N551" s="1382" t="s">
        <v>2516</v>
      </c>
      <c r="O551" s="1379" t="s">
        <v>77</v>
      </c>
      <c r="P551" s="1378">
        <f t="shared" si="47"/>
        <v>44041</v>
      </c>
      <c r="Q551" s="1378">
        <f t="shared" si="48"/>
        <v>44041</v>
      </c>
      <c r="R551" s="1195" t="s">
        <v>4265</v>
      </c>
      <c r="S551" s="1386" t="s">
        <v>2921</v>
      </c>
      <c r="T551" s="1829"/>
      <c r="U551" s="1088"/>
    </row>
    <row r="552" spans="1:21" s="197" customFormat="1" ht="50.25" customHeight="1">
      <c r="A552" s="1088" t="s">
        <v>2512</v>
      </c>
      <c r="B552" s="1378">
        <v>44041</v>
      </c>
      <c r="C552" s="1088">
        <v>6</v>
      </c>
      <c r="D552" s="1088">
        <v>4</v>
      </c>
      <c r="E552" s="1086" t="s">
        <v>2865</v>
      </c>
      <c r="F552" s="1088">
        <v>12</v>
      </c>
      <c r="G552" s="1382" t="s">
        <v>3143</v>
      </c>
      <c r="H552" s="1379"/>
      <c r="I552" s="1379" t="s">
        <v>551</v>
      </c>
      <c r="J552" s="1379"/>
      <c r="K552" s="5">
        <v>43990</v>
      </c>
      <c r="L552" s="5">
        <v>44057</v>
      </c>
      <c r="M552" s="1385" t="s">
        <v>3144</v>
      </c>
      <c r="N552" s="1382" t="s">
        <v>2516</v>
      </c>
      <c r="O552" s="1379" t="s">
        <v>77</v>
      </c>
      <c r="P552" s="1378">
        <f t="shared" si="47"/>
        <v>44041</v>
      </c>
      <c r="Q552" s="1378">
        <f t="shared" si="48"/>
        <v>44041</v>
      </c>
      <c r="R552" s="1195" t="s">
        <v>4265</v>
      </c>
      <c r="S552" s="1081"/>
      <c r="T552" s="1829"/>
      <c r="U552" s="1088"/>
    </row>
    <row r="553" spans="1:21" s="197" customFormat="1" ht="38.25">
      <c r="A553" s="1088" t="s">
        <v>2512</v>
      </c>
      <c r="B553" s="1378">
        <v>44041</v>
      </c>
      <c r="C553" s="1088">
        <v>6</v>
      </c>
      <c r="D553" s="1088">
        <v>4</v>
      </c>
      <c r="E553" s="1086" t="s">
        <v>2865</v>
      </c>
      <c r="F553" s="1088">
        <v>13</v>
      </c>
      <c r="G553" s="1382" t="s">
        <v>3146</v>
      </c>
      <c r="H553" s="1379"/>
      <c r="I553" s="1379" t="s">
        <v>551</v>
      </c>
      <c r="J553" s="1379"/>
      <c r="K553" s="5">
        <v>43990</v>
      </c>
      <c r="L553" s="5">
        <v>44057</v>
      </c>
      <c r="M553" s="1382" t="s">
        <v>3144</v>
      </c>
      <c r="N553" s="1382" t="s">
        <v>2516</v>
      </c>
      <c r="O553" s="1379" t="s">
        <v>77</v>
      </c>
      <c r="P553" s="1378">
        <f t="shared" si="47"/>
        <v>44041</v>
      </c>
      <c r="Q553" s="1378">
        <f t="shared" si="48"/>
        <v>44041</v>
      </c>
      <c r="R553" s="1195" t="s">
        <v>4265</v>
      </c>
      <c r="S553" s="1081"/>
      <c r="T553" s="1829"/>
      <c r="U553" s="1088"/>
    </row>
    <row r="554" spans="1:21" s="197" customFormat="1" ht="38.25">
      <c r="A554" s="1088" t="s">
        <v>2512</v>
      </c>
      <c r="B554" s="1378">
        <v>44041</v>
      </c>
      <c r="C554" s="1088">
        <v>6</v>
      </c>
      <c r="D554" s="1088">
        <v>4</v>
      </c>
      <c r="E554" s="1086" t="s">
        <v>2865</v>
      </c>
      <c r="F554" s="1088">
        <v>14</v>
      </c>
      <c r="G554" s="1382" t="s">
        <v>3145</v>
      </c>
      <c r="H554" s="1379"/>
      <c r="I554" s="1379" t="s">
        <v>551</v>
      </c>
      <c r="J554" s="1379"/>
      <c r="K554" s="5">
        <v>43990</v>
      </c>
      <c r="L554" s="5">
        <v>44057</v>
      </c>
      <c r="M554" s="1382" t="s">
        <v>3144</v>
      </c>
      <c r="N554" s="1382" t="s">
        <v>2516</v>
      </c>
      <c r="O554" s="1379" t="s">
        <v>77</v>
      </c>
      <c r="P554" s="1378">
        <f t="shared" si="47"/>
        <v>44041</v>
      </c>
      <c r="Q554" s="1378">
        <f t="shared" si="48"/>
        <v>44041</v>
      </c>
      <c r="R554" s="1195" t="s">
        <v>4265</v>
      </c>
      <c r="S554" s="1081"/>
      <c r="T554" s="1829"/>
      <c r="U554" s="1088"/>
    </row>
    <row r="555" spans="1:21" s="197" customFormat="1" ht="51" customHeight="1">
      <c r="A555" s="1088" t="s">
        <v>2512</v>
      </c>
      <c r="B555" s="1378">
        <v>44041</v>
      </c>
      <c r="C555" s="1088">
        <v>6</v>
      </c>
      <c r="D555" s="1088">
        <v>4</v>
      </c>
      <c r="E555" s="1086" t="s">
        <v>2865</v>
      </c>
      <c r="F555" s="1088">
        <v>15</v>
      </c>
      <c r="G555" s="1382" t="s">
        <v>3149</v>
      </c>
      <c r="H555" s="1379"/>
      <c r="I555" s="1379" t="s">
        <v>551</v>
      </c>
      <c r="J555" s="1379"/>
      <c r="K555" s="1379"/>
      <c r="L555" s="1379"/>
      <c r="M555" s="1382" t="s">
        <v>3150</v>
      </c>
      <c r="N555" s="1382" t="s">
        <v>2516</v>
      </c>
      <c r="O555" s="1379" t="s">
        <v>77</v>
      </c>
      <c r="P555" s="1378">
        <f t="shared" si="47"/>
        <v>44041</v>
      </c>
      <c r="Q555" s="1378">
        <f t="shared" si="48"/>
        <v>44041</v>
      </c>
      <c r="R555" s="1195" t="s">
        <v>4265</v>
      </c>
      <c r="S555" s="1081"/>
      <c r="T555" s="1829"/>
      <c r="U555" s="1088"/>
    </row>
    <row r="556" spans="1:21" s="197" customFormat="1" ht="38.25">
      <c r="A556" s="1088" t="s">
        <v>2512</v>
      </c>
      <c r="B556" s="1378">
        <v>44041</v>
      </c>
      <c r="C556" s="1088">
        <v>6</v>
      </c>
      <c r="D556" s="1088">
        <v>4</v>
      </c>
      <c r="E556" s="1086" t="s">
        <v>2867</v>
      </c>
      <c r="F556" s="1088">
        <v>16</v>
      </c>
      <c r="G556" s="1382" t="s">
        <v>3151</v>
      </c>
      <c r="H556" s="1379"/>
      <c r="I556" s="1379" t="s">
        <v>551</v>
      </c>
      <c r="J556" s="1379"/>
      <c r="K556" s="5">
        <v>44000</v>
      </c>
      <c r="L556" s="5">
        <v>44030</v>
      </c>
      <c r="M556" s="1385" t="s">
        <v>3150</v>
      </c>
      <c r="N556" s="1382" t="s">
        <v>2516</v>
      </c>
      <c r="O556" s="1379" t="s">
        <v>77</v>
      </c>
      <c r="P556" s="1378">
        <f t="shared" si="47"/>
        <v>44041</v>
      </c>
      <c r="Q556" s="1378">
        <f t="shared" si="48"/>
        <v>44041</v>
      </c>
      <c r="R556" s="1195" t="s">
        <v>4265</v>
      </c>
      <c r="S556" s="1081"/>
      <c r="T556" s="1829"/>
      <c r="U556" s="1088"/>
    </row>
    <row r="557" spans="1:21" s="197" customFormat="1" ht="27.75" customHeight="1">
      <c r="A557" s="1088" t="s">
        <v>2512</v>
      </c>
      <c r="B557" s="1378">
        <v>44041</v>
      </c>
      <c r="C557" s="1088">
        <v>6</v>
      </c>
      <c r="D557" s="1088">
        <v>4</v>
      </c>
      <c r="E557" s="1088"/>
      <c r="F557" s="1088">
        <v>17</v>
      </c>
      <c r="G557" s="1382" t="s">
        <v>3152</v>
      </c>
      <c r="H557" s="1379"/>
      <c r="I557" s="1379"/>
      <c r="J557" s="1379"/>
      <c r="K557" s="1379"/>
      <c r="L557" s="1379"/>
      <c r="M557" s="1382" t="s">
        <v>3114</v>
      </c>
      <c r="N557" s="1382" t="s">
        <v>2516</v>
      </c>
      <c r="O557" s="1379" t="s">
        <v>77</v>
      </c>
      <c r="P557" s="1378">
        <f t="shared" si="47"/>
        <v>44041</v>
      </c>
      <c r="Q557" s="1378">
        <f t="shared" si="48"/>
        <v>44041</v>
      </c>
      <c r="R557" s="1195" t="s">
        <v>4265</v>
      </c>
      <c r="S557" s="1081"/>
      <c r="T557" s="1829"/>
      <c r="U557" s="1088"/>
    </row>
    <row r="558" spans="1:21" s="197" customFormat="1" ht="38.25">
      <c r="A558" s="1088" t="s">
        <v>2512</v>
      </c>
      <c r="B558" s="1378">
        <v>44041</v>
      </c>
      <c r="C558" s="1088">
        <v>6</v>
      </c>
      <c r="D558" s="1088">
        <v>4</v>
      </c>
      <c r="E558" s="1088"/>
      <c r="F558" s="1088">
        <v>18</v>
      </c>
      <c r="G558" s="1382" t="s">
        <v>3153</v>
      </c>
      <c r="H558" s="1379"/>
      <c r="I558" s="1379" t="s">
        <v>2344</v>
      </c>
      <c r="J558" s="1379"/>
      <c r="K558" s="1379"/>
      <c r="L558" s="1379"/>
      <c r="M558" s="1382" t="s">
        <v>3154</v>
      </c>
      <c r="N558" s="1382" t="s">
        <v>2516</v>
      </c>
      <c r="O558" s="1379" t="s">
        <v>77</v>
      </c>
      <c r="P558" s="1378">
        <f t="shared" si="47"/>
        <v>44041</v>
      </c>
      <c r="Q558" s="1378">
        <f t="shared" si="48"/>
        <v>44041</v>
      </c>
      <c r="R558" s="1195" t="s">
        <v>4265</v>
      </c>
      <c r="S558" s="1081"/>
      <c r="T558" s="1829"/>
      <c r="U558" s="1088"/>
    </row>
    <row r="559" spans="1:21" s="197" customFormat="1" ht="38.25">
      <c r="A559" s="1088" t="s">
        <v>2512</v>
      </c>
      <c r="B559" s="1378">
        <v>44041</v>
      </c>
      <c r="C559" s="1088">
        <v>6</v>
      </c>
      <c r="D559" s="1088">
        <v>4</v>
      </c>
      <c r="E559" s="1088"/>
      <c r="F559" s="1088">
        <v>19</v>
      </c>
      <c r="G559" s="1382" t="s">
        <v>3155</v>
      </c>
      <c r="H559" s="1379"/>
      <c r="I559" s="1379" t="s">
        <v>2344</v>
      </c>
      <c r="J559" s="1379"/>
      <c r="K559" s="1379"/>
      <c r="L559" s="1379"/>
      <c r="M559" s="1382" t="s">
        <v>3154</v>
      </c>
      <c r="N559" s="1382" t="s">
        <v>2516</v>
      </c>
      <c r="O559" s="1379" t="s">
        <v>77</v>
      </c>
      <c r="P559" s="1378">
        <f t="shared" si="47"/>
        <v>44041</v>
      </c>
      <c r="Q559" s="1378">
        <f t="shared" si="48"/>
        <v>44041</v>
      </c>
      <c r="R559" s="1195" t="s">
        <v>4265</v>
      </c>
      <c r="S559" s="1081"/>
      <c r="T559" s="1829"/>
      <c r="U559" s="1088"/>
    </row>
    <row r="560" spans="1:21" s="197" customFormat="1" ht="38.25">
      <c r="A560" s="1088" t="s">
        <v>2512</v>
      </c>
      <c r="B560" s="1378">
        <v>44041</v>
      </c>
      <c r="C560" s="1088">
        <v>6</v>
      </c>
      <c r="D560" s="1088">
        <v>4</v>
      </c>
      <c r="E560" s="1088"/>
      <c r="F560" s="1088">
        <v>20</v>
      </c>
      <c r="G560" s="1382" t="s">
        <v>3156</v>
      </c>
      <c r="H560" s="1379"/>
      <c r="I560" s="1379" t="s">
        <v>2344</v>
      </c>
      <c r="J560" s="1379"/>
      <c r="K560" s="1379"/>
      <c r="L560" s="1379"/>
      <c r="M560" s="1382" t="s">
        <v>3154</v>
      </c>
      <c r="N560" s="1382" t="s">
        <v>2516</v>
      </c>
      <c r="O560" s="1379" t="s">
        <v>77</v>
      </c>
      <c r="P560" s="1378">
        <f t="shared" si="47"/>
        <v>44041</v>
      </c>
      <c r="Q560" s="1378">
        <f t="shared" si="48"/>
        <v>44041</v>
      </c>
      <c r="R560" s="1195" t="s">
        <v>4265</v>
      </c>
      <c r="S560" s="1081"/>
      <c r="T560" s="1829"/>
      <c r="U560" s="1088"/>
    </row>
    <row r="561" spans="1:21" s="197" customFormat="1" ht="52.5" customHeight="1">
      <c r="A561" s="1088" t="s">
        <v>2512</v>
      </c>
      <c r="B561" s="1378">
        <v>44041</v>
      </c>
      <c r="C561" s="1088">
        <v>6</v>
      </c>
      <c r="D561" s="1088">
        <v>4</v>
      </c>
      <c r="E561" s="1088"/>
      <c r="F561" s="1088">
        <v>21</v>
      </c>
      <c r="G561" s="1382" t="s">
        <v>3157</v>
      </c>
      <c r="H561" s="1379"/>
      <c r="I561" s="1379"/>
      <c r="J561" s="1379"/>
      <c r="K561" s="1379"/>
      <c r="L561" s="1379"/>
      <c r="M561" s="1382" t="s">
        <v>3158</v>
      </c>
      <c r="N561" s="1382" t="s">
        <v>2516</v>
      </c>
      <c r="O561" s="1379" t="s">
        <v>77</v>
      </c>
      <c r="P561" s="1378">
        <f t="shared" si="47"/>
        <v>44041</v>
      </c>
      <c r="Q561" s="1378">
        <f t="shared" si="48"/>
        <v>44041</v>
      </c>
      <c r="R561" s="1195" t="s">
        <v>4265</v>
      </c>
      <c r="S561" s="1081"/>
      <c r="T561" s="1829"/>
      <c r="U561" s="1088"/>
    </row>
    <row r="562" spans="1:21" s="197" customFormat="1" ht="38.25">
      <c r="A562" s="1088" t="s">
        <v>2512</v>
      </c>
      <c r="B562" s="1378">
        <v>44041</v>
      </c>
      <c r="C562" s="1088">
        <v>6</v>
      </c>
      <c r="D562" s="1088">
        <v>4</v>
      </c>
      <c r="E562" s="1088"/>
      <c r="F562" s="1088">
        <v>22</v>
      </c>
      <c r="G562" s="1382" t="s">
        <v>3160</v>
      </c>
      <c r="H562" s="1379"/>
      <c r="I562" s="1379"/>
      <c r="J562" s="1379"/>
      <c r="K562" s="1379"/>
      <c r="L562" s="1379"/>
      <c r="M562" s="1382" t="s">
        <v>3159</v>
      </c>
      <c r="N562" s="1382" t="s">
        <v>2516</v>
      </c>
      <c r="O562" s="1379" t="s">
        <v>77</v>
      </c>
      <c r="P562" s="1378">
        <f t="shared" si="47"/>
        <v>44041</v>
      </c>
      <c r="Q562" s="1378">
        <f t="shared" si="48"/>
        <v>44041</v>
      </c>
      <c r="R562" s="1195" t="s">
        <v>4265</v>
      </c>
      <c r="S562" s="1081"/>
      <c r="T562" s="1829"/>
      <c r="U562" s="1088"/>
    </row>
    <row r="563" spans="1:21" s="197" customFormat="1" ht="38.25">
      <c r="A563" s="1088" t="s">
        <v>2512</v>
      </c>
      <c r="B563" s="1378">
        <v>44041</v>
      </c>
      <c r="C563" s="1088">
        <v>6</v>
      </c>
      <c r="D563" s="1088">
        <v>4</v>
      </c>
      <c r="E563" s="1088"/>
      <c r="F563" s="1088">
        <v>23</v>
      </c>
      <c r="G563" s="1382" t="s">
        <v>3161</v>
      </c>
      <c r="H563" s="1379"/>
      <c r="I563" s="1379"/>
      <c r="J563" s="1379"/>
      <c r="K563" s="1379"/>
      <c r="L563" s="1379"/>
      <c r="M563" s="1382" t="s">
        <v>3159</v>
      </c>
      <c r="N563" s="1382" t="s">
        <v>2516</v>
      </c>
      <c r="O563" s="1379" t="s">
        <v>77</v>
      </c>
      <c r="P563" s="1378">
        <f t="shared" si="47"/>
        <v>44041</v>
      </c>
      <c r="Q563" s="1378">
        <f t="shared" si="48"/>
        <v>44041</v>
      </c>
      <c r="R563" s="1195" t="s">
        <v>4265</v>
      </c>
      <c r="S563" s="1081"/>
      <c r="T563" s="1829"/>
      <c r="U563" s="1088"/>
    </row>
    <row r="564" spans="1:21" s="197" customFormat="1" ht="38.25">
      <c r="A564" s="1088" t="s">
        <v>2512</v>
      </c>
      <c r="B564" s="1378">
        <v>44041</v>
      </c>
      <c r="C564" s="1088">
        <v>6</v>
      </c>
      <c r="D564" s="1088">
        <v>4</v>
      </c>
      <c r="E564" s="1088"/>
      <c r="F564" s="1088">
        <v>24</v>
      </c>
      <c r="G564" s="1382" t="s">
        <v>3162</v>
      </c>
      <c r="H564" s="1379"/>
      <c r="I564" s="1379"/>
      <c r="J564" s="1379"/>
      <c r="K564" s="1379"/>
      <c r="L564" s="1379"/>
      <c r="M564" s="1382" t="s">
        <v>3159</v>
      </c>
      <c r="N564" s="1382" t="s">
        <v>2516</v>
      </c>
      <c r="O564" s="1379" t="s">
        <v>77</v>
      </c>
      <c r="P564" s="1378">
        <f t="shared" si="47"/>
        <v>44041</v>
      </c>
      <c r="Q564" s="1378">
        <f t="shared" si="48"/>
        <v>44041</v>
      </c>
      <c r="R564" s="1195" t="s">
        <v>4265</v>
      </c>
      <c r="S564" s="1081"/>
      <c r="T564" s="1829"/>
      <c r="U564" s="1088"/>
    </row>
    <row r="565" spans="1:21" s="197" customFormat="1" ht="41.25" customHeight="1">
      <c r="A565" s="1088" t="s">
        <v>2512</v>
      </c>
      <c r="B565" s="1378">
        <v>44041</v>
      </c>
      <c r="C565" s="1088">
        <v>6</v>
      </c>
      <c r="D565" s="1088">
        <v>4</v>
      </c>
      <c r="E565" s="1088"/>
      <c r="F565" s="1088">
        <v>25</v>
      </c>
      <c r="G565" s="1382" t="s">
        <v>3163</v>
      </c>
      <c r="H565" s="1379"/>
      <c r="I565" s="1379"/>
      <c r="J565" s="1379"/>
      <c r="K565" s="1379"/>
      <c r="L565" s="1379"/>
      <c r="M565" s="1382" t="s">
        <v>3164</v>
      </c>
      <c r="N565" s="1382" t="s">
        <v>2516</v>
      </c>
      <c r="O565" s="1379" t="s">
        <v>77</v>
      </c>
      <c r="P565" s="1378">
        <f t="shared" si="47"/>
        <v>44041</v>
      </c>
      <c r="Q565" s="1378">
        <f t="shared" si="48"/>
        <v>44041</v>
      </c>
      <c r="R565" s="1195" t="s">
        <v>4265</v>
      </c>
      <c r="S565" s="1081"/>
      <c r="T565" s="1829"/>
      <c r="U565" s="1088"/>
    </row>
    <row r="566" spans="1:21" s="197" customFormat="1" ht="53.25" customHeight="1">
      <c r="A566" s="1088" t="s">
        <v>2512</v>
      </c>
      <c r="B566" s="1378">
        <v>44041</v>
      </c>
      <c r="C566" s="1088">
        <v>6</v>
      </c>
      <c r="D566" s="1088">
        <v>4</v>
      </c>
      <c r="E566" s="1086" t="s">
        <v>2771</v>
      </c>
      <c r="F566" s="1088">
        <v>26</v>
      </c>
      <c r="G566" s="1382" t="s">
        <v>3167</v>
      </c>
      <c r="H566" s="1384" t="s">
        <v>3165</v>
      </c>
      <c r="I566" s="1379" t="s">
        <v>551</v>
      </c>
      <c r="J566" s="2072"/>
      <c r="K566" s="664">
        <v>43937</v>
      </c>
      <c r="L566" s="255">
        <v>43958</v>
      </c>
      <c r="M566" s="1385" t="s">
        <v>3166</v>
      </c>
      <c r="N566" s="1382" t="s">
        <v>2574</v>
      </c>
      <c r="O566" s="1379" t="s">
        <v>77</v>
      </c>
      <c r="P566" s="1378">
        <f t="shared" si="47"/>
        <v>44041</v>
      </c>
      <c r="Q566" s="1378">
        <f t="shared" si="48"/>
        <v>44041</v>
      </c>
      <c r="R566" s="1195" t="s">
        <v>4265</v>
      </c>
      <c r="S566" s="1081"/>
      <c r="T566" s="1829"/>
      <c r="U566" s="1088"/>
    </row>
    <row r="567" spans="1:21" s="197" customFormat="1" ht="25.5">
      <c r="A567" s="1088" t="s">
        <v>2512</v>
      </c>
      <c r="B567" s="1378">
        <v>44041</v>
      </c>
      <c r="C567" s="1088">
        <v>6</v>
      </c>
      <c r="D567" s="1088">
        <v>4</v>
      </c>
      <c r="E567" s="1086" t="s">
        <v>2779</v>
      </c>
      <c r="F567" s="1088">
        <v>27</v>
      </c>
      <c r="G567" s="1382" t="s">
        <v>3168</v>
      </c>
      <c r="H567" s="1384" t="s">
        <v>3169</v>
      </c>
      <c r="I567" s="1379" t="s">
        <v>551</v>
      </c>
      <c r="J567" s="2072"/>
      <c r="K567" s="189">
        <v>43976</v>
      </c>
      <c r="L567" s="5">
        <v>43983</v>
      </c>
      <c r="M567" s="1385" t="s">
        <v>3166</v>
      </c>
      <c r="N567" s="1382" t="s">
        <v>2574</v>
      </c>
      <c r="O567" s="1379" t="s">
        <v>77</v>
      </c>
      <c r="P567" s="1378">
        <f t="shared" si="47"/>
        <v>44041</v>
      </c>
      <c r="Q567" s="1378">
        <f t="shared" si="48"/>
        <v>44041</v>
      </c>
      <c r="R567" s="1195" t="s">
        <v>4265</v>
      </c>
      <c r="S567" s="1081"/>
      <c r="T567" s="1829"/>
      <c r="U567" s="1088"/>
    </row>
    <row r="568" spans="1:21" s="197" customFormat="1" ht="38.25">
      <c r="A568" s="1088" t="s">
        <v>2512</v>
      </c>
      <c r="B568" s="1378">
        <v>44041</v>
      </c>
      <c r="C568" s="1088">
        <v>6</v>
      </c>
      <c r="D568" s="1088">
        <v>4</v>
      </c>
      <c r="E568" s="1086" t="s">
        <v>2777</v>
      </c>
      <c r="F568" s="1088">
        <v>28</v>
      </c>
      <c r="G568" s="1382" t="s">
        <v>3170</v>
      </c>
      <c r="H568" s="1379"/>
      <c r="I568" s="1379" t="s">
        <v>551</v>
      </c>
      <c r="J568" s="1379"/>
      <c r="K568" s="5">
        <v>43984</v>
      </c>
      <c r="L568" s="5">
        <v>44037</v>
      </c>
      <c r="M568" s="1385" t="s">
        <v>3171</v>
      </c>
      <c r="N568" s="1382" t="s">
        <v>2574</v>
      </c>
      <c r="O568" s="1379" t="s">
        <v>77</v>
      </c>
      <c r="P568" s="1378">
        <f t="shared" si="47"/>
        <v>44041</v>
      </c>
      <c r="Q568" s="1378">
        <f t="shared" si="48"/>
        <v>44041</v>
      </c>
      <c r="R568" s="1195" t="s">
        <v>4265</v>
      </c>
      <c r="S568" s="1081"/>
      <c r="T568" s="1829"/>
      <c r="U568" s="1088"/>
    </row>
    <row r="569" spans="1:21" s="197" customFormat="1" ht="25.5">
      <c r="A569" s="1088" t="s">
        <v>2512</v>
      </c>
      <c r="B569" s="1378">
        <v>44041</v>
      </c>
      <c r="C569" s="1088">
        <v>6</v>
      </c>
      <c r="D569" s="1088">
        <v>4</v>
      </c>
      <c r="E569" s="1088"/>
      <c r="F569" s="1088">
        <v>29</v>
      </c>
      <c r="G569" s="1382" t="s">
        <v>3172</v>
      </c>
      <c r="H569" s="1379"/>
      <c r="I569" s="1379"/>
      <c r="J569" s="1379"/>
      <c r="K569" s="1379"/>
      <c r="L569" s="1379"/>
      <c r="M569" s="1382" t="s">
        <v>3173</v>
      </c>
      <c r="N569" s="1382" t="s">
        <v>2574</v>
      </c>
      <c r="O569" s="1379" t="s">
        <v>77</v>
      </c>
      <c r="P569" s="1378">
        <f t="shared" si="47"/>
        <v>44041</v>
      </c>
      <c r="Q569" s="1378">
        <f t="shared" si="48"/>
        <v>44041</v>
      </c>
      <c r="R569" s="1195" t="s">
        <v>4265</v>
      </c>
      <c r="S569" s="1081"/>
      <c r="T569" s="1829"/>
      <c r="U569" s="1088"/>
    </row>
    <row r="570" spans="1:21" s="197" customFormat="1" ht="38.25">
      <c r="A570" s="1088" t="s">
        <v>2512</v>
      </c>
      <c r="B570" s="1378">
        <v>44041</v>
      </c>
      <c r="C570" s="1088">
        <v>6</v>
      </c>
      <c r="D570" s="1088">
        <v>4</v>
      </c>
      <c r="E570" s="1086" t="s">
        <v>2964</v>
      </c>
      <c r="F570" s="1088">
        <v>30</v>
      </c>
      <c r="G570" s="1382" t="s">
        <v>3174</v>
      </c>
      <c r="H570" s="1076" t="s">
        <v>3175</v>
      </c>
      <c r="I570" s="1379" t="s">
        <v>551</v>
      </c>
      <c r="J570" s="1379"/>
      <c r="K570" s="5">
        <v>44032</v>
      </c>
      <c r="L570" s="5">
        <v>44089</v>
      </c>
      <c r="M570" s="1385" t="s">
        <v>3176</v>
      </c>
      <c r="N570" s="1382" t="s">
        <v>2574</v>
      </c>
      <c r="O570" s="1379" t="s">
        <v>77</v>
      </c>
      <c r="P570" s="1378">
        <f t="shared" si="47"/>
        <v>44041</v>
      </c>
      <c r="Q570" s="1378">
        <f t="shared" si="48"/>
        <v>44041</v>
      </c>
      <c r="R570" s="1195" t="s">
        <v>4265</v>
      </c>
      <c r="S570" s="1081"/>
      <c r="T570" s="1829"/>
      <c r="U570" s="1088"/>
    </row>
    <row r="571" spans="1:21" s="197" customFormat="1" ht="51" customHeight="1">
      <c r="A571" s="1088" t="s">
        <v>2512</v>
      </c>
      <c r="B571" s="1378">
        <v>44041</v>
      </c>
      <c r="C571" s="1088">
        <v>6</v>
      </c>
      <c r="D571" s="1088">
        <v>4</v>
      </c>
      <c r="E571" s="1086" t="s">
        <v>3050</v>
      </c>
      <c r="F571" s="1088">
        <v>31</v>
      </c>
      <c r="G571" s="1382" t="s">
        <v>3177</v>
      </c>
      <c r="H571" s="1076" t="s">
        <v>3175</v>
      </c>
      <c r="I571" s="1379" t="s">
        <v>551</v>
      </c>
      <c r="J571" s="1379"/>
      <c r="K571" s="5">
        <v>44032</v>
      </c>
      <c r="L571" s="5">
        <v>44089</v>
      </c>
      <c r="M571" s="1385" t="s">
        <v>3176</v>
      </c>
      <c r="N571" s="1382" t="s">
        <v>2574</v>
      </c>
      <c r="O571" s="1379" t="s">
        <v>77</v>
      </c>
      <c r="P571" s="1378">
        <f t="shared" si="47"/>
        <v>44041</v>
      </c>
      <c r="Q571" s="1378">
        <f t="shared" si="48"/>
        <v>44041</v>
      </c>
      <c r="R571" s="1195" t="s">
        <v>4265</v>
      </c>
      <c r="S571" s="1081"/>
      <c r="T571" s="1829"/>
      <c r="U571" s="1088"/>
    </row>
    <row r="572" spans="1:21" s="197" customFormat="1" ht="32.25" customHeight="1">
      <c r="A572" s="1088" t="s">
        <v>2512</v>
      </c>
      <c r="B572" s="1378">
        <v>44041</v>
      </c>
      <c r="C572" s="1088">
        <v>6</v>
      </c>
      <c r="D572" s="1088">
        <v>5</v>
      </c>
      <c r="E572" s="1086" t="s">
        <v>3050</v>
      </c>
      <c r="F572" s="1088">
        <v>32</v>
      </c>
      <c r="G572" s="1382" t="s">
        <v>3178</v>
      </c>
      <c r="H572" s="1076" t="s">
        <v>3175</v>
      </c>
      <c r="I572" s="1379" t="s">
        <v>551</v>
      </c>
      <c r="J572" s="1379"/>
      <c r="K572" s="5">
        <v>44032</v>
      </c>
      <c r="L572" s="5">
        <v>44089</v>
      </c>
      <c r="M572" s="1382" t="s">
        <v>3176</v>
      </c>
      <c r="N572" s="1382" t="s">
        <v>2574</v>
      </c>
      <c r="O572" s="1379" t="s">
        <v>77</v>
      </c>
      <c r="P572" s="1378">
        <f t="shared" si="47"/>
        <v>44041</v>
      </c>
      <c r="Q572" s="1378">
        <f t="shared" si="48"/>
        <v>44041</v>
      </c>
      <c r="R572" s="1195" t="s">
        <v>4265</v>
      </c>
      <c r="S572" s="1081"/>
      <c r="T572" s="1829"/>
      <c r="U572" s="1088"/>
    </row>
    <row r="573" spans="1:21" s="197" customFormat="1" ht="18" customHeight="1">
      <c r="A573" s="1088" t="s">
        <v>2512</v>
      </c>
      <c r="B573" s="1378">
        <v>44041</v>
      </c>
      <c r="C573" s="1088">
        <v>6</v>
      </c>
      <c r="D573" s="1088">
        <v>5</v>
      </c>
      <c r="E573" s="1088"/>
      <c r="F573" s="1088">
        <v>33</v>
      </c>
      <c r="G573" s="1382" t="s">
        <v>3179</v>
      </c>
      <c r="H573" s="1076" t="s">
        <v>3175</v>
      </c>
      <c r="I573" s="1379" t="s">
        <v>551</v>
      </c>
      <c r="J573" s="1379"/>
      <c r="K573" s="1379"/>
      <c r="L573" s="1379"/>
      <c r="M573" s="1382" t="s">
        <v>3176</v>
      </c>
      <c r="N573" s="1382" t="s">
        <v>2574</v>
      </c>
      <c r="O573" s="1379" t="s">
        <v>77</v>
      </c>
      <c r="P573" s="1378">
        <f t="shared" si="47"/>
        <v>44041</v>
      </c>
      <c r="Q573" s="1378">
        <f t="shared" si="48"/>
        <v>44041</v>
      </c>
      <c r="R573" s="1195" t="s">
        <v>4265</v>
      </c>
      <c r="S573" s="1081"/>
      <c r="T573" s="1829"/>
      <c r="U573" s="1088"/>
    </row>
    <row r="574" spans="1:21" s="197" customFormat="1" ht="25.5">
      <c r="A574" s="1088" t="s">
        <v>2512</v>
      </c>
      <c r="B574" s="1378">
        <v>44041</v>
      </c>
      <c r="C574" s="1088">
        <v>6</v>
      </c>
      <c r="D574" s="1088">
        <v>5</v>
      </c>
      <c r="E574" s="1086" t="s">
        <v>2963</v>
      </c>
      <c r="F574" s="1088">
        <v>34</v>
      </c>
      <c r="G574" s="1382" t="s">
        <v>3180</v>
      </c>
      <c r="H574" s="1379"/>
      <c r="I574" s="1379" t="s">
        <v>551</v>
      </c>
      <c r="J574" s="1379"/>
      <c r="K574" s="5">
        <v>44032</v>
      </c>
      <c r="L574" s="5">
        <v>44051</v>
      </c>
      <c r="M574" s="1385" t="s">
        <v>3181</v>
      </c>
      <c r="N574" s="1382" t="s">
        <v>2516</v>
      </c>
      <c r="O574" s="1379" t="s">
        <v>77</v>
      </c>
      <c r="P574" s="1378">
        <f t="shared" si="47"/>
        <v>44041</v>
      </c>
      <c r="Q574" s="1378">
        <f t="shared" si="48"/>
        <v>44041</v>
      </c>
      <c r="R574" s="1195" t="s">
        <v>4265</v>
      </c>
      <c r="S574" s="1081"/>
      <c r="T574" s="1829"/>
      <c r="U574" s="1088"/>
    </row>
    <row r="575" spans="1:21" s="197" customFormat="1" ht="38.25">
      <c r="A575" s="1088" t="s">
        <v>2512</v>
      </c>
      <c r="B575" s="1378">
        <v>44041</v>
      </c>
      <c r="C575" s="1088">
        <v>6</v>
      </c>
      <c r="D575" s="1088">
        <v>5</v>
      </c>
      <c r="E575" s="1088"/>
      <c r="F575" s="1088">
        <v>35</v>
      </c>
      <c r="G575" s="1382" t="s">
        <v>3182</v>
      </c>
      <c r="H575" s="1379"/>
      <c r="I575" s="1379"/>
      <c r="J575" s="1379"/>
      <c r="K575" s="1379"/>
      <c r="L575" s="1379"/>
      <c r="M575" s="1382" t="s">
        <v>3183</v>
      </c>
      <c r="N575" s="1382" t="s">
        <v>2548</v>
      </c>
      <c r="O575" s="1379" t="s">
        <v>77</v>
      </c>
      <c r="P575" s="1378">
        <f t="shared" si="47"/>
        <v>44041</v>
      </c>
      <c r="Q575" s="1378">
        <f t="shared" si="48"/>
        <v>44041</v>
      </c>
      <c r="R575" s="1195" t="s">
        <v>4265</v>
      </c>
      <c r="S575" s="1081"/>
      <c r="T575" s="1829"/>
      <c r="U575" s="1088"/>
    </row>
    <row r="576" spans="1:21" s="197" customFormat="1" ht="25.5">
      <c r="A576" s="1088" t="s">
        <v>2512</v>
      </c>
      <c r="B576" s="1378">
        <v>44041</v>
      </c>
      <c r="C576" s="1088">
        <v>6</v>
      </c>
      <c r="D576" s="1088">
        <v>5</v>
      </c>
      <c r="E576" s="1088"/>
      <c r="F576" s="1088">
        <v>36</v>
      </c>
      <c r="G576" s="1382" t="s">
        <v>3184</v>
      </c>
      <c r="H576" s="1379"/>
      <c r="I576" s="1379"/>
      <c r="J576" s="1379"/>
      <c r="K576" s="1379"/>
      <c r="L576" s="1379"/>
      <c r="M576" s="1382" t="s">
        <v>3183</v>
      </c>
      <c r="N576" s="1382" t="s">
        <v>2548</v>
      </c>
      <c r="O576" s="1379" t="s">
        <v>77</v>
      </c>
      <c r="P576" s="1378">
        <f t="shared" si="47"/>
        <v>44041</v>
      </c>
      <c r="Q576" s="1378">
        <f t="shared" si="48"/>
        <v>44041</v>
      </c>
      <c r="R576" s="1195" t="s">
        <v>4265</v>
      </c>
      <c r="S576" s="1081"/>
      <c r="T576" s="1829"/>
      <c r="U576" s="1088"/>
    </row>
    <row r="577" spans="1:21" s="197" customFormat="1" ht="38.25">
      <c r="A577" s="1088" t="s">
        <v>2512</v>
      </c>
      <c r="B577" s="1378">
        <v>44041</v>
      </c>
      <c r="C577" s="1088">
        <v>6</v>
      </c>
      <c r="D577" s="1088">
        <v>5</v>
      </c>
      <c r="E577" s="1086" t="s">
        <v>2772</v>
      </c>
      <c r="F577" s="1088">
        <v>37</v>
      </c>
      <c r="G577" s="1382" t="s">
        <v>3185</v>
      </c>
      <c r="H577" s="1379"/>
      <c r="I577" s="1379" t="s">
        <v>551</v>
      </c>
      <c r="J577" s="1379"/>
      <c r="K577" s="255">
        <v>43949</v>
      </c>
      <c r="L577" s="255">
        <v>43980</v>
      </c>
      <c r="M577" s="1385" t="s">
        <v>3186</v>
      </c>
      <c r="N577" s="1382" t="s">
        <v>2613</v>
      </c>
      <c r="O577" s="1379" t="s">
        <v>77</v>
      </c>
      <c r="P577" s="1378">
        <f t="shared" si="47"/>
        <v>44041</v>
      </c>
      <c r="Q577" s="1378">
        <f t="shared" si="48"/>
        <v>44041</v>
      </c>
      <c r="R577" s="1195" t="s">
        <v>4265</v>
      </c>
      <c r="S577" s="1387" t="s">
        <v>2878</v>
      </c>
      <c r="T577" s="1830"/>
      <c r="U577" s="1088"/>
    </row>
    <row r="578" spans="1:21" s="197" customFormat="1" ht="39.75" customHeight="1">
      <c r="A578" s="1088" t="s">
        <v>2512</v>
      </c>
      <c r="B578" s="1378">
        <v>44041</v>
      </c>
      <c r="C578" s="1088">
        <v>6</v>
      </c>
      <c r="D578" s="1088">
        <v>5</v>
      </c>
      <c r="E578" s="1086" t="s">
        <v>2774</v>
      </c>
      <c r="F578" s="1088">
        <v>38</v>
      </c>
      <c r="G578" s="1382" t="s">
        <v>3187</v>
      </c>
      <c r="H578" s="1379"/>
      <c r="I578" s="1379" t="s">
        <v>551</v>
      </c>
      <c r="J578" s="1379"/>
      <c r="K578" s="5">
        <v>43949</v>
      </c>
      <c r="L578" s="5">
        <v>43980</v>
      </c>
      <c r="M578" s="1385" t="s">
        <v>3186</v>
      </c>
      <c r="N578" s="1382" t="s">
        <v>2613</v>
      </c>
      <c r="O578" s="1379" t="s">
        <v>77</v>
      </c>
      <c r="P578" s="1378">
        <f t="shared" si="47"/>
        <v>44041</v>
      </c>
      <c r="Q578" s="1378">
        <f t="shared" si="48"/>
        <v>44041</v>
      </c>
      <c r="R578" s="1195" t="s">
        <v>4265</v>
      </c>
      <c r="S578" s="1386" t="s">
        <v>2919</v>
      </c>
      <c r="T578" s="1829"/>
      <c r="U578" s="1088"/>
    </row>
    <row r="579" spans="1:21" s="197" customFormat="1" ht="39.75" customHeight="1">
      <c r="A579" s="1088" t="s">
        <v>2512</v>
      </c>
      <c r="B579" s="1378">
        <v>44041</v>
      </c>
      <c r="C579" s="1088">
        <v>6</v>
      </c>
      <c r="D579" s="1088">
        <v>5</v>
      </c>
      <c r="E579" s="1088"/>
      <c r="F579" s="1088">
        <v>39</v>
      </c>
      <c r="G579" s="1382" t="s">
        <v>3188</v>
      </c>
      <c r="H579" s="1379"/>
      <c r="I579" s="1379"/>
      <c r="J579" s="1379"/>
      <c r="K579" s="1379"/>
      <c r="L579" s="1379"/>
      <c r="M579" s="1382" t="s">
        <v>3189</v>
      </c>
      <c r="N579" s="1382" t="s">
        <v>2613</v>
      </c>
      <c r="O579" s="1379" t="s">
        <v>77</v>
      </c>
      <c r="P579" s="1378">
        <f t="shared" si="47"/>
        <v>44041</v>
      </c>
      <c r="Q579" s="1378">
        <f t="shared" si="48"/>
        <v>44041</v>
      </c>
      <c r="R579" s="1195" t="s">
        <v>4265</v>
      </c>
      <c r="S579" s="1081"/>
      <c r="T579" s="1829"/>
      <c r="U579" s="1088"/>
    </row>
    <row r="580" spans="1:21" s="197" customFormat="1" ht="38.25">
      <c r="A580" s="1088" t="s">
        <v>2512</v>
      </c>
      <c r="B580" s="1378">
        <v>44041</v>
      </c>
      <c r="C580" s="1088">
        <v>6</v>
      </c>
      <c r="D580" s="1088">
        <v>5</v>
      </c>
      <c r="E580" s="1088"/>
      <c r="F580" s="1088">
        <v>40</v>
      </c>
      <c r="G580" s="1382" t="s">
        <v>3190</v>
      </c>
      <c r="H580" s="1379"/>
      <c r="I580" s="1379"/>
      <c r="J580" s="1379"/>
      <c r="K580" s="1379"/>
      <c r="L580" s="1379"/>
      <c r="M580" s="1382" t="s">
        <v>3186</v>
      </c>
      <c r="N580" s="1382" t="s">
        <v>2613</v>
      </c>
      <c r="O580" s="1379" t="s">
        <v>77</v>
      </c>
      <c r="P580" s="1378">
        <f t="shared" si="47"/>
        <v>44041</v>
      </c>
      <c r="Q580" s="1378">
        <f t="shared" si="48"/>
        <v>44041</v>
      </c>
      <c r="R580" s="1195" t="s">
        <v>4265</v>
      </c>
      <c r="S580" s="1081"/>
      <c r="T580" s="1829"/>
      <c r="U580" s="1088"/>
    </row>
    <row r="581" spans="1:21" s="197" customFormat="1" ht="51.75" customHeight="1">
      <c r="A581" s="1088" t="s">
        <v>2512</v>
      </c>
      <c r="B581" s="1378">
        <v>44041</v>
      </c>
      <c r="C581" s="1088">
        <v>6</v>
      </c>
      <c r="D581" s="1088">
        <v>5</v>
      </c>
      <c r="E581" s="1088"/>
      <c r="F581" s="1088">
        <v>41</v>
      </c>
      <c r="G581" s="1382" t="s">
        <v>3191</v>
      </c>
      <c r="H581" s="1379"/>
      <c r="I581" s="1379"/>
      <c r="J581" s="1379"/>
      <c r="K581" s="1379"/>
      <c r="L581" s="1379"/>
      <c r="M581" s="1382" t="s">
        <v>2655</v>
      </c>
      <c r="N581" s="1382" t="s">
        <v>2560</v>
      </c>
      <c r="O581" s="1379" t="s">
        <v>77</v>
      </c>
      <c r="P581" s="1378">
        <f t="shared" si="47"/>
        <v>44041</v>
      </c>
      <c r="Q581" s="1378">
        <f t="shared" si="48"/>
        <v>44041</v>
      </c>
      <c r="R581" s="1195" t="s">
        <v>4265</v>
      </c>
      <c r="S581" s="1081"/>
      <c r="T581" s="1829"/>
      <c r="U581" s="1088"/>
    </row>
    <row r="582" spans="1:21" s="197" customFormat="1" ht="38.25">
      <c r="A582" s="1088" t="s">
        <v>2512</v>
      </c>
      <c r="B582" s="1378">
        <v>44041</v>
      </c>
      <c r="C582" s="1088">
        <v>6</v>
      </c>
      <c r="D582" s="1088">
        <v>5</v>
      </c>
      <c r="E582" s="1088"/>
      <c r="F582" s="1088">
        <v>42</v>
      </c>
      <c r="G582" s="1382" t="s">
        <v>3192</v>
      </c>
      <c r="H582" s="1379"/>
      <c r="I582" s="1379"/>
      <c r="J582" s="1379"/>
      <c r="K582" s="1379"/>
      <c r="L582" s="1379"/>
      <c r="M582" s="1382" t="s">
        <v>2655</v>
      </c>
      <c r="N582" s="1382" t="s">
        <v>2560</v>
      </c>
      <c r="O582" s="1379" t="s">
        <v>77</v>
      </c>
      <c r="P582" s="1378">
        <f t="shared" si="47"/>
        <v>44041</v>
      </c>
      <c r="Q582" s="1378">
        <f t="shared" si="48"/>
        <v>44041</v>
      </c>
      <c r="R582" s="1195" t="s">
        <v>4265</v>
      </c>
      <c r="S582" s="1081"/>
      <c r="T582" s="1829"/>
      <c r="U582" s="1088"/>
    </row>
    <row r="583" spans="1:21" s="197" customFormat="1" ht="25.5">
      <c r="A583" s="1088" t="s">
        <v>2512</v>
      </c>
      <c r="B583" s="1378">
        <v>44041</v>
      </c>
      <c r="C583" s="1088">
        <v>6</v>
      </c>
      <c r="D583" s="1088">
        <v>5</v>
      </c>
      <c r="E583" s="1088"/>
      <c r="F583" s="1088">
        <v>43</v>
      </c>
      <c r="G583" s="1382" t="s">
        <v>3193</v>
      </c>
      <c r="H583" s="1379"/>
      <c r="I583" s="1379"/>
      <c r="J583" s="1379"/>
      <c r="K583" s="1379"/>
      <c r="L583" s="1379"/>
      <c r="M583" s="1382" t="s">
        <v>2655</v>
      </c>
      <c r="N583" s="1382" t="s">
        <v>2560</v>
      </c>
      <c r="O583" s="1379" t="s">
        <v>77</v>
      </c>
      <c r="P583" s="1378">
        <f t="shared" si="47"/>
        <v>44041</v>
      </c>
      <c r="Q583" s="1378">
        <f t="shared" si="48"/>
        <v>44041</v>
      </c>
      <c r="R583" s="1195" t="s">
        <v>4265</v>
      </c>
      <c r="S583" s="1081"/>
      <c r="T583" s="1829"/>
      <c r="U583" s="1088"/>
    </row>
    <row r="584" spans="1:21" s="197" customFormat="1" ht="25.5">
      <c r="A584" s="1088" t="s">
        <v>2512</v>
      </c>
      <c r="B584" s="1378">
        <v>44041</v>
      </c>
      <c r="C584" s="1088">
        <v>6</v>
      </c>
      <c r="D584" s="1088">
        <v>5</v>
      </c>
      <c r="E584" s="1088"/>
      <c r="F584" s="1088">
        <v>44</v>
      </c>
      <c r="G584" s="1382" t="s">
        <v>3194</v>
      </c>
      <c r="H584" s="1379"/>
      <c r="I584" s="1379"/>
      <c r="J584" s="1379"/>
      <c r="K584" s="1379"/>
      <c r="L584" s="1379"/>
      <c r="M584" s="1382" t="s">
        <v>3195</v>
      </c>
      <c r="N584" s="1382" t="s">
        <v>2640</v>
      </c>
      <c r="O584" s="1379" t="s">
        <v>77</v>
      </c>
      <c r="P584" s="1378">
        <f t="shared" si="47"/>
        <v>44041</v>
      </c>
      <c r="Q584" s="1378">
        <f t="shared" si="48"/>
        <v>44041</v>
      </c>
      <c r="R584" s="1195" t="s">
        <v>4265</v>
      </c>
      <c r="S584" s="1081"/>
      <c r="T584" s="1829"/>
      <c r="U584" s="1088"/>
    </row>
    <row r="585" spans="1:21" s="197" customFormat="1" ht="25.5">
      <c r="A585" s="1088" t="s">
        <v>2512</v>
      </c>
      <c r="B585" s="1378">
        <v>44041</v>
      </c>
      <c r="C585" s="1088">
        <v>6</v>
      </c>
      <c r="D585" s="1088">
        <v>5</v>
      </c>
      <c r="E585" s="1088"/>
      <c r="F585" s="1088">
        <v>45</v>
      </c>
      <c r="G585" s="1382" t="s">
        <v>3196</v>
      </c>
      <c r="H585" s="1379"/>
      <c r="I585" s="1379"/>
      <c r="J585" s="1379"/>
      <c r="K585" s="1379"/>
      <c r="L585" s="1379"/>
      <c r="M585" s="1382" t="s">
        <v>3195</v>
      </c>
      <c r="N585" s="1382" t="s">
        <v>2640</v>
      </c>
      <c r="O585" s="1379" t="s">
        <v>77</v>
      </c>
      <c r="P585" s="1378">
        <f t="shared" si="47"/>
        <v>44041</v>
      </c>
      <c r="Q585" s="1378">
        <f t="shared" si="48"/>
        <v>44041</v>
      </c>
      <c r="R585" s="1195" t="s">
        <v>4265</v>
      </c>
      <c r="S585" s="1081"/>
      <c r="T585" s="1829"/>
      <c r="U585" s="1088"/>
    </row>
    <row r="586" spans="1:21" s="197" customFormat="1" ht="38.25">
      <c r="A586" s="1088" t="s">
        <v>2512</v>
      </c>
      <c r="B586" s="1378">
        <v>44041</v>
      </c>
      <c r="C586" s="1088">
        <v>6</v>
      </c>
      <c r="D586" s="1088">
        <v>5</v>
      </c>
      <c r="E586" s="1088"/>
      <c r="F586" s="1088">
        <v>46</v>
      </c>
      <c r="G586" s="1382" t="s">
        <v>3197</v>
      </c>
      <c r="H586" s="1379"/>
      <c r="I586" s="1379"/>
      <c r="J586" s="1379"/>
      <c r="K586" s="1379"/>
      <c r="L586" s="1379"/>
      <c r="M586" s="1382" t="s">
        <v>3195</v>
      </c>
      <c r="N586" s="1382" t="s">
        <v>2640</v>
      </c>
      <c r="O586" s="1379" t="s">
        <v>77</v>
      </c>
      <c r="P586" s="1378">
        <f t="shared" si="47"/>
        <v>44041</v>
      </c>
      <c r="Q586" s="1378">
        <f t="shared" si="48"/>
        <v>44041</v>
      </c>
      <c r="R586" s="1195" t="s">
        <v>4265</v>
      </c>
      <c r="S586" s="1081"/>
      <c r="T586" s="1829"/>
      <c r="U586" s="1088"/>
    </row>
    <row r="587" spans="1:21" s="197" customFormat="1" ht="38.25">
      <c r="A587" s="1088" t="s">
        <v>2512</v>
      </c>
      <c r="B587" s="1378">
        <v>44041</v>
      </c>
      <c r="C587" s="1088">
        <v>6</v>
      </c>
      <c r="D587" s="1088">
        <v>5</v>
      </c>
      <c r="E587" s="1088"/>
      <c r="F587" s="1088">
        <v>47</v>
      </c>
      <c r="G587" s="1382" t="s">
        <v>3198</v>
      </c>
      <c r="H587" s="1379"/>
      <c r="I587" s="1379"/>
      <c r="J587" s="1379"/>
      <c r="K587" s="1379"/>
      <c r="L587" s="1379"/>
      <c r="M587" s="1382" t="s">
        <v>2642</v>
      </c>
      <c r="N587" s="1382" t="s">
        <v>2640</v>
      </c>
      <c r="O587" s="1379" t="s">
        <v>77</v>
      </c>
      <c r="P587" s="1378">
        <f t="shared" si="47"/>
        <v>44041</v>
      </c>
      <c r="Q587" s="1378">
        <f t="shared" si="48"/>
        <v>44041</v>
      </c>
      <c r="R587" s="1195" t="s">
        <v>4265</v>
      </c>
      <c r="S587" s="1081"/>
      <c r="T587" s="1829"/>
      <c r="U587" s="1088"/>
    </row>
    <row r="588" spans="1:21" s="197" customFormat="1" ht="27" customHeight="1">
      <c r="A588" s="1088" t="s">
        <v>2512</v>
      </c>
      <c r="B588" s="1378">
        <v>44041</v>
      </c>
      <c r="C588" s="1088">
        <v>6</v>
      </c>
      <c r="D588" s="1088">
        <v>5</v>
      </c>
      <c r="E588" s="1088"/>
      <c r="F588" s="1088">
        <v>1</v>
      </c>
      <c r="G588" s="1382" t="s">
        <v>3199</v>
      </c>
      <c r="H588" s="1379"/>
      <c r="I588" s="1379"/>
      <c r="J588" s="1379"/>
      <c r="K588" s="1379"/>
      <c r="L588" s="1379"/>
      <c r="M588" s="1382" t="s">
        <v>3200</v>
      </c>
      <c r="N588" s="1382" t="s">
        <v>2516</v>
      </c>
      <c r="O588" s="1379" t="s">
        <v>64</v>
      </c>
      <c r="P588" s="1378">
        <f t="shared" si="47"/>
        <v>44041</v>
      </c>
      <c r="Q588" s="1378">
        <f t="shared" si="48"/>
        <v>44041</v>
      </c>
      <c r="R588" s="1195" t="s">
        <v>4265</v>
      </c>
      <c r="S588" s="1081"/>
      <c r="T588" s="1829"/>
      <c r="U588" s="1088"/>
    </row>
    <row r="589" spans="1:21" s="197" customFormat="1" ht="25.5">
      <c r="A589" s="1088" t="s">
        <v>2512</v>
      </c>
      <c r="B589" s="1378">
        <v>44041</v>
      </c>
      <c r="C589" s="1088">
        <v>6</v>
      </c>
      <c r="D589" s="1088">
        <v>5</v>
      </c>
      <c r="E589" s="1088"/>
      <c r="F589" s="1088">
        <v>2</v>
      </c>
      <c r="G589" s="1382" t="s">
        <v>3201</v>
      </c>
      <c r="H589" s="1379"/>
      <c r="I589" s="1379"/>
      <c r="J589" s="1379"/>
      <c r="K589" s="1379"/>
      <c r="L589" s="1379"/>
      <c r="M589" s="1382" t="s">
        <v>2573</v>
      </c>
      <c r="N589" s="1382" t="s">
        <v>1980</v>
      </c>
      <c r="O589" s="1379" t="s">
        <v>64</v>
      </c>
      <c r="P589" s="1378">
        <f>B589</f>
        <v>44041</v>
      </c>
      <c r="Q589" s="1378">
        <f>B589</f>
        <v>44041</v>
      </c>
      <c r="R589" s="1195" t="s">
        <v>4265</v>
      </c>
      <c r="S589" s="1081"/>
      <c r="T589" s="1829"/>
      <c r="U589" s="1088"/>
    </row>
    <row r="590" spans="1:21" s="197" customFormat="1" ht="25.5">
      <c r="A590" s="1088" t="s">
        <v>2512</v>
      </c>
      <c r="B590" s="1378">
        <v>44041</v>
      </c>
      <c r="C590" s="1088">
        <v>6</v>
      </c>
      <c r="D590" s="1088">
        <v>5</v>
      </c>
      <c r="E590" s="1088"/>
      <c r="F590" s="1088">
        <v>1</v>
      </c>
      <c r="G590" s="1382" t="s">
        <v>3202</v>
      </c>
      <c r="H590" s="1379"/>
      <c r="I590" s="1379"/>
      <c r="J590" s="1379"/>
      <c r="K590" s="1379"/>
      <c r="L590" s="1379"/>
      <c r="M590" s="1382" t="s">
        <v>3203</v>
      </c>
      <c r="N590" s="1382" t="s">
        <v>2516</v>
      </c>
      <c r="O590" s="1379" t="s">
        <v>867</v>
      </c>
      <c r="P590" s="1378">
        <f>B590</f>
        <v>44041</v>
      </c>
      <c r="Q590" s="1378">
        <f>B590</f>
        <v>44041</v>
      </c>
      <c r="R590" s="1195" t="s">
        <v>4265</v>
      </c>
      <c r="S590" s="1081"/>
      <c r="T590" s="1829"/>
      <c r="U590" s="1088"/>
    </row>
    <row r="591" spans="1:21" s="197" customFormat="1" ht="27" customHeight="1">
      <c r="A591" s="1088" t="s">
        <v>2512</v>
      </c>
      <c r="B591" s="1378">
        <v>44041</v>
      </c>
      <c r="C591" s="1088">
        <v>6</v>
      </c>
      <c r="D591" s="1088">
        <v>5</v>
      </c>
      <c r="E591" s="1088"/>
      <c r="F591" s="1088">
        <v>2</v>
      </c>
      <c r="G591" s="1382" t="s">
        <v>3204</v>
      </c>
      <c r="H591" s="1" t="s">
        <v>3206</v>
      </c>
      <c r="I591" s="1379"/>
      <c r="J591" s="1379"/>
      <c r="K591" s="1379"/>
      <c r="L591" s="1379"/>
      <c r="M591" s="1382" t="s">
        <v>68</v>
      </c>
      <c r="N591" s="1382" t="s">
        <v>2574</v>
      </c>
      <c r="O591" s="1379" t="s">
        <v>867</v>
      </c>
      <c r="P591" s="1378">
        <f t="shared" si="47"/>
        <v>44041</v>
      </c>
      <c r="Q591" s="1378">
        <f t="shared" si="48"/>
        <v>44041</v>
      </c>
      <c r="R591" s="1195" t="s">
        <v>4265</v>
      </c>
      <c r="S591" s="1081"/>
      <c r="T591" s="1829"/>
      <c r="U591" s="1088"/>
    </row>
    <row r="592" spans="1:21" s="197" customFormat="1" ht="25.5">
      <c r="A592" s="1088" t="s">
        <v>2512</v>
      </c>
      <c r="B592" s="1378">
        <v>44041</v>
      </c>
      <c r="C592" s="1088">
        <v>6</v>
      </c>
      <c r="D592" s="1088">
        <v>5</v>
      </c>
      <c r="E592" s="1088"/>
      <c r="F592" s="1088">
        <v>3</v>
      </c>
      <c r="G592" s="1382" t="s">
        <v>3205</v>
      </c>
      <c r="H592" s="1" t="s">
        <v>3206</v>
      </c>
      <c r="I592" s="1379"/>
      <c r="J592" s="1379"/>
      <c r="K592" s="1379"/>
      <c r="L592" s="1379"/>
      <c r="M592" s="1382" t="s">
        <v>68</v>
      </c>
      <c r="N592" s="1382" t="s">
        <v>2516</v>
      </c>
      <c r="O592" s="1379" t="s">
        <v>867</v>
      </c>
      <c r="P592" s="1378">
        <f>B592</f>
        <v>44041</v>
      </c>
      <c r="Q592" s="1378">
        <f>B592</f>
        <v>44041</v>
      </c>
      <c r="R592" s="1195" t="s">
        <v>4265</v>
      </c>
      <c r="S592" s="1081"/>
      <c r="T592" s="1829"/>
      <c r="U592" s="1088"/>
    </row>
    <row r="593" spans="1:21" s="197" customFormat="1" ht="25.5">
      <c r="A593" s="1088" t="s">
        <v>2512</v>
      </c>
      <c r="B593" s="1378">
        <v>44041</v>
      </c>
      <c r="C593" s="1088">
        <v>6</v>
      </c>
      <c r="D593" s="1088">
        <v>5</v>
      </c>
      <c r="E593" s="1088"/>
      <c r="F593" s="1088">
        <v>1</v>
      </c>
      <c r="G593" s="1382" t="s">
        <v>3208</v>
      </c>
      <c r="H593" s="1379"/>
      <c r="I593" s="1379"/>
      <c r="J593" s="1379"/>
      <c r="K593" s="1379"/>
      <c r="L593" s="1379"/>
      <c r="M593" s="1382" t="s">
        <v>3209</v>
      </c>
      <c r="N593" s="1382" t="s">
        <v>2516</v>
      </c>
      <c r="O593" s="1379" t="s">
        <v>3147</v>
      </c>
      <c r="P593" s="1378">
        <f t="shared" si="47"/>
        <v>44041</v>
      </c>
      <c r="Q593" s="1378">
        <f t="shared" si="48"/>
        <v>44041</v>
      </c>
      <c r="R593" s="1195" t="s">
        <v>4265</v>
      </c>
      <c r="S593" s="1081"/>
      <c r="T593" s="1829"/>
      <c r="U593" s="1088"/>
    </row>
    <row r="594" spans="1:21" s="197" customFormat="1" ht="38.25">
      <c r="A594" s="1088" t="s">
        <v>2512</v>
      </c>
      <c r="B594" s="1378">
        <v>44041</v>
      </c>
      <c r="C594" s="1088">
        <v>6</v>
      </c>
      <c r="D594" s="1088">
        <v>5</v>
      </c>
      <c r="E594" s="1088"/>
      <c r="F594" s="1088">
        <v>1</v>
      </c>
      <c r="G594" s="1382" t="s">
        <v>3207</v>
      </c>
      <c r="H594" s="1379"/>
      <c r="I594" s="1379"/>
      <c r="J594" s="1379"/>
      <c r="K594" s="1379"/>
      <c r="L594" s="1379"/>
      <c r="M594" s="1382" t="s">
        <v>3189</v>
      </c>
      <c r="N594" s="1382" t="s">
        <v>2699</v>
      </c>
      <c r="O594" s="1379" t="s">
        <v>3148</v>
      </c>
      <c r="P594" s="1378">
        <f t="shared" si="47"/>
        <v>44041</v>
      </c>
      <c r="Q594" s="1378">
        <f t="shared" si="48"/>
        <v>44041</v>
      </c>
      <c r="R594" s="1195" t="s">
        <v>4265</v>
      </c>
      <c r="S594" s="1081"/>
      <c r="T594" s="1081"/>
      <c r="U594" s="1088"/>
    </row>
    <row r="595" spans="1:21" s="197" customFormat="1" ht="53.25" customHeight="1">
      <c r="A595" s="1088" t="s">
        <v>2512</v>
      </c>
      <c r="B595" s="1378">
        <v>44041</v>
      </c>
      <c r="C595" s="1088">
        <v>6</v>
      </c>
      <c r="D595" s="1088">
        <v>5</v>
      </c>
      <c r="E595" s="1088"/>
      <c r="F595" s="1088">
        <v>1</v>
      </c>
      <c r="G595" s="1382" t="s">
        <v>3211</v>
      </c>
      <c r="H595" s="1379"/>
      <c r="I595" s="1379"/>
      <c r="J595" s="1379"/>
      <c r="K595" s="1379"/>
      <c r="L595" s="1379"/>
      <c r="M595" s="1382" t="s">
        <v>2627</v>
      </c>
      <c r="N595" s="1382" t="s">
        <v>2560</v>
      </c>
      <c r="O595" s="1379" t="s">
        <v>247</v>
      </c>
      <c r="P595" s="1378">
        <f t="shared" si="47"/>
        <v>44041</v>
      </c>
      <c r="Q595" s="1378">
        <f t="shared" si="48"/>
        <v>44041</v>
      </c>
      <c r="R595" s="1195" t="s">
        <v>4265</v>
      </c>
      <c r="S595" s="1081"/>
      <c r="T595" s="1081"/>
      <c r="U595" s="1088"/>
    </row>
    <row r="596" spans="1:21" s="197" customFormat="1" ht="78" customHeight="1">
      <c r="A596" s="1088" t="s">
        <v>2512</v>
      </c>
      <c r="B596" s="1378">
        <v>44041</v>
      </c>
      <c r="C596" s="1088">
        <v>6</v>
      </c>
      <c r="D596" s="1088">
        <v>5</v>
      </c>
      <c r="E596" s="1088"/>
      <c r="F596" s="1088">
        <v>2</v>
      </c>
      <c r="G596" s="1382" t="s">
        <v>3210</v>
      </c>
      <c r="H596" s="1379"/>
      <c r="I596" s="1379"/>
      <c r="J596" s="1379"/>
      <c r="K596" s="1379"/>
      <c r="L596" s="1379"/>
      <c r="M596" s="1382" t="s">
        <v>3183</v>
      </c>
      <c r="N596" s="1382" t="s">
        <v>2516</v>
      </c>
      <c r="O596" s="1379" t="s">
        <v>247</v>
      </c>
      <c r="P596" s="1378">
        <f t="shared" si="47"/>
        <v>44041</v>
      </c>
      <c r="Q596" s="1378">
        <f t="shared" si="48"/>
        <v>44041</v>
      </c>
      <c r="R596" s="1195" t="s">
        <v>4265</v>
      </c>
      <c r="S596" s="1081"/>
      <c r="T596" s="1081"/>
      <c r="U596" s="1088"/>
    </row>
    <row r="597" spans="1:21" s="197" customFormat="1" ht="38.25">
      <c r="A597" s="1088" t="s">
        <v>2512</v>
      </c>
      <c r="B597" s="1378">
        <v>44041</v>
      </c>
      <c r="C597" s="1088">
        <v>6</v>
      </c>
      <c r="D597" s="1088">
        <v>5</v>
      </c>
      <c r="E597" s="1088"/>
      <c r="F597" s="1088">
        <v>1</v>
      </c>
      <c r="G597" s="1382" t="s">
        <v>3212</v>
      </c>
      <c r="H597" s="1379"/>
      <c r="I597" s="1379"/>
      <c r="J597" s="1379"/>
      <c r="K597" s="1379"/>
      <c r="L597" s="1379"/>
      <c r="M597" s="1382" t="s">
        <v>3213</v>
      </c>
      <c r="N597" s="1382" t="s">
        <v>2516</v>
      </c>
      <c r="O597" s="1379" t="s">
        <v>77</v>
      </c>
      <c r="P597" s="1378">
        <f t="shared" si="47"/>
        <v>44041</v>
      </c>
      <c r="Q597" s="1378">
        <f t="shared" si="48"/>
        <v>44041</v>
      </c>
      <c r="R597" s="1195" t="s">
        <v>4265</v>
      </c>
      <c r="S597" s="1081"/>
      <c r="T597" s="1081"/>
      <c r="U597" s="1088"/>
    </row>
    <row r="598" spans="1:21" s="197" customFormat="1" ht="38.25" customHeight="1">
      <c r="A598" s="1088" t="s">
        <v>2512</v>
      </c>
      <c r="B598" s="1378">
        <v>44041</v>
      </c>
      <c r="C598" s="1088">
        <v>6</v>
      </c>
      <c r="D598" s="1088">
        <v>5</v>
      </c>
      <c r="E598" s="1088"/>
      <c r="F598" s="1088">
        <v>2</v>
      </c>
      <c r="G598" s="1382" t="s">
        <v>3214</v>
      </c>
      <c r="H598" s="1379"/>
      <c r="I598" s="1379"/>
      <c r="J598" s="1379"/>
      <c r="K598" s="1379"/>
      <c r="L598" s="1379"/>
      <c r="M598" s="1382" t="s">
        <v>3186</v>
      </c>
      <c r="N598" s="1382" t="s">
        <v>2613</v>
      </c>
      <c r="O598" s="1379" t="s">
        <v>77</v>
      </c>
      <c r="P598" s="1378">
        <f t="shared" si="47"/>
        <v>44041</v>
      </c>
      <c r="Q598" s="1378">
        <f t="shared" si="48"/>
        <v>44041</v>
      </c>
      <c r="R598" s="1195" t="s">
        <v>4265</v>
      </c>
      <c r="S598" s="1081"/>
      <c r="T598" s="1081"/>
      <c r="U598" s="1088"/>
    </row>
    <row r="599" spans="1:21" s="197" customFormat="1" ht="41.25" customHeight="1">
      <c r="A599" s="1088" t="s">
        <v>2512</v>
      </c>
      <c r="B599" s="1378">
        <v>44041</v>
      </c>
      <c r="C599" s="1088">
        <v>6</v>
      </c>
      <c r="D599" s="1088">
        <v>5</v>
      </c>
      <c r="E599" s="1088"/>
      <c r="F599" s="1088">
        <v>3</v>
      </c>
      <c r="G599" s="1382" t="s">
        <v>3153</v>
      </c>
      <c r="H599" s="1379"/>
      <c r="I599" s="1379"/>
      <c r="J599" s="1379"/>
      <c r="K599" s="1379"/>
      <c r="L599" s="1379"/>
      <c r="M599" s="1382" t="s">
        <v>2733</v>
      </c>
      <c r="N599" s="1382" t="s">
        <v>2516</v>
      </c>
      <c r="O599" s="1379" t="s">
        <v>77</v>
      </c>
      <c r="P599" s="1378">
        <f t="shared" si="47"/>
        <v>44041</v>
      </c>
      <c r="Q599" s="1378">
        <f t="shared" si="48"/>
        <v>44041</v>
      </c>
      <c r="R599" s="1195" t="s">
        <v>4265</v>
      </c>
      <c r="S599" s="1081"/>
      <c r="T599" s="1081"/>
      <c r="U599" s="1088"/>
    </row>
    <row r="600" spans="1:21" s="197" customFormat="1" ht="38.25" customHeight="1">
      <c r="A600" s="1088" t="s">
        <v>2512</v>
      </c>
      <c r="B600" s="1378">
        <v>44041</v>
      </c>
      <c r="C600" s="1088">
        <v>6</v>
      </c>
      <c r="D600" s="1088">
        <v>5</v>
      </c>
      <c r="E600" s="1088"/>
      <c r="F600" s="1088">
        <v>4</v>
      </c>
      <c r="G600" s="1382" t="s">
        <v>3155</v>
      </c>
      <c r="H600" s="1379"/>
      <c r="I600" s="1379"/>
      <c r="J600" s="1379"/>
      <c r="K600" s="1379"/>
      <c r="L600" s="1379"/>
      <c r="M600" s="1382" t="s">
        <v>2733</v>
      </c>
      <c r="N600" s="1382" t="s">
        <v>2516</v>
      </c>
      <c r="O600" s="1379" t="s">
        <v>77</v>
      </c>
      <c r="P600" s="1378">
        <f t="shared" ref="P600:P606" si="49">B600</f>
        <v>44041</v>
      </c>
      <c r="Q600" s="1378">
        <f t="shared" ref="Q600:Q606" si="50">B600</f>
        <v>44041</v>
      </c>
      <c r="R600" s="1195" t="s">
        <v>4265</v>
      </c>
      <c r="S600" s="1081"/>
      <c r="T600" s="1081"/>
      <c r="U600" s="1088"/>
    </row>
    <row r="601" spans="1:21" s="197" customFormat="1" ht="39.75" customHeight="1">
      <c r="A601" s="1088" t="s">
        <v>2512</v>
      </c>
      <c r="B601" s="1378">
        <v>44041</v>
      </c>
      <c r="C601" s="1088">
        <v>6</v>
      </c>
      <c r="D601" s="1088">
        <v>5</v>
      </c>
      <c r="E601" s="1088"/>
      <c r="F601" s="1088">
        <v>5</v>
      </c>
      <c r="G601" s="1382" t="s">
        <v>3156</v>
      </c>
      <c r="H601" s="1379"/>
      <c r="I601" s="1379"/>
      <c r="J601" s="1379"/>
      <c r="K601" s="1379"/>
      <c r="L601" s="1379"/>
      <c r="M601" s="1382" t="s">
        <v>2733</v>
      </c>
      <c r="N601" s="1382" t="s">
        <v>2516</v>
      </c>
      <c r="O601" s="1379" t="s">
        <v>77</v>
      </c>
      <c r="P601" s="1378">
        <f t="shared" si="49"/>
        <v>44041</v>
      </c>
      <c r="Q601" s="1378">
        <f t="shared" si="50"/>
        <v>44041</v>
      </c>
      <c r="R601" s="1195" t="s">
        <v>4265</v>
      </c>
      <c r="S601" s="1081"/>
      <c r="T601" s="1081"/>
      <c r="U601" s="1088"/>
    </row>
    <row r="602" spans="1:21" s="197" customFormat="1" ht="40.5" customHeight="1">
      <c r="A602" s="1088" t="s">
        <v>2512</v>
      </c>
      <c r="B602" s="1378">
        <v>44041</v>
      </c>
      <c r="C602" s="1088">
        <v>6</v>
      </c>
      <c r="D602" s="1088">
        <v>6</v>
      </c>
      <c r="E602" s="1088"/>
      <c r="F602" s="1088">
        <v>6</v>
      </c>
      <c r="G602" s="1382" t="s">
        <v>3215</v>
      </c>
      <c r="H602" s="1379"/>
      <c r="I602" s="1379"/>
      <c r="J602" s="1379"/>
      <c r="K602" s="1379"/>
      <c r="L602" s="1379"/>
      <c r="M602" s="1382" t="s">
        <v>2733</v>
      </c>
      <c r="N602" s="1382" t="s">
        <v>2516</v>
      </c>
      <c r="O602" s="1379" t="s">
        <v>77</v>
      </c>
      <c r="P602" s="1378">
        <f t="shared" si="49"/>
        <v>44041</v>
      </c>
      <c r="Q602" s="1378">
        <f t="shared" si="50"/>
        <v>44041</v>
      </c>
      <c r="R602" s="1195" t="s">
        <v>4265</v>
      </c>
      <c r="S602" s="1081"/>
      <c r="T602" s="1081"/>
      <c r="U602" s="1088"/>
    </row>
    <row r="603" spans="1:21" s="197" customFormat="1" ht="40.5" customHeight="1">
      <c r="A603" s="1088" t="s">
        <v>2512</v>
      </c>
      <c r="B603" s="1378">
        <v>44041</v>
      </c>
      <c r="C603" s="1088">
        <v>6</v>
      </c>
      <c r="D603" s="1088">
        <v>6</v>
      </c>
      <c r="E603" s="1088"/>
      <c r="F603" s="1088">
        <v>7</v>
      </c>
      <c r="G603" s="1382" t="s">
        <v>3160</v>
      </c>
      <c r="H603" s="1379"/>
      <c r="I603" s="1379"/>
      <c r="J603" s="1379"/>
      <c r="K603" s="1379"/>
      <c r="L603" s="1379"/>
      <c r="M603" s="1382" t="s">
        <v>2592</v>
      </c>
      <c r="N603" s="1382" t="s">
        <v>2516</v>
      </c>
      <c r="O603" s="1379" t="s">
        <v>77</v>
      </c>
      <c r="P603" s="1378">
        <f t="shared" si="49"/>
        <v>44041</v>
      </c>
      <c r="Q603" s="1378">
        <f t="shared" si="50"/>
        <v>44041</v>
      </c>
      <c r="R603" s="1195" t="s">
        <v>4265</v>
      </c>
      <c r="S603" s="1081"/>
      <c r="T603" s="1081"/>
      <c r="U603" s="1088"/>
    </row>
    <row r="604" spans="1:21" s="197" customFormat="1" ht="40.5" customHeight="1">
      <c r="A604" s="1088" t="s">
        <v>2512</v>
      </c>
      <c r="B604" s="1378">
        <v>44041</v>
      </c>
      <c r="C604" s="1088">
        <v>6</v>
      </c>
      <c r="D604" s="1088">
        <v>6</v>
      </c>
      <c r="E604" s="1088"/>
      <c r="F604" s="1088">
        <v>8</v>
      </c>
      <c r="G604" s="1382" t="s">
        <v>3161</v>
      </c>
      <c r="H604" s="1379"/>
      <c r="I604" s="1379"/>
      <c r="J604" s="1379"/>
      <c r="K604" s="1379"/>
      <c r="L604" s="1379"/>
      <c r="M604" s="1382" t="s">
        <v>2592</v>
      </c>
      <c r="N604" s="1382" t="s">
        <v>2516</v>
      </c>
      <c r="O604" s="1379" t="s">
        <v>77</v>
      </c>
      <c r="P604" s="1378">
        <f t="shared" si="49"/>
        <v>44041</v>
      </c>
      <c r="Q604" s="1378">
        <f t="shared" si="50"/>
        <v>44041</v>
      </c>
      <c r="R604" s="1195" t="s">
        <v>4265</v>
      </c>
      <c r="S604" s="1081"/>
      <c r="T604" s="1081"/>
      <c r="U604" s="1088"/>
    </row>
    <row r="605" spans="1:21" s="197" customFormat="1" ht="50.25" customHeight="1">
      <c r="A605" s="1088" t="s">
        <v>2512</v>
      </c>
      <c r="B605" s="1378">
        <v>44041</v>
      </c>
      <c r="C605" s="1088">
        <v>6</v>
      </c>
      <c r="D605" s="1088">
        <v>6</v>
      </c>
      <c r="E605" s="1088"/>
      <c r="F605" s="1088">
        <v>9</v>
      </c>
      <c r="G605" s="1382" t="s">
        <v>3216</v>
      </c>
      <c r="H605" s="1379"/>
      <c r="I605" s="1379"/>
      <c r="J605" s="1379"/>
      <c r="K605" s="1379"/>
      <c r="L605" s="1379"/>
      <c r="M605" s="1382" t="s">
        <v>2592</v>
      </c>
      <c r="N605" s="1382" t="s">
        <v>2516</v>
      </c>
      <c r="O605" s="1379" t="s">
        <v>77</v>
      </c>
      <c r="P605" s="1378">
        <f t="shared" si="49"/>
        <v>44041</v>
      </c>
      <c r="Q605" s="1378">
        <f t="shared" si="50"/>
        <v>44041</v>
      </c>
      <c r="R605" s="1195" t="s">
        <v>4265</v>
      </c>
      <c r="S605" s="1081"/>
      <c r="T605" s="1081"/>
      <c r="U605" s="1088"/>
    </row>
    <row r="606" spans="1:21" s="197" customFormat="1" ht="40.5" customHeight="1">
      <c r="A606" s="1088" t="s">
        <v>2512</v>
      </c>
      <c r="B606" s="1378">
        <v>44041</v>
      </c>
      <c r="C606" s="1088">
        <v>6</v>
      </c>
      <c r="D606" s="1088">
        <v>6</v>
      </c>
      <c r="E606" s="1088"/>
      <c r="F606" s="1088">
        <v>10</v>
      </c>
      <c r="G606" s="1382" t="s">
        <v>3217</v>
      </c>
      <c r="H606" s="1379"/>
      <c r="I606" s="1379"/>
      <c r="J606" s="1379"/>
      <c r="K606" s="1379"/>
      <c r="L606" s="1379"/>
      <c r="M606" s="1382" t="s">
        <v>2592</v>
      </c>
      <c r="N606" s="1382" t="s">
        <v>2516</v>
      </c>
      <c r="O606" s="1379" t="s">
        <v>77</v>
      </c>
      <c r="P606" s="1378">
        <f t="shared" si="49"/>
        <v>44041</v>
      </c>
      <c r="Q606" s="1378">
        <f t="shared" si="50"/>
        <v>44041</v>
      </c>
      <c r="R606" s="1195" t="s">
        <v>4265</v>
      </c>
      <c r="S606" s="1081"/>
      <c r="T606" s="1081"/>
      <c r="U606" s="1088"/>
    </row>
    <row r="607" spans="1:21" s="197" customFormat="1" ht="38.25">
      <c r="A607" s="1088" t="s">
        <v>2512</v>
      </c>
      <c r="B607" s="1378">
        <v>44041</v>
      </c>
      <c r="C607" s="1088">
        <v>6</v>
      </c>
      <c r="D607" s="1088">
        <v>6</v>
      </c>
      <c r="E607" s="1088"/>
      <c r="F607" s="1088">
        <v>11</v>
      </c>
      <c r="G607" s="1382" t="s">
        <v>3191</v>
      </c>
      <c r="H607" s="1379"/>
      <c r="I607" s="1379"/>
      <c r="J607" s="1379"/>
      <c r="K607" s="1379"/>
      <c r="L607" s="1379"/>
      <c r="M607" s="1382" t="s">
        <v>2655</v>
      </c>
      <c r="N607" s="1382" t="s">
        <v>2560</v>
      </c>
      <c r="O607" s="1379" t="s">
        <v>77</v>
      </c>
      <c r="P607" s="1378">
        <f>B607</f>
        <v>44041</v>
      </c>
      <c r="Q607" s="1378">
        <f>B607</f>
        <v>44041</v>
      </c>
      <c r="R607" s="1195" t="s">
        <v>4265</v>
      </c>
      <c r="S607" s="1081"/>
      <c r="T607" s="1081"/>
      <c r="U607" s="1088"/>
    </row>
    <row r="608" spans="1:21" s="197" customFormat="1" ht="38.25">
      <c r="A608" s="1088" t="s">
        <v>2512</v>
      </c>
      <c r="B608" s="1378">
        <v>44041</v>
      </c>
      <c r="C608" s="1088">
        <v>6</v>
      </c>
      <c r="D608" s="1088">
        <v>6</v>
      </c>
      <c r="E608" s="1088"/>
      <c r="F608" s="1088">
        <v>12</v>
      </c>
      <c r="G608" s="1382" t="s">
        <v>3192</v>
      </c>
      <c r="H608" s="1379"/>
      <c r="I608" s="1379"/>
      <c r="J608" s="1379"/>
      <c r="K608" s="1379"/>
      <c r="L608" s="1379"/>
      <c r="M608" s="1382" t="s">
        <v>2655</v>
      </c>
      <c r="N608" s="1382" t="s">
        <v>2560</v>
      </c>
      <c r="O608" s="1379" t="s">
        <v>77</v>
      </c>
      <c r="P608" s="1378">
        <f>B608</f>
        <v>44041</v>
      </c>
      <c r="Q608" s="1378">
        <f>B608</f>
        <v>44041</v>
      </c>
      <c r="R608" s="1195" t="s">
        <v>4265</v>
      </c>
      <c r="S608" s="1081"/>
      <c r="T608" s="1081"/>
      <c r="U608" s="1088"/>
    </row>
    <row r="609" spans="1:21" s="197" customFormat="1" ht="39.75" customHeight="1">
      <c r="A609" s="1088" t="s">
        <v>2512</v>
      </c>
      <c r="B609" s="1378">
        <v>44041</v>
      </c>
      <c r="C609" s="1088">
        <v>6</v>
      </c>
      <c r="D609" s="1088">
        <v>6</v>
      </c>
      <c r="E609" s="1088"/>
      <c r="F609" s="1088">
        <v>13</v>
      </c>
      <c r="G609" s="1382" t="s">
        <v>3193</v>
      </c>
      <c r="H609" s="1379"/>
      <c r="I609" s="1379"/>
      <c r="J609" s="1379"/>
      <c r="K609" s="1379"/>
      <c r="L609" s="1379"/>
      <c r="M609" s="1382" t="s">
        <v>2655</v>
      </c>
      <c r="N609" s="1382" t="s">
        <v>2560</v>
      </c>
      <c r="O609" s="1379" t="s">
        <v>77</v>
      </c>
      <c r="P609" s="1378">
        <f>B609</f>
        <v>44041</v>
      </c>
      <c r="Q609" s="1378">
        <f>B609</f>
        <v>44041</v>
      </c>
      <c r="R609" s="1195" t="s">
        <v>4265</v>
      </c>
      <c r="S609" s="1081"/>
      <c r="T609" s="1081"/>
      <c r="U609" s="1088"/>
    </row>
    <row r="610" spans="1:21" ht="32.25" hidden="1" customHeight="1">
      <c r="A610" s="1076" t="s">
        <v>2512</v>
      </c>
      <c r="B610" s="1077">
        <v>43538</v>
      </c>
      <c r="C610" s="1076">
        <v>2</v>
      </c>
      <c r="D610" s="1076">
        <v>11</v>
      </c>
      <c r="E610" s="1087" t="s">
        <v>1242</v>
      </c>
      <c r="F610" s="1087"/>
      <c r="G610" s="1196" t="s">
        <v>2670</v>
      </c>
      <c r="H610" s="1079"/>
      <c r="I610" s="1079" t="s">
        <v>551</v>
      </c>
      <c r="J610" s="1079"/>
      <c r="K610" s="1079"/>
      <c r="L610" s="1079"/>
      <c r="M610" s="1196" t="s">
        <v>2564</v>
      </c>
      <c r="N610" s="1196" t="s">
        <v>2560</v>
      </c>
      <c r="O610" s="1079" t="s">
        <v>77</v>
      </c>
      <c r="P610" s="1077">
        <f t="shared" ref="P610:P641" si="51">B610</f>
        <v>43538</v>
      </c>
      <c r="Q610" s="1077">
        <f t="shared" ref="Q610:Q615" si="52">P610</f>
        <v>43538</v>
      </c>
      <c r="R610" s="1195" t="s">
        <v>4265</v>
      </c>
      <c r="S610" s="1083" t="s">
        <v>2148</v>
      </c>
      <c r="T610" s="1083"/>
      <c r="U610" s="1076"/>
    </row>
    <row r="611" spans="1:21" hidden="1">
      <c r="A611" s="1076" t="s">
        <v>2512</v>
      </c>
      <c r="B611" s="1077">
        <v>43538</v>
      </c>
      <c r="C611" s="1076">
        <v>2</v>
      </c>
      <c r="D611" s="1076">
        <v>11</v>
      </c>
      <c r="E611" s="1084" t="s">
        <v>1199</v>
      </c>
      <c r="F611" s="1084"/>
      <c r="G611" s="1196" t="s">
        <v>2671</v>
      </c>
      <c r="H611" s="1079"/>
      <c r="I611" s="1079" t="s">
        <v>551</v>
      </c>
      <c r="J611" s="1079"/>
      <c r="K611" s="1079"/>
      <c r="L611" s="1079"/>
      <c r="M611" s="1196" t="s">
        <v>2672</v>
      </c>
      <c r="N611" s="1196" t="s">
        <v>2560</v>
      </c>
      <c r="O611" s="1079" t="s">
        <v>77</v>
      </c>
      <c r="P611" s="1077">
        <f t="shared" si="51"/>
        <v>43538</v>
      </c>
      <c r="Q611" s="1077">
        <f t="shared" si="52"/>
        <v>43538</v>
      </c>
      <c r="R611" s="1195" t="s">
        <v>4265</v>
      </c>
      <c r="S611" s="1081"/>
      <c r="T611" s="1081"/>
      <c r="U611" s="1076"/>
    </row>
    <row r="612" spans="1:21" ht="45" hidden="1">
      <c r="A612" s="1076" t="s">
        <v>2512</v>
      </c>
      <c r="B612" s="1077">
        <v>43538</v>
      </c>
      <c r="C612" s="1076">
        <v>2</v>
      </c>
      <c r="D612" s="1076">
        <v>11</v>
      </c>
      <c r="E612" s="1076"/>
      <c r="F612" s="1076"/>
      <c r="G612" s="1196" t="s">
        <v>2673</v>
      </c>
      <c r="H612" s="1079" t="s">
        <v>2674</v>
      </c>
      <c r="I612" s="1079" t="s">
        <v>2344</v>
      </c>
      <c r="J612" s="1079"/>
      <c r="K612" s="1079"/>
      <c r="L612" s="1079"/>
      <c r="M612" s="1196" t="s">
        <v>2604</v>
      </c>
      <c r="N612" s="1196" t="s">
        <v>2574</v>
      </c>
      <c r="O612" s="1079" t="s">
        <v>77</v>
      </c>
      <c r="P612" s="1077">
        <f t="shared" si="51"/>
        <v>43538</v>
      </c>
      <c r="Q612" s="1077">
        <f t="shared" si="52"/>
        <v>43538</v>
      </c>
      <c r="R612" s="1195" t="s">
        <v>4265</v>
      </c>
      <c r="S612" s="1081"/>
      <c r="T612" s="1081"/>
      <c r="U612" s="1076"/>
    </row>
    <row r="613" spans="1:21" hidden="1">
      <c r="A613" s="1076" t="s">
        <v>2512</v>
      </c>
      <c r="B613" s="1077">
        <v>43538</v>
      </c>
      <c r="C613" s="1076">
        <v>2</v>
      </c>
      <c r="D613" s="1076">
        <v>11</v>
      </c>
      <c r="E613" s="1087" t="s">
        <v>1253</v>
      </c>
      <c r="F613" s="1087"/>
      <c r="G613" s="1196" t="s">
        <v>2675</v>
      </c>
      <c r="H613" s="1079"/>
      <c r="I613" s="1079" t="s">
        <v>551</v>
      </c>
      <c r="J613" s="1079"/>
      <c r="K613" s="1079"/>
      <c r="L613" s="1079"/>
      <c r="M613" s="1196" t="s">
        <v>2606</v>
      </c>
      <c r="N613" s="1196" t="s">
        <v>2574</v>
      </c>
      <c r="O613" s="1079" t="s">
        <v>77</v>
      </c>
      <c r="P613" s="1077">
        <f t="shared" si="51"/>
        <v>43538</v>
      </c>
      <c r="Q613" s="1077">
        <f t="shared" si="52"/>
        <v>43538</v>
      </c>
      <c r="R613" s="1195" t="s">
        <v>4265</v>
      </c>
      <c r="S613" s="1083" t="s">
        <v>2156</v>
      </c>
      <c r="T613" s="1083"/>
      <c r="U613" s="1076"/>
    </row>
    <row r="614" spans="1:21" ht="45" hidden="1">
      <c r="A614" s="1076" t="s">
        <v>2512</v>
      </c>
      <c r="B614" s="1077">
        <v>43538</v>
      </c>
      <c r="C614" s="1076">
        <v>2</v>
      </c>
      <c r="D614" s="1076">
        <v>11</v>
      </c>
      <c r="E614" s="1076"/>
      <c r="F614" s="1076"/>
      <c r="G614" s="1196" t="s">
        <v>2676</v>
      </c>
      <c r="H614" s="1079" t="s">
        <v>2674</v>
      </c>
      <c r="I614" s="1079" t="s">
        <v>2344</v>
      </c>
      <c r="J614" s="1079"/>
      <c r="K614" s="1079"/>
      <c r="L614" s="1079"/>
      <c r="M614" s="1196" t="s">
        <v>2677</v>
      </c>
      <c r="N614" s="1196" t="s">
        <v>2574</v>
      </c>
      <c r="O614" s="1079" t="s">
        <v>77</v>
      </c>
      <c r="P614" s="1077">
        <f t="shared" si="51"/>
        <v>43538</v>
      </c>
      <c r="Q614" s="1077">
        <f t="shared" si="52"/>
        <v>43538</v>
      </c>
      <c r="R614" s="1195" t="s">
        <v>4265</v>
      </c>
      <c r="S614" s="1081"/>
      <c r="T614" s="1081"/>
      <c r="U614" s="1076"/>
    </row>
    <row r="615" spans="1:21" ht="45" hidden="1">
      <c r="A615" s="1076" t="s">
        <v>2512</v>
      </c>
      <c r="B615" s="1077">
        <v>43538</v>
      </c>
      <c r="C615" s="1076">
        <v>2</v>
      </c>
      <c r="D615" s="1076">
        <v>11</v>
      </c>
      <c r="E615" s="1076"/>
      <c r="F615" s="1076"/>
      <c r="G615" s="1196" t="s">
        <v>2678</v>
      </c>
      <c r="H615" s="1079" t="s">
        <v>2679</v>
      </c>
      <c r="I615" s="1079" t="s">
        <v>2344</v>
      </c>
      <c r="J615" s="1079"/>
      <c r="K615" s="1079"/>
      <c r="L615" s="1079"/>
      <c r="M615" s="1196" t="s">
        <v>2524</v>
      </c>
      <c r="N615" s="1196" t="s">
        <v>2613</v>
      </c>
      <c r="O615" s="1079" t="s">
        <v>77</v>
      </c>
      <c r="P615" s="1077">
        <f t="shared" si="51"/>
        <v>43538</v>
      </c>
      <c r="Q615" s="1077">
        <f t="shared" si="52"/>
        <v>43538</v>
      </c>
      <c r="R615" s="1195" t="s">
        <v>4265</v>
      </c>
      <c r="S615" s="1081"/>
      <c r="T615" s="1081"/>
      <c r="U615" s="1076"/>
    </row>
    <row r="616" spans="1:21" hidden="1">
      <c r="A616" s="1076" t="s">
        <v>2512</v>
      </c>
      <c r="B616" s="1077">
        <v>43538</v>
      </c>
      <c r="C616" s="1076">
        <v>2</v>
      </c>
      <c r="D616" s="1076">
        <v>11</v>
      </c>
      <c r="E616" s="1087" t="s">
        <v>1266</v>
      </c>
      <c r="F616" s="1087"/>
      <c r="G616" s="1196" t="s">
        <v>2680</v>
      </c>
      <c r="H616" s="1079"/>
      <c r="I616" s="1079" t="s">
        <v>551</v>
      </c>
      <c r="J616" s="1079"/>
      <c r="K616" s="1079"/>
      <c r="L616" s="1079"/>
      <c r="M616" s="1196" t="s">
        <v>2622</v>
      </c>
      <c r="N616" s="1196" t="s">
        <v>2560</v>
      </c>
      <c r="O616" s="1079" t="s">
        <v>77</v>
      </c>
      <c r="P616" s="1077">
        <f t="shared" si="51"/>
        <v>43538</v>
      </c>
      <c r="Q616" s="1077">
        <f t="shared" ref="Q616:Q677" si="53">P616</f>
        <v>43538</v>
      </c>
      <c r="R616" s="1195" t="s">
        <v>4265</v>
      </c>
      <c r="S616" s="1083" t="s">
        <v>2164</v>
      </c>
      <c r="T616" s="1083"/>
      <c r="U616" s="1076"/>
    </row>
    <row r="617" spans="1:21" ht="45" hidden="1">
      <c r="A617" s="1076" t="s">
        <v>2512</v>
      </c>
      <c r="B617" s="1077">
        <v>43538</v>
      </c>
      <c r="C617" s="1076">
        <v>2</v>
      </c>
      <c r="D617" s="1076">
        <v>11</v>
      </c>
      <c r="E617" s="1084" t="s">
        <v>2681</v>
      </c>
      <c r="F617" s="1084"/>
      <c r="G617" s="1196" t="s">
        <v>2682</v>
      </c>
      <c r="H617" s="1079"/>
      <c r="I617" s="1079" t="s">
        <v>551</v>
      </c>
      <c r="J617" s="1079"/>
      <c r="K617" s="1079"/>
      <c r="L617" s="1079"/>
      <c r="M617" s="1196" t="s">
        <v>2683</v>
      </c>
      <c r="N617" s="1196" t="s">
        <v>2684</v>
      </c>
      <c r="O617" s="1079" t="s">
        <v>77</v>
      </c>
      <c r="P617" s="1077">
        <f t="shared" si="51"/>
        <v>43538</v>
      </c>
      <c r="Q617" s="1077">
        <f t="shared" si="53"/>
        <v>43538</v>
      </c>
      <c r="R617" s="1195" t="s">
        <v>4265</v>
      </c>
      <c r="S617" s="1081"/>
      <c r="T617" s="1081"/>
      <c r="U617" s="1076"/>
    </row>
    <row r="618" spans="1:21" ht="58.5" hidden="1" customHeight="1">
      <c r="A618" s="1076" t="s">
        <v>2512</v>
      </c>
      <c r="B618" s="1077">
        <v>43742</v>
      </c>
      <c r="C618" s="1076">
        <v>4</v>
      </c>
      <c r="D618" s="1076">
        <v>3</v>
      </c>
      <c r="E618" s="1086" t="s">
        <v>1180</v>
      </c>
      <c r="F618" s="1086"/>
      <c r="G618" s="1196" t="s">
        <v>2685</v>
      </c>
      <c r="H618" s="1079"/>
      <c r="I618" s="1079" t="s">
        <v>551</v>
      </c>
      <c r="J618" s="1079"/>
      <c r="K618" s="1079"/>
      <c r="L618" s="1079"/>
      <c r="M618" s="1196"/>
      <c r="N618" s="1196" t="s">
        <v>2686</v>
      </c>
      <c r="O618" s="1079" t="s">
        <v>166</v>
      </c>
      <c r="P618" s="1077">
        <f t="shared" si="51"/>
        <v>43742</v>
      </c>
      <c r="Q618" s="1077">
        <f t="shared" si="53"/>
        <v>43742</v>
      </c>
      <c r="R618" s="1195" t="s">
        <v>4265</v>
      </c>
      <c r="S618" s="1088"/>
      <c r="T618" s="1088"/>
      <c r="U618" s="1076"/>
    </row>
    <row r="619" spans="1:21" ht="44.25" hidden="1" customHeight="1">
      <c r="A619" s="1076" t="s">
        <v>2512</v>
      </c>
      <c r="B619" s="1077">
        <v>43742</v>
      </c>
      <c r="C619" s="1076">
        <v>4</v>
      </c>
      <c r="D619" s="1076">
        <v>3</v>
      </c>
      <c r="E619" s="1086" t="s">
        <v>1246</v>
      </c>
      <c r="F619" s="1086"/>
      <c r="G619" s="1196" t="s">
        <v>2687</v>
      </c>
      <c r="H619" s="1079"/>
      <c r="I619" s="1079" t="s">
        <v>551</v>
      </c>
      <c r="J619" s="1079"/>
      <c r="K619" s="1079"/>
      <c r="L619" s="1079"/>
      <c r="M619" s="1196" t="s">
        <v>2688</v>
      </c>
      <c r="N619" s="1196" t="s">
        <v>2516</v>
      </c>
      <c r="O619" s="1079" t="s">
        <v>166</v>
      </c>
      <c r="P619" s="1077">
        <f t="shared" si="51"/>
        <v>43742</v>
      </c>
      <c r="Q619" s="1077">
        <f t="shared" si="53"/>
        <v>43742</v>
      </c>
      <c r="R619" s="1195" t="s">
        <v>4265</v>
      </c>
      <c r="S619" s="1088"/>
      <c r="T619" s="1088"/>
      <c r="U619" s="1076"/>
    </row>
    <row r="620" spans="1:21" ht="38.25" hidden="1" customHeight="1">
      <c r="A620" s="1076" t="s">
        <v>2512</v>
      </c>
      <c r="B620" s="1077">
        <v>43742</v>
      </c>
      <c r="C620" s="1076">
        <v>4</v>
      </c>
      <c r="D620" s="1076">
        <v>3</v>
      </c>
      <c r="E620" s="1086" t="s">
        <v>1281</v>
      </c>
      <c r="F620" s="1086"/>
      <c r="G620" s="1196" t="s">
        <v>2689</v>
      </c>
      <c r="H620" s="1079"/>
      <c r="I620" s="1079" t="s">
        <v>551</v>
      </c>
      <c r="J620" s="1079"/>
      <c r="K620" s="1079"/>
      <c r="L620" s="1079"/>
      <c r="M620" s="1196" t="s">
        <v>2690</v>
      </c>
      <c r="N620" s="1196" t="s">
        <v>2516</v>
      </c>
      <c r="O620" s="1079" t="s">
        <v>166</v>
      </c>
      <c r="P620" s="1077">
        <f t="shared" si="51"/>
        <v>43742</v>
      </c>
      <c r="Q620" s="1077">
        <f t="shared" si="53"/>
        <v>43742</v>
      </c>
      <c r="R620" s="1195" t="s">
        <v>4265</v>
      </c>
      <c r="S620" s="1088"/>
      <c r="T620" s="1088"/>
      <c r="U620" s="1076"/>
    </row>
    <row r="621" spans="1:21" ht="30.75" hidden="1" customHeight="1">
      <c r="A621" s="1076" t="s">
        <v>2512</v>
      </c>
      <c r="B621" s="1077">
        <v>43742</v>
      </c>
      <c r="C621" s="1076">
        <v>4</v>
      </c>
      <c r="D621" s="1076">
        <v>3</v>
      </c>
      <c r="E621" s="1086" t="s">
        <v>1287</v>
      </c>
      <c r="F621" s="1086"/>
      <c r="G621" s="1196" t="s">
        <v>2691</v>
      </c>
      <c r="H621" s="1079"/>
      <c r="I621" s="1079" t="s">
        <v>551</v>
      </c>
      <c r="J621" s="1079"/>
      <c r="K621" s="1079"/>
      <c r="L621" s="1079"/>
      <c r="M621" s="1196" t="s">
        <v>2690</v>
      </c>
      <c r="N621" s="1196" t="s">
        <v>2516</v>
      </c>
      <c r="O621" s="1079" t="s">
        <v>166</v>
      </c>
      <c r="P621" s="1077">
        <f t="shared" si="51"/>
        <v>43742</v>
      </c>
      <c r="Q621" s="1077">
        <f t="shared" si="53"/>
        <v>43742</v>
      </c>
      <c r="R621" s="1195" t="s">
        <v>4265</v>
      </c>
      <c r="S621" s="1088"/>
      <c r="T621" s="1088"/>
      <c r="U621" s="1076"/>
    </row>
    <row r="622" spans="1:21" ht="25.5" hidden="1">
      <c r="A622" s="1076" t="s">
        <v>2512</v>
      </c>
      <c r="B622" s="1077">
        <v>43742</v>
      </c>
      <c r="C622" s="1076">
        <v>4</v>
      </c>
      <c r="D622" s="1076">
        <v>3</v>
      </c>
      <c r="E622" s="1076"/>
      <c r="F622" s="1076"/>
      <c r="G622" s="1196" t="s">
        <v>2692</v>
      </c>
      <c r="H622" s="1079"/>
      <c r="I622" s="1079" t="s">
        <v>2344</v>
      </c>
      <c r="J622" s="1079"/>
      <c r="K622" s="1079"/>
      <c r="L622" s="1079"/>
      <c r="M622" s="1196" t="s">
        <v>2688</v>
      </c>
      <c r="N622" s="1196" t="s">
        <v>2516</v>
      </c>
      <c r="O622" s="1079" t="s">
        <v>166</v>
      </c>
      <c r="P622" s="1077">
        <f t="shared" si="51"/>
        <v>43742</v>
      </c>
      <c r="Q622" s="1077">
        <f t="shared" si="53"/>
        <v>43742</v>
      </c>
      <c r="R622" s="1195" t="s">
        <v>4265</v>
      </c>
      <c r="S622" s="1088"/>
      <c r="T622" s="1088"/>
      <c r="U622" s="1076"/>
    </row>
    <row r="623" spans="1:21" ht="25.5" hidden="1">
      <c r="A623" s="1076" t="s">
        <v>2512</v>
      </c>
      <c r="B623" s="1077">
        <v>43742</v>
      </c>
      <c r="C623" s="1076">
        <v>4</v>
      </c>
      <c r="D623" s="1076">
        <v>3</v>
      </c>
      <c r="E623" s="1076"/>
      <c r="F623" s="1076"/>
      <c r="G623" s="1196" t="s">
        <v>2693</v>
      </c>
      <c r="H623" s="1079"/>
      <c r="I623" s="1079" t="s">
        <v>2344</v>
      </c>
      <c r="J623" s="1079"/>
      <c r="K623" s="1079"/>
      <c r="L623" s="1079"/>
      <c r="M623" s="1196" t="s">
        <v>2694</v>
      </c>
      <c r="N623" s="1196" t="s">
        <v>2516</v>
      </c>
      <c r="O623" s="1079" t="s">
        <v>166</v>
      </c>
      <c r="P623" s="1077">
        <f t="shared" si="51"/>
        <v>43742</v>
      </c>
      <c r="Q623" s="1077">
        <f t="shared" si="53"/>
        <v>43742</v>
      </c>
      <c r="R623" s="1195" t="s">
        <v>4265</v>
      </c>
      <c r="S623" s="1088"/>
      <c r="T623" s="1088"/>
      <c r="U623" s="1076"/>
    </row>
    <row r="624" spans="1:21" ht="25.5" hidden="1">
      <c r="A624" s="1076" t="s">
        <v>2512</v>
      </c>
      <c r="B624" s="1077">
        <v>43742</v>
      </c>
      <c r="C624" s="1076">
        <v>4</v>
      </c>
      <c r="D624" s="1076">
        <v>3</v>
      </c>
      <c r="E624" s="1076"/>
      <c r="F624" s="1076"/>
      <c r="G624" s="1196" t="s">
        <v>2695</v>
      </c>
      <c r="H624" s="1079"/>
      <c r="I624" s="1079" t="s">
        <v>2344</v>
      </c>
      <c r="J624" s="1079"/>
      <c r="K624" s="1079"/>
      <c r="L624" s="1079"/>
      <c r="M624" s="1196" t="s">
        <v>2696</v>
      </c>
      <c r="N624" s="1196" t="s">
        <v>2516</v>
      </c>
      <c r="O624" s="1079" t="s">
        <v>166</v>
      </c>
      <c r="P624" s="1077">
        <f t="shared" si="51"/>
        <v>43742</v>
      </c>
      <c r="Q624" s="1077">
        <f t="shared" si="53"/>
        <v>43742</v>
      </c>
      <c r="R624" s="1195" t="s">
        <v>4265</v>
      </c>
      <c r="S624" s="1088"/>
      <c r="T624" s="1088"/>
      <c r="U624" s="1076"/>
    </row>
    <row r="625" spans="1:21" ht="25.5" hidden="1">
      <c r="A625" s="1076" t="s">
        <v>2512</v>
      </c>
      <c r="B625" s="1077">
        <v>43742</v>
      </c>
      <c r="C625" s="1076">
        <v>4</v>
      </c>
      <c r="D625" s="1076">
        <v>3</v>
      </c>
      <c r="E625" s="1076"/>
      <c r="F625" s="1076"/>
      <c r="G625" s="1196" t="s">
        <v>2697</v>
      </c>
      <c r="H625" s="1079"/>
      <c r="I625" s="1079" t="s">
        <v>2344</v>
      </c>
      <c r="J625" s="1079"/>
      <c r="K625" s="1079"/>
      <c r="L625" s="1079"/>
      <c r="M625" s="1196" t="s">
        <v>2532</v>
      </c>
      <c r="N625" s="1196" t="s">
        <v>2516</v>
      </c>
      <c r="O625" s="1079" t="s">
        <v>166</v>
      </c>
      <c r="P625" s="1077">
        <f t="shared" si="51"/>
        <v>43742</v>
      </c>
      <c r="Q625" s="1077">
        <f t="shared" si="53"/>
        <v>43742</v>
      </c>
      <c r="R625" s="1195" t="s">
        <v>4265</v>
      </c>
      <c r="S625" s="1088"/>
      <c r="T625" s="1088"/>
      <c r="U625" s="1076"/>
    </row>
    <row r="626" spans="1:21" ht="25.5" hidden="1">
      <c r="A626" s="1076" t="s">
        <v>2512</v>
      </c>
      <c r="B626" s="1077">
        <v>43742</v>
      </c>
      <c r="C626" s="1076">
        <v>4</v>
      </c>
      <c r="D626" s="1076">
        <v>3</v>
      </c>
      <c r="E626" s="1086" t="s">
        <v>1180</v>
      </c>
      <c r="F626" s="1086"/>
      <c r="G626" s="1196" t="s">
        <v>2698</v>
      </c>
      <c r="H626" s="1079"/>
      <c r="I626" s="1079" t="s">
        <v>551</v>
      </c>
      <c r="J626" s="1079"/>
      <c r="K626" s="1079"/>
      <c r="L626" s="1079"/>
      <c r="M626" s="1196"/>
      <c r="N626" s="1196" t="s">
        <v>2699</v>
      </c>
      <c r="O626" s="1079" t="s">
        <v>166</v>
      </c>
      <c r="P626" s="1077">
        <f t="shared" si="51"/>
        <v>43742</v>
      </c>
      <c r="Q626" s="1077">
        <f t="shared" si="53"/>
        <v>43742</v>
      </c>
      <c r="R626" s="1195" t="s">
        <v>4265</v>
      </c>
      <c r="S626" s="1088"/>
      <c r="T626" s="1088"/>
      <c r="U626" s="1076"/>
    </row>
    <row r="627" spans="1:21" ht="25.5" hidden="1">
      <c r="A627" s="1076" t="s">
        <v>2512</v>
      </c>
      <c r="B627" s="1077">
        <v>43742</v>
      </c>
      <c r="C627" s="1076">
        <v>4</v>
      </c>
      <c r="D627" s="1076">
        <v>3</v>
      </c>
      <c r="E627" s="1086" t="s">
        <v>1274</v>
      </c>
      <c r="F627" s="1086"/>
      <c r="G627" s="1196" t="s">
        <v>2700</v>
      </c>
      <c r="H627" s="1079"/>
      <c r="I627" s="1079" t="s">
        <v>551</v>
      </c>
      <c r="J627" s="1079"/>
      <c r="K627" s="1079"/>
      <c r="L627" s="1079"/>
      <c r="M627" s="1196" t="s">
        <v>2701</v>
      </c>
      <c r="N627" s="1196" t="s">
        <v>2542</v>
      </c>
      <c r="O627" s="1079" t="s">
        <v>166</v>
      </c>
      <c r="P627" s="1077">
        <f t="shared" si="51"/>
        <v>43742</v>
      </c>
      <c r="Q627" s="1077">
        <f t="shared" si="53"/>
        <v>43742</v>
      </c>
      <c r="R627" s="1195" t="s">
        <v>4265</v>
      </c>
      <c r="S627" s="1088"/>
      <c r="T627" s="1088"/>
      <c r="U627" s="1076"/>
    </row>
    <row r="628" spans="1:21" ht="25.5" hidden="1">
      <c r="A628" s="1076" t="s">
        <v>2512</v>
      </c>
      <c r="B628" s="1077">
        <v>43742</v>
      </c>
      <c r="C628" s="1076">
        <v>4</v>
      </c>
      <c r="D628" s="1076">
        <v>4</v>
      </c>
      <c r="E628" s="1076"/>
      <c r="F628" s="1076"/>
      <c r="G628" s="1196" t="s">
        <v>2702</v>
      </c>
      <c r="H628" s="1079"/>
      <c r="I628" s="1079" t="s">
        <v>2344</v>
      </c>
      <c r="J628" s="1079"/>
      <c r="K628" s="1079"/>
      <c r="L628" s="1079"/>
      <c r="M628" s="1196" t="s">
        <v>2701</v>
      </c>
      <c r="N628" s="1196" t="s">
        <v>2542</v>
      </c>
      <c r="O628" s="1079" t="s">
        <v>166</v>
      </c>
      <c r="P628" s="1077">
        <f t="shared" si="51"/>
        <v>43742</v>
      </c>
      <c r="Q628" s="1077">
        <f t="shared" si="53"/>
        <v>43742</v>
      </c>
      <c r="R628" s="1195" t="s">
        <v>4265</v>
      </c>
      <c r="S628" s="1088"/>
      <c r="T628" s="1088"/>
      <c r="U628" s="1076"/>
    </row>
    <row r="629" spans="1:21" ht="25.5" hidden="1">
      <c r="A629" s="1076" t="s">
        <v>2512</v>
      </c>
      <c r="B629" s="1077">
        <v>43742</v>
      </c>
      <c r="C629" s="1076">
        <v>4</v>
      </c>
      <c r="D629" s="1076">
        <v>4</v>
      </c>
      <c r="E629" s="1076"/>
      <c r="F629" s="1076"/>
      <c r="G629" s="1196" t="s">
        <v>2703</v>
      </c>
      <c r="H629" s="1079"/>
      <c r="I629" s="1079" t="s">
        <v>2344</v>
      </c>
      <c r="J629" s="1079"/>
      <c r="K629" s="1079"/>
      <c r="L629" s="1079"/>
      <c r="M629" s="1196"/>
      <c r="N629" s="1196" t="s">
        <v>2704</v>
      </c>
      <c r="O629" s="1079" t="s">
        <v>166</v>
      </c>
      <c r="P629" s="1077">
        <f t="shared" si="51"/>
        <v>43742</v>
      </c>
      <c r="Q629" s="1077">
        <f t="shared" si="53"/>
        <v>43742</v>
      </c>
      <c r="R629" s="1195" t="s">
        <v>4265</v>
      </c>
      <c r="S629" s="1088"/>
      <c r="T629" s="1088"/>
      <c r="U629" s="1076"/>
    </row>
    <row r="630" spans="1:21" ht="25.5" hidden="1">
      <c r="A630" s="1076" t="s">
        <v>2512</v>
      </c>
      <c r="B630" s="1077">
        <v>43742</v>
      </c>
      <c r="C630" s="1076">
        <v>4</v>
      </c>
      <c r="D630" s="1076">
        <v>4</v>
      </c>
      <c r="E630" s="1076"/>
      <c r="F630" s="1076"/>
      <c r="G630" s="1196" t="s">
        <v>2705</v>
      </c>
      <c r="H630" s="1079"/>
      <c r="I630" s="1079" t="s">
        <v>2344</v>
      </c>
      <c r="J630" s="1079"/>
      <c r="K630" s="1079"/>
      <c r="L630" s="1079"/>
      <c r="M630" s="1196"/>
      <c r="N630" s="1196" t="s">
        <v>1980</v>
      </c>
      <c r="O630" s="1079" t="s">
        <v>166</v>
      </c>
      <c r="P630" s="1077">
        <f t="shared" si="51"/>
        <v>43742</v>
      </c>
      <c r="Q630" s="1077">
        <f t="shared" si="53"/>
        <v>43742</v>
      </c>
      <c r="R630" s="1195" t="s">
        <v>4265</v>
      </c>
      <c r="S630" s="1088"/>
      <c r="T630" s="1088"/>
      <c r="U630" s="1076"/>
    </row>
    <row r="631" spans="1:21" ht="25.5" hidden="1">
      <c r="A631" s="1076" t="s">
        <v>2512</v>
      </c>
      <c r="B631" s="1077">
        <v>43742</v>
      </c>
      <c r="C631" s="1076">
        <v>4</v>
      </c>
      <c r="D631" s="1076">
        <v>4</v>
      </c>
      <c r="E631" s="1086" t="s">
        <v>1290</v>
      </c>
      <c r="F631" s="1086"/>
      <c r="G631" s="1196" t="s">
        <v>2691</v>
      </c>
      <c r="H631" s="1079"/>
      <c r="I631" s="1079" t="s">
        <v>551</v>
      </c>
      <c r="J631" s="1079"/>
      <c r="K631" s="1079"/>
      <c r="L631" s="1079"/>
      <c r="M631" s="1196"/>
      <c r="N631" s="1196" t="s">
        <v>1980</v>
      </c>
      <c r="O631" s="1079" t="s">
        <v>166</v>
      </c>
      <c r="P631" s="1077">
        <f t="shared" si="51"/>
        <v>43742</v>
      </c>
      <c r="Q631" s="1077">
        <f t="shared" si="53"/>
        <v>43742</v>
      </c>
      <c r="R631" s="1195" t="s">
        <v>4265</v>
      </c>
      <c r="S631" s="1088"/>
      <c r="T631" s="1088"/>
      <c r="U631" s="1076"/>
    </row>
    <row r="632" spans="1:21" ht="25.5" hidden="1">
      <c r="A632" s="1076" t="s">
        <v>2512</v>
      </c>
      <c r="B632" s="1077">
        <v>43742</v>
      </c>
      <c r="C632" s="1076">
        <v>4</v>
      </c>
      <c r="D632" s="1076">
        <v>4</v>
      </c>
      <c r="E632" s="1086" t="s">
        <v>1167</v>
      </c>
      <c r="F632" s="1086"/>
      <c r="G632" s="1196" t="s">
        <v>2706</v>
      </c>
      <c r="H632" s="1079"/>
      <c r="I632" s="1079" t="s">
        <v>551</v>
      </c>
      <c r="J632" s="1079"/>
      <c r="K632" s="1079"/>
      <c r="L632" s="1079"/>
      <c r="M632" s="1196" t="s">
        <v>2707</v>
      </c>
      <c r="N632" s="1196" t="s">
        <v>2560</v>
      </c>
      <c r="O632" s="1079" t="s">
        <v>166</v>
      </c>
      <c r="P632" s="1077">
        <f t="shared" si="51"/>
        <v>43742</v>
      </c>
      <c r="Q632" s="1077">
        <f t="shared" si="53"/>
        <v>43742</v>
      </c>
      <c r="R632" s="1195" t="s">
        <v>4265</v>
      </c>
      <c r="S632" s="1088"/>
      <c r="T632" s="1088"/>
      <c r="U632" s="1076"/>
    </row>
    <row r="633" spans="1:21" ht="45" hidden="1" customHeight="1">
      <c r="A633" s="1076" t="s">
        <v>2512</v>
      </c>
      <c r="B633" s="1077">
        <v>43742</v>
      </c>
      <c r="C633" s="1076">
        <v>4</v>
      </c>
      <c r="D633" s="1076">
        <v>4</v>
      </c>
      <c r="E633" s="1086" t="s">
        <v>1170</v>
      </c>
      <c r="F633" s="1086"/>
      <c r="G633" s="1196" t="s">
        <v>2708</v>
      </c>
      <c r="H633" s="1079"/>
      <c r="I633" s="1079" t="s">
        <v>551</v>
      </c>
      <c r="J633" s="1079"/>
      <c r="K633" s="1079"/>
      <c r="L633" s="1079"/>
      <c r="M633" s="1196" t="s">
        <v>2707</v>
      </c>
      <c r="N633" s="1196" t="s">
        <v>2560</v>
      </c>
      <c r="O633" s="1079" t="s">
        <v>166</v>
      </c>
      <c r="P633" s="1077">
        <f t="shared" si="51"/>
        <v>43742</v>
      </c>
      <c r="Q633" s="1077">
        <f t="shared" si="53"/>
        <v>43742</v>
      </c>
      <c r="R633" s="1195" t="s">
        <v>4265</v>
      </c>
      <c r="S633" s="1088"/>
      <c r="T633" s="1088"/>
      <c r="U633" s="1076"/>
    </row>
    <row r="634" spans="1:21" ht="40.5" hidden="1" customHeight="1">
      <c r="A634" s="1076" t="s">
        <v>2512</v>
      </c>
      <c r="B634" s="1077">
        <v>43742</v>
      </c>
      <c r="C634" s="1076">
        <v>4</v>
      </c>
      <c r="D634" s="1076">
        <v>4</v>
      </c>
      <c r="E634" s="1086" t="s">
        <v>1172</v>
      </c>
      <c r="F634" s="1086"/>
      <c r="G634" s="1196" t="s">
        <v>2709</v>
      </c>
      <c r="H634" s="1079"/>
      <c r="I634" s="1079" t="s">
        <v>551</v>
      </c>
      <c r="J634" s="1079"/>
      <c r="K634" s="1079"/>
      <c r="L634" s="1079"/>
      <c r="M634" s="1196" t="s">
        <v>2707</v>
      </c>
      <c r="N634" s="1196" t="s">
        <v>2560</v>
      </c>
      <c r="O634" s="1079" t="s">
        <v>166</v>
      </c>
      <c r="P634" s="1077">
        <f t="shared" si="51"/>
        <v>43742</v>
      </c>
      <c r="Q634" s="1077">
        <f t="shared" si="53"/>
        <v>43742</v>
      </c>
      <c r="R634" s="1195" t="s">
        <v>4265</v>
      </c>
      <c r="S634" s="1088"/>
      <c r="T634" s="1088"/>
      <c r="U634" s="1076"/>
    </row>
    <row r="635" spans="1:21" ht="25.5" hidden="1" customHeight="1">
      <c r="A635" s="1076" t="s">
        <v>2512</v>
      </c>
      <c r="B635" s="1077">
        <v>43742</v>
      </c>
      <c r="C635" s="1076">
        <v>4</v>
      </c>
      <c r="D635" s="1076">
        <v>4</v>
      </c>
      <c r="E635" s="1076"/>
      <c r="F635" s="1076"/>
      <c r="G635" s="1196" t="s">
        <v>2710</v>
      </c>
      <c r="H635" s="1079"/>
      <c r="I635" s="1079" t="s">
        <v>2344</v>
      </c>
      <c r="J635" s="1079"/>
      <c r="K635" s="1079"/>
      <c r="L635" s="1079"/>
      <c r="M635" s="1196" t="s">
        <v>2711</v>
      </c>
      <c r="N635" s="1196" t="s">
        <v>2560</v>
      </c>
      <c r="O635" s="1079" t="s">
        <v>166</v>
      </c>
      <c r="P635" s="1077">
        <f t="shared" si="51"/>
        <v>43742</v>
      </c>
      <c r="Q635" s="1077">
        <f t="shared" si="53"/>
        <v>43742</v>
      </c>
      <c r="R635" s="1195" t="s">
        <v>4265</v>
      </c>
      <c r="S635" s="1088"/>
      <c r="T635" s="1088"/>
      <c r="U635" s="1076"/>
    </row>
    <row r="636" spans="1:21" ht="23.25" hidden="1" customHeight="1">
      <c r="A636" s="1076" t="s">
        <v>2512</v>
      </c>
      <c r="B636" s="1077">
        <v>43742</v>
      </c>
      <c r="C636" s="1076">
        <v>4</v>
      </c>
      <c r="D636" s="1076">
        <v>4</v>
      </c>
      <c r="E636" s="1086" t="s">
        <v>1186</v>
      </c>
      <c r="F636" s="1086"/>
      <c r="G636" s="1196" t="s">
        <v>2712</v>
      </c>
      <c r="H636" s="1079"/>
      <c r="I636" s="1079" t="s">
        <v>551</v>
      </c>
      <c r="J636" s="1079"/>
      <c r="K636" s="1079"/>
      <c r="L636" s="1079"/>
      <c r="M636" s="1196" t="s">
        <v>2713</v>
      </c>
      <c r="N636" s="1196" t="s">
        <v>2560</v>
      </c>
      <c r="O636" s="1079" t="s">
        <v>166</v>
      </c>
      <c r="P636" s="1077">
        <f t="shared" si="51"/>
        <v>43742</v>
      </c>
      <c r="Q636" s="1077">
        <f t="shared" si="53"/>
        <v>43742</v>
      </c>
      <c r="R636" s="1195" t="s">
        <v>4265</v>
      </c>
      <c r="S636" s="1088"/>
      <c r="T636" s="1088"/>
      <c r="U636" s="1076"/>
    </row>
    <row r="637" spans="1:21" ht="45.75" hidden="1" customHeight="1">
      <c r="A637" s="1076" t="s">
        <v>2512</v>
      </c>
      <c r="B637" s="1077">
        <v>43742</v>
      </c>
      <c r="C637" s="1076">
        <v>4</v>
      </c>
      <c r="D637" s="1076">
        <v>4</v>
      </c>
      <c r="E637" s="1084" t="s">
        <v>2714</v>
      </c>
      <c r="F637" s="1084"/>
      <c r="G637" s="1196" t="s">
        <v>2715</v>
      </c>
      <c r="H637" s="1079"/>
      <c r="I637" s="1079" t="s">
        <v>551</v>
      </c>
      <c r="J637" s="1079"/>
      <c r="K637" s="1079"/>
      <c r="L637" s="1079"/>
      <c r="M637" s="1196" t="s">
        <v>2515</v>
      </c>
      <c r="N637" s="1196" t="s">
        <v>2516</v>
      </c>
      <c r="O637" s="1079" t="s">
        <v>2716</v>
      </c>
      <c r="P637" s="1077">
        <f t="shared" si="51"/>
        <v>43742</v>
      </c>
      <c r="Q637" s="1077">
        <f t="shared" si="53"/>
        <v>43742</v>
      </c>
      <c r="R637" s="1195" t="s">
        <v>4265</v>
      </c>
      <c r="S637" s="1088"/>
      <c r="T637" s="1088"/>
      <c r="U637" s="1076"/>
    </row>
    <row r="638" spans="1:21" ht="30" hidden="1">
      <c r="A638" s="1076" t="s">
        <v>2512</v>
      </c>
      <c r="B638" s="1077">
        <v>43742</v>
      </c>
      <c r="C638" s="1076">
        <v>4</v>
      </c>
      <c r="D638" s="1076">
        <v>4</v>
      </c>
      <c r="E638" s="1086" t="s">
        <v>1206</v>
      </c>
      <c r="F638" s="1086"/>
      <c r="G638" s="1196" t="s">
        <v>2717</v>
      </c>
      <c r="H638" s="1079"/>
      <c r="I638" s="1079" t="s">
        <v>551</v>
      </c>
      <c r="J638" s="1079"/>
      <c r="K638" s="1079"/>
      <c r="L638" s="1079"/>
      <c r="M638" s="1196" t="s">
        <v>2718</v>
      </c>
      <c r="N638" s="1196" t="s">
        <v>2560</v>
      </c>
      <c r="O638" s="1079" t="s">
        <v>2719</v>
      </c>
      <c r="P638" s="1077">
        <f t="shared" si="51"/>
        <v>43742</v>
      </c>
      <c r="Q638" s="1077">
        <f t="shared" si="53"/>
        <v>43742</v>
      </c>
      <c r="R638" s="1195" t="s">
        <v>4265</v>
      </c>
      <c r="S638" s="1088"/>
      <c r="T638" s="1088"/>
      <c r="U638" s="1076"/>
    </row>
    <row r="639" spans="1:21" ht="51" hidden="1">
      <c r="A639" s="1076" t="s">
        <v>2512</v>
      </c>
      <c r="B639" s="1077">
        <v>43742</v>
      </c>
      <c r="C639" s="1076">
        <v>4</v>
      </c>
      <c r="D639" s="1076">
        <v>4</v>
      </c>
      <c r="E639" s="1086" t="s">
        <v>1217</v>
      </c>
      <c r="F639" s="1086"/>
      <c r="G639" s="1196" t="s">
        <v>2717</v>
      </c>
      <c r="H639" s="1079"/>
      <c r="I639" s="1079" t="s">
        <v>551</v>
      </c>
      <c r="J639" s="1079"/>
      <c r="K639" s="1079"/>
      <c r="L639" s="1079"/>
      <c r="M639" s="1196" t="s">
        <v>2720</v>
      </c>
      <c r="N639" s="1196" t="s">
        <v>2613</v>
      </c>
      <c r="O639" s="1079" t="s">
        <v>2719</v>
      </c>
      <c r="P639" s="1077">
        <f t="shared" si="51"/>
        <v>43742</v>
      </c>
      <c r="Q639" s="1077">
        <f t="shared" si="53"/>
        <v>43742</v>
      </c>
      <c r="R639" s="1195" t="s">
        <v>4265</v>
      </c>
      <c r="S639" s="1088"/>
      <c r="T639" s="1088"/>
      <c r="U639" s="1076"/>
    </row>
    <row r="640" spans="1:21" ht="25.5" hidden="1">
      <c r="A640" s="1076" t="s">
        <v>2512</v>
      </c>
      <c r="B640" s="1077">
        <v>43742</v>
      </c>
      <c r="C640" s="1076">
        <v>4</v>
      </c>
      <c r="D640" s="1076">
        <v>4</v>
      </c>
      <c r="E640" s="1076"/>
      <c r="F640" s="1076"/>
      <c r="G640" s="1196" t="s">
        <v>2721</v>
      </c>
      <c r="H640" s="1079"/>
      <c r="I640" s="1079" t="s">
        <v>2344</v>
      </c>
      <c r="J640" s="1079"/>
      <c r="K640" s="1079"/>
      <c r="L640" s="1079"/>
      <c r="M640" s="1196"/>
      <c r="N640" s="1196" t="s">
        <v>2650</v>
      </c>
      <c r="O640" s="1079" t="s">
        <v>1155</v>
      </c>
      <c r="P640" s="1077">
        <f t="shared" si="51"/>
        <v>43742</v>
      </c>
      <c r="Q640" s="1077">
        <f t="shared" si="53"/>
        <v>43742</v>
      </c>
      <c r="R640" s="1195" t="s">
        <v>4265</v>
      </c>
      <c r="S640" s="1088"/>
      <c r="T640" s="1088"/>
      <c r="U640" s="1076"/>
    </row>
    <row r="641" spans="1:21" ht="25.5" hidden="1">
      <c r="A641" s="1076" t="s">
        <v>2512</v>
      </c>
      <c r="B641" s="1077">
        <v>43742</v>
      </c>
      <c r="C641" s="1076">
        <v>4</v>
      </c>
      <c r="D641" s="1076">
        <v>4</v>
      </c>
      <c r="E641" s="1086" t="s">
        <v>1257</v>
      </c>
      <c r="F641" s="1086"/>
      <c r="G641" s="1196" t="s">
        <v>2722</v>
      </c>
      <c r="H641" s="1079"/>
      <c r="I641" s="1079" t="s">
        <v>551</v>
      </c>
      <c r="J641" s="1079"/>
      <c r="K641" s="1079"/>
      <c r="L641" s="1079"/>
      <c r="M641" s="1196" t="s">
        <v>2723</v>
      </c>
      <c r="N641" s="1196" t="s">
        <v>2516</v>
      </c>
      <c r="O641" s="1079" t="s">
        <v>77</v>
      </c>
      <c r="P641" s="1077">
        <f t="shared" si="51"/>
        <v>43742</v>
      </c>
      <c r="Q641" s="1077">
        <f t="shared" si="53"/>
        <v>43742</v>
      </c>
      <c r="R641" s="1195" t="s">
        <v>4265</v>
      </c>
      <c r="S641" s="1088"/>
      <c r="T641" s="1088"/>
      <c r="U641" s="1076"/>
    </row>
    <row r="642" spans="1:21" ht="25.5" hidden="1">
      <c r="A642" s="1076" t="s">
        <v>2512</v>
      </c>
      <c r="B642" s="1077">
        <v>43742</v>
      </c>
      <c r="C642" s="1076">
        <v>4</v>
      </c>
      <c r="D642" s="1076">
        <v>4</v>
      </c>
      <c r="E642" s="1086" t="s">
        <v>1263</v>
      </c>
      <c r="F642" s="1086"/>
      <c r="G642" s="1196" t="s">
        <v>2724</v>
      </c>
      <c r="H642" s="1079"/>
      <c r="I642" s="1079" t="s">
        <v>551</v>
      </c>
      <c r="J642" s="1079"/>
      <c r="K642" s="1079"/>
      <c r="L642" s="1079"/>
      <c r="M642" s="1196" t="s">
        <v>2723</v>
      </c>
      <c r="N642" s="1196" t="s">
        <v>2516</v>
      </c>
      <c r="O642" s="1079" t="s">
        <v>77</v>
      </c>
      <c r="P642" s="1077">
        <f t="shared" ref="P642:P673" si="54">B642</f>
        <v>43742</v>
      </c>
      <c r="Q642" s="1077">
        <f t="shared" si="53"/>
        <v>43742</v>
      </c>
      <c r="R642" s="1195" t="s">
        <v>4265</v>
      </c>
      <c r="S642" s="1088"/>
      <c r="T642" s="1088"/>
      <c r="U642" s="1076"/>
    </row>
    <row r="643" spans="1:21" ht="25.5" hidden="1">
      <c r="A643" s="1076" t="s">
        <v>2512</v>
      </c>
      <c r="B643" s="1077">
        <v>43742</v>
      </c>
      <c r="C643" s="1076">
        <v>4</v>
      </c>
      <c r="D643" s="1076">
        <v>4</v>
      </c>
      <c r="E643" s="1086" t="s">
        <v>1322</v>
      </c>
      <c r="F643" s="1086"/>
      <c r="G643" s="1196" t="s">
        <v>2725</v>
      </c>
      <c r="H643" s="1079"/>
      <c r="I643" s="1079" t="s">
        <v>551</v>
      </c>
      <c r="J643" s="1079"/>
      <c r="K643" s="1079"/>
      <c r="L643" s="1079"/>
      <c r="M643" s="1196" t="s">
        <v>2726</v>
      </c>
      <c r="N643" s="1196" t="s">
        <v>2516</v>
      </c>
      <c r="O643" s="1079" t="s">
        <v>77</v>
      </c>
      <c r="P643" s="1077">
        <f t="shared" si="54"/>
        <v>43742</v>
      </c>
      <c r="Q643" s="1077">
        <f t="shared" si="53"/>
        <v>43742</v>
      </c>
      <c r="R643" s="1195" t="s">
        <v>4265</v>
      </c>
      <c r="S643" s="1088"/>
      <c r="T643" s="1088"/>
      <c r="U643" s="1076"/>
    </row>
    <row r="644" spans="1:21" ht="25.5" hidden="1">
      <c r="A644" s="1076" t="s">
        <v>2512</v>
      </c>
      <c r="B644" s="1077">
        <v>43742</v>
      </c>
      <c r="C644" s="1076">
        <v>4</v>
      </c>
      <c r="D644" s="1076">
        <v>4</v>
      </c>
      <c r="E644" s="1086" t="s">
        <v>1317</v>
      </c>
      <c r="F644" s="1086"/>
      <c r="G644" s="1196" t="s">
        <v>2727</v>
      </c>
      <c r="H644" s="1079"/>
      <c r="I644" s="1079" t="s">
        <v>551</v>
      </c>
      <c r="J644" s="1079"/>
      <c r="K644" s="1079"/>
      <c r="L644" s="1079"/>
      <c r="M644" s="1196" t="s">
        <v>2726</v>
      </c>
      <c r="N644" s="1196" t="s">
        <v>2516</v>
      </c>
      <c r="O644" s="1079" t="s">
        <v>77</v>
      </c>
      <c r="P644" s="1077">
        <f t="shared" si="54"/>
        <v>43742</v>
      </c>
      <c r="Q644" s="1077">
        <f t="shared" si="53"/>
        <v>43742</v>
      </c>
      <c r="R644" s="1195" t="s">
        <v>4265</v>
      </c>
      <c r="S644" s="1088"/>
      <c r="T644" s="1088"/>
      <c r="U644" s="1076"/>
    </row>
    <row r="645" spans="1:21" ht="25.5" hidden="1">
      <c r="A645" s="1076" t="s">
        <v>2512</v>
      </c>
      <c r="B645" s="1077">
        <v>43742</v>
      </c>
      <c r="C645" s="1076">
        <v>4</v>
      </c>
      <c r="D645" s="1076">
        <v>4</v>
      </c>
      <c r="E645" s="1086" t="s">
        <v>1361</v>
      </c>
      <c r="F645" s="1086"/>
      <c r="G645" s="1196" t="s">
        <v>2728</v>
      </c>
      <c r="H645" s="1079"/>
      <c r="I645" s="1079" t="s">
        <v>551</v>
      </c>
      <c r="J645" s="1079"/>
      <c r="K645" s="1079"/>
      <c r="L645" s="1079"/>
      <c r="M645" s="1196" t="s">
        <v>2683</v>
      </c>
      <c r="N645" s="1196" t="s">
        <v>2516</v>
      </c>
      <c r="O645" s="1079" t="s">
        <v>77</v>
      </c>
      <c r="P645" s="1077">
        <f t="shared" si="54"/>
        <v>43742</v>
      </c>
      <c r="Q645" s="1077">
        <f t="shared" si="53"/>
        <v>43742</v>
      </c>
      <c r="R645" s="1195" t="s">
        <v>4265</v>
      </c>
      <c r="S645" s="1088"/>
      <c r="T645" s="1088"/>
      <c r="U645" s="1076"/>
    </row>
    <row r="646" spans="1:21" hidden="1">
      <c r="A646" s="1076" t="s">
        <v>2512</v>
      </c>
      <c r="B646" s="1077">
        <v>43742</v>
      </c>
      <c r="C646" s="1076">
        <v>4</v>
      </c>
      <c r="D646" s="1076">
        <v>4</v>
      </c>
      <c r="E646" s="1086" t="s">
        <v>1350</v>
      </c>
      <c r="F646" s="1086"/>
      <c r="G646" s="1196" t="s">
        <v>2729</v>
      </c>
      <c r="H646" s="1079"/>
      <c r="I646" s="1079" t="s">
        <v>551</v>
      </c>
      <c r="J646" s="1079"/>
      <c r="K646" s="1079"/>
      <c r="L646" s="1079"/>
      <c r="M646" s="1196" t="s">
        <v>2683</v>
      </c>
      <c r="N646" s="1196" t="s">
        <v>2516</v>
      </c>
      <c r="O646" s="1079" t="s">
        <v>77</v>
      </c>
      <c r="P646" s="1077">
        <f t="shared" si="54"/>
        <v>43742</v>
      </c>
      <c r="Q646" s="1077">
        <f t="shared" si="53"/>
        <v>43742</v>
      </c>
      <c r="R646" s="1195" t="s">
        <v>4265</v>
      </c>
      <c r="S646" s="1088"/>
      <c r="T646" s="1088"/>
      <c r="U646" s="1076"/>
    </row>
    <row r="647" spans="1:21" ht="25.5" hidden="1">
      <c r="A647" s="1076" t="s">
        <v>2512</v>
      </c>
      <c r="B647" s="1077">
        <v>43742</v>
      </c>
      <c r="C647" s="1076">
        <v>4</v>
      </c>
      <c r="D647" s="1076">
        <v>4</v>
      </c>
      <c r="E647" s="1086" t="s">
        <v>1395</v>
      </c>
      <c r="F647" s="1086"/>
      <c r="G647" s="1196" t="s">
        <v>2730</v>
      </c>
      <c r="H647" s="1079"/>
      <c r="I647" s="1079" t="s">
        <v>551</v>
      </c>
      <c r="J647" s="1079"/>
      <c r="K647" s="1079"/>
      <c r="L647" s="1079"/>
      <c r="M647" s="1196" t="s">
        <v>2578</v>
      </c>
      <c r="N647" s="1196" t="s">
        <v>2516</v>
      </c>
      <c r="O647" s="1079" t="s">
        <v>77</v>
      </c>
      <c r="P647" s="1077">
        <f t="shared" si="54"/>
        <v>43742</v>
      </c>
      <c r="Q647" s="1077">
        <f t="shared" si="53"/>
        <v>43742</v>
      </c>
      <c r="R647" s="1195" t="s">
        <v>4265</v>
      </c>
      <c r="S647" s="1088"/>
      <c r="T647" s="1088"/>
      <c r="U647" s="1076"/>
    </row>
    <row r="648" spans="1:21" ht="22.5" hidden="1" customHeight="1">
      <c r="A648" s="1076" t="s">
        <v>2512</v>
      </c>
      <c r="B648" s="1077">
        <v>43742</v>
      </c>
      <c r="C648" s="1076">
        <v>4</v>
      </c>
      <c r="D648" s="1076">
        <v>4</v>
      </c>
      <c r="E648" s="1086" t="s">
        <v>1356</v>
      </c>
      <c r="F648" s="1086"/>
      <c r="G648" s="1196" t="s">
        <v>2731</v>
      </c>
      <c r="H648" s="1079"/>
      <c r="I648" s="1079" t="s">
        <v>551</v>
      </c>
      <c r="J648" s="1079"/>
      <c r="K648" s="1079"/>
      <c r="L648" s="1079"/>
      <c r="M648" s="1196" t="s">
        <v>2683</v>
      </c>
      <c r="N648" s="1196" t="s">
        <v>2516</v>
      </c>
      <c r="O648" s="1079" t="s">
        <v>77</v>
      </c>
      <c r="P648" s="1077">
        <f t="shared" si="54"/>
        <v>43742</v>
      </c>
      <c r="Q648" s="1077">
        <f t="shared" si="53"/>
        <v>43742</v>
      </c>
      <c r="R648" s="1195" t="s">
        <v>4265</v>
      </c>
      <c r="S648" s="1088"/>
      <c r="T648" s="1088"/>
      <c r="U648" s="1076"/>
    </row>
    <row r="649" spans="1:21" ht="28.5" hidden="1" customHeight="1">
      <c r="A649" s="1076" t="s">
        <v>2512</v>
      </c>
      <c r="B649" s="1077">
        <v>43742</v>
      </c>
      <c r="C649" s="1076">
        <v>4</v>
      </c>
      <c r="D649" s="1076">
        <v>4</v>
      </c>
      <c r="E649" s="1086" t="s">
        <v>1350</v>
      </c>
      <c r="F649" s="1086"/>
      <c r="G649" s="1196" t="s">
        <v>2732</v>
      </c>
      <c r="H649" s="1079"/>
      <c r="I649" s="1079" t="s">
        <v>551</v>
      </c>
      <c r="J649" s="1079"/>
      <c r="K649" s="1079"/>
      <c r="L649" s="1079"/>
      <c r="M649" s="1196" t="s">
        <v>2683</v>
      </c>
      <c r="N649" s="1196" t="s">
        <v>2516</v>
      </c>
      <c r="O649" s="1079" t="s">
        <v>77</v>
      </c>
      <c r="P649" s="1077">
        <f t="shared" si="54"/>
        <v>43742</v>
      </c>
      <c r="Q649" s="1077">
        <f t="shared" si="53"/>
        <v>43742</v>
      </c>
      <c r="R649" s="1195" t="s">
        <v>4265</v>
      </c>
      <c r="S649" s="1088"/>
      <c r="T649" s="1088"/>
      <c r="U649" s="1076"/>
    </row>
    <row r="650" spans="1:21" ht="15" hidden="1" customHeight="1">
      <c r="A650" s="1076" t="s">
        <v>2512</v>
      </c>
      <c r="B650" s="1077">
        <v>43742</v>
      </c>
      <c r="C650" s="1076">
        <v>4</v>
      </c>
      <c r="D650" s="1076">
        <v>4</v>
      </c>
      <c r="E650" s="1086" t="s">
        <v>1371</v>
      </c>
      <c r="F650" s="1086"/>
      <c r="G650" s="1196" t="s">
        <v>2731</v>
      </c>
      <c r="H650" s="1079"/>
      <c r="I650" s="1079" t="s">
        <v>551</v>
      </c>
      <c r="J650" s="1079"/>
      <c r="K650" s="1079"/>
      <c r="L650" s="1079"/>
      <c r="M650" s="1196" t="s">
        <v>2733</v>
      </c>
      <c r="N650" s="1196" t="s">
        <v>2516</v>
      </c>
      <c r="O650" s="1079" t="s">
        <v>77</v>
      </c>
      <c r="P650" s="1077">
        <f t="shared" si="54"/>
        <v>43742</v>
      </c>
      <c r="Q650" s="1077">
        <f t="shared" si="53"/>
        <v>43742</v>
      </c>
      <c r="R650" s="1195" t="s">
        <v>4265</v>
      </c>
      <c r="S650" s="1088"/>
      <c r="T650" s="1088"/>
      <c r="U650" s="1076"/>
    </row>
    <row r="651" spans="1:21" hidden="1">
      <c r="A651" s="1076" t="s">
        <v>2512</v>
      </c>
      <c r="B651" s="1077">
        <v>43742</v>
      </c>
      <c r="C651" s="1076">
        <v>4</v>
      </c>
      <c r="D651" s="1076">
        <v>4</v>
      </c>
      <c r="E651" s="1086" t="s">
        <v>1366</v>
      </c>
      <c r="F651" s="1086"/>
      <c r="G651" s="1196" t="s">
        <v>2734</v>
      </c>
      <c r="H651" s="1079"/>
      <c r="I651" s="1079" t="s">
        <v>551</v>
      </c>
      <c r="J651" s="1079"/>
      <c r="K651" s="1079"/>
      <c r="L651" s="1079"/>
      <c r="M651" s="1196" t="s">
        <v>2733</v>
      </c>
      <c r="N651" s="1196" t="s">
        <v>2516</v>
      </c>
      <c r="O651" s="1079" t="s">
        <v>77</v>
      </c>
      <c r="P651" s="1077">
        <f t="shared" si="54"/>
        <v>43742</v>
      </c>
      <c r="Q651" s="1077">
        <f t="shared" si="53"/>
        <v>43742</v>
      </c>
      <c r="R651" s="1195" t="s">
        <v>4265</v>
      </c>
      <c r="S651" s="1088"/>
      <c r="T651" s="1088"/>
      <c r="U651" s="1076"/>
    </row>
    <row r="652" spans="1:21" ht="27.75" hidden="1" customHeight="1">
      <c r="A652" s="1076" t="s">
        <v>2512</v>
      </c>
      <c r="B652" s="1077">
        <v>43742</v>
      </c>
      <c r="C652" s="1076">
        <v>4</v>
      </c>
      <c r="D652" s="1076">
        <v>4</v>
      </c>
      <c r="E652" s="1086" t="s">
        <v>1377</v>
      </c>
      <c r="F652" s="1086"/>
      <c r="G652" s="1196" t="s">
        <v>2735</v>
      </c>
      <c r="H652" s="1079"/>
      <c r="I652" s="1079" t="s">
        <v>551</v>
      </c>
      <c r="J652" s="1079"/>
      <c r="K652" s="1079"/>
      <c r="L652" s="1079"/>
      <c r="M652" s="1196" t="s">
        <v>2733</v>
      </c>
      <c r="N652" s="1196" t="s">
        <v>2516</v>
      </c>
      <c r="O652" s="1079" t="s">
        <v>77</v>
      </c>
      <c r="P652" s="1077">
        <f t="shared" si="54"/>
        <v>43742</v>
      </c>
      <c r="Q652" s="1077">
        <f t="shared" si="53"/>
        <v>43742</v>
      </c>
      <c r="R652" s="1195" t="s">
        <v>4265</v>
      </c>
      <c r="S652" s="1088"/>
      <c r="T652" s="1088"/>
      <c r="U652" s="1076"/>
    </row>
    <row r="653" spans="1:21" ht="25.5" hidden="1">
      <c r="A653" s="1076" t="s">
        <v>2512</v>
      </c>
      <c r="B653" s="1077">
        <v>43742</v>
      </c>
      <c r="C653" s="1076">
        <v>4</v>
      </c>
      <c r="D653" s="1076">
        <v>4</v>
      </c>
      <c r="E653" s="1086" t="s">
        <v>1189</v>
      </c>
      <c r="F653" s="1086"/>
      <c r="G653" s="1196" t="s">
        <v>2725</v>
      </c>
      <c r="H653" s="1079"/>
      <c r="I653" s="1079" t="s">
        <v>551</v>
      </c>
      <c r="J653" s="1079"/>
      <c r="K653" s="1079"/>
      <c r="L653" s="1079"/>
      <c r="M653" s="1196" t="s">
        <v>2655</v>
      </c>
      <c r="N653" s="1196" t="s">
        <v>2516</v>
      </c>
      <c r="O653" s="1079" t="s">
        <v>77</v>
      </c>
      <c r="P653" s="1077">
        <f t="shared" si="54"/>
        <v>43742</v>
      </c>
      <c r="Q653" s="1077">
        <f t="shared" si="53"/>
        <v>43742</v>
      </c>
      <c r="R653" s="1195" t="s">
        <v>4265</v>
      </c>
      <c r="S653" s="1088"/>
      <c r="T653" s="1088"/>
      <c r="U653" s="1076"/>
    </row>
    <row r="654" spans="1:21" ht="25.5" hidden="1">
      <c r="A654" s="1076" t="s">
        <v>2512</v>
      </c>
      <c r="B654" s="1077">
        <v>43742</v>
      </c>
      <c r="C654" s="1076">
        <v>4</v>
      </c>
      <c r="D654" s="1076">
        <v>5</v>
      </c>
      <c r="E654" s="1086" t="s">
        <v>1192</v>
      </c>
      <c r="F654" s="1086"/>
      <c r="G654" s="1196" t="s">
        <v>2736</v>
      </c>
      <c r="H654" s="1079"/>
      <c r="I654" s="1079" t="s">
        <v>551</v>
      </c>
      <c r="J654" s="1079"/>
      <c r="K654" s="1079"/>
      <c r="L654" s="1079"/>
      <c r="M654" s="1196" t="s">
        <v>2655</v>
      </c>
      <c r="N654" s="1196" t="s">
        <v>2516</v>
      </c>
      <c r="O654" s="1079" t="s">
        <v>77</v>
      </c>
      <c r="P654" s="1077">
        <f t="shared" si="54"/>
        <v>43742</v>
      </c>
      <c r="Q654" s="1077">
        <f t="shared" si="53"/>
        <v>43742</v>
      </c>
      <c r="R654" s="1195" t="s">
        <v>4265</v>
      </c>
      <c r="S654" s="1088"/>
      <c r="T654" s="1088"/>
      <c r="U654" s="1076"/>
    </row>
    <row r="655" spans="1:21" hidden="1">
      <c r="A655" s="1076" t="s">
        <v>2512</v>
      </c>
      <c r="B655" s="1077">
        <v>43742</v>
      </c>
      <c r="C655" s="1076">
        <v>4</v>
      </c>
      <c r="D655" s="1076">
        <v>5</v>
      </c>
      <c r="E655" s="1076"/>
      <c r="F655" s="1076"/>
      <c r="G655" s="1196" t="s">
        <v>2737</v>
      </c>
      <c r="H655" s="1079"/>
      <c r="I655" s="1079" t="s">
        <v>2344</v>
      </c>
      <c r="J655" s="1079"/>
      <c r="K655" s="1079"/>
      <c r="L655" s="1079"/>
      <c r="M655" s="1196" t="s">
        <v>2655</v>
      </c>
      <c r="N655" s="1196" t="s">
        <v>2516</v>
      </c>
      <c r="O655" s="1079" t="s">
        <v>77</v>
      </c>
      <c r="P655" s="1077">
        <f t="shared" si="54"/>
        <v>43742</v>
      </c>
      <c r="Q655" s="1077">
        <f t="shared" si="53"/>
        <v>43742</v>
      </c>
      <c r="R655" s="1195" t="s">
        <v>4265</v>
      </c>
      <c r="S655" s="1088"/>
      <c r="T655" s="1088"/>
      <c r="U655" s="1076"/>
    </row>
    <row r="656" spans="1:21" hidden="1">
      <c r="A656" s="1076" t="s">
        <v>2512</v>
      </c>
      <c r="B656" s="1077">
        <v>43742</v>
      </c>
      <c r="C656" s="1076">
        <v>4</v>
      </c>
      <c r="D656" s="1076">
        <v>5</v>
      </c>
      <c r="E656" s="1086" t="s">
        <v>1297</v>
      </c>
      <c r="F656" s="1086"/>
      <c r="G656" s="1196" t="s">
        <v>2738</v>
      </c>
      <c r="H656" s="1079"/>
      <c r="I656" s="1079" t="s">
        <v>551</v>
      </c>
      <c r="J656" s="1079"/>
      <c r="K656" s="1079"/>
      <c r="L656" s="1079"/>
      <c r="M656" s="1196" t="s">
        <v>2739</v>
      </c>
      <c r="N656" s="1196" t="s">
        <v>2574</v>
      </c>
      <c r="O656" s="1079" t="s">
        <v>77</v>
      </c>
      <c r="P656" s="1077">
        <f t="shared" si="54"/>
        <v>43742</v>
      </c>
      <c r="Q656" s="1077">
        <f t="shared" si="53"/>
        <v>43742</v>
      </c>
      <c r="R656" s="1195" t="s">
        <v>4265</v>
      </c>
      <c r="S656" s="1088"/>
      <c r="T656" s="1088"/>
      <c r="U656" s="1076"/>
    </row>
    <row r="657" spans="1:21" hidden="1">
      <c r="A657" s="1076" t="s">
        <v>2512</v>
      </c>
      <c r="B657" s="1077">
        <v>43742</v>
      </c>
      <c r="C657" s="1076">
        <v>4</v>
      </c>
      <c r="D657" s="1076">
        <v>5</v>
      </c>
      <c r="E657" s="1086" t="s">
        <v>1253</v>
      </c>
      <c r="F657" s="1086"/>
      <c r="G657" s="1196" t="s">
        <v>2740</v>
      </c>
      <c r="H657" s="1079"/>
      <c r="I657" s="1079" t="s">
        <v>551</v>
      </c>
      <c r="J657" s="1079"/>
      <c r="K657" s="1079"/>
      <c r="L657" s="1079"/>
      <c r="M657" s="1196" t="s">
        <v>2606</v>
      </c>
      <c r="N657" s="1196" t="s">
        <v>2574</v>
      </c>
      <c r="O657" s="1079" t="s">
        <v>77</v>
      </c>
      <c r="P657" s="1077">
        <f t="shared" si="54"/>
        <v>43742</v>
      </c>
      <c r="Q657" s="1077">
        <f t="shared" si="53"/>
        <v>43742</v>
      </c>
      <c r="R657" s="1195" t="s">
        <v>4265</v>
      </c>
      <c r="S657" s="1088"/>
      <c r="T657" s="1088"/>
      <c r="U657" s="1076"/>
    </row>
    <row r="658" spans="1:21" hidden="1">
      <c r="A658" s="1076" t="s">
        <v>2512</v>
      </c>
      <c r="B658" s="1077">
        <v>43742</v>
      </c>
      <c r="C658" s="1076">
        <v>4</v>
      </c>
      <c r="D658" s="1076">
        <v>5</v>
      </c>
      <c r="E658" s="1086" t="s">
        <v>1300</v>
      </c>
      <c r="F658" s="1086"/>
      <c r="G658" s="1196" t="s">
        <v>2741</v>
      </c>
      <c r="H658" s="1079"/>
      <c r="I658" s="1079" t="s">
        <v>551</v>
      </c>
      <c r="J658" s="1079"/>
      <c r="K658" s="1079"/>
      <c r="L658" s="1079"/>
      <c r="M658" s="1196" t="s">
        <v>2606</v>
      </c>
      <c r="N658" s="1196" t="s">
        <v>2574</v>
      </c>
      <c r="O658" s="1079" t="s">
        <v>77</v>
      </c>
      <c r="P658" s="1077">
        <f t="shared" si="54"/>
        <v>43742</v>
      </c>
      <c r="Q658" s="1077">
        <f t="shared" si="53"/>
        <v>43742</v>
      </c>
      <c r="R658" s="1195" t="s">
        <v>4265</v>
      </c>
      <c r="S658" s="1088"/>
      <c r="T658" s="1088"/>
      <c r="U658" s="1076"/>
    </row>
    <row r="659" spans="1:21" hidden="1">
      <c r="A659" s="1076" t="s">
        <v>2512</v>
      </c>
      <c r="B659" s="1077">
        <v>43742</v>
      </c>
      <c r="C659" s="1076">
        <v>4</v>
      </c>
      <c r="D659" s="1076">
        <v>5</v>
      </c>
      <c r="E659" s="1086" t="s">
        <v>1384</v>
      </c>
      <c r="F659" s="1086"/>
      <c r="G659" s="1196" t="s">
        <v>2740</v>
      </c>
      <c r="H659" s="1079"/>
      <c r="I659" s="1079" t="s">
        <v>551</v>
      </c>
      <c r="J659" s="1079"/>
      <c r="K659" s="1079"/>
      <c r="L659" s="1079"/>
      <c r="M659" s="1196" t="s">
        <v>2524</v>
      </c>
      <c r="N659" s="1196" t="s">
        <v>2574</v>
      </c>
      <c r="O659" s="1079" t="s">
        <v>77</v>
      </c>
      <c r="P659" s="1077">
        <f t="shared" si="54"/>
        <v>43742</v>
      </c>
      <c r="Q659" s="1077">
        <f t="shared" si="53"/>
        <v>43742</v>
      </c>
      <c r="R659" s="1195" t="s">
        <v>4265</v>
      </c>
      <c r="S659" s="1088"/>
      <c r="T659" s="1088"/>
      <c r="U659" s="1076"/>
    </row>
    <row r="660" spans="1:21" ht="25.5" hidden="1">
      <c r="A660" s="1076" t="s">
        <v>2512</v>
      </c>
      <c r="B660" s="1077">
        <v>43742</v>
      </c>
      <c r="C660" s="1076">
        <v>4</v>
      </c>
      <c r="D660" s="1076">
        <v>5</v>
      </c>
      <c r="E660" s="1086" t="s">
        <v>1242</v>
      </c>
      <c r="F660" s="1086"/>
      <c r="G660" s="1196" t="s">
        <v>2724</v>
      </c>
      <c r="H660" s="1079"/>
      <c r="I660" s="1079" t="s">
        <v>551</v>
      </c>
      <c r="J660" s="1079"/>
      <c r="K660" s="1079"/>
      <c r="L660" s="1079"/>
      <c r="M660" s="1196" t="s">
        <v>2564</v>
      </c>
      <c r="N660" s="1196" t="s">
        <v>2560</v>
      </c>
      <c r="O660" s="1079" t="s">
        <v>77</v>
      </c>
      <c r="P660" s="1077">
        <f t="shared" si="54"/>
        <v>43742</v>
      </c>
      <c r="Q660" s="1077">
        <f t="shared" si="53"/>
        <v>43742</v>
      </c>
      <c r="R660" s="1195" t="s">
        <v>4265</v>
      </c>
      <c r="S660" s="1088"/>
      <c r="T660" s="1088"/>
      <c r="U660" s="1076"/>
    </row>
    <row r="661" spans="1:21" ht="25.5" hidden="1">
      <c r="A661" s="1076" t="s">
        <v>2512</v>
      </c>
      <c r="B661" s="1077">
        <v>43742</v>
      </c>
      <c r="C661" s="1076">
        <v>4</v>
      </c>
      <c r="D661" s="1076">
        <v>5</v>
      </c>
      <c r="E661" s="1086" t="s">
        <v>1242</v>
      </c>
      <c r="F661" s="1086"/>
      <c r="G661" s="1196" t="s">
        <v>2742</v>
      </c>
      <c r="H661" s="1079"/>
      <c r="I661" s="1079" t="s">
        <v>551</v>
      </c>
      <c r="J661" s="1079"/>
      <c r="K661" s="1079"/>
      <c r="L661" s="1079"/>
      <c r="M661" s="1196" t="s">
        <v>2564</v>
      </c>
      <c r="N661" s="1196" t="s">
        <v>2560</v>
      </c>
      <c r="O661" s="1079" t="s">
        <v>77</v>
      </c>
      <c r="P661" s="1077">
        <f t="shared" si="54"/>
        <v>43742</v>
      </c>
      <c r="Q661" s="1077">
        <f t="shared" si="53"/>
        <v>43742</v>
      </c>
      <c r="R661" s="1195" t="s">
        <v>4265</v>
      </c>
      <c r="S661" s="1088"/>
      <c r="T661" s="1088"/>
      <c r="U661" s="1076"/>
    </row>
    <row r="662" spans="1:21" hidden="1">
      <c r="A662" s="1076" t="s">
        <v>2512</v>
      </c>
      <c r="B662" s="1077">
        <v>43742</v>
      </c>
      <c r="C662" s="1076">
        <v>4</v>
      </c>
      <c r="D662" s="1076">
        <v>5</v>
      </c>
      <c r="E662" s="1086" t="s">
        <v>1242</v>
      </c>
      <c r="F662" s="1086"/>
      <c r="G662" s="1196" t="s">
        <v>2743</v>
      </c>
      <c r="H662" s="1079"/>
      <c r="I662" s="1079" t="s">
        <v>551</v>
      </c>
      <c r="J662" s="1079"/>
      <c r="K662" s="1079"/>
      <c r="L662" s="1079"/>
      <c r="M662" s="1196" t="s">
        <v>2564</v>
      </c>
      <c r="N662" s="1196" t="s">
        <v>2560</v>
      </c>
      <c r="O662" s="1079" t="s">
        <v>77</v>
      </c>
      <c r="P662" s="1077">
        <f t="shared" si="54"/>
        <v>43742</v>
      </c>
      <c r="Q662" s="1077">
        <f t="shared" si="53"/>
        <v>43742</v>
      </c>
      <c r="R662" s="1195" t="s">
        <v>4265</v>
      </c>
      <c r="S662" s="1088"/>
      <c r="T662" s="1088"/>
      <c r="U662" s="1076"/>
    </row>
    <row r="663" spans="1:21" ht="25.5" hidden="1">
      <c r="A663" s="1076" t="s">
        <v>2512</v>
      </c>
      <c r="B663" s="1077">
        <v>43742</v>
      </c>
      <c r="C663" s="1076">
        <v>4</v>
      </c>
      <c r="D663" s="1076">
        <v>5</v>
      </c>
      <c r="E663" s="1086" t="s">
        <v>1266</v>
      </c>
      <c r="F663" s="1086"/>
      <c r="G663" s="1196" t="s">
        <v>2744</v>
      </c>
      <c r="H663" s="1079"/>
      <c r="I663" s="1079" t="s">
        <v>551</v>
      </c>
      <c r="J663" s="1079"/>
      <c r="K663" s="1079"/>
      <c r="L663" s="1079"/>
      <c r="M663" s="1196" t="s">
        <v>2622</v>
      </c>
      <c r="N663" s="1196" t="s">
        <v>2560</v>
      </c>
      <c r="O663" s="1079" t="s">
        <v>77</v>
      </c>
      <c r="P663" s="1077">
        <f t="shared" si="54"/>
        <v>43742</v>
      </c>
      <c r="Q663" s="1077">
        <f t="shared" si="53"/>
        <v>43742</v>
      </c>
      <c r="R663" s="1195" t="s">
        <v>4265</v>
      </c>
      <c r="S663" s="1088"/>
      <c r="T663" s="1088"/>
      <c r="U663" s="1076"/>
    </row>
    <row r="664" spans="1:21" hidden="1">
      <c r="A664" s="1076" t="s">
        <v>2512</v>
      </c>
      <c r="B664" s="1077">
        <v>43742</v>
      </c>
      <c r="C664" s="1076">
        <v>4</v>
      </c>
      <c r="D664" s="1076">
        <v>5</v>
      </c>
      <c r="E664" s="1086" t="s">
        <v>1249</v>
      </c>
      <c r="F664" s="1086"/>
      <c r="G664" s="1196" t="s">
        <v>2745</v>
      </c>
      <c r="H664" s="1079"/>
      <c r="I664" s="1079" t="s">
        <v>551</v>
      </c>
      <c r="J664" s="1079"/>
      <c r="K664" s="1079"/>
      <c r="L664" s="1079"/>
      <c r="M664" s="1196" t="s">
        <v>2739</v>
      </c>
      <c r="N664" s="1196" t="s">
        <v>2560</v>
      </c>
      <c r="O664" s="1079" t="s">
        <v>77</v>
      </c>
      <c r="P664" s="1077">
        <f t="shared" si="54"/>
        <v>43742</v>
      </c>
      <c r="Q664" s="1077">
        <f t="shared" si="53"/>
        <v>43742</v>
      </c>
      <c r="R664" s="1195" t="s">
        <v>4265</v>
      </c>
      <c r="S664" s="1088"/>
      <c r="T664" s="1088"/>
      <c r="U664" s="1076"/>
    </row>
    <row r="665" spans="1:21" ht="36.75" hidden="1" customHeight="1">
      <c r="A665" s="1076" t="s">
        <v>2512</v>
      </c>
      <c r="B665" s="1077">
        <v>43742</v>
      </c>
      <c r="C665" s="1076">
        <v>4</v>
      </c>
      <c r="D665" s="1076">
        <v>5</v>
      </c>
      <c r="E665" s="1086" t="s">
        <v>1249</v>
      </c>
      <c r="F665" s="1086"/>
      <c r="G665" s="1196" t="s">
        <v>2746</v>
      </c>
      <c r="H665" s="1079"/>
      <c r="I665" s="1079" t="s">
        <v>551</v>
      </c>
      <c r="J665" s="1079"/>
      <c r="K665" s="1079"/>
      <c r="L665" s="1079"/>
      <c r="M665" s="1196" t="s">
        <v>2739</v>
      </c>
      <c r="N665" s="1196" t="s">
        <v>2560</v>
      </c>
      <c r="O665" s="1079" t="s">
        <v>77</v>
      </c>
      <c r="P665" s="1077">
        <f t="shared" si="54"/>
        <v>43742</v>
      </c>
      <c r="Q665" s="1077">
        <f t="shared" si="53"/>
        <v>43742</v>
      </c>
      <c r="R665" s="1195" t="s">
        <v>4265</v>
      </c>
      <c r="S665" s="1088"/>
      <c r="T665" s="1088"/>
      <c r="U665" s="1076"/>
    </row>
    <row r="666" spans="1:21" ht="27.75" hidden="1" customHeight="1">
      <c r="A666" s="1076" t="s">
        <v>2512</v>
      </c>
      <c r="B666" s="1077">
        <v>43742</v>
      </c>
      <c r="C666" s="1076">
        <v>4</v>
      </c>
      <c r="D666" s="1076">
        <v>5</v>
      </c>
      <c r="E666" s="1086" t="s">
        <v>1304</v>
      </c>
      <c r="F666" s="1086"/>
      <c r="G666" s="1196" t="s">
        <v>2747</v>
      </c>
      <c r="H666" s="1079"/>
      <c r="I666" s="1079" t="s">
        <v>551</v>
      </c>
      <c r="J666" s="1079"/>
      <c r="K666" s="1079"/>
      <c r="L666" s="1079"/>
      <c r="M666" s="1196" t="s">
        <v>2748</v>
      </c>
      <c r="N666" s="1196" t="s">
        <v>2560</v>
      </c>
      <c r="O666" s="1079" t="s">
        <v>77</v>
      </c>
      <c r="P666" s="1077">
        <f t="shared" si="54"/>
        <v>43742</v>
      </c>
      <c r="Q666" s="1077">
        <f t="shared" si="53"/>
        <v>43742</v>
      </c>
      <c r="R666" s="1195" t="s">
        <v>4265</v>
      </c>
      <c r="S666" s="1088"/>
      <c r="T666" s="1088"/>
      <c r="U666" s="1076"/>
    </row>
    <row r="667" spans="1:21" ht="33" hidden="1" customHeight="1">
      <c r="A667" s="1076" t="s">
        <v>2512</v>
      </c>
      <c r="B667" s="1077">
        <v>43742</v>
      </c>
      <c r="C667" s="1076">
        <v>4</v>
      </c>
      <c r="D667" s="1076">
        <v>5</v>
      </c>
      <c r="E667" s="1086" t="s">
        <v>1310</v>
      </c>
      <c r="F667" s="1086"/>
      <c r="G667" s="1196" t="s">
        <v>2749</v>
      </c>
      <c r="H667" s="1079"/>
      <c r="I667" s="1079" t="s">
        <v>551</v>
      </c>
      <c r="J667" s="1079"/>
      <c r="K667" s="1079"/>
      <c r="L667" s="1079"/>
      <c r="M667" s="1196" t="s">
        <v>2748</v>
      </c>
      <c r="N667" s="1196" t="s">
        <v>2560</v>
      </c>
      <c r="O667" s="1079" t="s">
        <v>77</v>
      </c>
      <c r="P667" s="1077">
        <f t="shared" si="54"/>
        <v>43742</v>
      </c>
      <c r="Q667" s="1077">
        <f t="shared" si="53"/>
        <v>43742</v>
      </c>
      <c r="R667" s="1195" t="s">
        <v>4265</v>
      </c>
      <c r="S667" s="1088"/>
      <c r="T667" s="1088"/>
      <c r="U667" s="1076"/>
    </row>
    <row r="668" spans="1:21" hidden="1">
      <c r="A668" s="1076" t="s">
        <v>2512</v>
      </c>
      <c r="B668" s="1077">
        <v>43742</v>
      </c>
      <c r="C668" s="1076">
        <v>4</v>
      </c>
      <c r="D668" s="1076">
        <v>5</v>
      </c>
      <c r="E668" s="1086" t="s">
        <v>1325</v>
      </c>
      <c r="F668" s="1086"/>
      <c r="G668" s="1196" t="s">
        <v>2747</v>
      </c>
      <c r="H668" s="1079"/>
      <c r="I668" s="1079" t="s">
        <v>551</v>
      </c>
      <c r="J668" s="1079"/>
      <c r="K668" s="1079"/>
      <c r="L668" s="1079"/>
      <c r="M668" s="1196" t="s">
        <v>2750</v>
      </c>
      <c r="N668" s="1196" t="s">
        <v>2560</v>
      </c>
      <c r="O668" s="1079" t="s">
        <v>77</v>
      </c>
      <c r="P668" s="1077">
        <f t="shared" si="54"/>
        <v>43742</v>
      </c>
      <c r="Q668" s="1077">
        <f t="shared" si="53"/>
        <v>43742</v>
      </c>
      <c r="R668" s="1195" t="s">
        <v>4265</v>
      </c>
      <c r="S668" s="1088"/>
      <c r="T668" s="1088"/>
      <c r="U668" s="1076"/>
    </row>
    <row r="669" spans="1:21" ht="27.75" hidden="1" customHeight="1">
      <c r="A669" s="1076" t="s">
        <v>2512</v>
      </c>
      <c r="B669" s="1077">
        <v>43742</v>
      </c>
      <c r="C669" s="1076">
        <v>4</v>
      </c>
      <c r="D669" s="1076">
        <v>5</v>
      </c>
      <c r="E669" s="1086" t="s">
        <v>1325</v>
      </c>
      <c r="F669" s="1086"/>
      <c r="G669" s="1196" t="s">
        <v>2751</v>
      </c>
      <c r="H669" s="1079"/>
      <c r="I669" s="1079" t="s">
        <v>551</v>
      </c>
      <c r="J669" s="1079"/>
      <c r="K669" s="1079"/>
      <c r="L669" s="1079"/>
      <c r="M669" s="1196" t="s">
        <v>2750</v>
      </c>
      <c r="N669" s="1196" t="s">
        <v>2560</v>
      </c>
      <c r="O669" s="1079" t="s">
        <v>77</v>
      </c>
      <c r="P669" s="1077">
        <f t="shared" si="54"/>
        <v>43742</v>
      </c>
      <c r="Q669" s="1077">
        <f t="shared" si="53"/>
        <v>43742</v>
      </c>
      <c r="R669" s="1195" t="s">
        <v>4265</v>
      </c>
      <c r="S669" s="1088"/>
      <c r="T669" s="1088"/>
      <c r="U669" s="1076"/>
    </row>
    <row r="670" spans="1:21" hidden="1">
      <c r="A670" s="1076" t="s">
        <v>2512</v>
      </c>
      <c r="B670" s="1077">
        <v>43742</v>
      </c>
      <c r="C670" s="1076">
        <v>4</v>
      </c>
      <c r="D670" s="1076">
        <v>5</v>
      </c>
      <c r="E670" s="1086" t="s">
        <v>1330</v>
      </c>
      <c r="F670" s="1086"/>
      <c r="G670" s="1196" t="s">
        <v>2752</v>
      </c>
      <c r="H670" s="1079"/>
      <c r="I670" s="1079" t="s">
        <v>551</v>
      </c>
      <c r="J670" s="1079"/>
      <c r="K670" s="1079"/>
      <c r="L670" s="1079"/>
      <c r="M670" s="1196" t="s">
        <v>2753</v>
      </c>
      <c r="N670" s="1196" t="s">
        <v>2560</v>
      </c>
      <c r="O670" s="1079" t="s">
        <v>77</v>
      </c>
      <c r="P670" s="1077">
        <f t="shared" si="54"/>
        <v>43742</v>
      </c>
      <c r="Q670" s="1077">
        <f t="shared" si="53"/>
        <v>43742</v>
      </c>
      <c r="R670" s="1195" t="s">
        <v>4265</v>
      </c>
      <c r="S670" s="1088"/>
      <c r="T670" s="1088"/>
      <c r="U670" s="1076"/>
    </row>
    <row r="671" spans="1:21" ht="27.75" hidden="1" customHeight="1">
      <c r="A671" s="1076" t="s">
        <v>2512</v>
      </c>
      <c r="B671" s="1077">
        <v>43742</v>
      </c>
      <c r="C671" s="1076">
        <v>4</v>
      </c>
      <c r="D671" s="1076">
        <v>5</v>
      </c>
      <c r="E671" s="1086" t="s">
        <v>1333</v>
      </c>
      <c r="F671" s="1086"/>
      <c r="G671" s="1196" t="s">
        <v>2754</v>
      </c>
      <c r="H671" s="1079"/>
      <c r="I671" s="1079" t="s">
        <v>551</v>
      </c>
      <c r="J671" s="1079"/>
      <c r="K671" s="1079"/>
      <c r="L671" s="1079"/>
      <c r="M671" s="1196" t="s">
        <v>2753</v>
      </c>
      <c r="N671" s="1196" t="s">
        <v>2560</v>
      </c>
      <c r="O671" s="1079" t="s">
        <v>77</v>
      </c>
      <c r="P671" s="1077">
        <f t="shared" si="54"/>
        <v>43742</v>
      </c>
      <c r="Q671" s="1077">
        <f t="shared" si="53"/>
        <v>43742</v>
      </c>
      <c r="R671" s="1195" t="s">
        <v>4265</v>
      </c>
      <c r="S671" s="1088"/>
      <c r="T671" s="1088"/>
      <c r="U671" s="1076"/>
    </row>
    <row r="672" spans="1:21" ht="43.5" hidden="1" customHeight="1">
      <c r="A672" s="1076" t="s">
        <v>2512</v>
      </c>
      <c r="B672" s="1077">
        <v>43742</v>
      </c>
      <c r="C672" s="1076">
        <v>4</v>
      </c>
      <c r="D672" s="1076">
        <v>5</v>
      </c>
      <c r="E672" s="1086" t="s">
        <v>1202</v>
      </c>
      <c r="F672" s="1086"/>
      <c r="G672" s="1196" t="s">
        <v>2725</v>
      </c>
      <c r="H672" s="1079"/>
      <c r="I672" s="1079" t="s">
        <v>551</v>
      </c>
      <c r="J672" s="1079"/>
      <c r="K672" s="1079"/>
      <c r="L672" s="1079"/>
      <c r="M672" s="1196" t="s">
        <v>2672</v>
      </c>
      <c r="N672" s="1196" t="s">
        <v>2560</v>
      </c>
      <c r="O672" s="1079" t="s">
        <v>77</v>
      </c>
      <c r="P672" s="1077">
        <f t="shared" si="54"/>
        <v>43742</v>
      </c>
      <c r="Q672" s="1077">
        <f t="shared" si="53"/>
        <v>43742</v>
      </c>
      <c r="R672" s="1195" t="s">
        <v>4265</v>
      </c>
      <c r="S672" s="1088"/>
      <c r="T672" s="1088"/>
      <c r="U672" s="1076"/>
    </row>
    <row r="673" spans="1:21" ht="54" hidden="1" customHeight="1">
      <c r="A673" s="1076" t="s">
        <v>2512</v>
      </c>
      <c r="B673" s="1077">
        <v>43742</v>
      </c>
      <c r="C673" s="1076">
        <v>4</v>
      </c>
      <c r="D673" s="1076">
        <v>5</v>
      </c>
      <c r="E673" s="1086" t="s">
        <v>1199</v>
      </c>
      <c r="F673" s="1086"/>
      <c r="G673" s="1196" t="s">
        <v>2755</v>
      </c>
      <c r="H673" s="1079"/>
      <c r="I673" s="1079" t="s">
        <v>551</v>
      </c>
      <c r="J673" s="1079"/>
      <c r="K673" s="1079"/>
      <c r="L673" s="1079"/>
      <c r="M673" s="1196" t="s">
        <v>2672</v>
      </c>
      <c r="N673" s="1196" t="s">
        <v>2560</v>
      </c>
      <c r="O673" s="1079" t="s">
        <v>77</v>
      </c>
      <c r="P673" s="1077">
        <f t="shared" si="54"/>
        <v>43742</v>
      </c>
      <c r="Q673" s="1077">
        <f t="shared" si="53"/>
        <v>43742</v>
      </c>
      <c r="R673" s="1195" t="s">
        <v>4265</v>
      </c>
      <c r="S673" s="1088"/>
      <c r="T673" s="1088"/>
      <c r="U673" s="1076"/>
    </row>
    <row r="674" spans="1:21" ht="42.75" hidden="1" customHeight="1">
      <c r="A674" s="1076" t="s">
        <v>2512</v>
      </c>
      <c r="B674" s="1077">
        <v>43742</v>
      </c>
      <c r="C674" s="1076">
        <v>4</v>
      </c>
      <c r="D674" s="1076">
        <v>5</v>
      </c>
      <c r="E674" s="1086" t="s">
        <v>1196</v>
      </c>
      <c r="F674" s="1086"/>
      <c r="G674" s="1196" t="s">
        <v>2756</v>
      </c>
      <c r="H674" s="1079"/>
      <c r="I674" s="1079" t="s">
        <v>551</v>
      </c>
      <c r="J674" s="1079"/>
      <c r="K674" s="1079"/>
      <c r="L674" s="1079"/>
      <c r="M674" s="1196" t="s">
        <v>2672</v>
      </c>
      <c r="N674" s="1196" t="s">
        <v>2560</v>
      </c>
      <c r="O674" s="1079" t="s">
        <v>77</v>
      </c>
      <c r="P674" s="1077">
        <f t="shared" ref="P674:P703" si="55">B674</f>
        <v>43742</v>
      </c>
      <c r="Q674" s="1077">
        <f t="shared" si="53"/>
        <v>43742</v>
      </c>
      <c r="R674" s="1195" t="s">
        <v>4265</v>
      </c>
      <c r="S674" s="1088"/>
      <c r="T674" s="1088"/>
      <c r="U674" s="1076"/>
    </row>
    <row r="675" spans="1:21" ht="40.5" hidden="1" customHeight="1">
      <c r="A675" s="1076" t="s">
        <v>2512</v>
      </c>
      <c r="B675" s="1077">
        <v>43742</v>
      </c>
      <c r="C675" s="1076">
        <v>4</v>
      </c>
      <c r="D675" s="1076">
        <v>5</v>
      </c>
      <c r="E675" s="1086" t="s">
        <v>1389</v>
      </c>
      <c r="F675" s="1086"/>
      <c r="G675" s="1196" t="s">
        <v>2757</v>
      </c>
      <c r="H675" s="1079"/>
      <c r="I675" s="1079" t="s">
        <v>551</v>
      </c>
      <c r="J675" s="1079"/>
      <c r="K675" s="1079"/>
      <c r="L675" s="1079"/>
      <c r="M675" s="1196" t="s">
        <v>2672</v>
      </c>
      <c r="N675" s="1196" t="s">
        <v>2560</v>
      </c>
      <c r="O675" s="1079" t="s">
        <v>77</v>
      </c>
      <c r="P675" s="1077">
        <f t="shared" si="55"/>
        <v>43742</v>
      </c>
      <c r="Q675" s="1077">
        <f t="shared" si="53"/>
        <v>43742</v>
      </c>
      <c r="R675" s="1195" t="s">
        <v>4265</v>
      </c>
      <c r="S675" s="1088"/>
      <c r="T675" s="1088"/>
      <c r="U675" s="1076"/>
    </row>
    <row r="676" spans="1:21" hidden="1">
      <c r="A676" s="1076" t="s">
        <v>2512</v>
      </c>
      <c r="B676" s="1077">
        <v>43185</v>
      </c>
      <c r="C676" s="1076">
        <v>4</v>
      </c>
      <c r="D676" s="1076">
        <v>4</v>
      </c>
      <c r="E676" s="1082" t="s">
        <v>957</v>
      </c>
      <c r="F676" s="1082"/>
      <c r="G676" s="1196" t="s">
        <v>2514</v>
      </c>
      <c r="H676" s="1079"/>
      <c r="I676" s="1079" t="s">
        <v>551</v>
      </c>
      <c r="J676" s="1079"/>
      <c r="K676" s="1079"/>
      <c r="L676" s="1079"/>
      <c r="M676" s="1196" t="s">
        <v>2515</v>
      </c>
      <c r="N676" s="1196" t="s">
        <v>2516</v>
      </c>
      <c r="O676" s="1079" t="s">
        <v>166</v>
      </c>
      <c r="P676" s="1077">
        <f t="shared" si="55"/>
        <v>43185</v>
      </c>
      <c r="Q676" s="1077">
        <f t="shared" si="53"/>
        <v>43185</v>
      </c>
      <c r="R676" s="1080" t="s">
        <v>2517</v>
      </c>
      <c r="S676" s="1083" t="s">
        <v>2007</v>
      </c>
      <c r="T676" s="1083"/>
      <c r="U676" s="1076"/>
    </row>
    <row r="677" spans="1:21" ht="25.5" hidden="1">
      <c r="A677" s="1076" t="s">
        <v>2512</v>
      </c>
      <c r="B677" s="1077">
        <v>43185</v>
      </c>
      <c r="C677" s="1076">
        <v>4</v>
      </c>
      <c r="D677" s="1076">
        <v>4</v>
      </c>
      <c r="E677" s="1084" t="s">
        <v>948</v>
      </c>
      <c r="F677" s="1084"/>
      <c r="G677" s="1196" t="s">
        <v>2518</v>
      </c>
      <c r="H677" s="1079"/>
      <c r="I677" s="1079" t="s">
        <v>551</v>
      </c>
      <c r="J677" s="1079"/>
      <c r="K677" s="1079"/>
      <c r="L677" s="1079"/>
      <c r="M677" s="1196" t="s">
        <v>2519</v>
      </c>
      <c r="N677" s="1196" t="s">
        <v>2516</v>
      </c>
      <c r="O677" s="1079" t="s">
        <v>166</v>
      </c>
      <c r="P677" s="1077">
        <f t="shared" si="55"/>
        <v>43185</v>
      </c>
      <c r="Q677" s="1077">
        <f t="shared" si="53"/>
        <v>43185</v>
      </c>
      <c r="R677" s="1080" t="s">
        <v>2517</v>
      </c>
      <c r="S677" s="1083" t="s">
        <v>1999</v>
      </c>
      <c r="T677" s="1083"/>
      <c r="U677" s="1076"/>
    </row>
    <row r="678" spans="1:21" ht="32.25" hidden="1" customHeight="1">
      <c r="A678" s="1076" t="s">
        <v>2512</v>
      </c>
      <c r="B678" s="1077">
        <v>43185</v>
      </c>
      <c r="C678" s="1076">
        <v>4</v>
      </c>
      <c r="D678" s="1076">
        <v>4</v>
      </c>
      <c r="E678" s="1082" t="s">
        <v>967</v>
      </c>
      <c r="F678" s="1082"/>
      <c r="G678" s="1196" t="s">
        <v>2520</v>
      </c>
      <c r="H678" s="1079"/>
      <c r="I678" s="1079" t="s">
        <v>551</v>
      </c>
      <c r="J678" s="1079"/>
      <c r="K678" s="1079"/>
      <c r="L678" s="1079"/>
      <c r="M678" s="1196" t="s">
        <v>2521</v>
      </c>
      <c r="N678" s="1196" t="s">
        <v>2516</v>
      </c>
      <c r="O678" s="1079" t="s">
        <v>166</v>
      </c>
      <c r="P678" s="1077">
        <f t="shared" si="55"/>
        <v>43185</v>
      </c>
      <c r="Q678" s="1077">
        <f t="shared" ref="Q678:Q741" si="56">P678</f>
        <v>43185</v>
      </c>
      <c r="R678" s="1080" t="s">
        <v>2517</v>
      </c>
      <c r="S678" s="1081"/>
      <c r="T678" s="1081"/>
      <c r="U678" s="1076"/>
    </row>
    <row r="679" spans="1:21" hidden="1">
      <c r="A679" s="1076" t="s">
        <v>2512</v>
      </c>
      <c r="B679" s="1077">
        <v>43185</v>
      </c>
      <c r="C679" s="1076">
        <v>4</v>
      </c>
      <c r="D679" s="1076">
        <v>4</v>
      </c>
      <c r="E679" s="1082" t="s">
        <v>1019</v>
      </c>
      <c r="F679" s="1082"/>
      <c r="G679" s="1196" t="s">
        <v>31</v>
      </c>
      <c r="H679" s="1079"/>
      <c r="I679" s="1079" t="s">
        <v>551</v>
      </c>
      <c r="J679" s="1079"/>
      <c r="K679" s="1079"/>
      <c r="L679" s="1079"/>
      <c r="M679" s="1196" t="s">
        <v>2522</v>
      </c>
      <c r="N679" s="1196" t="s">
        <v>2516</v>
      </c>
      <c r="O679" s="1079" t="s">
        <v>166</v>
      </c>
      <c r="P679" s="1077">
        <f t="shared" si="55"/>
        <v>43185</v>
      </c>
      <c r="Q679" s="1077">
        <f t="shared" si="56"/>
        <v>43185</v>
      </c>
      <c r="R679" s="1080" t="s">
        <v>2517</v>
      </c>
      <c r="S679" s="1083" t="s">
        <v>2040</v>
      </c>
      <c r="T679" s="1083"/>
      <c r="U679" s="1076"/>
    </row>
    <row r="680" spans="1:21" hidden="1">
      <c r="A680" s="1076" t="s">
        <v>2512</v>
      </c>
      <c r="B680" s="1077">
        <v>43185</v>
      </c>
      <c r="C680" s="1076">
        <v>4</v>
      </c>
      <c r="D680" s="1076">
        <v>4</v>
      </c>
      <c r="E680" s="1082" t="s">
        <v>1071</v>
      </c>
      <c r="F680" s="1082"/>
      <c r="G680" s="1196" t="s">
        <v>2523</v>
      </c>
      <c r="H680" s="1079"/>
      <c r="I680" s="1079" t="s">
        <v>551</v>
      </c>
      <c r="J680" s="1079"/>
      <c r="K680" s="1079"/>
      <c r="L680" s="1079"/>
      <c r="M680" s="1196" t="s">
        <v>2524</v>
      </c>
      <c r="N680" s="1196" t="s">
        <v>2516</v>
      </c>
      <c r="O680" s="1079" t="s">
        <v>166</v>
      </c>
      <c r="P680" s="1077">
        <f t="shared" si="55"/>
        <v>43185</v>
      </c>
      <c r="Q680" s="1077">
        <f t="shared" si="56"/>
        <v>43185</v>
      </c>
      <c r="R680" s="1080" t="s">
        <v>2517</v>
      </c>
      <c r="S680" s="1083" t="s">
        <v>2069</v>
      </c>
      <c r="T680" s="1083"/>
      <c r="U680" s="1076"/>
    </row>
    <row r="681" spans="1:21" hidden="1">
      <c r="A681" s="1076" t="s">
        <v>2512</v>
      </c>
      <c r="B681" s="1077">
        <v>43185</v>
      </c>
      <c r="C681" s="1076">
        <v>4</v>
      </c>
      <c r="D681" s="1076">
        <v>4</v>
      </c>
      <c r="E681" s="1082" t="s">
        <v>1066</v>
      </c>
      <c r="F681" s="1082"/>
      <c r="G681" s="1196" t="s">
        <v>2525</v>
      </c>
      <c r="H681" s="1079"/>
      <c r="I681" s="1079" t="s">
        <v>551</v>
      </c>
      <c r="J681" s="1079"/>
      <c r="K681" s="1079"/>
      <c r="L681" s="1079"/>
      <c r="M681" s="1196" t="s">
        <v>2524</v>
      </c>
      <c r="N681" s="1196" t="s">
        <v>2516</v>
      </c>
      <c r="O681" s="1079" t="s">
        <v>166</v>
      </c>
      <c r="P681" s="1077">
        <f t="shared" si="55"/>
        <v>43185</v>
      </c>
      <c r="Q681" s="1077">
        <f t="shared" si="56"/>
        <v>43185</v>
      </c>
      <c r="R681" s="1080" t="s">
        <v>2517</v>
      </c>
      <c r="S681" s="1083" t="s">
        <v>2066</v>
      </c>
      <c r="T681" s="1083"/>
      <c r="U681" s="1076"/>
    </row>
    <row r="682" spans="1:21" hidden="1">
      <c r="A682" s="1076" t="s">
        <v>2512</v>
      </c>
      <c r="B682" s="1077">
        <v>43185</v>
      </c>
      <c r="C682" s="1076">
        <v>4</v>
      </c>
      <c r="D682" s="1076">
        <v>4</v>
      </c>
      <c r="E682" s="1076"/>
      <c r="F682" s="1076"/>
      <c r="G682" s="1196" t="s">
        <v>2526</v>
      </c>
      <c r="H682" s="1079"/>
      <c r="I682" s="1079" t="s">
        <v>2344</v>
      </c>
      <c r="J682" s="1079"/>
      <c r="K682" s="1079"/>
      <c r="L682" s="1079"/>
      <c r="M682" s="1196" t="s">
        <v>2527</v>
      </c>
      <c r="N682" s="1196" t="s">
        <v>2516</v>
      </c>
      <c r="O682" s="1079" t="s">
        <v>166</v>
      </c>
      <c r="P682" s="1077">
        <f t="shared" si="55"/>
        <v>43185</v>
      </c>
      <c r="Q682" s="1077">
        <f t="shared" si="56"/>
        <v>43185</v>
      </c>
      <c r="R682" s="1080" t="s">
        <v>2517</v>
      </c>
      <c r="S682" s="1081"/>
      <c r="T682" s="1081"/>
      <c r="U682" s="1076"/>
    </row>
    <row r="683" spans="1:21" ht="25.5" hidden="1">
      <c r="A683" s="1076" t="s">
        <v>2512</v>
      </c>
      <c r="B683" s="1077">
        <v>43185</v>
      </c>
      <c r="C683" s="1076">
        <v>4</v>
      </c>
      <c r="D683" s="1076">
        <v>4</v>
      </c>
      <c r="E683" s="1076"/>
      <c r="F683" s="1076"/>
      <c r="G683" s="1196" t="s">
        <v>2528</v>
      </c>
      <c r="H683" s="1079"/>
      <c r="I683" s="1079" t="s">
        <v>2344</v>
      </c>
      <c r="J683" s="1079"/>
      <c r="K683" s="1079"/>
      <c r="L683" s="1079"/>
      <c r="M683" s="1196" t="s">
        <v>2527</v>
      </c>
      <c r="N683" s="1196" t="s">
        <v>2516</v>
      </c>
      <c r="O683" s="1079" t="s">
        <v>166</v>
      </c>
      <c r="P683" s="1077">
        <f t="shared" si="55"/>
        <v>43185</v>
      </c>
      <c r="Q683" s="1077">
        <f t="shared" si="56"/>
        <v>43185</v>
      </c>
      <c r="R683" s="1080" t="s">
        <v>2517</v>
      </c>
      <c r="S683" s="1081"/>
      <c r="T683" s="1081"/>
      <c r="U683" s="1076"/>
    </row>
    <row r="684" spans="1:21" hidden="1">
      <c r="A684" s="1076" t="s">
        <v>2512</v>
      </c>
      <c r="B684" s="1077">
        <v>43185</v>
      </c>
      <c r="C684" s="1076">
        <v>4</v>
      </c>
      <c r="D684" s="1076">
        <v>4</v>
      </c>
      <c r="E684" s="1076"/>
      <c r="F684" s="1076"/>
      <c r="G684" s="1196" t="s">
        <v>2529</v>
      </c>
      <c r="H684" s="1079"/>
      <c r="I684" s="1079" t="s">
        <v>2344</v>
      </c>
      <c r="J684" s="1079"/>
      <c r="K684" s="1079"/>
      <c r="L684" s="1079"/>
      <c r="M684" s="1196" t="s">
        <v>2530</v>
      </c>
      <c r="N684" s="1196" t="s">
        <v>2516</v>
      </c>
      <c r="O684" s="1079" t="s">
        <v>166</v>
      </c>
      <c r="P684" s="1077">
        <f t="shared" si="55"/>
        <v>43185</v>
      </c>
      <c r="Q684" s="1077">
        <f t="shared" si="56"/>
        <v>43185</v>
      </c>
      <c r="R684" s="1080" t="s">
        <v>2517</v>
      </c>
      <c r="S684" s="1081"/>
      <c r="T684" s="1081"/>
      <c r="U684" s="1076"/>
    </row>
    <row r="685" spans="1:21" ht="25.5" hidden="1">
      <c r="A685" s="1076" t="s">
        <v>2512</v>
      </c>
      <c r="B685" s="1077">
        <v>43185</v>
      </c>
      <c r="C685" s="1076">
        <v>4</v>
      </c>
      <c r="D685" s="1076">
        <v>4</v>
      </c>
      <c r="E685" s="1076"/>
      <c r="F685" s="1076"/>
      <c r="G685" s="1196" t="s">
        <v>2531</v>
      </c>
      <c r="H685" s="1079"/>
      <c r="I685" s="1079" t="s">
        <v>2344</v>
      </c>
      <c r="J685" s="1079"/>
      <c r="K685" s="1079"/>
      <c r="L685" s="1079"/>
      <c r="M685" s="1196" t="s">
        <v>2532</v>
      </c>
      <c r="N685" s="1196" t="s">
        <v>2516</v>
      </c>
      <c r="O685" s="1079" t="s">
        <v>166</v>
      </c>
      <c r="P685" s="1077">
        <f t="shared" si="55"/>
        <v>43185</v>
      </c>
      <c r="Q685" s="1077">
        <f t="shared" si="56"/>
        <v>43185</v>
      </c>
      <c r="R685" s="1080" t="s">
        <v>2517</v>
      </c>
      <c r="S685" s="1081"/>
      <c r="T685" s="1081"/>
      <c r="U685" s="1076"/>
    </row>
    <row r="686" spans="1:21" ht="29.25" hidden="1" customHeight="1">
      <c r="A686" s="1076" t="s">
        <v>2512</v>
      </c>
      <c r="B686" s="1077">
        <v>43185</v>
      </c>
      <c r="C686" s="1076">
        <v>4</v>
      </c>
      <c r="D686" s="1076">
        <v>4</v>
      </c>
      <c r="E686" s="1076"/>
      <c r="F686" s="1076"/>
      <c r="G686" s="1196" t="s">
        <v>2533</v>
      </c>
      <c r="H686" s="1079"/>
      <c r="I686" s="1079" t="s">
        <v>2344</v>
      </c>
      <c r="J686" s="1079"/>
      <c r="K686" s="1079"/>
      <c r="L686" s="1079"/>
      <c r="M686" s="1196" t="s">
        <v>2534</v>
      </c>
      <c r="N686" s="1196" t="s">
        <v>2516</v>
      </c>
      <c r="O686" s="1079" t="s">
        <v>166</v>
      </c>
      <c r="P686" s="1077">
        <f t="shared" si="55"/>
        <v>43185</v>
      </c>
      <c r="Q686" s="1077">
        <f t="shared" si="56"/>
        <v>43185</v>
      </c>
      <c r="R686" s="1080" t="s">
        <v>2517</v>
      </c>
      <c r="S686" s="1081"/>
      <c r="T686" s="1081"/>
      <c r="U686" s="1076"/>
    </row>
    <row r="687" spans="1:21" ht="25.5" hidden="1">
      <c r="A687" s="1076" t="s">
        <v>2512</v>
      </c>
      <c r="B687" s="1077">
        <v>43185</v>
      </c>
      <c r="C687" s="1076">
        <v>4</v>
      </c>
      <c r="D687" s="1076">
        <v>4</v>
      </c>
      <c r="E687" s="1076"/>
      <c r="F687" s="1076"/>
      <c r="G687" s="1196" t="s">
        <v>2535</v>
      </c>
      <c r="H687" s="1079"/>
      <c r="I687" s="1079" t="s">
        <v>2344</v>
      </c>
      <c r="J687" s="1079"/>
      <c r="K687" s="1079"/>
      <c r="L687" s="1079"/>
      <c r="M687" s="1196" t="s">
        <v>2536</v>
      </c>
      <c r="N687" s="1196" t="s">
        <v>2516</v>
      </c>
      <c r="O687" s="1079" t="s">
        <v>166</v>
      </c>
      <c r="P687" s="1077">
        <f t="shared" si="55"/>
        <v>43185</v>
      </c>
      <c r="Q687" s="1077">
        <f t="shared" si="56"/>
        <v>43185</v>
      </c>
      <c r="R687" s="1080" t="s">
        <v>2517</v>
      </c>
      <c r="S687" s="1081"/>
      <c r="T687" s="1081"/>
      <c r="U687" s="1076"/>
    </row>
    <row r="688" spans="1:21" ht="60" hidden="1" customHeight="1">
      <c r="A688" s="1076" t="s">
        <v>2512</v>
      </c>
      <c r="B688" s="1077">
        <v>43185</v>
      </c>
      <c r="C688" s="1076">
        <v>4</v>
      </c>
      <c r="D688" s="1076">
        <v>4</v>
      </c>
      <c r="E688" s="1076"/>
      <c r="F688" s="1076"/>
      <c r="G688" s="1196" t="s">
        <v>2537</v>
      </c>
      <c r="H688" s="1079"/>
      <c r="I688" s="1079" t="s">
        <v>2344</v>
      </c>
      <c r="J688" s="1079"/>
      <c r="K688" s="1079"/>
      <c r="L688" s="1079"/>
      <c r="M688" s="1196" t="s">
        <v>2536</v>
      </c>
      <c r="N688" s="1196" t="s">
        <v>2516</v>
      </c>
      <c r="O688" s="1079" t="s">
        <v>166</v>
      </c>
      <c r="P688" s="1077">
        <f t="shared" si="55"/>
        <v>43185</v>
      </c>
      <c r="Q688" s="1077">
        <f t="shared" si="56"/>
        <v>43185</v>
      </c>
      <c r="R688" s="1080" t="s">
        <v>2517</v>
      </c>
      <c r="S688" s="1081"/>
      <c r="T688" s="1081"/>
      <c r="U688" s="1076"/>
    </row>
    <row r="689" spans="1:21" ht="25.5" hidden="1">
      <c r="A689" s="1076" t="s">
        <v>2512</v>
      </c>
      <c r="B689" s="1077">
        <v>43185</v>
      </c>
      <c r="C689" s="1076">
        <v>4</v>
      </c>
      <c r="D689" s="1076">
        <v>4</v>
      </c>
      <c r="E689" s="1082" t="s">
        <v>951</v>
      </c>
      <c r="F689" s="1082"/>
      <c r="G689" s="1196" t="s">
        <v>2538</v>
      </c>
      <c r="H689" s="1079"/>
      <c r="I689" s="1079" t="s">
        <v>551</v>
      </c>
      <c r="J689" s="1079"/>
      <c r="K689" s="1079"/>
      <c r="L689" s="1079"/>
      <c r="M689" s="1196" t="s">
        <v>2524</v>
      </c>
      <c r="N689" s="1196" t="s">
        <v>2539</v>
      </c>
      <c r="O689" s="1079" t="s">
        <v>166</v>
      </c>
      <c r="P689" s="1077">
        <f t="shared" si="55"/>
        <v>43185</v>
      </c>
      <c r="Q689" s="1077">
        <f t="shared" si="56"/>
        <v>43185</v>
      </c>
      <c r="R689" s="1080" t="s">
        <v>2517</v>
      </c>
      <c r="S689" s="1083" t="s">
        <v>2002</v>
      </c>
      <c r="T689" s="1083"/>
      <c r="U689" s="1076"/>
    </row>
    <row r="690" spans="1:21" hidden="1">
      <c r="A690" s="1076" t="s">
        <v>2512</v>
      </c>
      <c r="B690" s="1077">
        <v>43185</v>
      </c>
      <c r="C690" s="1076">
        <v>4</v>
      </c>
      <c r="D690" s="1076">
        <v>5</v>
      </c>
      <c r="E690" s="1082" t="s">
        <v>961</v>
      </c>
      <c r="F690" s="1082"/>
      <c r="G690" s="1196" t="s">
        <v>2540</v>
      </c>
      <c r="H690" s="1079"/>
      <c r="I690" s="1079" t="s">
        <v>551</v>
      </c>
      <c r="J690" s="1079"/>
      <c r="K690" s="1079"/>
      <c r="L690" s="1079"/>
      <c r="M690" s="1196" t="s">
        <v>2541</v>
      </c>
      <c r="N690" s="1196" t="s">
        <v>2542</v>
      </c>
      <c r="O690" s="1079" t="s">
        <v>166</v>
      </c>
      <c r="P690" s="1077">
        <f t="shared" si="55"/>
        <v>43185</v>
      </c>
      <c r="Q690" s="1077">
        <f t="shared" si="56"/>
        <v>43185</v>
      </c>
      <c r="R690" s="1080" t="s">
        <v>2517</v>
      </c>
      <c r="S690" s="1081"/>
      <c r="T690" s="1081"/>
      <c r="U690" s="1076"/>
    </row>
    <row r="691" spans="1:21" hidden="1">
      <c r="A691" s="1076" t="s">
        <v>2512</v>
      </c>
      <c r="B691" s="1077">
        <v>43185</v>
      </c>
      <c r="C691" s="1076">
        <v>4</v>
      </c>
      <c r="D691" s="1076">
        <v>5</v>
      </c>
      <c r="E691" s="1082" t="s">
        <v>977</v>
      </c>
      <c r="F691" s="1082"/>
      <c r="G691" s="1196" t="s">
        <v>2543</v>
      </c>
      <c r="H691" s="1079"/>
      <c r="I691" s="1079" t="s">
        <v>551</v>
      </c>
      <c r="J691" s="1079"/>
      <c r="K691" s="1079"/>
      <c r="L691" s="1079"/>
      <c r="M691" s="1196" t="s">
        <v>2544</v>
      </c>
      <c r="N691" s="1196" t="s">
        <v>2542</v>
      </c>
      <c r="O691" s="1079" t="s">
        <v>166</v>
      </c>
      <c r="P691" s="1077">
        <f t="shared" si="55"/>
        <v>43185</v>
      </c>
      <c r="Q691" s="1077">
        <f t="shared" si="56"/>
        <v>43185</v>
      </c>
      <c r="R691" s="1080" t="s">
        <v>2517</v>
      </c>
      <c r="S691" s="1083" t="s">
        <v>2015</v>
      </c>
      <c r="T691" s="1083"/>
      <c r="U691" s="1076"/>
    </row>
    <row r="692" spans="1:21" hidden="1">
      <c r="A692" s="1076" t="s">
        <v>2512</v>
      </c>
      <c r="B692" s="1077">
        <v>43185</v>
      </c>
      <c r="C692" s="1076">
        <v>4</v>
      </c>
      <c r="D692" s="1076">
        <v>5</v>
      </c>
      <c r="E692" s="1082" t="s">
        <v>980</v>
      </c>
      <c r="F692" s="1082"/>
      <c r="G692" s="1196" t="s">
        <v>2545</v>
      </c>
      <c r="H692" s="1079"/>
      <c r="I692" s="1079" t="s">
        <v>551</v>
      </c>
      <c r="J692" s="1079"/>
      <c r="K692" s="1079"/>
      <c r="L692" s="1079"/>
      <c r="M692" s="1196" t="s">
        <v>2544</v>
      </c>
      <c r="N692" s="1196" t="s">
        <v>2542</v>
      </c>
      <c r="O692" s="1079" t="s">
        <v>166</v>
      </c>
      <c r="P692" s="1077">
        <f t="shared" si="55"/>
        <v>43185</v>
      </c>
      <c r="Q692" s="1077">
        <f t="shared" si="56"/>
        <v>43185</v>
      </c>
      <c r="R692" s="1080" t="s">
        <v>2517</v>
      </c>
      <c r="S692" s="1083" t="s">
        <v>2017</v>
      </c>
      <c r="T692" s="1083"/>
      <c r="U692" s="1076"/>
    </row>
    <row r="693" spans="1:21" ht="25.5" hidden="1">
      <c r="A693" s="1076" t="s">
        <v>2512</v>
      </c>
      <c r="B693" s="1077">
        <v>43185</v>
      </c>
      <c r="C693" s="1076">
        <v>4</v>
      </c>
      <c r="D693" s="1076">
        <v>5</v>
      </c>
      <c r="E693" s="1082" t="s">
        <v>954</v>
      </c>
      <c r="F693" s="1082"/>
      <c r="G693" s="1196" t="s">
        <v>2546</v>
      </c>
      <c r="H693" s="1079"/>
      <c r="I693" s="1079" t="s">
        <v>551</v>
      </c>
      <c r="J693" s="1079"/>
      <c r="K693" s="1079"/>
      <c r="L693" s="1079"/>
      <c r="M693" s="1196" t="s">
        <v>2547</v>
      </c>
      <c r="N693" s="1196" t="s">
        <v>2548</v>
      </c>
      <c r="O693" s="1079" t="s">
        <v>166</v>
      </c>
      <c r="P693" s="1077">
        <f t="shared" si="55"/>
        <v>43185</v>
      </c>
      <c r="Q693" s="1077">
        <f t="shared" si="56"/>
        <v>43185</v>
      </c>
      <c r="R693" s="1080" t="s">
        <v>2517</v>
      </c>
      <c r="S693" s="1083" t="s">
        <v>2004</v>
      </c>
      <c r="T693" s="1083"/>
      <c r="U693" s="1076"/>
    </row>
    <row r="694" spans="1:21" ht="28.5" hidden="1" customHeight="1">
      <c r="A694" s="1076" t="s">
        <v>2512</v>
      </c>
      <c r="B694" s="1077">
        <v>43185</v>
      </c>
      <c r="C694" s="1076">
        <v>4</v>
      </c>
      <c r="D694" s="1076">
        <v>5</v>
      </c>
      <c r="E694" s="1076"/>
      <c r="F694" s="1076"/>
      <c r="G694" s="1196" t="s">
        <v>2549</v>
      </c>
      <c r="H694" s="1079"/>
      <c r="I694" s="1079" t="s">
        <v>2344</v>
      </c>
      <c r="J694" s="1079"/>
      <c r="K694" s="1079"/>
      <c r="L694" s="1079"/>
      <c r="M694" s="1196" t="s">
        <v>2550</v>
      </c>
      <c r="N694" s="1196" t="s">
        <v>2551</v>
      </c>
      <c r="O694" s="1079" t="s">
        <v>166</v>
      </c>
      <c r="P694" s="1077">
        <f t="shared" si="55"/>
        <v>43185</v>
      </c>
      <c r="Q694" s="1077">
        <f t="shared" si="56"/>
        <v>43185</v>
      </c>
      <c r="R694" s="1080" t="s">
        <v>2517</v>
      </c>
      <c r="S694" s="1081"/>
      <c r="T694" s="1081"/>
      <c r="U694" s="1076"/>
    </row>
    <row r="695" spans="1:21" ht="25.5" hidden="1">
      <c r="A695" s="1076" t="s">
        <v>2512</v>
      </c>
      <c r="B695" s="1077">
        <v>43185</v>
      </c>
      <c r="C695" s="1076">
        <v>4</v>
      </c>
      <c r="D695" s="1076">
        <v>5</v>
      </c>
      <c r="E695" s="1076"/>
      <c r="F695" s="1076"/>
      <c r="G695" s="1196" t="s">
        <v>2552</v>
      </c>
      <c r="H695" s="1079"/>
      <c r="I695" s="1079" t="s">
        <v>2344</v>
      </c>
      <c r="J695" s="1079"/>
      <c r="K695" s="1079"/>
      <c r="L695" s="1079"/>
      <c r="M695" s="1196" t="s">
        <v>2553</v>
      </c>
      <c r="N695" s="1196" t="s">
        <v>1980</v>
      </c>
      <c r="O695" s="1079" t="s">
        <v>166</v>
      </c>
      <c r="P695" s="1077">
        <f t="shared" si="55"/>
        <v>43185</v>
      </c>
      <c r="Q695" s="1077">
        <f t="shared" si="56"/>
        <v>43185</v>
      </c>
      <c r="R695" s="1080" t="s">
        <v>2517</v>
      </c>
      <c r="S695" s="1081"/>
      <c r="T695" s="1081"/>
      <c r="U695" s="1076"/>
    </row>
    <row r="696" spans="1:21" ht="25.5" hidden="1">
      <c r="A696" s="1076" t="s">
        <v>2512</v>
      </c>
      <c r="B696" s="1077">
        <v>43185</v>
      </c>
      <c r="C696" s="1076">
        <v>4</v>
      </c>
      <c r="D696" s="1076">
        <v>5</v>
      </c>
      <c r="E696" s="1076"/>
      <c r="F696" s="1076"/>
      <c r="G696" s="1196" t="s">
        <v>2554</v>
      </c>
      <c r="H696" s="1079"/>
      <c r="I696" s="1079" t="s">
        <v>2344</v>
      </c>
      <c r="J696" s="1079"/>
      <c r="K696" s="1079"/>
      <c r="L696" s="1079"/>
      <c r="M696" s="1196" t="s">
        <v>2555</v>
      </c>
      <c r="N696" s="1196" t="s">
        <v>1980</v>
      </c>
      <c r="O696" s="1079" t="s">
        <v>166</v>
      </c>
      <c r="P696" s="1077">
        <f t="shared" si="55"/>
        <v>43185</v>
      </c>
      <c r="Q696" s="1077">
        <f t="shared" si="56"/>
        <v>43185</v>
      </c>
      <c r="R696" s="1080" t="s">
        <v>2517</v>
      </c>
      <c r="S696" s="1081"/>
      <c r="T696" s="1081"/>
      <c r="U696" s="1076"/>
    </row>
    <row r="697" spans="1:21" ht="25.5" hidden="1">
      <c r="A697" s="1076" t="s">
        <v>2512</v>
      </c>
      <c r="B697" s="1077">
        <v>43185</v>
      </c>
      <c r="C697" s="1076">
        <v>4</v>
      </c>
      <c r="D697" s="1076">
        <v>5</v>
      </c>
      <c r="E697" s="1082" t="s">
        <v>1094</v>
      </c>
      <c r="F697" s="1082"/>
      <c r="G697" s="1196" t="s">
        <v>2556</v>
      </c>
      <c r="H697" s="1079"/>
      <c r="I697" s="1079" t="s">
        <v>551</v>
      </c>
      <c r="J697" s="1079"/>
      <c r="K697" s="1079"/>
      <c r="L697" s="1079"/>
      <c r="M697" s="1196" t="s">
        <v>2557</v>
      </c>
      <c r="N697" s="1196" t="s">
        <v>1980</v>
      </c>
      <c r="O697" s="1079" t="s">
        <v>166</v>
      </c>
      <c r="P697" s="1077">
        <f t="shared" si="55"/>
        <v>43185</v>
      </c>
      <c r="Q697" s="1077">
        <f t="shared" si="56"/>
        <v>43185</v>
      </c>
      <c r="R697" s="1080" t="s">
        <v>2517</v>
      </c>
      <c r="S697" s="1083" t="s">
        <v>2078</v>
      </c>
      <c r="T697" s="1083"/>
      <c r="U697" s="1076"/>
    </row>
    <row r="698" spans="1:21" hidden="1">
      <c r="A698" s="1076" t="s">
        <v>2512</v>
      </c>
      <c r="B698" s="1077">
        <v>43185</v>
      </c>
      <c r="C698" s="1076">
        <v>4</v>
      </c>
      <c r="D698" s="1076">
        <v>5</v>
      </c>
      <c r="E698" s="1085"/>
      <c r="F698" s="1085"/>
      <c r="G698" s="1196" t="s">
        <v>2558</v>
      </c>
      <c r="H698" s="1079"/>
      <c r="I698" s="1079" t="s">
        <v>2344</v>
      </c>
      <c r="J698" s="1079"/>
      <c r="K698" s="1079"/>
      <c r="L698" s="1079"/>
      <c r="M698" s="1196" t="s">
        <v>2559</v>
      </c>
      <c r="N698" s="1196" t="s">
        <v>2560</v>
      </c>
      <c r="O698" s="1079" t="s">
        <v>166</v>
      </c>
      <c r="P698" s="1077">
        <f t="shared" si="55"/>
        <v>43185</v>
      </c>
      <c r="Q698" s="1077">
        <f t="shared" si="56"/>
        <v>43185</v>
      </c>
      <c r="R698" s="1080" t="s">
        <v>2517</v>
      </c>
      <c r="S698" s="1081"/>
      <c r="T698" s="1081"/>
      <c r="U698" s="1076"/>
    </row>
    <row r="699" spans="1:21" hidden="1">
      <c r="A699" s="1076" t="s">
        <v>2512</v>
      </c>
      <c r="B699" s="1077">
        <v>43185</v>
      </c>
      <c r="C699" s="1076">
        <v>4</v>
      </c>
      <c r="D699" s="1076">
        <v>5</v>
      </c>
      <c r="E699" s="1082" t="s">
        <v>720</v>
      </c>
      <c r="F699" s="1082"/>
      <c r="G699" s="1196" t="s">
        <v>2561</v>
      </c>
      <c r="H699" s="1079"/>
      <c r="I699" s="1079" t="s">
        <v>551</v>
      </c>
      <c r="J699" s="1079"/>
      <c r="K699" s="1079"/>
      <c r="L699" s="1079"/>
      <c r="M699" s="1196" t="s">
        <v>2534</v>
      </c>
      <c r="N699" s="1196" t="s">
        <v>2560</v>
      </c>
      <c r="O699" s="1079" t="s">
        <v>166</v>
      </c>
      <c r="P699" s="1077">
        <f t="shared" si="55"/>
        <v>43185</v>
      </c>
      <c r="Q699" s="1077">
        <f t="shared" si="56"/>
        <v>43185</v>
      </c>
      <c r="R699" s="1080" t="s">
        <v>2517</v>
      </c>
      <c r="S699" s="1083" t="s">
        <v>1916</v>
      </c>
      <c r="T699" s="1083"/>
      <c r="U699" s="1076"/>
    </row>
    <row r="700" spans="1:21" hidden="1">
      <c r="A700" s="1076" t="s">
        <v>2512</v>
      </c>
      <c r="B700" s="1077">
        <v>43185</v>
      </c>
      <c r="C700" s="1076">
        <v>4</v>
      </c>
      <c r="D700" s="1076">
        <v>5</v>
      </c>
      <c r="E700" s="1082" t="s">
        <v>720</v>
      </c>
      <c r="F700" s="1082"/>
      <c r="G700" s="1196" t="s">
        <v>2558</v>
      </c>
      <c r="H700" s="1079"/>
      <c r="I700" s="1079" t="s">
        <v>551</v>
      </c>
      <c r="J700" s="1079"/>
      <c r="K700" s="1079"/>
      <c r="L700" s="1079"/>
      <c r="M700" s="1196" t="s">
        <v>2534</v>
      </c>
      <c r="N700" s="1196" t="s">
        <v>2560</v>
      </c>
      <c r="O700" s="1079" t="s">
        <v>166</v>
      </c>
      <c r="P700" s="1077">
        <f t="shared" si="55"/>
        <v>43185</v>
      </c>
      <c r="Q700" s="1077">
        <f t="shared" si="56"/>
        <v>43185</v>
      </c>
      <c r="R700" s="1080" t="s">
        <v>2517</v>
      </c>
      <c r="S700" s="1083" t="s">
        <v>1916</v>
      </c>
      <c r="T700" s="1083"/>
      <c r="U700" s="1076"/>
    </row>
    <row r="701" spans="1:21" hidden="1">
      <c r="A701" s="1076" t="s">
        <v>2512</v>
      </c>
      <c r="B701" s="1077">
        <v>43185</v>
      </c>
      <c r="C701" s="1076">
        <v>4</v>
      </c>
      <c r="D701" s="1076">
        <v>5</v>
      </c>
      <c r="E701" s="1076"/>
      <c r="F701" s="1076"/>
      <c r="G701" s="1196" t="s">
        <v>2562</v>
      </c>
      <c r="H701" s="1079"/>
      <c r="I701" s="1079" t="s">
        <v>2344</v>
      </c>
      <c r="J701" s="1079"/>
      <c r="K701" s="1079"/>
      <c r="L701" s="1079"/>
      <c r="M701" s="1196" t="s">
        <v>2534</v>
      </c>
      <c r="N701" s="1196" t="s">
        <v>2560</v>
      </c>
      <c r="O701" s="1079" t="s">
        <v>166</v>
      </c>
      <c r="P701" s="1077">
        <f t="shared" si="55"/>
        <v>43185</v>
      </c>
      <c r="Q701" s="1077">
        <f t="shared" si="56"/>
        <v>43185</v>
      </c>
      <c r="R701" s="1080" t="s">
        <v>2517</v>
      </c>
      <c r="S701" s="1081"/>
      <c r="T701" s="1081"/>
      <c r="U701" s="1076"/>
    </row>
    <row r="702" spans="1:21" ht="32.25" hidden="1" customHeight="1">
      <c r="A702" s="1076" t="s">
        <v>2512</v>
      </c>
      <c r="B702" s="1077">
        <v>43185</v>
      </c>
      <c r="C702" s="1076">
        <v>4</v>
      </c>
      <c r="D702" s="1076">
        <v>5</v>
      </c>
      <c r="E702" s="1082" t="s">
        <v>1081</v>
      </c>
      <c r="F702" s="1082"/>
      <c r="G702" s="1196" t="s">
        <v>2563</v>
      </c>
      <c r="H702" s="1079"/>
      <c r="I702" s="1079" t="s">
        <v>551</v>
      </c>
      <c r="J702" s="1079"/>
      <c r="K702" s="1079"/>
      <c r="L702" s="1079"/>
      <c r="M702" s="1196" t="s">
        <v>2564</v>
      </c>
      <c r="N702" s="1196" t="s">
        <v>2560</v>
      </c>
      <c r="O702" s="1079" t="s">
        <v>166</v>
      </c>
      <c r="P702" s="1077">
        <f t="shared" si="55"/>
        <v>43185</v>
      </c>
      <c r="Q702" s="1077">
        <f t="shared" si="56"/>
        <v>43185</v>
      </c>
      <c r="R702" s="1080" t="s">
        <v>2517</v>
      </c>
      <c r="S702" s="1083" t="s">
        <v>2073</v>
      </c>
      <c r="T702" s="1083"/>
      <c r="U702" s="1076"/>
    </row>
    <row r="703" spans="1:21" hidden="1">
      <c r="A703" s="1076" t="s">
        <v>2512</v>
      </c>
      <c r="B703" s="1077">
        <v>43185</v>
      </c>
      <c r="C703" s="1076">
        <v>4</v>
      </c>
      <c r="D703" s="1076">
        <v>5</v>
      </c>
      <c r="E703" s="1076"/>
      <c r="F703" s="1076"/>
      <c r="G703" s="1196" t="s">
        <v>2565</v>
      </c>
      <c r="H703" s="1079"/>
      <c r="I703" s="1079" t="s">
        <v>2344</v>
      </c>
      <c r="J703" s="1079"/>
      <c r="K703" s="1079"/>
      <c r="L703" s="1079"/>
      <c r="M703" s="1196" t="s">
        <v>2566</v>
      </c>
      <c r="N703" s="1196" t="s">
        <v>2560</v>
      </c>
      <c r="O703" s="1079" t="s">
        <v>166</v>
      </c>
      <c r="P703" s="1077">
        <f t="shared" si="55"/>
        <v>43185</v>
      </c>
      <c r="Q703" s="1077">
        <f t="shared" si="56"/>
        <v>43185</v>
      </c>
      <c r="R703" s="1080" t="s">
        <v>2517</v>
      </c>
      <c r="S703" s="1081"/>
      <c r="T703" s="1081"/>
      <c r="U703" s="1076"/>
    </row>
    <row r="704" spans="1:21" hidden="1">
      <c r="A704" s="1076" t="s">
        <v>2512</v>
      </c>
      <c r="B704" s="1077">
        <v>43185</v>
      </c>
      <c r="C704" s="1076">
        <v>4</v>
      </c>
      <c r="D704" s="1076">
        <v>5</v>
      </c>
      <c r="E704" s="1076"/>
      <c r="F704" s="1076"/>
      <c r="G704" s="1196" t="s">
        <v>2567</v>
      </c>
      <c r="H704" s="1079"/>
      <c r="I704" s="1079" t="s">
        <v>2344</v>
      </c>
      <c r="J704" s="1079"/>
      <c r="K704" s="1079"/>
      <c r="L704" s="1079"/>
      <c r="M704" s="1196" t="s">
        <v>2522</v>
      </c>
      <c r="N704" s="1196" t="s">
        <v>2568</v>
      </c>
      <c r="O704" s="1079" t="s">
        <v>166</v>
      </c>
      <c r="P704" s="1077">
        <f t="shared" ref="P704:P735" si="57">B704</f>
        <v>43185</v>
      </c>
      <c r="Q704" s="1077">
        <f t="shared" si="56"/>
        <v>43185</v>
      </c>
      <c r="R704" s="1080" t="s">
        <v>2517</v>
      </c>
      <c r="S704" s="1081"/>
      <c r="T704" s="1081"/>
      <c r="U704" s="1076"/>
    </row>
    <row r="705" spans="1:21" hidden="1">
      <c r="A705" s="1076" t="s">
        <v>2512</v>
      </c>
      <c r="B705" s="1077">
        <v>43185</v>
      </c>
      <c r="C705" s="1076">
        <v>4</v>
      </c>
      <c r="D705" s="1076">
        <v>5</v>
      </c>
      <c r="E705" s="1076"/>
      <c r="F705" s="1076"/>
      <c r="G705" s="1196" t="s">
        <v>2569</v>
      </c>
      <c r="H705" s="1079"/>
      <c r="I705" s="1079" t="s">
        <v>2344</v>
      </c>
      <c r="J705" s="1079"/>
      <c r="K705" s="1079"/>
      <c r="L705" s="1079"/>
      <c r="M705" s="1196" t="s">
        <v>2522</v>
      </c>
      <c r="N705" s="1196" t="s">
        <v>2568</v>
      </c>
      <c r="O705" s="1079" t="s">
        <v>166</v>
      </c>
      <c r="P705" s="1077">
        <f t="shared" si="57"/>
        <v>43185</v>
      </c>
      <c r="Q705" s="1077">
        <f t="shared" si="56"/>
        <v>43185</v>
      </c>
      <c r="R705" s="1080" t="s">
        <v>2517</v>
      </c>
      <c r="S705" s="1081"/>
      <c r="T705" s="1081"/>
      <c r="U705" s="1076"/>
    </row>
    <row r="706" spans="1:21" ht="25.5" hidden="1">
      <c r="A706" s="1076" t="s">
        <v>2512</v>
      </c>
      <c r="B706" s="1077">
        <v>43185</v>
      </c>
      <c r="C706" s="1076">
        <v>4</v>
      </c>
      <c r="D706" s="1076">
        <v>5</v>
      </c>
      <c r="E706" s="1076"/>
      <c r="F706" s="1076"/>
      <c r="G706" s="1196" t="s">
        <v>2570</v>
      </c>
      <c r="H706" s="1079"/>
      <c r="I706" s="1079" t="s">
        <v>2344</v>
      </c>
      <c r="J706" s="1079"/>
      <c r="K706" s="1079"/>
      <c r="L706" s="1079"/>
      <c r="M706" s="1196" t="s">
        <v>2571</v>
      </c>
      <c r="N706" s="1196" t="s">
        <v>2568</v>
      </c>
      <c r="O706" s="1079" t="s">
        <v>166</v>
      </c>
      <c r="P706" s="1077">
        <f t="shared" si="57"/>
        <v>43185</v>
      </c>
      <c r="Q706" s="1077">
        <f t="shared" si="56"/>
        <v>43185</v>
      </c>
      <c r="R706" s="1080" t="s">
        <v>2517</v>
      </c>
      <c r="S706" s="1081"/>
      <c r="T706" s="1081"/>
      <c r="U706" s="1076"/>
    </row>
    <row r="707" spans="1:21" hidden="1">
      <c r="A707" s="1076" t="s">
        <v>2512</v>
      </c>
      <c r="B707" s="1077">
        <v>43185</v>
      </c>
      <c r="C707" s="1076">
        <v>4</v>
      </c>
      <c r="D707" s="1076">
        <v>5</v>
      </c>
      <c r="E707" s="1076"/>
      <c r="F707" s="1076"/>
      <c r="G707" s="1196" t="s">
        <v>2572</v>
      </c>
      <c r="H707" s="1079"/>
      <c r="I707" s="1079" t="s">
        <v>2344</v>
      </c>
      <c r="J707" s="1079"/>
      <c r="K707" s="1079"/>
      <c r="L707" s="1079"/>
      <c r="M707" s="1196" t="s">
        <v>2573</v>
      </c>
      <c r="N707" s="1196" t="s">
        <v>2574</v>
      </c>
      <c r="O707" s="1079" t="s">
        <v>166</v>
      </c>
      <c r="P707" s="1077">
        <f t="shared" si="57"/>
        <v>43185</v>
      </c>
      <c r="Q707" s="1077">
        <f t="shared" si="56"/>
        <v>43185</v>
      </c>
      <c r="R707" s="1080" t="s">
        <v>2517</v>
      </c>
      <c r="S707" s="1081"/>
      <c r="T707" s="1081"/>
      <c r="U707" s="1076"/>
    </row>
    <row r="708" spans="1:21" hidden="1">
      <c r="A708" s="1076" t="s">
        <v>2512</v>
      </c>
      <c r="B708" s="1077">
        <v>43185</v>
      </c>
      <c r="C708" s="1076">
        <v>4</v>
      </c>
      <c r="D708" s="1076">
        <v>6</v>
      </c>
      <c r="E708" s="1082" t="s">
        <v>2575</v>
      </c>
      <c r="F708" s="1082"/>
      <c r="G708" s="1196" t="s">
        <v>2576</v>
      </c>
      <c r="H708" s="1079"/>
      <c r="I708" s="1079" t="s">
        <v>551</v>
      </c>
      <c r="J708" s="1079"/>
      <c r="K708" s="1079"/>
      <c r="L708" s="1079"/>
      <c r="M708" s="1196" t="s">
        <v>2524</v>
      </c>
      <c r="N708" s="1196" t="s">
        <v>2516</v>
      </c>
      <c r="O708" s="1079" t="s">
        <v>77</v>
      </c>
      <c r="P708" s="1077">
        <f t="shared" si="57"/>
        <v>43185</v>
      </c>
      <c r="Q708" s="1077">
        <f t="shared" si="56"/>
        <v>43185</v>
      </c>
      <c r="R708" s="1080" t="s">
        <v>2517</v>
      </c>
      <c r="S708" s="1083" t="s">
        <v>2031</v>
      </c>
      <c r="T708" s="1083"/>
      <c r="U708" s="1076"/>
    </row>
    <row r="709" spans="1:21" hidden="1">
      <c r="A709" s="1076" t="s">
        <v>2512</v>
      </c>
      <c r="B709" s="1077">
        <v>43185</v>
      </c>
      <c r="C709" s="1076">
        <v>4</v>
      </c>
      <c r="D709" s="1076">
        <v>6</v>
      </c>
      <c r="E709" s="1078"/>
      <c r="F709" s="1078"/>
      <c r="G709" s="1196" t="s">
        <v>2577</v>
      </c>
      <c r="H709" s="1079"/>
      <c r="I709" s="1079" t="s">
        <v>2344</v>
      </c>
      <c r="J709" s="1079"/>
      <c r="K709" s="1079"/>
      <c r="L709" s="1079"/>
      <c r="M709" s="1196" t="s">
        <v>2578</v>
      </c>
      <c r="N709" s="1196" t="s">
        <v>2516</v>
      </c>
      <c r="O709" s="1079" t="s">
        <v>77</v>
      </c>
      <c r="P709" s="1077">
        <f t="shared" si="57"/>
        <v>43185</v>
      </c>
      <c r="Q709" s="1077">
        <f t="shared" si="56"/>
        <v>43185</v>
      </c>
      <c r="R709" s="1080" t="s">
        <v>2517</v>
      </c>
      <c r="S709" s="1081"/>
      <c r="T709" s="1081"/>
      <c r="U709" s="1076"/>
    </row>
    <row r="710" spans="1:21" hidden="1">
      <c r="A710" s="1076" t="s">
        <v>2512</v>
      </c>
      <c r="B710" s="1077">
        <v>43185</v>
      </c>
      <c r="C710" s="1076">
        <v>4</v>
      </c>
      <c r="D710" s="1076">
        <v>6</v>
      </c>
      <c r="E710" s="1082" t="s">
        <v>1076</v>
      </c>
      <c r="F710" s="1082"/>
      <c r="G710" s="1196" t="s">
        <v>2579</v>
      </c>
      <c r="H710" s="1079"/>
      <c r="I710" s="1079" t="s">
        <v>551</v>
      </c>
      <c r="J710" s="1079"/>
      <c r="K710" s="1079"/>
      <c r="L710" s="1079"/>
      <c r="M710" s="1196" t="s">
        <v>2524</v>
      </c>
      <c r="N710" s="1196" t="s">
        <v>2516</v>
      </c>
      <c r="O710" s="1079" t="s">
        <v>77</v>
      </c>
      <c r="P710" s="1077">
        <f t="shared" si="57"/>
        <v>43185</v>
      </c>
      <c r="Q710" s="1077">
        <f t="shared" si="56"/>
        <v>43185</v>
      </c>
      <c r="R710" s="1080" t="s">
        <v>2517</v>
      </c>
      <c r="S710" s="1083" t="s">
        <v>2071</v>
      </c>
      <c r="T710" s="1083"/>
      <c r="U710" s="1076"/>
    </row>
    <row r="711" spans="1:21" hidden="1">
      <c r="A711" s="1076" t="s">
        <v>2512</v>
      </c>
      <c r="B711" s="1077">
        <v>43185</v>
      </c>
      <c r="C711" s="1076">
        <v>4</v>
      </c>
      <c r="D711" s="1076">
        <v>6</v>
      </c>
      <c r="E711" s="1076"/>
      <c r="F711" s="1076"/>
      <c r="G711" s="1196" t="s">
        <v>2580</v>
      </c>
      <c r="H711" s="1079"/>
      <c r="I711" s="1079" t="s">
        <v>2344</v>
      </c>
      <c r="J711" s="1079"/>
      <c r="K711" s="1079"/>
      <c r="L711" s="1079"/>
      <c r="M711" s="1196" t="s">
        <v>2578</v>
      </c>
      <c r="N711" s="1196" t="s">
        <v>2516</v>
      </c>
      <c r="O711" s="1079" t="s">
        <v>77</v>
      </c>
      <c r="P711" s="1077">
        <f t="shared" si="57"/>
        <v>43185</v>
      </c>
      <c r="Q711" s="1077">
        <f t="shared" si="56"/>
        <v>43185</v>
      </c>
      <c r="R711" s="1080" t="s">
        <v>2517</v>
      </c>
      <c r="S711" s="1081"/>
      <c r="T711" s="1081"/>
      <c r="U711" s="1076"/>
    </row>
    <row r="712" spans="1:21" hidden="1">
      <c r="A712" s="1076" t="s">
        <v>2512</v>
      </c>
      <c r="B712" s="1077">
        <v>43185</v>
      </c>
      <c r="C712" s="1076">
        <v>4</v>
      </c>
      <c r="D712" s="1076">
        <v>6</v>
      </c>
      <c r="E712" s="1076"/>
      <c r="F712" s="1076"/>
      <c r="G712" s="1196" t="s">
        <v>2581</v>
      </c>
      <c r="H712" s="1079"/>
      <c r="I712" s="1079" t="s">
        <v>2344</v>
      </c>
      <c r="J712" s="1079"/>
      <c r="K712" s="1079"/>
      <c r="L712" s="1079"/>
      <c r="M712" s="1196" t="s">
        <v>2578</v>
      </c>
      <c r="N712" s="1196" t="s">
        <v>2516</v>
      </c>
      <c r="O712" s="1079" t="s">
        <v>77</v>
      </c>
      <c r="P712" s="1077">
        <f t="shared" si="57"/>
        <v>43185</v>
      </c>
      <c r="Q712" s="1077">
        <f t="shared" si="56"/>
        <v>43185</v>
      </c>
      <c r="R712" s="1080" t="s">
        <v>2517</v>
      </c>
      <c r="S712" s="1081"/>
      <c r="T712" s="1081"/>
      <c r="U712" s="1076"/>
    </row>
    <row r="713" spans="1:21" ht="29.25" hidden="1" customHeight="1">
      <c r="A713" s="1076" t="s">
        <v>2512</v>
      </c>
      <c r="B713" s="1077">
        <v>43185</v>
      </c>
      <c r="C713" s="1076">
        <v>4</v>
      </c>
      <c r="D713" s="1076">
        <v>6</v>
      </c>
      <c r="E713" s="1086" t="s">
        <v>970</v>
      </c>
      <c r="F713" s="1086"/>
      <c r="G713" s="1196" t="s">
        <v>2582</v>
      </c>
      <c r="H713" s="1079"/>
      <c r="I713" s="1079" t="s">
        <v>551</v>
      </c>
      <c r="J713" s="1079"/>
      <c r="K713" s="1079"/>
      <c r="L713" s="1079"/>
      <c r="M713" s="1196" t="s">
        <v>2578</v>
      </c>
      <c r="N713" s="1196" t="s">
        <v>2516</v>
      </c>
      <c r="O713" s="1079" t="s">
        <v>77</v>
      </c>
      <c r="P713" s="1077">
        <f t="shared" si="57"/>
        <v>43185</v>
      </c>
      <c r="Q713" s="1077">
        <f t="shared" si="56"/>
        <v>43185</v>
      </c>
      <c r="R713" s="1080" t="s">
        <v>2517</v>
      </c>
      <c r="S713" s="1083" t="s">
        <v>2010</v>
      </c>
      <c r="T713" s="1083"/>
      <c r="U713" s="1076"/>
    </row>
    <row r="714" spans="1:21" hidden="1">
      <c r="A714" s="1076" t="s">
        <v>2512</v>
      </c>
      <c r="B714" s="1077">
        <v>43185</v>
      </c>
      <c r="C714" s="1076">
        <v>4</v>
      </c>
      <c r="D714" s="1076">
        <v>6</v>
      </c>
      <c r="E714" s="1076"/>
      <c r="F714" s="1076"/>
      <c r="G714" s="1196" t="s">
        <v>2583</v>
      </c>
      <c r="H714" s="1079"/>
      <c r="I714" s="1079" t="s">
        <v>2344</v>
      </c>
      <c r="J714" s="1079"/>
      <c r="K714" s="1079"/>
      <c r="L714" s="1079"/>
      <c r="M714" s="1196" t="s">
        <v>2578</v>
      </c>
      <c r="N714" s="1196" t="s">
        <v>2516</v>
      </c>
      <c r="O714" s="1079" t="s">
        <v>77</v>
      </c>
      <c r="P714" s="1077">
        <f t="shared" si="57"/>
        <v>43185</v>
      </c>
      <c r="Q714" s="1077">
        <f t="shared" si="56"/>
        <v>43185</v>
      </c>
      <c r="R714" s="1080" t="s">
        <v>2517</v>
      </c>
      <c r="S714" s="1081"/>
      <c r="T714" s="1081"/>
      <c r="U714" s="1076"/>
    </row>
    <row r="715" spans="1:21" hidden="1">
      <c r="A715" s="1076" t="s">
        <v>2512</v>
      </c>
      <c r="B715" s="1077">
        <v>43185</v>
      </c>
      <c r="C715" s="1076">
        <v>4</v>
      </c>
      <c r="D715" s="1076">
        <v>6</v>
      </c>
      <c r="E715" s="1076"/>
      <c r="F715" s="1076"/>
      <c r="G715" s="1196" t="s">
        <v>2580</v>
      </c>
      <c r="H715" s="1079"/>
      <c r="I715" s="1079" t="s">
        <v>2344</v>
      </c>
      <c r="J715" s="1079"/>
      <c r="K715" s="1079"/>
      <c r="L715" s="1079"/>
      <c r="M715" s="1196" t="s">
        <v>2584</v>
      </c>
      <c r="N715" s="1196" t="s">
        <v>2516</v>
      </c>
      <c r="O715" s="1079" t="s">
        <v>77</v>
      </c>
      <c r="P715" s="1077">
        <f t="shared" si="57"/>
        <v>43185</v>
      </c>
      <c r="Q715" s="1077">
        <f t="shared" si="56"/>
        <v>43185</v>
      </c>
      <c r="R715" s="1080" t="s">
        <v>2517</v>
      </c>
      <c r="S715" s="1081"/>
      <c r="T715" s="1081"/>
      <c r="U715" s="1076"/>
    </row>
    <row r="716" spans="1:21" hidden="1">
      <c r="A716" s="1076" t="s">
        <v>2512</v>
      </c>
      <c r="B716" s="1077">
        <v>43185</v>
      </c>
      <c r="C716" s="1076">
        <v>4</v>
      </c>
      <c r="D716" s="1076">
        <v>6</v>
      </c>
      <c r="E716" s="1076"/>
      <c r="F716" s="1076"/>
      <c r="G716" s="1196" t="s">
        <v>2581</v>
      </c>
      <c r="H716" s="1079"/>
      <c r="I716" s="1079" t="s">
        <v>2344</v>
      </c>
      <c r="J716" s="1079"/>
      <c r="K716" s="1079"/>
      <c r="L716" s="1079"/>
      <c r="M716" s="1196" t="s">
        <v>2584</v>
      </c>
      <c r="N716" s="1196" t="s">
        <v>2516</v>
      </c>
      <c r="O716" s="1079" t="s">
        <v>77</v>
      </c>
      <c r="P716" s="1077">
        <f t="shared" si="57"/>
        <v>43185</v>
      </c>
      <c r="Q716" s="1077">
        <f t="shared" si="56"/>
        <v>43185</v>
      </c>
      <c r="R716" s="1080" t="s">
        <v>2517</v>
      </c>
      <c r="S716" s="1081"/>
      <c r="T716" s="1081"/>
      <c r="U716" s="1076"/>
    </row>
    <row r="717" spans="1:21" ht="32.25" hidden="1" customHeight="1">
      <c r="A717" s="1076" t="s">
        <v>2512</v>
      </c>
      <c r="B717" s="1077">
        <v>43185</v>
      </c>
      <c r="C717" s="1076">
        <v>4</v>
      </c>
      <c r="D717" s="1076">
        <v>7</v>
      </c>
      <c r="E717" s="1076"/>
      <c r="F717" s="1076"/>
      <c r="G717" s="1196" t="s">
        <v>2582</v>
      </c>
      <c r="H717" s="1079"/>
      <c r="I717" s="1079" t="s">
        <v>2344</v>
      </c>
      <c r="J717" s="1079"/>
      <c r="K717" s="1079"/>
      <c r="L717" s="1079"/>
      <c r="M717" s="1196" t="s">
        <v>2584</v>
      </c>
      <c r="N717" s="1196" t="s">
        <v>2516</v>
      </c>
      <c r="O717" s="1079" t="s">
        <v>77</v>
      </c>
      <c r="P717" s="1077">
        <f t="shared" si="57"/>
        <v>43185</v>
      </c>
      <c r="Q717" s="1077">
        <f t="shared" si="56"/>
        <v>43185</v>
      </c>
      <c r="R717" s="1080" t="s">
        <v>2517</v>
      </c>
      <c r="S717" s="1081"/>
      <c r="T717" s="1081"/>
      <c r="U717" s="1076"/>
    </row>
    <row r="718" spans="1:21" hidden="1">
      <c r="A718" s="1076" t="s">
        <v>2512</v>
      </c>
      <c r="B718" s="1077">
        <v>43185</v>
      </c>
      <c r="C718" s="1076">
        <v>4</v>
      </c>
      <c r="D718" s="1076">
        <v>7</v>
      </c>
      <c r="E718" s="1076"/>
      <c r="F718" s="1076"/>
      <c r="G718" s="1196" t="s">
        <v>2583</v>
      </c>
      <c r="H718" s="1079"/>
      <c r="I718" s="1079" t="s">
        <v>2344</v>
      </c>
      <c r="J718" s="1079"/>
      <c r="K718" s="1079"/>
      <c r="L718" s="1079"/>
      <c r="M718" s="1196" t="s">
        <v>2584</v>
      </c>
      <c r="N718" s="1196" t="s">
        <v>2516</v>
      </c>
      <c r="O718" s="1079" t="s">
        <v>77</v>
      </c>
      <c r="P718" s="1077">
        <f t="shared" si="57"/>
        <v>43185</v>
      </c>
      <c r="Q718" s="1077">
        <f t="shared" si="56"/>
        <v>43185</v>
      </c>
      <c r="R718" s="1080" t="s">
        <v>2517</v>
      </c>
      <c r="S718" s="1081"/>
      <c r="T718" s="1081"/>
      <c r="U718" s="1076"/>
    </row>
    <row r="719" spans="1:21" hidden="1">
      <c r="A719" s="1076" t="s">
        <v>2512</v>
      </c>
      <c r="B719" s="1077">
        <v>43185</v>
      </c>
      <c r="C719" s="1076">
        <v>4</v>
      </c>
      <c r="D719" s="1076">
        <v>7</v>
      </c>
      <c r="E719" s="1076"/>
      <c r="F719" s="1076"/>
      <c r="G719" s="1196" t="s">
        <v>2583</v>
      </c>
      <c r="H719" s="1079"/>
      <c r="I719" s="1079" t="s">
        <v>2344</v>
      </c>
      <c r="J719" s="1079"/>
      <c r="K719" s="1079"/>
      <c r="L719" s="1079"/>
      <c r="M719" s="1196" t="s">
        <v>2585</v>
      </c>
      <c r="N719" s="1196" t="s">
        <v>2516</v>
      </c>
      <c r="O719" s="1079" t="s">
        <v>77</v>
      </c>
      <c r="P719" s="1077">
        <f t="shared" si="57"/>
        <v>43185</v>
      </c>
      <c r="Q719" s="1077">
        <f t="shared" si="56"/>
        <v>43185</v>
      </c>
      <c r="R719" s="1080" t="s">
        <v>2517</v>
      </c>
      <c r="S719" s="1081"/>
      <c r="T719" s="1081"/>
      <c r="U719" s="1076"/>
    </row>
    <row r="720" spans="1:21" hidden="1">
      <c r="A720" s="1076" t="s">
        <v>2512</v>
      </c>
      <c r="B720" s="1077">
        <v>43185</v>
      </c>
      <c r="C720" s="1076">
        <v>4</v>
      </c>
      <c r="D720" s="1076">
        <v>7</v>
      </c>
      <c r="E720" s="1076"/>
      <c r="F720" s="1076"/>
      <c r="G720" s="1196" t="s">
        <v>1525</v>
      </c>
      <c r="H720" s="1079"/>
      <c r="I720" s="1079" t="s">
        <v>2344</v>
      </c>
      <c r="J720" s="1079"/>
      <c r="K720" s="1079"/>
      <c r="L720" s="1079"/>
      <c r="M720" s="1196" t="s">
        <v>2586</v>
      </c>
      <c r="N720" s="1196" t="s">
        <v>2516</v>
      </c>
      <c r="O720" s="1079" t="s">
        <v>77</v>
      </c>
      <c r="P720" s="1077">
        <f t="shared" si="57"/>
        <v>43185</v>
      </c>
      <c r="Q720" s="1077">
        <f t="shared" si="56"/>
        <v>43185</v>
      </c>
      <c r="R720" s="1080" t="s">
        <v>2517</v>
      </c>
      <c r="S720" s="1081"/>
      <c r="T720" s="1081"/>
      <c r="U720" s="1076"/>
    </row>
    <row r="721" spans="1:21" ht="25.5" hidden="1">
      <c r="A721" s="1076" t="s">
        <v>2512</v>
      </c>
      <c r="B721" s="1077">
        <v>43185</v>
      </c>
      <c r="C721" s="1076">
        <v>4</v>
      </c>
      <c r="D721" s="1076">
        <v>7</v>
      </c>
      <c r="E721" s="1076"/>
      <c r="F721" s="1076"/>
      <c r="G721" s="1196" t="s">
        <v>2587</v>
      </c>
      <c r="H721" s="1079"/>
      <c r="I721" s="1079" t="s">
        <v>2344</v>
      </c>
      <c r="J721" s="1079"/>
      <c r="K721" s="1079"/>
      <c r="L721" s="1079"/>
      <c r="M721" s="1196" t="s">
        <v>2588</v>
      </c>
      <c r="N721" s="1196" t="s">
        <v>2516</v>
      </c>
      <c r="O721" s="1079" t="s">
        <v>77</v>
      </c>
      <c r="P721" s="1077">
        <f t="shared" si="57"/>
        <v>43185</v>
      </c>
      <c r="Q721" s="1077">
        <f t="shared" si="56"/>
        <v>43185</v>
      </c>
      <c r="R721" s="1080" t="s">
        <v>2517</v>
      </c>
      <c r="S721" s="1081"/>
      <c r="T721" s="1081"/>
      <c r="U721" s="1076"/>
    </row>
    <row r="722" spans="1:21" ht="32.25" hidden="1" customHeight="1">
      <c r="A722" s="1076" t="s">
        <v>2512</v>
      </c>
      <c r="B722" s="1077">
        <v>43185</v>
      </c>
      <c r="C722" s="1076">
        <v>4</v>
      </c>
      <c r="D722" s="1076">
        <v>7</v>
      </c>
      <c r="E722" s="1076"/>
      <c r="F722" s="1076"/>
      <c r="G722" s="1196" t="s">
        <v>2589</v>
      </c>
      <c r="H722" s="1079"/>
      <c r="I722" s="1079" t="s">
        <v>2344</v>
      </c>
      <c r="J722" s="1079"/>
      <c r="K722" s="1079"/>
      <c r="L722" s="1079"/>
      <c r="M722" s="1196" t="s">
        <v>2590</v>
      </c>
      <c r="N722" s="1196" t="s">
        <v>2516</v>
      </c>
      <c r="O722" s="1079" t="s">
        <v>77</v>
      </c>
      <c r="P722" s="1077">
        <f t="shared" si="57"/>
        <v>43185</v>
      </c>
      <c r="Q722" s="1077">
        <f t="shared" si="56"/>
        <v>43185</v>
      </c>
      <c r="R722" s="1080" t="s">
        <v>2517</v>
      </c>
      <c r="S722" s="1081"/>
      <c r="T722" s="1081"/>
      <c r="U722" s="1076"/>
    </row>
    <row r="723" spans="1:21" hidden="1">
      <c r="A723" s="1076" t="s">
        <v>2512</v>
      </c>
      <c r="B723" s="1077">
        <v>43185</v>
      </c>
      <c r="C723" s="1076">
        <v>4</v>
      </c>
      <c r="D723" s="1076">
        <v>7</v>
      </c>
      <c r="E723" s="1076"/>
      <c r="F723" s="1076"/>
      <c r="G723" s="1196" t="s">
        <v>2591</v>
      </c>
      <c r="H723" s="1079"/>
      <c r="I723" s="1079" t="s">
        <v>2344</v>
      </c>
      <c r="J723" s="1079"/>
      <c r="K723" s="1079"/>
      <c r="L723" s="1079"/>
      <c r="M723" s="1196" t="s">
        <v>2592</v>
      </c>
      <c r="N723" s="1196" t="s">
        <v>2516</v>
      </c>
      <c r="O723" s="1079" t="s">
        <v>77</v>
      </c>
      <c r="P723" s="1077">
        <f t="shared" si="57"/>
        <v>43185</v>
      </c>
      <c r="Q723" s="1077">
        <f t="shared" si="56"/>
        <v>43185</v>
      </c>
      <c r="R723" s="1080" t="s">
        <v>2517</v>
      </c>
      <c r="S723" s="1081"/>
      <c r="T723" s="1081"/>
      <c r="U723" s="1076"/>
    </row>
    <row r="724" spans="1:21" hidden="1">
      <c r="A724" s="1076" t="s">
        <v>2512</v>
      </c>
      <c r="B724" s="1077">
        <v>43185</v>
      </c>
      <c r="C724" s="1076">
        <v>4</v>
      </c>
      <c r="D724" s="1076">
        <v>7</v>
      </c>
      <c r="E724" s="1076"/>
      <c r="F724" s="1076"/>
      <c r="G724" s="1196" t="s">
        <v>2593</v>
      </c>
      <c r="H724" s="1079"/>
      <c r="I724" s="1079" t="s">
        <v>2344</v>
      </c>
      <c r="J724" s="1079"/>
      <c r="K724" s="1079"/>
      <c r="L724" s="1079"/>
      <c r="M724" s="1196" t="s">
        <v>2534</v>
      </c>
      <c r="N724" s="1196" t="s">
        <v>2574</v>
      </c>
      <c r="O724" s="1079" t="s">
        <v>77</v>
      </c>
      <c r="P724" s="1077">
        <f t="shared" si="57"/>
        <v>43185</v>
      </c>
      <c r="Q724" s="1077">
        <f t="shared" si="56"/>
        <v>43185</v>
      </c>
      <c r="R724" s="1080" t="s">
        <v>2517</v>
      </c>
      <c r="S724" s="1081"/>
      <c r="T724" s="1081"/>
      <c r="U724" s="1076"/>
    </row>
    <row r="725" spans="1:21" hidden="1">
      <c r="A725" s="1076" t="s">
        <v>2512</v>
      </c>
      <c r="B725" s="1077">
        <v>43185</v>
      </c>
      <c r="C725" s="1076">
        <v>4</v>
      </c>
      <c r="D725" s="1076">
        <v>7</v>
      </c>
      <c r="E725" s="1076"/>
      <c r="F725" s="1076"/>
      <c r="G725" s="1196" t="s">
        <v>2594</v>
      </c>
      <c r="H725" s="1079"/>
      <c r="I725" s="1079" t="s">
        <v>2344</v>
      </c>
      <c r="J725" s="1079"/>
      <c r="K725" s="1079"/>
      <c r="L725" s="1079"/>
      <c r="M725" s="1196" t="s">
        <v>2595</v>
      </c>
      <c r="N725" s="1196" t="s">
        <v>2574</v>
      </c>
      <c r="O725" s="1079" t="s">
        <v>77</v>
      </c>
      <c r="P725" s="1077">
        <f t="shared" si="57"/>
        <v>43185</v>
      </c>
      <c r="Q725" s="1077">
        <f t="shared" si="56"/>
        <v>43185</v>
      </c>
      <c r="R725" s="1080" t="s">
        <v>2517</v>
      </c>
      <c r="S725" s="1081"/>
      <c r="T725" s="1081"/>
      <c r="U725" s="1076"/>
    </row>
    <row r="726" spans="1:21" ht="25.5" hidden="1">
      <c r="A726" s="1076" t="s">
        <v>2512</v>
      </c>
      <c r="B726" s="1077">
        <v>43185</v>
      </c>
      <c r="C726" s="1076">
        <v>4</v>
      </c>
      <c r="D726" s="1076">
        <v>7</v>
      </c>
      <c r="E726" s="1076"/>
      <c r="F726" s="1076"/>
      <c r="G726" s="1196" t="s">
        <v>2596</v>
      </c>
      <c r="H726" s="1079"/>
      <c r="I726" s="1079" t="s">
        <v>2344</v>
      </c>
      <c r="J726" s="1079"/>
      <c r="K726" s="1079"/>
      <c r="L726" s="1079"/>
      <c r="M726" s="1196" t="s">
        <v>2597</v>
      </c>
      <c r="N726" s="1196" t="s">
        <v>2574</v>
      </c>
      <c r="O726" s="1079" t="s">
        <v>77</v>
      </c>
      <c r="P726" s="1077">
        <f t="shared" si="57"/>
        <v>43185</v>
      </c>
      <c r="Q726" s="1077">
        <f t="shared" si="56"/>
        <v>43185</v>
      </c>
      <c r="R726" s="1080" t="s">
        <v>2517</v>
      </c>
      <c r="S726" s="1081"/>
      <c r="T726" s="1081"/>
      <c r="U726" s="1076"/>
    </row>
    <row r="727" spans="1:21" hidden="1">
      <c r="A727" s="1076" t="s">
        <v>2512</v>
      </c>
      <c r="B727" s="1077">
        <v>43185</v>
      </c>
      <c r="C727" s="1076">
        <v>4</v>
      </c>
      <c r="D727" s="1076">
        <v>7</v>
      </c>
      <c r="E727" s="1076"/>
      <c r="F727" s="1076"/>
      <c r="G727" s="1196" t="s">
        <v>2598</v>
      </c>
      <c r="H727" s="1079"/>
      <c r="I727" s="1079" t="s">
        <v>2344</v>
      </c>
      <c r="J727" s="1079"/>
      <c r="K727" s="1079"/>
      <c r="L727" s="1079"/>
      <c r="M727" s="1196" t="s">
        <v>2599</v>
      </c>
      <c r="N727" s="1196" t="s">
        <v>2516</v>
      </c>
      <c r="O727" s="1079" t="s">
        <v>77</v>
      </c>
      <c r="P727" s="1077">
        <f t="shared" si="57"/>
        <v>43185</v>
      </c>
      <c r="Q727" s="1077">
        <f t="shared" si="56"/>
        <v>43185</v>
      </c>
      <c r="R727" s="1080" t="s">
        <v>2517</v>
      </c>
      <c r="S727" s="1081"/>
      <c r="T727" s="1081"/>
      <c r="U727" s="1076"/>
    </row>
    <row r="728" spans="1:21" hidden="1">
      <c r="A728" s="1076" t="s">
        <v>2512</v>
      </c>
      <c r="B728" s="1077">
        <v>43185</v>
      </c>
      <c r="C728" s="1076">
        <v>4</v>
      </c>
      <c r="D728" s="1076">
        <v>7</v>
      </c>
      <c r="E728" s="1076"/>
      <c r="F728" s="1076"/>
      <c r="G728" s="1196" t="s">
        <v>2600</v>
      </c>
      <c r="H728" s="1079"/>
      <c r="I728" s="1079" t="s">
        <v>2344</v>
      </c>
      <c r="J728" s="1079"/>
      <c r="K728" s="1079"/>
      <c r="L728" s="1079"/>
      <c r="M728" s="1196" t="s">
        <v>2595</v>
      </c>
      <c r="N728" s="1196" t="s">
        <v>2574</v>
      </c>
      <c r="O728" s="1079" t="s">
        <v>77</v>
      </c>
      <c r="P728" s="1077">
        <f t="shared" si="57"/>
        <v>43185</v>
      </c>
      <c r="Q728" s="1077">
        <f t="shared" si="56"/>
        <v>43185</v>
      </c>
      <c r="R728" s="1080" t="s">
        <v>2517</v>
      </c>
      <c r="S728" s="1081"/>
      <c r="T728" s="1081"/>
      <c r="U728" s="1076"/>
    </row>
    <row r="729" spans="1:21" ht="25.5" hidden="1">
      <c r="A729" s="1076" t="s">
        <v>2512</v>
      </c>
      <c r="B729" s="1077">
        <v>43185</v>
      </c>
      <c r="C729" s="1076">
        <v>4</v>
      </c>
      <c r="D729" s="1076">
        <v>7</v>
      </c>
      <c r="E729" s="1076"/>
      <c r="F729" s="1076"/>
      <c r="G729" s="1196" t="s">
        <v>2601</v>
      </c>
      <c r="H729" s="1079"/>
      <c r="I729" s="1079" t="s">
        <v>2344</v>
      </c>
      <c r="J729" s="1079"/>
      <c r="K729" s="1079"/>
      <c r="L729" s="1079"/>
      <c r="M729" s="1196" t="s">
        <v>2566</v>
      </c>
      <c r="N729" s="1196" t="s">
        <v>2574</v>
      </c>
      <c r="O729" s="1079" t="s">
        <v>77</v>
      </c>
      <c r="P729" s="1077">
        <f t="shared" si="57"/>
        <v>43185</v>
      </c>
      <c r="Q729" s="1077">
        <f t="shared" si="56"/>
        <v>43185</v>
      </c>
      <c r="R729" s="1080" t="s">
        <v>2517</v>
      </c>
      <c r="S729" s="1081"/>
      <c r="T729" s="1081"/>
      <c r="U729" s="1076"/>
    </row>
    <row r="730" spans="1:21" hidden="1">
      <c r="A730" s="1076" t="s">
        <v>2512</v>
      </c>
      <c r="B730" s="1077">
        <v>43185</v>
      </c>
      <c r="C730" s="1076">
        <v>4</v>
      </c>
      <c r="D730" s="1076">
        <v>7</v>
      </c>
      <c r="E730" s="1076"/>
      <c r="F730" s="1076"/>
      <c r="G730" s="1196" t="s">
        <v>2600</v>
      </c>
      <c r="H730" s="1079"/>
      <c r="I730" s="1079" t="s">
        <v>2344</v>
      </c>
      <c r="J730" s="1079"/>
      <c r="K730" s="1079"/>
      <c r="L730" s="1079"/>
      <c r="M730" s="1196" t="s">
        <v>2602</v>
      </c>
      <c r="N730" s="1196" t="s">
        <v>2574</v>
      </c>
      <c r="O730" s="1079" t="s">
        <v>77</v>
      </c>
      <c r="P730" s="1077">
        <f t="shared" si="57"/>
        <v>43185</v>
      </c>
      <c r="Q730" s="1077">
        <f t="shared" si="56"/>
        <v>43185</v>
      </c>
      <c r="R730" s="1080" t="s">
        <v>2517</v>
      </c>
      <c r="S730" s="1081"/>
      <c r="T730" s="1081"/>
      <c r="U730" s="1076"/>
    </row>
    <row r="731" spans="1:21" ht="25.5" hidden="1">
      <c r="A731" s="1076" t="s">
        <v>2512</v>
      </c>
      <c r="B731" s="1077">
        <v>43185</v>
      </c>
      <c r="C731" s="1076">
        <v>4</v>
      </c>
      <c r="D731" s="1076">
        <v>7</v>
      </c>
      <c r="E731" s="1082" t="s">
        <v>1128</v>
      </c>
      <c r="F731" s="1082"/>
      <c r="G731" s="1196" t="s">
        <v>2603</v>
      </c>
      <c r="H731" s="1079"/>
      <c r="I731" s="1079" t="s">
        <v>551</v>
      </c>
      <c r="J731" s="1079"/>
      <c r="K731" s="1079"/>
      <c r="L731" s="1079"/>
      <c r="M731" s="1196" t="s">
        <v>2604</v>
      </c>
      <c r="N731" s="1196" t="s">
        <v>2574</v>
      </c>
      <c r="O731" s="1079" t="s">
        <v>77</v>
      </c>
      <c r="P731" s="1077">
        <f t="shared" si="57"/>
        <v>43185</v>
      </c>
      <c r="Q731" s="1077">
        <f t="shared" si="56"/>
        <v>43185</v>
      </c>
      <c r="R731" s="1080" t="s">
        <v>2517</v>
      </c>
      <c r="S731" s="1083" t="s">
        <v>2093</v>
      </c>
      <c r="T731" s="1083"/>
      <c r="U731" s="1076"/>
    </row>
    <row r="732" spans="1:21" ht="25.5" hidden="1">
      <c r="A732" s="1076" t="s">
        <v>2512</v>
      </c>
      <c r="B732" s="1077">
        <v>43185</v>
      </c>
      <c r="C732" s="1076">
        <v>4</v>
      </c>
      <c r="D732" s="1076">
        <v>8</v>
      </c>
      <c r="E732" s="1082" t="s">
        <v>1114</v>
      </c>
      <c r="F732" s="1082"/>
      <c r="G732" s="1196" t="s">
        <v>2605</v>
      </c>
      <c r="H732" s="1079"/>
      <c r="I732" s="1079" t="s">
        <v>551</v>
      </c>
      <c r="J732" s="1079"/>
      <c r="K732" s="1079"/>
      <c r="L732" s="1079"/>
      <c r="M732" s="1196" t="s">
        <v>2604</v>
      </c>
      <c r="N732" s="1196" t="s">
        <v>2574</v>
      </c>
      <c r="O732" s="1079" t="s">
        <v>77</v>
      </c>
      <c r="P732" s="1077">
        <f t="shared" si="57"/>
        <v>43185</v>
      </c>
      <c r="Q732" s="1077">
        <f t="shared" si="56"/>
        <v>43185</v>
      </c>
      <c r="R732" s="1080" t="s">
        <v>2517</v>
      </c>
      <c r="S732" s="1083" t="s">
        <v>2090</v>
      </c>
      <c r="T732" s="1083"/>
      <c r="U732" s="1076"/>
    </row>
    <row r="733" spans="1:21" ht="25.5" hidden="1">
      <c r="A733" s="1076" t="s">
        <v>2512</v>
      </c>
      <c r="B733" s="1077">
        <v>43185</v>
      </c>
      <c r="C733" s="1076">
        <v>4</v>
      </c>
      <c r="D733" s="1076">
        <v>8</v>
      </c>
      <c r="E733" s="1076"/>
      <c r="F733" s="1076"/>
      <c r="G733" s="1196" t="s">
        <v>2603</v>
      </c>
      <c r="H733" s="1079"/>
      <c r="I733" s="1079" t="s">
        <v>2344</v>
      </c>
      <c r="J733" s="1079"/>
      <c r="K733" s="1079"/>
      <c r="L733" s="1079"/>
      <c r="M733" s="1196" t="s">
        <v>2606</v>
      </c>
      <c r="N733" s="1196" t="s">
        <v>2574</v>
      </c>
      <c r="O733" s="1079" t="s">
        <v>77</v>
      </c>
      <c r="P733" s="1077">
        <f t="shared" si="57"/>
        <v>43185</v>
      </c>
      <c r="Q733" s="1077">
        <f t="shared" si="56"/>
        <v>43185</v>
      </c>
      <c r="R733" s="1080" t="s">
        <v>2517</v>
      </c>
      <c r="S733" s="1081"/>
      <c r="T733" s="1081"/>
      <c r="U733" s="1076"/>
    </row>
    <row r="734" spans="1:21" ht="25.5" hidden="1">
      <c r="A734" s="1076" t="s">
        <v>2512</v>
      </c>
      <c r="B734" s="1077">
        <v>43185</v>
      </c>
      <c r="C734" s="1076">
        <v>4</v>
      </c>
      <c r="D734" s="1076">
        <v>8</v>
      </c>
      <c r="E734" s="1076"/>
      <c r="F734" s="1076"/>
      <c r="G734" s="1196" t="s">
        <v>2605</v>
      </c>
      <c r="H734" s="1079"/>
      <c r="I734" s="1079" t="s">
        <v>2344</v>
      </c>
      <c r="J734" s="1079"/>
      <c r="K734" s="1079"/>
      <c r="L734" s="1079"/>
      <c r="M734" s="1196" t="s">
        <v>2606</v>
      </c>
      <c r="N734" s="1196" t="s">
        <v>2574</v>
      </c>
      <c r="O734" s="1079" t="s">
        <v>77</v>
      </c>
      <c r="P734" s="1077">
        <f t="shared" si="57"/>
        <v>43185</v>
      </c>
      <c r="Q734" s="1077">
        <f t="shared" si="56"/>
        <v>43185</v>
      </c>
      <c r="R734" s="1080" t="s">
        <v>2517</v>
      </c>
      <c r="S734" s="1081"/>
      <c r="T734" s="1081"/>
      <c r="U734" s="1076"/>
    </row>
    <row r="735" spans="1:21" ht="37.5" hidden="1" customHeight="1">
      <c r="A735" s="1076" t="s">
        <v>2512</v>
      </c>
      <c r="B735" s="1077">
        <v>43185</v>
      </c>
      <c r="C735" s="1076">
        <v>4</v>
      </c>
      <c r="D735" s="1076">
        <v>8</v>
      </c>
      <c r="E735" s="1082" t="s">
        <v>1133</v>
      </c>
      <c r="F735" s="1082"/>
      <c r="G735" s="1196" t="s">
        <v>2607</v>
      </c>
      <c r="H735" s="1079"/>
      <c r="I735" s="1079" t="s">
        <v>551</v>
      </c>
      <c r="J735" s="1079"/>
      <c r="K735" s="1079"/>
      <c r="L735" s="1079"/>
      <c r="M735" s="1196" t="s">
        <v>2547</v>
      </c>
      <c r="N735" s="1196" t="s">
        <v>2548</v>
      </c>
      <c r="O735" s="1079" t="s">
        <v>77</v>
      </c>
      <c r="P735" s="1077">
        <f t="shared" si="57"/>
        <v>43185</v>
      </c>
      <c r="Q735" s="1077">
        <f t="shared" si="56"/>
        <v>43185</v>
      </c>
      <c r="R735" s="1080" t="s">
        <v>2517</v>
      </c>
      <c r="S735" s="1083" t="s">
        <v>2095</v>
      </c>
      <c r="T735" s="1083"/>
      <c r="U735" s="1076"/>
    </row>
    <row r="736" spans="1:21" hidden="1">
      <c r="A736" s="1076" t="s">
        <v>2512</v>
      </c>
      <c r="B736" s="1077">
        <v>43185</v>
      </c>
      <c r="C736" s="1076">
        <v>4</v>
      </c>
      <c r="D736" s="1076">
        <v>8</v>
      </c>
      <c r="E736" s="1076"/>
      <c r="F736" s="1076"/>
      <c r="G736" s="1196" t="s">
        <v>2608</v>
      </c>
      <c r="H736" s="1079"/>
      <c r="I736" s="1079" t="s">
        <v>2344</v>
      </c>
      <c r="J736" s="1079"/>
      <c r="K736" s="1079"/>
      <c r="L736" s="1079"/>
      <c r="M736" s="1196" t="s">
        <v>2609</v>
      </c>
      <c r="N736" s="1196" t="s">
        <v>2548</v>
      </c>
      <c r="O736" s="1079" t="s">
        <v>77</v>
      </c>
      <c r="P736" s="1077">
        <f t="shared" ref="P736:P767" si="58">B736</f>
        <v>43185</v>
      </c>
      <c r="Q736" s="1077">
        <f t="shared" si="56"/>
        <v>43185</v>
      </c>
      <c r="R736" s="1080" t="s">
        <v>2517</v>
      </c>
      <c r="S736" s="1081"/>
      <c r="T736" s="1081"/>
      <c r="U736" s="1076"/>
    </row>
    <row r="737" spans="1:21" hidden="1">
      <c r="A737" s="1076" t="s">
        <v>2512</v>
      </c>
      <c r="B737" s="1077">
        <v>43185</v>
      </c>
      <c r="C737" s="1076">
        <v>4</v>
      </c>
      <c r="D737" s="1076">
        <v>8</v>
      </c>
      <c r="E737" s="1076"/>
      <c r="F737" s="1076"/>
      <c r="G737" s="1196" t="s">
        <v>2610</v>
      </c>
      <c r="H737" s="1079"/>
      <c r="I737" s="1079" t="s">
        <v>2344</v>
      </c>
      <c r="J737" s="1079"/>
      <c r="K737" s="1079"/>
      <c r="L737" s="1079"/>
      <c r="M737" s="1196" t="s">
        <v>68</v>
      </c>
      <c r="N737" s="1196" t="s">
        <v>2611</v>
      </c>
      <c r="O737" s="1079" t="s">
        <v>77</v>
      </c>
      <c r="P737" s="1077">
        <f t="shared" si="58"/>
        <v>43185</v>
      </c>
      <c r="Q737" s="1077">
        <f t="shared" si="56"/>
        <v>43185</v>
      </c>
      <c r="R737" s="1080" t="s">
        <v>2517</v>
      </c>
      <c r="S737" s="1081"/>
      <c r="T737" s="1081"/>
      <c r="U737" s="1076"/>
    </row>
    <row r="738" spans="1:21" hidden="1">
      <c r="A738" s="1076" t="s">
        <v>2512</v>
      </c>
      <c r="B738" s="1077">
        <v>43185</v>
      </c>
      <c r="C738" s="1076">
        <v>4</v>
      </c>
      <c r="D738" s="1076">
        <v>8</v>
      </c>
      <c r="E738" s="1076"/>
      <c r="F738" s="1076"/>
      <c r="G738" s="1196" t="s">
        <v>2600</v>
      </c>
      <c r="H738" s="1079"/>
      <c r="I738" s="1079" t="s">
        <v>2344</v>
      </c>
      <c r="J738" s="1079"/>
      <c r="K738" s="1079"/>
      <c r="L738" s="1079"/>
      <c r="M738" s="1196" t="s">
        <v>2612</v>
      </c>
      <c r="N738" s="1196" t="s">
        <v>2613</v>
      </c>
      <c r="O738" s="1079" t="s">
        <v>77</v>
      </c>
      <c r="P738" s="1077">
        <f t="shared" si="58"/>
        <v>43185</v>
      </c>
      <c r="Q738" s="1077">
        <f t="shared" si="56"/>
        <v>43185</v>
      </c>
      <c r="R738" s="1080" t="s">
        <v>2517</v>
      </c>
      <c r="S738" s="1081"/>
      <c r="T738" s="1081"/>
      <c r="U738" s="1076"/>
    </row>
    <row r="739" spans="1:21" hidden="1">
      <c r="A739" s="1076" t="s">
        <v>2512</v>
      </c>
      <c r="B739" s="1077">
        <v>43185</v>
      </c>
      <c r="C739" s="1076">
        <v>4</v>
      </c>
      <c r="D739" s="1076">
        <v>8</v>
      </c>
      <c r="E739" s="1085"/>
      <c r="F739" s="1085"/>
      <c r="G739" s="1196" t="s">
        <v>2614</v>
      </c>
      <c r="H739" s="1079"/>
      <c r="I739" s="1079" t="s">
        <v>2344</v>
      </c>
      <c r="J739" s="1079"/>
      <c r="K739" s="1079"/>
      <c r="L739" s="1079"/>
      <c r="M739" s="1196" t="s">
        <v>2564</v>
      </c>
      <c r="N739" s="1196" t="s">
        <v>2560</v>
      </c>
      <c r="O739" s="1079" t="s">
        <v>77</v>
      </c>
      <c r="P739" s="1077">
        <f t="shared" si="58"/>
        <v>43185</v>
      </c>
      <c r="Q739" s="1077">
        <f t="shared" si="56"/>
        <v>43185</v>
      </c>
      <c r="R739" s="1080" t="s">
        <v>2517</v>
      </c>
      <c r="S739" s="1081"/>
      <c r="T739" s="1081"/>
      <c r="U739" s="1076"/>
    </row>
    <row r="740" spans="1:21" hidden="1">
      <c r="A740" s="1076" t="s">
        <v>2512</v>
      </c>
      <c r="B740" s="1077">
        <v>43185</v>
      </c>
      <c r="C740" s="1076">
        <v>4</v>
      </c>
      <c r="D740" s="1076">
        <v>8</v>
      </c>
      <c r="E740" s="1076"/>
      <c r="F740" s="1076"/>
      <c r="G740" s="1196" t="s">
        <v>2545</v>
      </c>
      <c r="H740" s="1079"/>
      <c r="I740" s="1079" t="s">
        <v>2344</v>
      </c>
      <c r="J740" s="1079"/>
      <c r="K740" s="1079"/>
      <c r="L740" s="1079"/>
      <c r="M740" s="1196" t="s">
        <v>2564</v>
      </c>
      <c r="N740" s="1196" t="s">
        <v>2560</v>
      </c>
      <c r="O740" s="1079" t="s">
        <v>77</v>
      </c>
      <c r="P740" s="1077">
        <f t="shared" si="58"/>
        <v>43185</v>
      </c>
      <c r="Q740" s="1077">
        <f t="shared" si="56"/>
        <v>43185</v>
      </c>
      <c r="R740" s="1080" t="s">
        <v>2517</v>
      </c>
      <c r="S740" s="1081"/>
      <c r="T740" s="1081"/>
      <c r="U740" s="1076"/>
    </row>
    <row r="741" spans="1:21" hidden="1">
      <c r="A741" s="1076" t="s">
        <v>2512</v>
      </c>
      <c r="B741" s="1077">
        <v>43185</v>
      </c>
      <c r="C741" s="1076">
        <v>4</v>
      </c>
      <c r="D741" s="1076">
        <v>8</v>
      </c>
      <c r="E741" s="1076"/>
      <c r="F741" s="1076"/>
      <c r="G741" s="1196" t="s">
        <v>2591</v>
      </c>
      <c r="H741" s="1079"/>
      <c r="I741" s="1079" t="s">
        <v>2344</v>
      </c>
      <c r="J741" s="1079"/>
      <c r="K741" s="1079"/>
      <c r="L741" s="1079"/>
      <c r="M741" s="1196" t="s">
        <v>2564</v>
      </c>
      <c r="N741" s="1196" t="s">
        <v>2560</v>
      </c>
      <c r="O741" s="1079" t="s">
        <v>77</v>
      </c>
      <c r="P741" s="1077">
        <f t="shared" si="58"/>
        <v>43185</v>
      </c>
      <c r="Q741" s="1077">
        <f t="shared" si="56"/>
        <v>43185</v>
      </c>
      <c r="R741" s="1080" t="s">
        <v>2517</v>
      </c>
      <c r="S741" s="1081"/>
      <c r="T741" s="1081"/>
      <c r="U741" s="1076"/>
    </row>
    <row r="742" spans="1:21" ht="25.5" hidden="1">
      <c r="A742" s="1076" t="s">
        <v>2512</v>
      </c>
      <c r="B742" s="1077">
        <v>43185</v>
      </c>
      <c r="C742" s="1076">
        <v>4</v>
      </c>
      <c r="D742" s="1076">
        <v>8</v>
      </c>
      <c r="E742" s="1086" t="s">
        <v>1242</v>
      </c>
      <c r="F742" s="1086"/>
      <c r="G742" s="1196" t="s">
        <v>2615</v>
      </c>
      <c r="H742" s="1079"/>
      <c r="I742" s="1079" t="s">
        <v>551</v>
      </c>
      <c r="J742" s="1079"/>
      <c r="K742" s="1079"/>
      <c r="L742" s="1079"/>
      <c r="M742" s="1196" t="s">
        <v>2564</v>
      </c>
      <c r="N742" s="1196" t="s">
        <v>2560</v>
      </c>
      <c r="O742" s="1079" t="s">
        <v>77</v>
      </c>
      <c r="P742" s="1077">
        <f t="shared" si="58"/>
        <v>43185</v>
      </c>
      <c r="Q742" s="1077">
        <f t="shared" ref="Q742:Q795" si="59">P742</f>
        <v>43185</v>
      </c>
      <c r="R742" s="1080" t="s">
        <v>2517</v>
      </c>
      <c r="S742" s="1083" t="s">
        <v>2148</v>
      </c>
      <c r="T742" s="1083"/>
      <c r="U742" s="1076"/>
    </row>
    <row r="743" spans="1:21" ht="25.5" hidden="1">
      <c r="A743" s="1076" t="s">
        <v>2512</v>
      </c>
      <c r="B743" s="1077">
        <v>43185</v>
      </c>
      <c r="C743" s="1076">
        <v>4</v>
      </c>
      <c r="D743" s="1076">
        <v>8</v>
      </c>
      <c r="E743" s="1086" t="s">
        <v>1242</v>
      </c>
      <c r="F743" s="1086"/>
      <c r="G743" s="1196" t="s">
        <v>2616</v>
      </c>
      <c r="H743" s="1079"/>
      <c r="I743" s="1079" t="s">
        <v>551</v>
      </c>
      <c r="J743" s="1079"/>
      <c r="K743" s="1079"/>
      <c r="L743" s="1079"/>
      <c r="M743" s="1196" t="s">
        <v>2564</v>
      </c>
      <c r="N743" s="1196" t="s">
        <v>2560</v>
      </c>
      <c r="O743" s="1079" t="s">
        <v>77</v>
      </c>
      <c r="P743" s="1077">
        <f t="shared" si="58"/>
        <v>43185</v>
      </c>
      <c r="Q743" s="1077">
        <f t="shared" si="59"/>
        <v>43185</v>
      </c>
      <c r="R743" s="1080" t="s">
        <v>2517</v>
      </c>
      <c r="S743" s="1083" t="s">
        <v>2148</v>
      </c>
      <c r="T743" s="1083"/>
      <c r="U743" s="1076"/>
    </row>
    <row r="744" spans="1:21" hidden="1">
      <c r="A744" s="1076" t="s">
        <v>2512</v>
      </c>
      <c r="B744" s="1077">
        <v>43185</v>
      </c>
      <c r="C744" s="1076">
        <v>4</v>
      </c>
      <c r="D744" s="1076">
        <v>8</v>
      </c>
      <c r="E744" s="1086" t="s">
        <v>1242</v>
      </c>
      <c r="F744" s="1086"/>
      <c r="G744" s="1196" t="s">
        <v>2617</v>
      </c>
      <c r="H744" s="1079"/>
      <c r="I744" s="1079" t="s">
        <v>551</v>
      </c>
      <c r="J744" s="1079"/>
      <c r="K744" s="1079"/>
      <c r="L744" s="1079"/>
      <c r="M744" s="1196" t="s">
        <v>2564</v>
      </c>
      <c r="N744" s="1196" t="s">
        <v>2560</v>
      </c>
      <c r="O744" s="1079" t="s">
        <v>77</v>
      </c>
      <c r="P744" s="1077">
        <f t="shared" si="58"/>
        <v>43185</v>
      </c>
      <c r="Q744" s="1077">
        <f t="shared" si="59"/>
        <v>43185</v>
      </c>
      <c r="R744" s="1080" t="s">
        <v>2517</v>
      </c>
      <c r="S744" s="1083" t="s">
        <v>2148</v>
      </c>
      <c r="T744" s="1083"/>
      <c r="U744" s="1076"/>
    </row>
    <row r="745" spans="1:21" hidden="1">
      <c r="A745" s="1076" t="s">
        <v>2512</v>
      </c>
      <c r="B745" s="1077">
        <v>43185</v>
      </c>
      <c r="C745" s="1076">
        <v>4</v>
      </c>
      <c r="D745" s="1076">
        <v>8</v>
      </c>
      <c r="E745" s="1076"/>
      <c r="F745" s="1076"/>
      <c r="G745" s="1196" t="s">
        <v>2618</v>
      </c>
      <c r="H745" s="1079"/>
      <c r="I745" s="1079" t="s">
        <v>2344</v>
      </c>
      <c r="J745" s="1079"/>
      <c r="K745" s="1079"/>
      <c r="L745" s="1079"/>
      <c r="M745" s="1196" t="s">
        <v>2571</v>
      </c>
      <c r="N745" s="1196" t="s">
        <v>2560</v>
      </c>
      <c r="O745" s="1079" t="s">
        <v>77</v>
      </c>
      <c r="P745" s="1077">
        <f t="shared" si="58"/>
        <v>43185</v>
      </c>
      <c r="Q745" s="1077">
        <f t="shared" si="59"/>
        <v>43185</v>
      </c>
      <c r="R745" s="1080" t="s">
        <v>2517</v>
      </c>
      <c r="S745" s="1081"/>
      <c r="T745" s="1081"/>
      <c r="U745" s="1076"/>
    </row>
    <row r="746" spans="1:21" hidden="1">
      <c r="A746" s="1076" t="s">
        <v>2512</v>
      </c>
      <c r="B746" s="1077">
        <v>43185</v>
      </c>
      <c r="C746" s="1076">
        <v>4</v>
      </c>
      <c r="D746" s="1076">
        <v>8</v>
      </c>
      <c r="E746" s="1076"/>
      <c r="F746" s="1076"/>
      <c r="G746" s="1196" t="s">
        <v>2619</v>
      </c>
      <c r="H746" s="1079"/>
      <c r="I746" s="1079" t="s">
        <v>2344</v>
      </c>
      <c r="J746" s="1079"/>
      <c r="K746" s="1079"/>
      <c r="L746" s="1079"/>
      <c r="M746" s="1196" t="s">
        <v>2620</v>
      </c>
      <c r="N746" s="1196" t="s">
        <v>2560</v>
      </c>
      <c r="O746" s="1079" t="s">
        <v>77</v>
      </c>
      <c r="P746" s="1077">
        <f t="shared" si="58"/>
        <v>43185</v>
      </c>
      <c r="Q746" s="1077">
        <f t="shared" si="59"/>
        <v>43185</v>
      </c>
      <c r="R746" s="1080" t="s">
        <v>2517</v>
      </c>
      <c r="S746" s="1081"/>
      <c r="T746" s="1081"/>
      <c r="U746" s="1076"/>
    </row>
    <row r="747" spans="1:21" hidden="1">
      <c r="A747" s="1076" t="s">
        <v>2512</v>
      </c>
      <c r="B747" s="1077">
        <v>43185</v>
      </c>
      <c r="C747" s="1076">
        <v>4</v>
      </c>
      <c r="D747" s="1076">
        <v>9</v>
      </c>
      <c r="E747" s="1086" t="s">
        <v>1266</v>
      </c>
      <c r="F747" s="1086"/>
      <c r="G747" s="1196" t="s">
        <v>2621</v>
      </c>
      <c r="H747" s="1079"/>
      <c r="I747" s="1079" t="s">
        <v>551</v>
      </c>
      <c r="J747" s="1079"/>
      <c r="K747" s="1079"/>
      <c r="L747" s="1079"/>
      <c r="M747" s="1196" t="s">
        <v>2622</v>
      </c>
      <c r="N747" s="1196" t="s">
        <v>2560</v>
      </c>
      <c r="O747" s="1079" t="s">
        <v>77</v>
      </c>
      <c r="P747" s="1077">
        <f t="shared" si="58"/>
        <v>43185</v>
      </c>
      <c r="Q747" s="1077">
        <f t="shared" si="59"/>
        <v>43185</v>
      </c>
      <c r="R747" s="1080" t="s">
        <v>2517</v>
      </c>
      <c r="S747" s="1083" t="s">
        <v>2164</v>
      </c>
      <c r="T747" s="1083"/>
      <c r="U747" s="1076"/>
    </row>
    <row r="748" spans="1:21" hidden="1">
      <c r="A748" s="1076" t="s">
        <v>2512</v>
      </c>
      <c r="B748" s="1077">
        <v>43185</v>
      </c>
      <c r="C748" s="1076">
        <v>4</v>
      </c>
      <c r="D748" s="1076">
        <v>9</v>
      </c>
      <c r="E748" s="1076"/>
      <c r="F748" s="1076"/>
      <c r="G748" s="1196" t="s">
        <v>2623</v>
      </c>
      <c r="H748" s="1079"/>
      <c r="I748" s="1079" t="s">
        <v>2344</v>
      </c>
      <c r="J748" s="1079"/>
      <c r="K748" s="1079"/>
      <c r="L748" s="1079"/>
      <c r="M748" s="1196" t="s">
        <v>2624</v>
      </c>
      <c r="N748" s="1196" t="s">
        <v>2560</v>
      </c>
      <c r="O748" s="1079" t="s">
        <v>77</v>
      </c>
      <c r="P748" s="1077">
        <f t="shared" si="58"/>
        <v>43185</v>
      </c>
      <c r="Q748" s="1077">
        <f t="shared" si="59"/>
        <v>43185</v>
      </c>
      <c r="R748" s="1080" t="s">
        <v>2517</v>
      </c>
      <c r="S748" s="1081"/>
      <c r="T748" s="1081"/>
      <c r="U748" s="1076"/>
    </row>
    <row r="749" spans="1:21" hidden="1">
      <c r="A749" s="1076" t="s">
        <v>2512</v>
      </c>
      <c r="B749" s="1077">
        <v>43185</v>
      </c>
      <c r="C749" s="1076">
        <v>4</v>
      </c>
      <c r="D749" s="1076">
        <v>9</v>
      </c>
      <c r="E749" s="1076"/>
      <c r="F749" s="1076"/>
      <c r="G749" s="1196" t="s">
        <v>2600</v>
      </c>
      <c r="H749" s="1079"/>
      <c r="I749" s="1079" t="s">
        <v>2344</v>
      </c>
      <c r="J749" s="1079"/>
      <c r="K749" s="1079"/>
      <c r="L749" s="1079"/>
      <c r="M749" s="1196" t="s">
        <v>2625</v>
      </c>
      <c r="N749" s="1196" t="s">
        <v>2560</v>
      </c>
      <c r="O749" s="1079" t="s">
        <v>77</v>
      </c>
      <c r="P749" s="1077">
        <f t="shared" si="58"/>
        <v>43185</v>
      </c>
      <c r="Q749" s="1077">
        <f t="shared" si="59"/>
        <v>43185</v>
      </c>
      <c r="R749" s="1080" t="s">
        <v>2517</v>
      </c>
      <c r="S749" s="1081"/>
      <c r="T749" s="1081"/>
      <c r="U749" s="1076"/>
    </row>
    <row r="750" spans="1:21" hidden="1">
      <c r="A750" s="1076" t="s">
        <v>2512</v>
      </c>
      <c r="B750" s="1077">
        <v>43185</v>
      </c>
      <c r="C750" s="1076">
        <v>4</v>
      </c>
      <c r="D750" s="1076">
        <v>9</v>
      </c>
      <c r="E750" s="1076"/>
      <c r="F750" s="1076"/>
      <c r="G750" s="1196" t="s">
        <v>2626</v>
      </c>
      <c r="H750" s="1079"/>
      <c r="I750" s="1079" t="s">
        <v>2344</v>
      </c>
      <c r="J750" s="1079"/>
      <c r="K750" s="1079"/>
      <c r="L750" s="1079"/>
      <c r="M750" s="1196" t="s">
        <v>2566</v>
      </c>
      <c r="N750" s="1196" t="s">
        <v>2560</v>
      </c>
      <c r="O750" s="1079" t="s">
        <v>77</v>
      </c>
      <c r="P750" s="1077">
        <f t="shared" si="58"/>
        <v>43185</v>
      </c>
      <c r="Q750" s="1077">
        <f t="shared" si="59"/>
        <v>43185</v>
      </c>
      <c r="R750" s="1080" t="s">
        <v>2517</v>
      </c>
      <c r="S750" s="1081"/>
      <c r="T750" s="1081"/>
      <c r="U750" s="1076"/>
    </row>
    <row r="751" spans="1:21" hidden="1">
      <c r="A751" s="1076" t="s">
        <v>2512</v>
      </c>
      <c r="B751" s="1077">
        <v>43185</v>
      </c>
      <c r="C751" s="1076">
        <v>4</v>
      </c>
      <c r="D751" s="1076">
        <v>9</v>
      </c>
      <c r="E751" s="1076"/>
      <c r="F751" s="1076"/>
      <c r="G751" s="1196" t="s">
        <v>2600</v>
      </c>
      <c r="H751" s="1079"/>
      <c r="I751" s="1079" t="s">
        <v>2344</v>
      </c>
      <c r="J751" s="1079"/>
      <c r="K751" s="1079"/>
      <c r="L751" s="1079"/>
      <c r="M751" s="1196" t="s">
        <v>2627</v>
      </c>
      <c r="N751" s="1196" t="s">
        <v>2560</v>
      </c>
      <c r="O751" s="1079" t="s">
        <v>77</v>
      </c>
      <c r="P751" s="1077">
        <f t="shared" si="58"/>
        <v>43185</v>
      </c>
      <c r="Q751" s="1077">
        <f t="shared" si="59"/>
        <v>43185</v>
      </c>
      <c r="R751" s="1080" t="s">
        <v>2517</v>
      </c>
      <c r="S751" s="1081"/>
      <c r="T751" s="1081"/>
      <c r="U751" s="1076"/>
    </row>
    <row r="752" spans="1:21" hidden="1">
      <c r="A752" s="1076" t="s">
        <v>2512</v>
      </c>
      <c r="B752" s="1077">
        <v>43185</v>
      </c>
      <c r="C752" s="1076">
        <v>4</v>
      </c>
      <c r="D752" s="1076">
        <v>9</v>
      </c>
      <c r="E752" s="1076"/>
      <c r="F752" s="1076"/>
      <c r="G752" s="1196" t="s">
        <v>2628</v>
      </c>
      <c r="H752" s="1079"/>
      <c r="I752" s="1079" t="s">
        <v>2344</v>
      </c>
      <c r="J752" s="1079"/>
      <c r="K752" s="1079"/>
      <c r="L752" s="1079"/>
      <c r="M752" s="1196" t="s">
        <v>2566</v>
      </c>
      <c r="N752" s="1196" t="s">
        <v>2560</v>
      </c>
      <c r="O752" s="1079" t="s">
        <v>77</v>
      </c>
      <c r="P752" s="1077">
        <f t="shared" si="58"/>
        <v>43185</v>
      </c>
      <c r="Q752" s="1077">
        <f t="shared" si="59"/>
        <v>43185</v>
      </c>
      <c r="R752" s="1080" t="s">
        <v>2517</v>
      </c>
      <c r="S752" s="1081"/>
      <c r="T752" s="1081"/>
      <c r="U752" s="1076"/>
    </row>
    <row r="753" spans="1:21" ht="32.25" hidden="1" customHeight="1">
      <c r="A753" s="1076" t="s">
        <v>2512</v>
      </c>
      <c r="B753" s="1077">
        <v>43185</v>
      </c>
      <c r="C753" s="1076">
        <v>4</v>
      </c>
      <c r="D753" s="1076">
        <v>9</v>
      </c>
      <c r="E753" s="1082" t="s">
        <v>1057</v>
      </c>
      <c r="F753" s="1082"/>
      <c r="G753" s="1196" t="s">
        <v>2629</v>
      </c>
      <c r="H753" s="1079"/>
      <c r="I753" s="1079" t="s">
        <v>551</v>
      </c>
      <c r="J753" s="1079"/>
      <c r="K753" s="1079"/>
      <c r="L753" s="1079"/>
      <c r="M753" s="1196" t="s">
        <v>2622</v>
      </c>
      <c r="N753" s="1196" t="s">
        <v>2560</v>
      </c>
      <c r="O753" s="1079" t="s">
        <v>77</v>
      </c>
      <c r="P753" s="1077">
        <f t="shared" si="58"/>
        <v>43185</v>
      </c>
      <c r="Q753" s="1077">
        <f t="shared" si="59"/>
        <v>43185</v>
      </c>
      <c r="R753" s="1080" t="s">
        <v>2517</v>
      </c>
      <c r="S753" s="1083" t="s">
        <v>2062</v>
      </c>
      <c r="T753" s="1083"/>
      <c r="U753" s="1076"/>
    </row>
    <row r="754" spans="1:21" ht="25.5" hidden="1">
      <c r="A754" s="1076" t="s">
        <v>2512</v>
      </c>
      <c r="B754" s="1077">
        <v>43185</v>
      </c>
      <c r="C754" s="1076">
        <v>4</v>
      </c>
      <c r="D754" s="1076">
        <v>9</v>
      </c>
      <c r="E754" s="1082" t="s">
        <v>1026</v>
      </c>
      <c r="F754" s="1082"/>
      <c r="G754" s="1196" t="s">
        <v>2630</v>
      </c>
      <c r="H754" s="1079"/>
      <c r="I754" s="1079" t="s">
        <v>551</v>
      </c>
      <c r="J754" s="1079"/>
      <c r="K754" s="1079"/>
      <c r="L754" s="1079"/>
      <c r="M754" s="1196" t="s">
        <v>2622</v>
      </c>
      <c r="N754" s="1196" t="s">
        <v>2560</v>
      </c>
      <c r="O754" s="1079" t="s">
        <v>77</v>
      </c>
      <c r="P754" s="1077">
        <f t="shared" si="58"/>
        <v>43185</v>
      </c>
      <c r="Q754" s="1077">
        <f t="shared" si="59"/>
        <v>43185</v>
      </c>
      <c r="R754" s="1080" t="s">
        <v>2517</v>
      </c>
      <c r="S754" s="1083" t="s">
        <v>2046</v>
      </c>
      <c r="T754" s="1083"/>
      <c r="U754" s="1076"/>
    </row>
    <row r="755" spans="1:21" hidden="1">
      <c r="A755" s="1076" t="s">
        <v>2512</v>
      </c>
      <c r="B755" s="1077">
        <v>43185</v>
      </c>
      <c r="C755" s="1076">
        <v>4</v>
      </c>
      <c r="D755" s="1076">
        <v>9</v>
      </c>
      <c r="E755" s="1082" t="s">
        <v>1023</v>
      </c>
      <c r="F755" s="1082"/>
      <c r="G755" s="1196" t="s">
        <v>2631</v>
      </c>
      <c r="H755" s="1079"/>
      <c r="I755" s="1079" t="s">
        <v>551</v>
      </c>
      <c r="J755" s="1079"/>
      <c r="K755" s="1079"/>
      <c r="L755" s="1079"/>
      <c r="M755" s="1196" t="s">
        <v>2566</v>
      </c>
      <c r="N755" s="1196" t="s">
        <v>2560</v>
      </c>
      <c r="O755" s="1079" t="s">
        <v>77</v>
      </c>
      <c r="P755" s="1077">
        <f t="shared" si="58"/>
        <v>43185</v>
      </c>
      <c r="Q755" s="1077">
        <f t="shared" si="59"/>
        <v>43185</v>
      </c>
      <c r="R755" s="1080" t="s">
        <v>2517</v>
      </c>
      <c r="S755" s="1081"/>
      <c r="T755" s="1081"/>
      <c r="U755" s="1076"/>
    </row>
    <row r="756" spans="1:21" hidden="1">
      <c r="A756" s="1076" t="s">
        <v>2512</v>
      </c>
      <c r="B756" s="1077">
        <v>43185</v>
      </c>
      <c r="C756" s="1076">
        <v>4</v>
      </c>
      <c r="D756" s="1076">
        <v>9</v>
      </c>
      <c r="E756" s="1082" t="s">
        <v>1109</v>
      </c>
      <c r="F756" s="1082"/>
      <c r="G756" s="1196" t="s">
        <v>2632</v>
      </c>
      <c r="H756" s="1079"/>
      <c r="I756" s="1079" t="s">
        <v>551</v>
      </c>
      <c r="J756" s="1079"/>
      <c r="K756" s="1079"/>
      <c r="L756" s="1079"/>
      <c r="M756" s="1196" t="s">
        <v>2633</v>
      </c>
      <c r="N756" s="1196" t="s">
        <v>2560</v>
      </c>
      <c r="O756" s="1079" t="s">
        <v>77</v>
      </c>
      <c r="P756" s="1077">
        <f t="shared" si="58"/>
        <v>43185</v>
      </c>
      <c r="Q756" s="1077">
        <f t="shared" si="59"/>
        <v>43185</v>
      </c>
      <c r="R756" s="1080" t="s">
        <v>2517</v>
      </c>
      <c r="S756" s="1083" t="s">
        <v>2086</v>
      </c>
      <c r="T756" s="1083"/>
      <c r="U756" s="1076"/>
    </row>
    <row r="757" spans="1:21" hidden="1">
      <c r="A757" s="1076" t="s">
        <v>2512</v>
      </c>
      <c r="B757" s="1077">
        <v>43185</v>
      </c>
      <c r="C757" s="1076">
        <v>4</v>
      </c>
      <c r="D757" s="1076">
        <v>9</v>
      </c>
      <c r="E757" s="1082" t="s">
        <v>1105</v>
      </c>
      <c r="F757" s="1082"/>
      <c r="G757" s="1196" t="s">
        <v>2634</v>
      </c>
      <c r="H757" s="1079"/>
      <c r="I757" s="1079" t="s">
        <v>551</v>
      </c>
      <c r="J757" s="1079"/>
      <c r="K757" s="1079"/>
      <c r="L757" s="1079"/>
      <c r="M757" s="1196" t="s">
        <v>2633</v>
      </c>
      <c r="N757" s="1196" t="s">
        <v>2560</v>
      </c>
      <c r="O757" s="1079" t="s">
        <v>77</v>
      </c>
      <c r="P757" s="1077">
        <f t="shared" si="58"/>
        <v>43185</v>
      </c>
      <c r="Q757" s="1077">
        <f t="shared" si="59"/>
        <v>43185</v>
      </c>
      <c r="R757" s="1080" t="s">
        <v>2517</v>
      </c>
      <c r="S757" s="1083" t="s">
        <v>2083</v>
      </c>
      <c r="T757" s="1083"/>
      <c r="U757" s="1076"/>
    </row>
    <row r="758" spans="1:21" hidden="1">
      <c r="A758" s="1076" t="s">
        <v>2512</v>
      </c>
      <c r="B758" s="1077">
        <v>43185</v>
      </c>
      <c r="C758" s="1076">
        <v>4</v>
      </c>
      <c r="D758" s="1076">
        <v>9</v>
      </c>
      <c r="E758" s="1076"/>
      <c r="F758" s="1076"/>
      <c r="G758" s="1196" t="s">
        <v>2540</v>
      </c>
      <c r="H758" s="1079"/>
      <c r="I758" s="1079" t="s">
        <v>2344</v>
      </c>
      <c r="J758" s="1079"/>
      <c r="K758" s="1079"/>
      <c r="L758" s="1079"/>
      <c r="M758" s="1196" t="s">
        <v>2571</v>
      </c>
      <c r="N758" s="1196" t="s">
        <v>2560</v>
      </c>
      <c r="O758" s="1079" t="s">
        <v>77</v>
      </c>
      <c r="P758" s="1077">
        <f t="shared" si="58"/>
        <v>43185</v>
      </c>
      <c r="Q758" s="1077">
        <f t="shared" si="59"/>
        <v>43185</v>
      </c>
      <c r="R758" s="1080" t="s">
        <v>2517</v>
      </c>
      <c r="S758" s="1081"/>
      <c r="T758" s="1081"/>
      <c r="U758" s="1076"/>
    </row>
    <row r="759" spans="1:21" hidden="1">
      <c r="A759" s="1076" t="s">
        <v>2512</v>
      </c>
      <c r="B759" s="1077">
        <v>43185</v>
      </c>
      <c r="C759" s="1076">
        <v>4</v>
      </c>
      <c r="D759" s="1076">
        <v>9</v>
      </c>
      <c r="E759" s="1082" t="s">
        <v>1086</v>
      </c>
      <c r="F759" s="1082"/>
      <c r="G759" s="1196" t="s">
        <v>2635</v>
      </c>
      <c r="H759" s="1079"/>
      <c r="I759" s="1079" t="s">
        <v>551</v>
      </c>
      <c r="J759" s="1079"/>
      <c r="K759" s="1079"/>
      <c r="L759" s="1079"/>
      <c r="M759" s="1196" t="s">
        <v>2636</v>
      </c>
      <c r="N759" s="1196" t="s">
        <v>2560</v>
      </c>
      <c r="O759" s="1079" t="s">
        <v>77</v>
      </c>
      <c r="P759" s="1077">
        <f t="shared" si="58"/>
        <v>43185</v>
      </c>
      <c r="Q759" s="1077">
        <f t="shared" si="59"/>
        <v>43185</v>
      </c>
      <c r="R759" s="1080" t="s">
        <v>2517</v>
      </c>
      <c r="S759" s="1083" t="s">
        <v>2637</v>
      </c>
      <c r="T759" s="1083"/>
      <c r="U759" s="1076"/>
    </row>
    <row r="760" spans="1:21" hidden="1">
      <c r="A760" s="1076" t="s">
        <v>2512</v>
      </c>
      <c r="B760" s="1077">
        <v>43185</v>
      </c>
      <c r="C760" s="1076">
        <v>4</v>
      </c>
      <c r="D760" s="1076">
        <v>9</v>
      </c>
      <c r="E760" s="1076"/>
      <c r="F760" s="1076"/>
      <c r="G760" s="1196" t="s">
        <v>2638</v>
      </c>
      <c r="H760" s="1079"/>
      <c r="I760" s="1079" t="s">
        <v>2344</v>
      </c>
      <c r="J760" s="1079"/>
      <c r="K760" s="1079"/>
      <c r="L760" s="1079"/>
      <c r="M760" s="1196" t="s">
        <v>2627</v>
      </c>
      <c r="N760" s="1196" t="s">
        <v>2560</v>
      </c>
      <c r="O760" s="1079" t="s">
        <v>77</v>
      </c>
      <c r="P760" s="1077">
        <f t="shared" si="58"/>
        <v>43185</v>
      </c>
      <c r="Q760" s="1077">
        <f t="shared" si="59"/>
        <v>43185</v>
      </c>
      <c r="R760" s="1080" t="s">
        <v>2517</v>
      </c>
      <c r="S760" s="1081"/>
      <c r="T760" s="1081"/>
      <c r="U760" s="1076"/>
    </row>
    <row r="761" spans="1:21" ht="25.5" hidden="1">
      <c r="A761" s="1076" t="s">
        <v>2512</v>
      </c>
      <c r="B761" s="1077">
        <v>43185</v>
      </c>
      <c r="C761" s="1076">
        <v>4</v>
      </c>
      <c r="D761" s="1076">
        <v>9</v>
      </c>
      <c r="E761" s="1082" t="s">
        <v>1014</v>
      </c>
      <c r="F761" s="1082"/>
      <c r="G761" s="1196" t="s">
        <v>2639</v>
      </c>
      <c r="H761" s="1079"/>
      <c r="I761" s="1079" t="s">
        <v>551</v>
      </c>
      <c r="J761" s="1079"/>
      <c r="K761" s="1079"/>
      <c r="L761" s="1079"/>
      <c r="M761" s="1196" t="s">
        <v>2571</v>
      </c>
      <c r="N761" s="1196" t="s">
        <v>2640</v>
      </c>
      <c r="O761" s="1079" t="s">
        <v>77</v>
      </c>
      <c r="P761" s="1077">
        <f t="shared" si="58"/>
        <v>43185</v>
      </c>
      <c r="Q761" s="1077">
        <f t="shared" si="59"/>
        <v>43185</v>
      </c>
      <c r="R761" s="1080" t="s">
        <v>2517</v>
      </c>
      <c r="S761" s="1083" t="s">
        <v>2036</v>
      </c>
      <c r="T761" s="1083"/>
      <c r="U761" s="1076"/>
    </row>
    <row r="762" spans="1:21" ht="25.5" hidden="1">
      <c r="A762" s="1076" t="s">
        <v>2512</v>
      </c>
      <c r="B762" s="1077">
        <v>43185</v>
      </c>
      <c r="C762" s="1076">
        <v>4</v>
      </c>
      <c r="D762" s="1076">
        <v>9</v>
      </c>
      <c r="E762" s="1082" t="s">
        <v>1007</v>
      </c>
      <c r="F762" s="1082"/>
      <c r="G762" s="1196" t="s">
        <v>2641</v>
      </c>
      <c r="H762" s="1079"/>
      <c r="I762" s="1079" t="s">
        <v>551</v>
      </c>
      <c r="J762" s="1079"/>
      <c r="K762" s="1079"/>
      <c r="L762" s="1079"/>
      <c r="M762" s="1196" t="s">
        <v>2571</v>
      </c>
      <c r="N762" s="1196" t="s">
        <v>2640</v>
      </c>
      <c r="O762" s="1079" t="s">
        <v>77</v>
      </c>
      <c r="P762" s="1077">
        <f t="shared" si="58"/>
        <v>43185</v>
      </c>
      <c r="Q762" s="1077">
        <f t="shared" si="59"/>
        <v>43185</v>
      </c>
      <c r="R762" s="1080" t="s">
        <v>2517</v>
      </c>
      <c r="S762" s="1083" t="s">
        <v>2035</v>
      </c>
      <c r="T762" s="1083"/>
      <c r="U762" s="1076"/>
    </row>
    <row r="763" spans="1:21" hidden="1">
      <c r="A763" s="1076" t="s">
        <v>2512</v>
      </c>
      <c r="B763" s="1077">
        <v>43185</v>
      </c>
      <c r="C763" s="1076">
        <v>4</v>
      </c>
      <c r="D763" s="1076">
        <v>9</v>
      </c>
      <c r="E763" s="1082" t="s">
        <v>1043</v>
      </c>
      <c r="F763" s="1082"/>
      <c r="G763" s="1196" t="s">
        <v>2545</v>
      </c>
      <c r="H763" s="1079"/>
      <c r="I763" s="1079" t="s">
        <v>551</v>
      </c>
      <c r="J763" s="1079"/>
      <c r="K763" s="1079"/>
      <c r="L763" s="1079"/>
      <c r="M763" s="1196" t="s">
        <v>2642</v>
      </c>
      <c r="N763" s="1196" t="s">
        <v>2640</v>
      </c>
      <c r="O763" s="1079" t="s">
        <v>77</v>
      </c>
      <c r="P763" s="1077">
        <f t="shared" si="58"/>
        <v>43185</v>
      </c>
      <c r="Q763" s="1077">
        <f t="shared" si="59"/>
        <v>43185</v>
      </c>
      <c r="R763" s="1080" t="s">
        <v>2517</v>
      </c>
      <c r="S763" s="1083" t="s">
        <v>2303</v>
      </c>
      <c r="T763" s="1083"/>
      <c r="U763" s="1076"/>
    </row>
    <row r="764" spans="1:21" hidden="1">
      <c r="A764" s="1076" t="s">
        <v>2512</v>
      </c>
      <c r="B764" s="1077">
        <v>43185</v>
      </c>
      <c r="C764" s="1076">
        <v>4</v>
      </c>
      <c r="D764" s="1076">
        <v>9</v>
      </c>
      <c r="E764" s="1082" t="s">
        <v>1046</v>
      </c>
      <c r="F764" s="1082"/>
      <c r="G764" s="1196" t="s">
        <v>2631</v>
      </c>
      <c r="H764" s="1079"/>
      <c r="I764" s="1079" t="s">
        <v>551</v>
      </c>
      <c r="J764" s="1079"/>
      <c r="K764" s="1079"/>
      <c r="L764" s="1079"/>
      <c r="M764" s="1196" t="s">
        <v>2642</v>
      </c>
      <c r="N764" s="1196" t="s">
        <v>2640</v>
      </c>
      <c r="O764" s="1079" t="s">
        <v>77</v>
      </c>
      <c r="P764" s="1077">
        <f t="shared" si="58"/>
        <v>43185</v>
      </c>
      <c r="Q764" s="1077">
        <f t="shared" si="59"/>
        <v>43185</v>
      </c>
      <c r="R764" s="1080" t="s">
        <v>2517</v>
      </c>
      <c r="S764" s="1083" t="s">
        <v>2304</v>
      </c>
      <c r="T764" s="1083"/>
      <c r="U764" s="1076"/>
    </row>
    <row r="765" spans="1:21" hidden="1">
      <c r="A765" s="1076" t="s">
        <v>2512</v>
      </c>
      <c r="B765" s="1077">
        <v>43185</v>
      </c>
      <c r="C765" s="1076">
        <v>4</v>
      </c>
      <c r="D765" s="1076">
        <v>10</v>
      </c>
      <c r="E765" s="1082" t="s">
        <v>982</v>
      </c>
      <c r="F765" s="1082"/>
      <c r="G765" s="1196" t="s">
        <v>2540</v>
      </c>
      <c r="H765" s="1079"/>
      <c r="I765" s="1079" t="s">
        <v>551</v>
      </c>
      <c r="J765" s="1079"/>
      <c r="K765" s="1079"/>
      <c r="L765" s="1079"/>
      <c r="M765" s="1196" t="s">
        <v>2643</v>
      </c>
      <c r="N765" s="1196" t="s">
        <v>2640</v>
      </c>
      <c r="O765" s="1079" t="s">
        <v>77</v>
      </c>
      <c r="P765" s="1077">
        <f t="shared" si="58"/>
        <v>43185</v>
      </c>
      <c r="Q765" s="1077">
        <f t="shared" si="59"/>
        <v>43185</v>
      </c>
      <c r="R765" s="1080" t="s">
        <v>2517</v>
      </c>
      <c r="S765" s="1083"/>
      <c r="T765" s="1083"/>
      <c r="U765" s="1076"/>
    </row>
    <row r="766" spans="1:21" hidden="1">
      <c r="A766" s="1076" t="s">
        <v>2512</v>
      </c>
      <c r="B766" s="1077">
        <v>43185</v>
      </c>
      <c r="C766" s="1076">
        <v>4</v>
      </c>
      <c r="D766" s="1076">
        <v>10</v>
      </c>
      <c r="E766" s="1076"/>
      <c r="F766" s="1076"/>
      <c r="G766" s="1196" t="s">
        <v>2644</v>
      </c>
      <c r="H766" s="1079"/>
      <c r="I766" s="1079" t="s">
        <v>2344</v>
      </c>
      <c r="J766" s="1079"/>
      <c r="K766" s="1079"/>
      <c r="L766" s="1079"/>
      <c r="M766" s="1196" t="s">
        <v>2645</v>
      </c>
      <c r="N766" s="1196" t="s">
        <v>2640</v>
      </c>
      <c r="O766" s="1079" t="s">
        <v>77</v>
      </c>
      <c r="P766" s="1077">
        <f t="shared" si="58"/>
        <v>43185</v>
      </c>
      <c r="Q766" s="1077">
        <f t="shared" si="59"/>
        <v>43185</v>
      </c>
      <c r="R766" s="1080" t="s">
        <v>2517</v>
      </c>
      <c r="S766" s="1081"/>
      <c r="T766" s="1081"/>
      <c r="U766" s="1076"/>
    </row>
    <row r="767" spans="1:21" hidden="1">
      <c r="A767" s="1076" t="s">
        <v>2512</v>
      </c>
      <c r="B767" s="1077">
        <v>43185</v>
      </c>
      <c r="C767" s="1076">
        <v>4</v>
      </c>
      <c r="D767" s="1076">
        <v>10</v>
      </c>
      <c r="E767" s="1076"/>
      <c r="F767" s="1076"/>
      <c r="G767" s="1196" t="s">
        <v>2646</v>
      </c>
      <c r="H767" s="1079"/>
      <c r="I767" s="1079" t="s">
        <v>2344</v>
      </c>
      <c r="J767" s="1079"/>
      <c r="K767" s="1079"/>
      <c r="L767" s="1079"/>
      <c r="M767" s="1196" t="s">
        <v>2645</v>
      </c>
      <c r="N767" s="1196" t="s">
        <v>2640</v>
      </c>
      <c r="O767" s="1079" t="s">
        <v>77</v>
      </c>
      <c r="P767" s="1077">
        <f t="shared" si="58"/>
        <v>43185</v>
      </c>
      <c r="Q767" s="1077">
        <f t="shared" si="59"/>
        <v>43185</v>
      </c>
      <c r="R767" s="1080" t="s">
        <v>2517</v>
      </c>
      <c r="S767" s="1081"/>
      <c r="T767" s="1081"/>
      <c r="U767" s="1076"/>
    </row>
    <row r="768" spans="1:21" ht="25.5" hidden="1">
      <c r="A768" s="1076" t="s">
        <v>2512</v>
      </c>
      <c r="B768" s="1077">
        <v>43185</v>
      </c>
      <c r="C768" s="1076">
        <v>4</v>
      </c>
      <c r="D768" s="1076">
        <v>10</v>
      </c>
      <c r="E768" s="1076"/>
      <c r="F768" s="1076"/>
      <c r="G768" s="1196" t="s">
        <v>2647</v>
      </c>
      <c r="H768" s="1079"/>
      <c r="I768" s="1079" t="s">
        <v>2344</v>
      </c>
      <c r="J768" s="1079"/>
      <c r="K768" s="1079"/>
      <c r="L768" s="1079"/>
      <c r="M768" s="1196" t="s">
        <v>68</v>
      </c>
      <c r="N768" s="1196" t="s">
        <v>2640</v>
      </c>
      <c r="O768" s="1079" t="s">
        <v>77</v>
      </c>
      <c r="P768" s="1077">
        <f t="shared" ref="P768:P795" si="60">B768</f>
        <v>43185</v>
      </c>
      <c r="Q768" s="1077">
        <f t="shared" si="59"/>
        <v>43185</v>
      </c>
      <c r="R768" s="1080" t="s">
        <v>2517</v>
      </c>
      <c r="S768" s="1081"/>
      <c r="T768" s="1081"/>
      <c r="U768" s="1076"/>
    </row>
    <row r="769" spans="1:21" hidden="1">
      <c r="A769" s="1076" t="s">
        <v>2512</v>
      </c>
      <c r="B769" s="1077">
        <v>43185</v>
      </c>
      <c r="C769" s="1076">
        <v>4</v>
      </c>
      <c r="D769" s="1076">
        <v>10</v>
      </c>
      <c r="E769" s="1076"/>
      <c r="F769" s="1076"/>
      <c r="G769" s="1196" t="s">
        <v>2648</v>
      </c>
      <c r="H769" s="1079"/>
      <c r="I769" s="1079" t="s">
        <v>2344</v>
      </c>
      <c r="J769" s="1079"/>
      <c r="K769" s="1079"/>
      <c r="L769" s="1079"/>
      <c r="M769" s="1196" t="s">
        <v>68</v>
      </c>
      <c r="N769" s="1196" t="s">
        <v>2649</v>
      </c>
      <c r="O769" s="1079" t="s">
        <v>77</v>
      </c>
      <c r="P769" s="1077">
        <f t="shared" si="60"/>
        <v>43185</v>
      </c>
      <c r="Q769" s="1077">
        <f t="shared" si="59"/>
        <v>43185</v>
      </c>
      <c r="R769" s="1080" t="s">
        <v>2517</v>
      </c>
      <c r="S769" s="1081"/>
      <c r="T769" s="1081"/>
      <c r="U769" s="1076"/>
    </row>
    <row r="770" spans="1:21" hidden="1">
      <c r="A770" s="1076" t="s">
        <v>2512</v>
      </c>
      <c r="B770" s="1077">
        <v>43185</v>
      </c>
      <c r="C770" s="1076">
        <v>4</v>
      </c>
      <c r="D770" s="1076">
        <v>10</v>
      </c>
      <c r="E770" s="1076"/>
      <c r="F770" s="1076"/>
      <c r="G770" s="1196" t="s">
        <v>1525</v>
      </c>
      <c r="H770" s="1079"/>
      <c r="I770" s="1079" t="s">
        <v>2344</v>
      </c>
      <c r="J770" s="1079"/>
      <c r="K770" s="1079"/>
      <c r="L770" s="1079"/>
      <c r="M770" s="1196" t="s">
        <v>68</v>
      </c>
      <c r="N770" s="1196" t="s">
        <v>2650</v>
      </c>
      <c r="O770" s="1079" t="s">
        <v>77</v>
      </c>
      <c r="P770" s="1077">
        <f t="shared" si="60"/>
        <v>43185</v>
      </c>
      <c r="Q770" s="1077">
        <f t="shared" si="59"/>
        <v>43185</v>
      </c>
      <c r="R770" s="1080" t="s">
        <v>2517</v>
      </c>
      <c r="S770" s="1081"/>
      <c r="T770" s="1081"/>
      <c r="U770" s="1076"/>
    </row>
    <row r="771" spans="1:21" ht="25.5" hidden="1">
      <c r="A771" s="1076" t="s">
        <v>2512</v>
      </c>
      <c r="B771" s="1077">
        <v>43185</v>
      </c>
      <c r="C771" s="1076">
        <v>4</v>
      </c>
      <c r="D771" s="1076">
        <v>11</v>
      </c>
      <c r="E771" s="1082" t="s">
        <v>992</v>
      </c>
      <c r="F771" s="1082"/>
      <c r="G771" s="1196" t="s">
        <v>2651</v>
      </c>
      <c r="H771" s="1079"/>
      <c r="I771" s="1079" t="s">
        <v>551</v>
      </c>
      <c r="J771" s="1079"/>
      <c r="K771" s="1079"/>
      <c r="L771" s="1079"/>
      <c r="M771" s="1196" t="s">
        <v>2557</v>
      </c>
      <c r="N771" s="1196" t="s">
        <v>1980</v>
      </c>
      <c r="O771" s="1079" t="s">
        <v>2652</v>
      </c>
      <c r="P771" s="1077">
        <f t="shared" si="60"/>
        <v>43185</v>
      </c>
      <c r="Q771" s="1077">
        <f t="shared" si="59"/>
        <v>43185</v>
      </c>
      <c r="R771" s="1080" t="s">
        <v>2517</v>
      </c>
      <c r="S771" s="1083" t="s">
        <v>2024</v>
      </c>
      <c r="T771" s="1083"/>
      <c r="U771" s="1076"/>
    </row>
    <row r="772" spans="1:21" hidden="1">
      <c r="A772" s="1076" t="s">
        <v>2512</v>
      </c>
      <c r="B772" s="1077">
        <v>43185</v>
      </c>
      <c r="C772" s="1076">
        <v>4</v>
      </c>
      <c r="D772" s="1076">
        <v>11</v>
      </c>
      <c r="E772" s="1082" t="s">
        <v>988</v>
      </c>
      <c r="F772" s="1082"/>
      <c r="G772" s="1196" t="s">
        <v>2653</v>
      </c>
      <c r="H772" s="1079"/>
      <c r="I772" s="1079" t="s">
        <v>551</v>
      </c>
      <c r="J772" s="1079"/>
      <c r="K772" s="1079"/>
      <c r="L772" s="1079"/>
      <c r="M772" s="1196" t="s">
        <v>2606</v>
      </c>
      <c r="N772" s="1196" t="s">
        <v>2551</v>
      </c>
      <c r="O772" s="1079" t="s">
        <v>2652</v>
      </c>
      <c r="P772" s="1077">
        <f t="shared" si="60"/>
        <v>43185</v>
      </c>
      <c r="Q772" s="1077">
        <f t="shared" si="59"/>
        <v>43185</v>
      </c>
      <c r="R772" s="1080" t="s">
        <v>2517</v>
      </c>
      <c r="S772" s="1083" t="s">
        <v>2022</v>
      </c>
      <c r="T772" s="1083"/>
      <c r="U772" s="1076"/>
    </row>
    <row r="773" spans="1:21" hidden="1">
      <c r="A773" s="1076" t="s">
        <v>2512</v>
      </c>
      <c r="B773" s="1077">
        <v>43185</v>
      </c>
      <c r="C773" s="1076">
        <v>4</v>
      </c>
      <c r="D773" s="1076">
        <v>11</v>
      </c>
      <c r="E773" s="1082" t="s">
        <v>974</v>
      </c>
      <c r="F773" s="1082"/>
      <c r="G773" s="1196" t="s">
        <v>2653</v>
      </c>
      <c r="H773" s="1079"/>
      <c r="I773" s="1079" t="s">
        <v>551</v>
      </c>
      <c r="J773" s="1079"/>
      <c r="K773" s="1079"/>
      <c r="L773" s="1079"/>
      <c r="M773" s="1196" t="s">
        <v>2654</v>
      </c>
      <c r="N773" s="1196" t="s">
        <v>2542</v>
      </c>
      <c r="O773" s="1079" t="s">
        <v>2652</v>
      </c>
      <c r="P773" s="1077">
        <f t="shared" si="60"/>
        <v>43185</v>
      </c>
      <c r="Q773" s="1077">
        <f t="shared" si="59"/>
        <v>43185</v>
      </c>
      <c r="R773" s="1080" t="s">
        <v>2517</v>
      </c>
      <c r="S773" s="1083" t="s">
        <v>2013</v>
      </c>
      <c r="T773" s="1083"/>
      <c r="U773" s="1076"/>
    </row>
    <row r="774" spans="1:21" hidden="1">
      <c r="A774" s="1076" t="s">
        <v>2512</v>
      </c>
      <c r="B774" s="1077">
        <v>43185</v>
      </c>
      <c r="C774" s="1076">
        <v>4</v>
      </c>
      <c r="D774" s="1076">
        <v>11</v>
      </c>
      <c r="E774" s="1076"/>
      <c r="F774" s="1076"/>
      <c r="G774" s="1196" t="s">
        <v>2653</v>
      </c>
      <c r="H774" s="1079"/>
      <c r="I774" s="1079" t="s">
        <v>2344</v>
      </c>
      <c r="J774" s="1079"/>
      <c r="K774" s="1079"/>
      <c r="L774" s="1079"/>
      <c r="M774" s="1196" t="s">
        <v>2606</v>
      </c>
      <c r="N774" s="1196" t="s">
        <v>2650</v>
      </c>
      <c r="O774" s="1079" t="s">
        <v>2652</v>
      </c>
      <c r="P774" s="1077">
        <f t="shared" si="60"/>
        <v>43185</v>
      </c>
      <c r="Q774" s="1077">
        <f t="shared" si="59"/>
        <v>43185</v>
      </c>
      <c r="R774" s="1080" t="s">
        <v>2517</v>
      </c>
      <c r="S774" s="1081"/>
      <c r="T774" s="1081"/>
      <c r="U774" s="1076"/>
    </row>
    <row r="775" spans="1:21" hidden="1">
      <c r="A775" s="1076" t="s">
        <v>2512</v>
      </c>
      <c r="B775" s="1077">
        <v>43185</v>
      </c>
      <c r="C775" s="1076">
        <v>4</v>
      </c>
      <c r="D775" s="1076">
        <v>12</v>
      </c>
      <c r="E775" s="1082" t="s">
        <v>1099</v>
      </c>
      <c r="F775" s="1082"/>
      <c r="G775" s="1196" t="s">
        <v>2523</v>
      </c>
      <c r="H775" s="1079"/>
      <c r="I775" s="1079" t="s">
        <v>551</v>
      </c>
      <c r="J775" s="1079"/>
      <c r="K775" s="1079"/>
      <c r="L775" s="1079"/>
      <c r="M775" s="1196" t="s">
        <v>2655</v>
      </c>
      <c r="N775" s="1196" t="s">
        <v>2516</v>
      </c>
      <c r="O775" s="1079" t="s">
        <v>867</v>
      </c>
      <c r="P775" s="1077">
        <f t="shared" si="60"/>
        <v>43185</v>
      </c>
      <c r="Q775" s="1077">
        <f t="shared" si="59"/>
        <v>43185</v>
      </c>
      <c r="R775" s="1080" t="s">
        <v>2517</v>
      </c>
      <c r="S775" s="1083" t="s">
        <v>2081</v>
      </c>
      <c r="T775" s="1083"/>
      <c r="U775" s="1076"/>
    </row>
    <row r="776" spans="1:21" hidden="1">
      <c r="A776" s="1076" t="s">
        <v>2512</v>
      </c>
      <c r="B776" s="1077">
        <v>43185</v>
      </c>
      <c r="C776" s="1076">
        <v>4</v>
      </c>
      <c r="D776" s="1076">
        <v>12</v>
      </c>
      <c r="E776" s="1082" t="s">
        <v>1053</v>
      </c>
      <c r="F776" s="1082"/>
      <c r="G776" s="1196" t="s">
        <v>2523</v>
      </c>
      <c r="H776" s="1079"/>
      <c r="I776" s="1079" t="s">
        <v>551</v>
      </c>
      <c r="J776" s="1079"/>
      <c r="K776" s="1079"/>
      <c r="L776" s="1079"/>
      <c r="M776" s="1196" t="s">
        <v>2564</v>
      </c>
      <c r="N776" s="1196" t="s">
        <v>2516</v>
      </c>
      <c r="O776" s="1079" t="s">
        <v>64</v>
      </c>
      <c r="P776" s="1077">
        <f t="shared" si="60"/>
        <v>43185</v>
      </c>
      <c r="Q776" s="1077">
        <f t="shared" si="59"/>
        <v>43185</v>
      </c>
      <c r="R776" s="1080" t="s">
        <v>2517</v>
      </c>
      <c r="S776" s="1083" t="s">
        <v>2058</v>
      </c>
      <c r="T776" s="1083"/>
      <c r="U776" s="1076"/>
    </row>
    <row r="777" spans="1:21" ht="30.75" hidden="1" customHeight="1">
      <c r="A777" s="1076" t="s">
        <v>2512</v>
      </c>
      <c r="B777" s="1077">
        <v>43185</v>
      </c>
      <c r="C777" s="1076">
        <v>4</v>
      </c>
      <c r="D777" s="1076">
        <v>12</v>
      </c>
      <c r="E777" s="1082" t="s">
        <v>1037</v>
      </c>
      <c r="F777" s="1082"/>
      <c r="G777" s="1196" t="s">
        <v>2656</v>
      </c>
      <c r="H777" s="1079"/>
      <c r="I777" s="1079" t="s">
        <v>551</v>
      </c>
      <c r="J777" s="1079"/>
      <c r="K777" s="1079"/>
      <c r="L777" s="1079"/>
      <c r="M777" s="1196" t="s">
        <v>2564</v>
      </c>
      <c r="N777" s="1196" t="s">
        <v>2516</v>
      </c>
      <c r="O777" s="1079" t="s">
        <v>64</v>
      </c>
      <c r="P777" s="1077">
        <f t="shared" si="60"/>
        <v>43185</v>
      </c>
      <c r="Q777" s="1077">
        <f t="shared" si="59"/>
        <v>43185</v>
      </c>
      <c r="R777" s="1080" t="s">
        <v>2517</v>
      </c>
      <c r="S777" s="1083" t="s">
        <v>2049</v>
      </c>
      <c r="T777" s="1083"/>
      <c r="U777" s="1076"/>
    </row>
    <row r="778" spans="1:21" hidden="1">
      <c r="A778" s="1076" t="s">
        <v>2512</v>
      </c>
      <c r="B778" s="1077">
        <v>43185</v>
      </c>
      <c r="C778" s="1076">
        <v>4</v>
      </c>
      <c r="D778" s="1076">
        <v>12</v>
      </c>
      <c r="E778" s="1082" t="s">
        <v>1049</v>
      </c>
      <c r="F778" s="1082"/>
      <c r="G778" s="1196" t="s">
        <v>2657</v>
      </c>
      <c r="H778" s="1079"/>
      <c r="I778" s="1079" t="s">
        <v>551</v>
      </c>
      <c r="J778" s="1079"/>
      <c r="K778" s="1079"/>
      <c r="L778" s="1079"/>
      <c r="M778" s="1196" t="s">
        <v>2566</v>
      </c>
      <c r="N778" s="1196" t="s">
        <v>2516</v>
      </c>
      <c r="O778" s="1079" t="s">
        <v>64</v>
      </c>
      <c r="P778" s="1077">
        <f t="shared" si="60"/>
        <v>43185</v>
      </c>
      <c r="Q778" s="1077">
        <f t="shared" si="59"/>
        <v>43185</v>
      </c>
      <c r="R778" s="1080" t="s">
        <v>2517</v>
      </c>
      <c r="S778" s="1083" t="s">
        <v>2055</v>
      </c>
      <c r="T778" s="1083"/>
      <c r="U778" s="1076"/>
    </row>
    <row r="779" spans="1:21" hidden="1">
      <c r="A779" s="1076" t="s">
        <v>2512</v>
      </c>
      <c r="B779" s="1077">
        <v>43185</v>
      </c>
      <c r="C779" s="1076">
        <v>4</v>
      </c>
      <c r="D779" s="1076">
        <v>13</v>
      </c>
      <c r="E779" s="1076"/>
      <c r="F779" s="1076"/>
      <c r="G779" s="1196" t="s">
        <v>2658</v>
      </c>
      <c r="H779" s="1079"/>
      <c r="I779" s="1079" t="s">
        <v>2344</v>
      </c>
      <c r="J779" s="1079"/>
      <c r="K779" s="1079"/>
      <c r="L779" s="1079"/>
      <c r="M779" s="1196" t="s">
        <v>68</v>
      </c>
      <c r="N779" s="1196" t="s">
        <v>2560</v>
      </c>
      <c r="O779" s="1079" t="s">
        <v>642</v>
      </c>
      <c r="P779" s="1077">
        <f t="shared" si="60"/>
        <v>43185</v>
      </c>
      <c r="Q779" s="1077">
        <f t="shared" si="59"/>
        <v>43185</v>
      </c>
      <c r="R779" s="1080" t="s">
        <v>2517</v>
      </c>
      <c r="S779" s="1081"/>
      <c r="T779" s="1081"/>
      <c r="U779" s="1076"/>
    </row>
    <row r="780" spans="1:21" hidden="1">
      <c r="A780" s="1076" t="s">
        <v>2512</v>
      </c>
      <c r="B780" s="1077">
        <v>43185</v>
      </c>
      <c r="C780" s="1076">
        <v>4</v>
      </c>
      <c r="D780" s="1076">
        <v>14</v>
      </c>
      <c r="E780" s="1076"/>
      <c r="F780" s="1076"/>
      <c r="G780" s="1196" t="s">
        <v>2580</v>
      </c>
      <c r="H780" s="1079"/>
      <c r="I780" s="1079" t="s">
        <v>2344</v>
      </c>
      <c r="J780" s="1079"/>
      <c r="K780" s="1079"/>
      <c r="L780" s="1079"/>
      <c r="M780" s="1196" t="s">
        <v>2604</v>
      </c>
      <c r="N780" s="1196" t="s">
        <v>2574</v>
      </c>
      <c r="O780" s="1079" t="s">
        <v>2659</v>
      </c>
      <c r="P780" s="1077">
        <f t="shared" si="60"/>
        <v>43185</v>
      </c>
      <c r="Q780" s="1077">
        <f t="shared" si="59"/>
        <v>43185</v>
      </c>
      <c r="R780" s="1080" t="s">
        <v>2517</v>
      </c>
      <c r="S780" s="1081"/>
      <c r="T780" s="1081"/>
      <c r="U780" s="1076"/>
    </row>
    <row r="781" spans="1:21" hidden="1">
      <c r="A781" s="1076" t="s">
        <v>2512</v>
      </c>
      <c r="B781" s="1077">
        <v>43185</v>
      </c>
      <c r="C781" s="1076">
        <v>4</v>
      </c>
      <c r="D781" s="1076">
        <v>14</v>
      </c>
      <c r="E781" s="1076"/>
      <c r="F781" s="1076"/>
      <c r="G781" s="1196" t="s">
        <v>2660</v>
      </c>
      <c r="H781" s="1079"/>
      <c r="I781" s="1079" t="s">
        <v>2344</v>
      </c>
      <c r="J781" s="1079"/>
      <c r="K781" s="1079"/>
      <c r="L781" s="1079"/>
      <c r="M781" s="1196" t="s">
        <v>2604</v>
      </c>
      <c r="N781" s="1196" t="s">
        <v>2574</v>
      </c>
      <c r="O781" s="1079" t="s">
        <v>2659</v>
      </c>
      <c r="P781" s="1077">
        <f t="shared" si="60"/>
        <v>43185</v>
      </c>
      <c r="Q781" s="1077">
        <f t="shared" si="59"/>
        <v>43185</v>
      </c>
      <c r="R781" s="1080" t="s">
        <v>2517</v>
      </c>
      <c r="S781" s="1081"/>
      <c r="T781" s="1081"/>
      <c r="U781" s="1076"/>
    </row>
    <row r="782" spans="1:21" hidden="1">
      <c r="A782" s="1076" t="s">
        <v>2512</v>
      </c>
      <c r="B782" s="1077">
        <v>43185</v>
      </c>
      <c r="C782" s="1076">
        <v>4</v>
      </c>
      <c r="D782" s="1076">
        <v>14</v>
      </c>
      <c r="E782" s="1076"/>
      <c r="F782" s="1076"/>
      <c r="G782" s="1196" t="s">
        <v>2661</v>
      </c>
      <c r="H782" s="1079"/>
      <c r="I782" s="1079" t="s">
        <v>2344</v>
      </c>
      <c r="J782" s="1079"/>
      <c r="K782" s="1079"/>
      <c r="L782" s="1079"/>
      <c r="M782" s="1196" t="s">
        <v>2604</v>
      </c>
      <c r="N782" s="1196" t="s">
        <v>2574</v>
      </c>
      <c r="O782" s="1079" t="s">
        <v>2659</v>
      </c>
      <c r="P782" s="1077">
        <f t="shared" si="60"/>
        <v>43185</v>
      </c>
      <c r="Q782" s="1077">
        <f t="shared" si="59"/>
        <v>43185</v>
      </c>
      <c r="R782" s="1080" t="s">
        <v>2517</v>
      </c>
      <c r="S782" s="1081"/>
      <c r="T782" s="1081"/>
      <c r="U782" s="1076"/>
    </row>
    <row r="783" spans="1:21" hidden="1">
      <c r="A783" s="1076" t="s">
        <v>2512</v>
      </c>
      <c r="B783" s="1077">
        <v>43185</v>
      </c>
      <c r="C783" s="1076">
        <v>4</v>
      </c>
      <c r="D783" s="1076">
        <v>14</v>
      </c>
      <c r="E783" s="1076"/>
      <c r="F783" s="1076"/>
      <c r="G783" s="1196" t="s">
        <v>2581</v>
      </c>
      <c r="H783" s="1079"/>
      <c r="I783" s="1079" t="s">
        <v>2344</v>
      </c>
      <c r="J783" s="1079"/>
      <c r="K783" s="1079"/>
      <c r="L783" s="1079"/>
      <c r="M783" s="1196" t="s">
        <v>2564</v>
      </c>
      <c r="N783" s="1196" t="s">
        <v>2560</v>
      </c>
      <c r="O783" s="1079" t="s">
        <v>2659</v>
      </c>
      <c r="P783" s="1077">
        <f t="shared" si="60"/>
        <v>43185</v>
      </c>
      <c r="Q783" s="1077">
        <f t="shared" si="59"/>
        <v>43185</v>
      </c>
      <c r="R783" s="1080" t="s">
        <v>2517</v>
      </c>
      <c r="S783" s="1081"/>
      <c r="T783" s="1081"/>
      <c r="U783" s="1076"/>
    </row>
    <row r="784" spans="1:21" hidden="1">
      <c r="A784" s="1076" t="s">
        <v>2512</v>
      </c>
      <c r="B784" s="1077">
        <v>43185</v>
      </c>
      <c r="C784" s="1076">
        <v>4</v>
      </c>
      <c r="D784" s="1076">
        <v>14</v>
      </c>
      <c r="E784" s="1076"/>
      <c r="F784" s="1076"/>
      <c r="G784" s="1196" t="s">
        <v>2580</v>
      </c>
      <c r="H784" s="1079"/>
      <c r="I784" s="1079" t="s">
        <v>2344</v>
      </c>
      <c r="J784" s="1079"/>
      <c r="K784" s="1079"/>
      <c r="L784" s="1079"/>
      <c r="M784" s="1196" t="s">
        <v>2564</v>
      </c>
      <c r="N784" s="1196" t="s">
        <v>2560</v>
      </c>
      <c r="O784" s="1079" t="s">
        <v>2659</v>
      </c>
      <c r="P784" s="1077">
        <f t="shared" si="60"/>
        <v>43185</v>
      </c>
      <c r="Q784" s="1077">
        <f t="shared" si="59"/>
        <v>43185</v>
      </c>
      <c r="R784" s="1080" t="s">
        <v>2517</v>
      </c>
      <c r="S784" s="1081"/>
      <c r="T784" s="1081"/>
      <c r="U784" s="1076"/>
    </row>
    <row r="785" spans="1:21" ht="33" hidden="1" customHeight="1">
      <c r="A785" s="1076" t="s">
        <v>2512</v>
      </c>
      <c r="B785" s="1077">
        <v>43185</v>
      </c>
      <c r="C785" s="1076">
        <v>4</v>
      </c>
      <c r="D785" s="1076">
        <v>14</v>
      </c>
      <c r="E785" s="1076"/>
      <c r="F785" s="1076"/>
      <c r="G785" s="1196" t="s">
        <v>2662</v>
      </c>
      <c r="H785" s="1079"/>
      <c r="I785" s="1079" t="s">
        <v>2344</v>
      </c>
      <c r="J785" s="1079"/>
      <c r="K785" s="1079"/>
      <c r="L785" s="1079"/>
      <c r="M785" s="1196" t="s">
        <v>2564</v>
      </c>
      <c r="N785" s="1196" t="s">
        <v>2560</v>
      </c>
      <c r="O785" s="1079" t="s">
        <v>2659</v>
      </c>
      <c r="P785" s="1077">
        <f t="shared" si="60"/>
        <v>43185</v>
      </c>
      <c r="Q785" s="1077">
        <f t="shared" si="59"/>
        <v>43185</v>
      </c>
      <c r="R785" s="1080" t="s">
        <v>2517</v>
      </c>
      <c r="S785" s="1081"/>
      <c r="T785" s="1081"/>
      <c r="U785" s="1076"/>
    </row>
    <row r="786" spans="1:21" ht="17.25" hidden="1" customHeight="1">
      <c r="A786" s="1076" t="s">
        <v>2512</v>
      </c>
      <c r="B786" s="1077">
        <v>43185</v>
      </c>
      <c r="C786" s="1076">
        <v>4</v>
      </c>
      <c r="D786" s="1076">
        <v>14</v>
      </c>
      <c r="E786" s="1076"/>
      <c r="F786" s="1076"/>
      <c r="G786" s="1196" t="s">
        <v>2580</v>
      </c>
      <c r="H786" s="1079"/>
      <c r="I786" s="1079" t="s">
        <v>2344</v>
      </c>
      <c r="J786" s="1079"/>
      <c r="K786" s="1079"/>
      <c r="L786" s="1079"/>
      <c r="M786" s="1196" t="s">
        <v>2571</v>
      </c>
      <c r="N786" s="1196" t="s">
        <v>2640</v>
      </c>
      <c r="O786" s="1079" t="s">
        <v>2659</v>
      </c>
      <c r="P786" s="1077">
        <f t="shared" si="60"/>
        <v>43185</v>
      </c>
      <c r="Q786" s="1077">
        <f t="shared" si="59"/>
        <v>43185</v>
      </c>
      <c r="R786" s="1080" t="s">
        <v>2517</v>
      </c>
      <c r="S786" s="1081"/>
      <c r="T786" s="1081"/>
      <c r="U786" s="1076"/>
    </row>
    <row r="787" spans="1:21" hidden="1">
      <c r="A787" s="1076" t="s">
        <v>2512</v>
      </c>
      <c r="B787" s="1077">
        <v>43185</v>
      </c>
      <c r="C787" s="1076">
        <v>4</v>
      </c>
      <c r="D787" s="1076">
        <v>14</v>
      </c>
      <c r="E787" s="1076"/>
      <c r="F787" s="1076"/>
      <c r="G787" s="1196" t="s">
        <v>2581</v>
      </c>
      <c r="H787" s="1079"/>
      <c r="I787" s="1079" t="s">
        <v>2344</v>
      </c>
      <c r="J787" s="1079"/>
      <c r="K787" s="1079"/>
      <c r="L787" s="1079"/>
      <c r="M787" s="1196" t="s">
        <v>2571</v>
      </c>
      <c r="N787" s="1196" t="s">
        <v>2640</v>
      </c>
      <c r="O787" s="1079" t="s">
        <v>2659</v>
      </c>
      <c r="P787" s="1077">
        <f t="shared" si="60"/>
        <v>43185</v>
      </c>
      <c r="Q787" s="1077">
        <f t="shared" si="59"/>
        <v>43185</v>
      </c>
      <c r="R787" s="1080" t="s">
        <v>2517</v>
      </c>
      <c r="S787" s="1081"/>
      <c r="T787" s="1081"/>
      <c r="U787" s="1076"/>
    </row>
    <row r="788" spans="1:21" hidden="1">
      <c r="A788" s="1076" t="s">
        <v>2512</v>
      </c>
      <c r="B788" s="1077">
        <v>43185</v>
      </c>
      <c r="C788" s="1076">
        <v>4</v>
      </c>
      <c r="D788" s="1076">
        <v>14</v>
      </c>
      <c r="E788" s="1076"/>
      <c r="F788" s="1076"/>
      <c r="G788" s="1196" t="s">
        <v>2661</v>
      </c>
      <c r="H788" s="1079"/>
      <c r="I788" s="1079" t="s">
        <v>2344</v>
      </c>
      <c r="J788" s="1079"/>
      <c r="K788" s="1079"/>
      <c r="L788" s="1079"/>
      <c r="M788" s="1196" t="s">
        <v>2571</v>
      </c>
      <c r="N788" s="1196" t="s">
        <v>2640</v>
      </c>
      <c r="O788" s="1079" t="s">
        <v>2659</v>
      </c>
      <c r="P788" s="1077">
        <f t="shared" si="60"/>
        <v>43185</v>
      </c>
      <c r="Q788" s="1077">
        <f t="shared" si="59"/>
        <v>43185</v>
      </c>
      <c r="R788" s="1080" t="s">
        <v>2517</v>
      </c>
      <c r="S788" s="1081"/>
      <c r="T788" s="1081"/>
      <c r="U788" s="1076"/>
    </row>
    <row r="789" spans="1:21" hidden="1">
      <c r="A789" s="1076" t="s">
        <v>2512</v>
      </c>
      <c r="B789" s="1077">
        <v>43185</v>
      </c>
      <c r="C789" s="1076">
        <v>4</v>
      </c>
      <c r="D789" s="1076">
        <v>14</v>
      </c>
      <c r="E789" s="1076"/>
      <c r="F789" s="1076"/>
      <c r="G789" s="1196" t="s">
        <v>2580</v>
      </c>
      <c r="H789" s="1079"/>
      <c r="I789" s="1079" t="s">
        <v>2344</v>
      </c>
      <c r="J789" s="1079"/>
      <c r="K789" s="1079"/>
      <c r="L789" s="1079"/>
      <c r="M789" s="1196" t="s">
        <v>2663</v>
      </c>
      <c r="N789" s="1196" t="s">
        <v>2640</v>
      </c>
      <c r="O789" s="1079" t="s">
        <v>2659</v>
      </c>
      <c r="P789" s="1077">
        <f t="shared" si="60"/>
        <v>43185</v>
      </c>
      <c r="Q789" s="1077">
        <f t="shared" si="59"/>
        <v>43185</v>
      </c>
      <c r="R789" s="1080" t="s">
        <v>2517</v>
      </c>
      <c r="S789" s="1081"/>
      <c r="T789" s="1081"/>
      <c r="U789" s="1076"/>
    </row>
    <row r="790" spans="1:21" hidden="1">
      <c r="A790" s="1076" t="s">
        <v>2512</v>
      </c>
      <c r="B790" s="1077">
        <v>43185</v>
      </c>
      <c r="C790" s="1076">
        <v>4</v>
      </c>
      <c r="D790" s="1076">
        <v>14</v>
      </c>
      <c r="E790" s="1076"/>
      <c r="F790" s="1076"/>
      <c r="G790" s="1196" t="s">
        <v>2581</v>
      </c>
      <c r="H790" s="1079"/>
      <c r="I790" s="1079" t="s">
        <v>2344</v>
      </c>
      <c r="J790" s="1079"/>
      <c r="K790" s="1079"/>
      <c r="L790" s="1079"/>
      <c r="M790" s="1196" t="s">
        <v>2663</v>
      </c>
      <c r="N790" s="1196" t="s">
        <v>2640</v>
      </c>
      <c r="O790" s="1079" t="s">
        <v>2659</v>
      </c>
      <c r="P790" s="1077">
        <f t="shared" si="60"/>
        <v>43185</v>
      </c>
      <c r="Q790" s="1077">
        <f t="shared" si="59"/>
        <v>43185</v>
      </c>
      <c r="R790" s="1080" t="s">
        <v>2517</v>
      </c>
      <c r="S790" s="1081"/>
      <c r="T790" s="1081"/>
      <c r="U790" s="1076"/>
    </row>
    <row r="791" spans="1:21" hidden="1">
      <c r="A791" s="1076" t="s">
        <v>2512</v>
      </c>
      <c r="B791" s="1077">
        <v>43185</v>
      </c>
      <c r="C791" s="1076">
        <v>4</v>
      </c>
      <c r="D791" s="1076">
        <v>14</v>
      </c>
      <c r="E791" s="1076"/>
      <c r="F791" s="1076"/>
      <c r="G791" s="1196" t="s">
        <v>2661</v>
      </c>
      <c r="H791" s="1079"/>
      <c r="I791" s="1079" t="s">
        <v>2344</v>
      </c>
      <c r="J791" s="1079"/>
      <c r="K791" s="1079"/>
      <c r="L791" s="1079"/>
      <c r="M791" s="1196" t="s">
        <v>2663</v>
      </c>
      <c r="N791" s="1196" t="s">
        <v>2640</v>
      </c>
      <c r="O791" s="1079" t="s">
        <v>2659</v>
      </c>
      <c r="P791" s="1077">
        <f t="shared" si="60"/>
        <v>43185</v>
      </c>
      <c r="Q791" s="1077">
        <f t="shared" si="59"/>
        <v>43185</v>
      </c>
      <c r="R791" s="1080" t="s">
        <v>2517</v>
      </c>
      <c r="S791" s="1081"/>
      <c r="T791" s="1081"/>
      <c r="U791" s="1076"/>
    </row>
    <row r="792" spans="1:21" ht="25.5" hidden="1">
      <c r="A792" s="1076" t="s">
        <v>2512</v>
      </c>
      <c r="B792" s="1077">
        <v>43451</v>
      </c>
      <c r="C792" s="1076">
        <v>1</v>
      </c>
      <c r="D792" s="1076">
        <v>4</v>
      </c>
      <c r="E792" s="1086" t="s">
        <v>948</v>
      </c>
      <c r="F792" s="1086"/>
      <c r="G792" s="1196" t="s">
        <v>2664</v>
      </c>
      <c r="H792" s="1079"/>
      <c r="I792" s="1079" t="s">
        <v>551</v>
      </c>
      <c r="J792" s="1079"/>
      <c r="K792" s="1079"/>
      <c r="L792" s="1079"/>
      <c r="M792" s="1196" t="s">
        <v>2665</v>
      </c>
      <c r="N792" s="1196" t="s">
        <v>2560</v>
      </c>
      <c r="O792" s="1079" t="s">
        <v>77</v>
      </c>
      <c r="P792" s="1077">
        <f t="shared" si="60"/>
        <v>43451</v>
      </c>
      <c r="Q792" s="1077">
        <f t="shared" si="59"/>
        <v>43451</v>
      </c>
      <c r="R792" s="1080" t="s">
        <v>2666</v>
      </c>
      <c r="S792" s="1083" t="s">
        <v>2101</v>
      </c>
      <c r="T792" s="1083"/>
      <c r="U792" s="1076"/>
    </row>
    <row r="793" spans="1:21" ht="25.5" hidden="1">
      <c r="A793" s="1076" t="s">
        <v>2512</v>
      </c>
      <c r="B793" s="1077">
        <v>43451</v>
      </c>
      <c r="C793" s="1076">
        <v>1</v>
      </c>
      <c r="D793" s="1076">
        <v>4</v>
      </c>
      <c r="E793" s="1086" t="s">
        <v>951</v>
      </c>
      <c r="F793" s="1086"/>
      <c r="G793" s="1196" t="s">
        <v>2667</v>
      </c>
      <c r="H793" s="1079"/>
      <c r="I793" s="1079" t="s">
        <v>551</v>
      </c>
      <c r="J793" s="1079"/>
      <c r="K793" s="1079"/>
      <c r="L793" s="1079"/>
      <c r="M793" s="1196" t="s">
        <v>2665</v>
      </c>
      <c r="N793" s="1196" t="s">
        <v>2560</v>
      </c>
      <c r="O793" s="1079" t="s">
        <v>77</v>
      </c>
      <c r="P793" s="1077">
        <f t="shared" si="60"/>
        <v>43451</v>
      </c>
      <c r="Q793" s="1077">
        <f t="shared" si="59"/>
        <v>43451</v>
      </c>
      <c r="R793" s="1080" t="s">
        <v>2666</v>
      </c>
      <c r="S793" s="1083" t="s">
        <v>2101</v>
      </c>
      <c r="T793" s="1083"/>
      <c r="U793" s="1076"/>
    </row>
    <row r="794" spans="1:21" hidden="1">
      <c r="A794" s="1076" t="s">
        <v>2512</v>
      </c>
      <c r="B794" s="1077">
        <v>43451</v>
      </c>
      <c r="C794" s="1076">
        <v>1</v>
      </c>
      <c r="D794" s="1076">
        <v>4</v>
      </c>
      <c r="E794" s="1086" t="s">
        <v>957</v>
      </c>
      <c r="F794" s="1086"/>
      <c r="G794" s="1196" t="s">
        <v>2668</v>
      </c>
      <c r="H794" s="1079"/>
      <c r="I794" s="1079" t="s">
        <v>551</v>
      </c>
      <c r="J794" s="1079"/>
      <c r="K794" s="1079"/>
      <c r="L794" s="1079"/>
      <c r="M794" s="1196" t="s">
        <v>2669</v>
      </c>
      <c r="N794" s="1196" t="s">
        <v>2560</v>
      </c>
      <c r="O794" s="1079" t="s">
        <v>77</v>
      </c>
      <c r="P794" s="1077">
        <f t="shared" si="60"/>
        <v>43451</v>
      </c>
      <c r="Q794" s="1077">
        <f t="shared" si="59"/>
        <v>43451</v>
      </c>
      <c r="R794" s="1080" t="s">
        <v>2666</v>
      </c>
      <c r="S794" s="1083" t="s">
        <v>2107</v>
      </c>
      <c r="T794" s="1083"/>
      <c r="U794" s="1076"/>
    </row>
    <row r="795" spans="1:21" hidden="1">
      <c r="A795" s="1076" t="s">
        <v>2512</v>
      </c>
      <c r="B795" s="1077">
        <v>43451</v>
      </c>
      <c r="C795" s="1076">
        <v>1</v>
      </c>
      <c r="D795" s="1076">
        <v>5</v>
      </c>
      <c r="E795" s="1086" t="s">
        <v>954</v>
      </c>
      <c r="F795" s="1086"/>
      <c r="G795" s="1196" t="s">
        <v>2540</v>
      </c>
      <c r="H795" s="1079"/>
      <c r="I795" s="1079" t="s">
        <v>551</v>
      </c>
      <c r="J795" s="1079"/>
      <c r="K795" s="1079"/>
      <c r="L795" s="1079"/>
      <c r="M795" s="1196" t="s">
        <v>2669</v>
      </c>
      <c r="N795" s="1196" t="s">
        <v>2560</v>
      </c>
      <c r="O795" s="1079" t="s">
        <v>77</v>
      </c>
      <c r="P795" s="1077">
        <f t="shared" si="60"/>
        <v>43451</v>
      </c>
      <c r="Q795" s="1077">
        <f t="shared" si="59"/>
        <v>43451</v>
      </c>
      <c r="R795" s="1080" t="s">
        <v>2666</v>
      </c>
      <c r="S795" s="1083" t="s">
        <v>2105</v>
      </c>
      <c r="T795" s="1083"/>
      <c r="U795" s="1076"/>
    </row>
    <row r="796" spans="1:21">
      <c r="E796" s="1826"/>
      <c r="G796" s="1383"/>
      <c r="T796" s="2070"/>
    </row>
    <row r="797" spans="1:21">
      <c r="G797" s="1383"/>
      <c r="T797" s="2070"/>
    </row>
    <row r="798" spans="1:21">
      <c r="G798" s="1383"/>
      <c r="T798" s="2070"/>
    </row>
    <row r="799" spans="1:21">
      <c r="G799" s="1383"/>
      <c r="T799" s="2070"/>
    </row>
    <row r="800" spans="1:21">
      <c r="G800" s="1383"/>
      <c r="T800" s="2070"/>
    </row>
    <row r="801" spans="7:20">
      <c r="G801" s="1383"/>
      <c r="T801" s="2070"/>
    </row>
    <row r="802" spans="7:20">
      <c r="G802" s="1383"/>
      <c r="T802" s="2070"/>
    </row>
    <row r="803" spans="7:20">
      <c r="G803" s="1383"/>
      <c r="T803" s="2070"/>
    </row>
    <row r="804" spans="7:20">
      <c r="G804" s="1383"/>
      <c r="T804" s="2070"/>
    </row>
    <row r="805" spans="7:20">
      <c r="G805" s="1383"/>
      <c r="T805" s="2070"/>
    </row>
    <row r="806" spans="7:20">
      <c r="G806" s="1383"/>
      <c r="T806" s="2070"/>
    </row>
    <row r="807" spans="7:20">
      <c r="G807" s="1383"/>
      <c r="T807" s="2070"/>
    </row>
    <row r="808" spans="7:20">
      <c r="G808" s="1383"/>
      <c r="T808" s="2070"/>
    </row>
    <row r="809" spans="7:20">
      <c r="G809" s="1383"/>
      <c r="T809" s="2070"/>
    </row>
    <row r="810" spans="7:20">
      <c r="G810" s="1383"/>
      <c r="T810" s="2070"/>
    </row>
    <row r="811" spans="7:20">
      <c r="G811" s="1383"/>
      <c r="T811" s="2070"/>
    </row>
    <row r="812" spans="7:20">
      <c r="G812" s="1383"/>
      <c r="T812" s="2070"/>
    </row>
    <row r="813" spans="7:20">
      <c r="G813" s="1383"/>
      <c r="T813" s="2070"/>
    </row>
    <row r="814" spans="7:20">
      <c r="G814" s="1383"/>
      <c r="T814" s="2070"/>
    </row>
    <row r="815" spans="7:20">
      <c r="G815" s="1383"/>
      <c r="T815" s="2070"/>
    </row>
    <row r="816" spans="7:20">
      <c r="G816" s="1383"/>
      <c r="T816" s="2070"/>
    </row>
    <row r="817" spans="7:20">
      <c r="G817" s="1383"/>
      <c r="T817" s="2070"/>
    </row>
    <row r="818" spans="7:20">
      <c r="G818" s="1383"/>
      <c r="T818" s="2070"/>
    </row>
    <row r="819" spans="7:20">
      <c r="G819" s="1383"/>
      <c r="T819" s="2070"/>
    </row>
    <row r="820" spans="7:20">
      <c r="G820" s="1383"/>
      <c r="T820" s="2070"/>
    </row>
    <row r="821" spans="7:20">
      <c r="G821" s="1383"/>
      <c r="T821" s="2070"/>
    </row>
    <row r="822" spans="7:20">
      <c r="G822" s="1383"/>
      <c r="T822" s="2070"/>
    </row>
    <row r="823" spans="7:20">
      <c r="G823" s="1383"/>
      <c r="T823" s="2070"/>
    </row>
    <row r="824" spans="7:20">
      <c r="G824" s="1383"/>
      <c r="T824" s="2070"/>
    </row>
    <row r="825" spans="7:20">
      <c r="G825" s="1383"/>
      <c r="T825" s="2070"/>
    </row>
    <row r="826" spans="7:20">
      <c r="G826" s="1383"/>
      <c r="T826" s="2070"/>
    </row>
    <row r="827" spans="7:20">
      <c r="G827" s="1383"/>
      <c r="T827" s="2070"/>
    </row>
    <row r="828" spans="7:20">
      <c r="G828" s="1383"/>
      <c r="T828" s="2070"/>
    </row>
    <row r="829" spans="7:20">
      <c r="G829" s="1383"/>
      <c r="T829" s="2070"/>
    </row>
    <row r="830" spans="7:20">
      <c r="G830" s="1383"/>
      <c r="T830" s="2070"/>
    </row>
    <row r="831" spans="7:20">
      <c r="G831" s="1383"/>
      <c r="T831" s="2070"/>
    </row>
    <row r="832" spans="7:20">
      <c r="G832" s="1383"/>
      <c r="T832" s="2070"/>
    </row>
    <row r="833" spans="7:20">
      <c r="G833" s="1383"/>
      <c r="T833" s="2070"/>
    </row>
    <row r="834" spans="7:20">
      <c r="G834" s="1383"/>
      <c r="T834" s="2070"/>
    </row>
    <row r="835" spans="7:20">
      <c r="G835" s="1383"/>
      <c r="T835" s="2070"/>
    </row>
    <row r="836" spans="7:20">
      <c r="G836" s="1383"/>
      <c r="T836" s="2070"/>
    </row>
    <row r="837" spans="7:20">
      <c r="G837" s="1383"/>
      <c r="T837" s="2070"/>
    </row>
    <row r="838" spans="7:20">
      <c r="G838" s="1383"/>
      <c r="T838" s="2070"/>
    </row>
    <row r="839" spans="7:20">
      <c r="G839" s="1383"/>
      <c r="T839" s="2070"/>
    </row>
    <row r="840" spans="7:20">
      <c r="G840" s="1383"/>
      <c r="T840" s="2070"/>
    </row>
    <row r="841" spans="7:20">
      <c r="G841" s="1383"/>
      <c r="T841" s="2070"/>
    </row>
    <row r="842" spans="7:20">
      <c r="G842" s="1383"/>
      <c r="T842" s="2070"/>
    </row>
    <row r="843" spans="7:20">
      <c r="G843" s="1383"/>
      <c r="T843" s="2070"/>
    </row>
    <row r="844" spans="7:20">
      <c r="G844" s="1383"/>
      <c r="T844" s="2070"/>
    </row>
    <row r="845" spans="7:20">
      <c r="G845" s="1383"/>
      <c r="T845" s="2070"/>
    </row>
    <row r="846" spans="7:20">
      <c r="G846" s="1383"/>
      <c r="T846" s="2070"/>
    </row>
    <row r="847" spans="7:20">
      <c r="G847" s="1383"/>
      <c r="T847" s="2070"/>
    </row>
    <row r="848" spans="7:20">
      <c r="G848" s="1383"/>
      <c r="T848" s="2070"/>
    </row>
    <row r="849" spans="7:20">
      <c r="G849" s="1383"/>
      <c r="T849" s="2070"/>
    </row>
    <row r="850" spans="7:20">
      <c r="G850" s="1383"/>
      <c r="T850" s="2070"/>
    </row>
    <row r="851" spans="7:20">
      <c r="G851" s="1383"/>
      <c r="T851" s="2070"/>
    </row>
    <row r="852" spans="7:20">
      <c r="G852" s="1383"/>
      <c r="T852" s="2070"/>
    </row>
    <row r="853" spans="7:20">
      <c r="G853" s="1383"/>
      <c r="T853" s="2070"/>
    </row>
    <row r="854" spans="7:20">
      <c r="G854" s="1383"/>
      <c r="T854" s="2070"/>
    </row>
    <row r="855" spans="7:20">
      <c r="G855" s="1383"/>
      <c r="T855" s="2070"/>
    </row>
    <row r="856" spans="7:20">
      <c r="G856" s="1383"/>
      <c r="T856" s="2070"/>
    </row>
    <row r="857" spans="7:20">
      <c r="G857" s="1383"/>
      <c r="T857" s="2070"/>
    </row>
    <row r="858" spans="7:20">
      <c r="G858" s="1383"/>
      <c r="T858" s="2070"/>
    </row>
    <row r="859" spans="7:20">
      <c r="G859" s="1383"/>
      <c r="T859" s="2070"/>
    </row>
    <row r="860" spans="7:20">
      <c r="G860" s="1383"/>
      <c r="T860" s="2070"/>
    </row>
    <row r="861" spans="7:20">
      <c r="G861" s="1383"/>
      <c r="T861" s="2070"/>
    </row>
    <row r="862" spans="7:20">
      <c r="G862" s="1383"/>
      <c r="T862" s="2070"/>
    </row>
    <row r="863" spans="7:20">
      <c r="G863" s="1383"/>
      <c r="T863" s="1090"/>
    </row>
    <row r="864" spans="7:20">
      <c r="G864" s="1383"/>
      <c r="T864" s="1090"/>
    </row>
    <row r="865" spans="7:20">
      <c r="G865" s="1383"/>
      <c r="T865" s="1090"/>
    </row>
    <row r="866" spans="7:20">
      <c r="G866" s="1383"/>
      <c r="T866" s="1090"/>
    </row>
    <row r="867" spans="7:20">
      <c r="G867" s="1383"/>
      <c r="T867" s="1090"/>
    </row>
    <row r="868" spans="7:20">
      <c r="G868" s="1383"/>
      <c r="T868" s="1090"/>
    </row>
    <row r="869" spans="7:20">
      <c r="G869" s="1383"/>
      <c r="T869" s="1090"/>
    </row>
    <row r="870" spans="7:20">
      <c r="G870" s="1383"/>
      <c r="T870" s="1090"/>
    </row>
    <row r="871" spans="7:20">
      <c r="G871" s="1383"/>
      <c r="T871" s="1090"/>
    </row>
    <row r="872" spans="7:20">
      <c r="G872" s="1383"/>
      <c r="T872" s="1090"/>
    </row>
    <row r="873" spans="7:20">
      <c r="G873" s="1383"/>
      <c r="T873" s="1090"/>
    </row>
    <row r="874" spans="7:20">
      <c r="G874" s="1383"/>
      <c r="T874" s="1090"/>
    </row>
    <row r="875" spans="7:20">
      <c r="G875" s="1383"/>
      <c r="T875" s="1090"/>
    </row>
    <row r="876" spans="7:20">
      <c r="G876" s="1383"/>
      <c r="T876" s="1090"/>
    </row>
    <row r="877" spans="7:20">
      <c r="G877" s="1383"/>
      <c r="T877" s="1090"/>
    </row>
    <row r="878" spans="7:20">
      <c r="G878" s="1383"/>
      <c r="T878" s="1090"/>
    </row>
    <row r="879" spans="7:20">
      <c r="G879" s="1383"/>
      <c r="T879" s="1090"/>
    </row>
    <row r="880" spans="7:20">
      <c r="G880" s="1383"/>
      <c r="T880" s="1090"/>
    </row>
    <row r="881" spans="7:20">
      <c r="G881" s="1383"/>
      <c r="T881" s="1090"/>
    </row>
    <row r="882" spans="7:20">
      <c r="G882" s="1383"/>
      <c r="T882" s="1090"/>
    </row>
    <row r="883" spans="7:20">
      <c r="G883" s="1383"/>
      <c r="T883" s="1090"/>
    </row>
    <row r="884" spans="7:20">
      <c r="G884" s="1383"/>
      <c r="T884" s="1090"/>
    </row>
    <row r="885" spans="7:20">
      <c r="G885" s="1383"/>
      <c r="T885" s="1090"/>
    </row>
    <row r="886" spans="7:20">
      <c r="G886" s="1383"/>
      <c r="T886" s="1090"/>
    </row>
    <row r="887" spans="7:20">
      <c r="G887" s="1383"/>
      <c r="T887" s="1090"/>
    </row>
    <row r="888" spans="7:20">
      <c r="G888" s="1383"/>
    </row>
    <row r="889" spans="7:20">
      <c r="G889" s="1383"/>
    </row>
    <row r="890" spans="7:20">
      <c r="G890" s="1383"/>
    </row>
    <row r="891" spans="7:20">
      <c r="G891" s="1383"/>
    </row>
    <row r="892" spans="7:20">
      <c r="G892" s="1383"/>
    </row>
    <row r="893" spans="7:20">
      <c r="G893" s="1383"/>
    </row>
    <row r="894" spans="7:20">
      <c r="G894" s="1383"/>
    </row>
    <row r="895" spans="7:20">
      <c r="G895" s="1383"/>
    </row>
    <row r="896" spans="7:20">
      <c r="G896" s="1383"/>
    </row>
    <row r="897" spans="7:7">
      <c r="G897" s="1383"/>
    </row>
    <row r="898" spans="7:7">
      <c r="G898" s="1383"/>
    </row>
    <row r="899" spans="7:7">
      <c r="G899" s="1383"/>
    </row>
    <row r="900" spans="7:7">
      <c r="G900" s="1383"/>
    </row>
    <row r="901" spans="7:7">
      <c r="G901" s="1383"/>
    </row>
    <row r="902" spans="7:7">
      <c r="G902" s="1383"/>
    </row>
    <row r="903" spans="7:7">
      <c r="G903" s="1383"/>
    </row>
    <row r="904" spans="7:7">
      <c r="G904" s="1383"/>
    </row>
    <row r="905" spans="7:7">
      <c r="G905" s="1383"/>
    </row>
  </sheetData>
  <autoFilter ref="A6:U795">
    <filterColumn colId="1">
      <filters>
        <dateGroupItem year="2023" dateTimeGrouping="year"/>
        <dateGroupItem year="2022" dateTimeGrouping="year"/>
        <dateGroupItem year="2021" dateTimeGrouping="year"/>
        <dateGroupItem year="2020" dateTimeGrouping="year"/>
      </filters>
    </filterColumn>
    <sortState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hyperlink ref="R676" display="http://www.jocotepec.gob.mx/transparencia/index.php/cimtra/11-el-gobierno-municipal-tiene-a-la-vista-de-toda-persona-en-formato-abierto-accesible-y-electronico-informacion-sobre-un-listado-con-las-propuestas-de-obra-del-coplademun/coplademun-2018/6826-act"/>
    <hyperlink ref="R792" display="http://www.jocotepec.gob.mx/transparencia/index.php/cimtra/29-el-gobierno-municipal-tiene-a-la-vista-de-toda-persona-en-formato-abierto-accesible-y-electronico-informacion-sobre-el-acta-de-instalacion-de-cada-uno-de-los-consejos-comites-municipales-que-se"/>
    <hyperlink ref="R793" display="http://www.jocotepec.gob.mx/transparencia/index.php/cimtra/29-el-gobierno-municipal-tiene-a-la-vista-de-toda-persona-en-formato-abierto-accesible-y-electronico-informacion-sobre-el-acta-de-instalacion-de-cada-uno-de-los-consejos-comites-municipales-que-se"/>
    <hyperlink ref="R794" display="http://www.jocotepec.gob.mx/transparencia/index.php/cimtra/29-el-gobierno-municipal-tiene-a-la-vista-de-toda-persona-en-formato-abierto-accesible-y-electronico-informacion-sobre-el-acta-de-instalacion-de-cada-uno-de-los-consejos-comites-municipales-que-se"/>
    <hyperlink ref="R795" display="http://www.jocotepec.gob.mx/transparencia/index.php/cimtra/29-el-gobierno-municipal-tiene-a-la-vista-de-toda-persona-en-formato-abierto-accesible-y-electronico-informacion-sobre-el-acta-de-instalacion-de-cada-uno-de-los-consejos-comites-municipales-que-se"/>
    <hyperlink ref="R780" display="http://www.jocotepec.gob.mx/transparencia/index.php/cimtra/11-el-gobierno-municipal-tiene-a-la-vista-de-toda-persona-en-formato-abierto-accesible-y-electronico-informacion-sobre-un-listado-con-las-propuestas-de-obra-del-coplademun/coplademun-2018/6826-act"/>
    <hyperlink ref="R739" display="http://www.jocotepec.gob.mx/transparencia/index.php/cimtra/11-el-gobierno-municipal-tiene-a-la-vista-de-toda-persona-en-formato-abierto-accesible-y-electronico-informacion-sobre-un-listado-con-las-propuestas-de-obra-del-coplademun/coplademun-2018/6826-act"/>
    <hyperlink ref="S545" display="http://www.jocotepec.gob.mx/transparencia/index.php/ayuntamiento/informacion-fundamental/v-la-informacion-financiera-patrimonial-y-administrativa/o-las-adjudicaciones-directas-en-materia-de-adquisiciones-obra-publica-proyectos-de-inversion-y-prestacion-de"/>
    <hyperlink ref="S546:S547" display="http://www.jocotepec.gob.mx/transparencia/index.php/ayuntamiento/informacion-fundamental/v-la-informacion-financiera-patrimonial-y-administrativa/o-las-adjudicaciones-directas-en-materia-de-adquisiciones-obra-publica-proyectos-de-inversion-y-prestacion-de"/>
    <hyperlink ref="S577" display="http://www.jocotepec.gob.mx/transparencia/index.php/ayuntamiento/informacion-fundamental/v-la-informacion-financiera-patrimonial-y-administrativa/o-las-adjudicaciones-directas-en-materia-de-adquisiciones-obra-publica-proyectos-de-inversion-y-prestacion-de"/>
    <hyperlink ref="R481" r:id="rId1"/>
    <hyperlink ref="R482" r:id="rId2"/>
    <hyperlink ref="R483" r:id="rId3"/>
    <hyperlink ref="R484" r:id="rId4"/>
    <hyperlink ref="R485" r:id="rId5"/>
    <hyperlink ref="R486" r:id="rId6"/>
    <hyperlink ref="R487" r:id="rId7"/>
    <hyperlink ref="R488" r:id="rId8"/>
    <hyperlink ref="R489" r:id="rId9"/>
    <hyperlink ref="R490" r:id="rId10"/>
    <hyperlink ref="R491" r:id="rId11"/>
    <hyperlink ref="R492" r:id="rId12"/>
    <hyperlink ref="R493" r:id="rId13"/>
    <hyperlink ref="R494" r:id="rId14"/>
    <hyperlink ref="R495" r:id="rId15"/>
    <hyperlink ref="R496" r:id="rId16"/>
    <hyperlink ref="R497" r:id="rId17"/>
    <hyperlink ref="R498" r:id="rId18"/>
    <hyperlink ref="R499" r:id="rId19"/>
    <hyperlink ref="R500" r:id="rId20"/>
    <hyperlink ref="R501" r:id="rId21"/>
    <hyperlink ref="R502" r:id="rId22"/>
    <hyperlink ref="R503" r:id="rId23"/>
    <hyperlink ref="R504" r:id="rId24"/>
    <hyperlink ref="R505" r:id="rId25"/>
    <hyperlink ref="R506" r:id="rId26"/>
    <hyperlink ref="R507" r:id="rId27"/>
    <hyperlink ref="R508" r:id="rId28"/>
    <hyperlink ref="R509" r:id="rId29"/>
    <hyperlink ref="R510" r:id="rId30"/>
    <hyperlink ref="R511" r:id="rId31"/>
    <hyperlink ref="R512" r:id="rId32"/>
    <hyperlink ref="R513" r:id="rId33"/>
    <hyperlink ref="R514" r:id="rId34"/>
    <hyperlink ref="R515" r:id="rId35"/>
    <hyperlink ref="R516" r:id="rId36"/>
    <hyperlink ref="R517" r:id="rId37"/>
    <hyperlink ref="R518" r:id="rId38"/>
    <hyperlink ref="R519" r:id="rId39"/>
    <hyperlink ref="R520" r:id="rId40"/>
    <hyperlink ref="R521" r:id="rId41"/>
    <hyperlink ref="R522" r:id="rId42"/>
    <hyperlink ref="R473" r:id="rId43"/>
    <hyperlink ref="R474" r:id="rId44"/>
    <hyperlink ref="R475" r:id="rId45"/>
    <hyperlink ref="R476" r:id="rId46"/>
    <hyperlink ref="R477" r:id="rId47"/>
    <hyperlink ref="R478" r:id="rId48"/>
    <hyperlink ref="R479" r:id="rId49"/>
    <hyperlink ref="R480" r:id="rId50"/>
    <hyperlink ref="R472" r:id="rId51"/>
    <hyperlink ref="R523:R675" r:id="rId52" display="https://portaltransparencia.jocotepec.gob.mx/informacion/1723"/>
    <hyperlink ref="R390" r:id="rId53"/>
    <hyperlink ref="R118" r:id="rId54"/>
    <hyperlink ref="R293" r:id="rId55"/>
    <hyperlink ref="R391" r:id="rId56"/>
    <hyperlink ref="R392" r:id="rId57"/>
    <hyperlink ref="R393" r:id="rId58"/>
    <hyperlink ref="R394" r:id="rId59"/>
    <hyperlink ref="R395" r:id="rId60"/>
    <hyperlink ref="R397" r:id="rId61"/>
    <hyperlink ref="R398" r:id="rId62"/>
    <hyperlink ref="R399" r:id="rId63"/>
    <hyperlink ref="R400" r:id="rId64"/>
    <hyperlink ref="R401" r:id="rId65"/>
    <hyperlink ref="R402" r:id="rId66"/>
    <hyperlink ref="R403" r:id="rId67"/>
    <hyperlink ref="R404" r:id="rId68"/>
    <hyperlink ref="R405" r:id="rId69"/>
    <hyperlink ref="R396" r:id="rId70"/>
    <hyperlink ref="R406" r:id="rId71"/>
    <hyperlink ref="R407" r:id="rId72"/>
    <hyperlink ref="R408" r:id="rId73"/>
    <hyperlink ref="R409" r:id="rId74"/>
    <hyperlink ref="R410" r:id="rId75"/>
    <hyperlink ref="R411" r:id="rId76"/>
    <hyperlink ref="R412" r:id="rId77"/>
    <hyperlink ref="R413" r:id="rId78"/>
    <hyperlink ref="R414" r:id="rId79"/>
    <hyperlink ref="R415" r:id="rId80"/>
    <hyperlink ref="R416" r:id="rId81"/>
    <hyperlink ref="R417" r:id="rId82"/>
    <hyperlink ref="R418" r:id="rId83"/>
    <hyperlink ref="R419" r:id="rId84"/>
    <hyperlink ref="R420" r:id="rId85"/>
    <hyperlink ref="R421" r:id="rId86"/>
    <hyperlink ref="R422" r:id="rId87"/>
    <hyperlink ref="R423" r:id="rId88"/>
    <hyperlink ref="R424" r:id="rId89"/>
    <hyperlink ref="R426" r:id="rId90"/>
    <hyperlink ref="R428" r:id="rId91"/>
    <hyperlink ref="R430" r:id="rId92"/>
    <hyperlink ref="R431" r:id="rId93"/>
    <hyperlink ref="R432" r:id="rId94"/>
    <hyperlink ref="R433" r:id="rId95"/>
    <hyperlink ref="R434" r:id="rId96"/>
    <hyperlink ref="R435" r:id="rId97"/>
    <hyperlink ref="R436" r:id="rId98"/>
    <hyperlink ref="R437" r:id="rId99"/>
    <hyperlink ref="R438" r:id="rId100"/>
    <hyperlink ref="R439" r:id="rId101"/>
    <hyperlink ref="R440" r:id="rId102"/>
    <hyperlink ref="R441" r:id="rId103"/>
    <hyperlink ref="R442" r:id="rId104"/>
    <hyperlink ref="R443" r:id="rId105"/>
    <hyperlink ref="R444" r:id="rId106"/>
    <hyperlink ref="R445" r:id="rId107"/>
    <hyperlink ref="R446" r:id="rId108"/>
    <hyperlink ref="R447" r:id="rId109"/>
    <hyperlink ref="R448" r:id="rId110"/>
    <hyperlink ref="R449" r:id="rId111"/>
    <hyperlink ref="R450" r:id="rId112"/>
    <hyperlink ref="R451" r:id="rId113"/>
    <hyperlink ref="R452" r:id="rId114"/>
    <hyperlink ref="R453" r:id="rId115"/>
    <hyperlink ref="R454" r:id="rId116"/>
    <hyperlink ref="R455" r:id="rId117"/>
    <hyperlink ref="R456" r:id="rId118"/>
    <hyperlink ref="R457" r:id="rId119"/>
    <hyperlink ref="R458" r:id="rId120"/>
    <hyperlink ref="R459" r:id="rId121"/>
    <hyperlink ref="R460" r:id="rId122"/>
    <hyperlink ref="R461" r:id="rId123"/>
    <hyperlink ref="R462" r:id="rId124"/>
    <hyperlink ref="R463" r:id="rId125"/>
    <hyperlink ref="R464" r:id="rId126"/>
    <hyperlink ref="R465" r:id="rId127"/>
    <hyperlink ref="R466" r:id="rId128"/>
    <hyperlink ref="R467" r:id="rId129"/>
    <hyperlink ref="R468" r:id="rId130"/>
    <hyperlink ref="R469" r:id="rId131"/>
    <hyperlink ref="R470" r:id="rId132"/>
    <hyperlink ref="R471" r:id="rId133"/>
    <hyperlink ref="R425" r:id="rId134"/>
    <hyperlink ref="R427" r:id="rId135"/>
    <hyperlink ref="R429" r:id="rId136"/>
    <hyperlink ref="R294" r:id="rId137"/>
    <hyperlink ref="R295" r:id="rId138"/>
    <hyperlink ref="R296" r:id="rId139"/>
    <hyperlink ref="R297" r:id="rId140"/>
    <hyperlink ref="R298" r:id="rId141"/>
    <hyperlink ref="R299" r:id="rId142"/>
    <hyperlink ref="R300" r:id="rId143"/>
    <hyperlink ref="R301" r:id="rId144"/>
    <hyperlink ref="R302" r:id="rId145"/>
    <hyperlink ref="R303" r:id="rId146"/>
    <hyperlink ref="R304" r:id="rId147"/>
    <hyperlink ref="R305" r:id="rId148"/>
    <hyperlink ref="R306" r:id="rId149"/>
    <hyperlink ref="R307" r:id="rId150"/>
    <hyperlink ref="R308" r:id="rId151"/>
    <hyperlink ref="R309" r:id="rId152"/>
    <hyperlink ref="R310" r:id="rId153"/>
    <hyperlink ref="R311" r:id="rId154"/>
    <hyperlink ref="R312" r:id="rId155"/>
    <hyperlink ref="R313" r:id="rId156"/>
    <hyperlink ref="R314" r:id="rId157"/>
    <hyperlink ref="R315" r:id="rId158"/>
    <hyperlink ref="R316" r:id="rId159"/>
    <hyperlink ref="R317" r:id="rId160"/>
    <hyperlink ref="R318" r:id="rId161"/>
    <hyperlink ref="R319" r:id="rId162"/>
    <hyperlink ref="R320" r:id="rId163"/>
    <hyperlink ref="R321" r:id="rId164"/>
    <hyperlink ref="R322" r:id="rId165"/>
    <hyperlink ref="R323" r:id="rId166"/>
    <hyperlink ref="R324" r:id="rId167"/>
    <hyperlink ref="R325" r:id="rId168"/>
    <hyperlink ref="R326" r:id="rId169"/>
    <hyperlink ref="R327" r:id="rId170"/>
    <hyperlink ref="R328" r:id="rId171"/>
    <hyperlink ref="R329" r:id="rId172"/>
    <hyperlink ref="R330" r:id="rId173"/>
    <hyperlink ref="R331" r:id="rId174"/>
    <hyperlink ref="R332" r:id="rId175"/>
    <hyperlink ref="R333" r:id="rId176"/>
    <hyperlink ref="R334" r:id="rId177"/>
    <hyperlink ref="R335" r:id="rId178"/>
    <hyperlink ref="R336" r:id="rId179"/>
    <hyperlink ref="R337" r:id="rId180"/>
    <hyperlink ref="R338" r:id="rId181"/>
    <hyperlink ref="R339" r:id="rId182"/>
    <hyperlink ref="R340" r:id="rId183"/>
    <hyperlink ref="R341" r:id="rId184"/>
    <hyperlink ref="R342" r:id="rId185"/>
    <hyperlink ref="R343" r:id="rId186"/>
    <hyperlink ref="R344" r:id="rId187"/>
    <hyperlink ref="R345" r:id="rId188"/>
    <hyperlink ref="R346" r:id="rId189"/>
    <hyperlink ref="R347" r:id="rId190"/>
    <hyperlink ref="R348" r:id="rId191"/>
    <hyperlink ref="R349" r:id="rId192"/>
    <hyperlink ref="R350" r:id="rId193"/>
    <hyperlink ref="R351" r:id="rId194"/>
    <hyperlink ref="R352" r:id="rId195"/>
    <hyperlink ref="R353" r:id="rId196"/>
    <hyperlink ref="R354" r:id="rId197"/>
    <hyperlink ref="R355" r:id="rId198"/>
    <hyperlink ref="R356" r:id="rId199"/>
    <hyperlink ref="R357" r:id="rId200"/>
    <hyperlink ref="R358" r:id="rId201"/>
    <hyperlink ref="R359" r:id="rId202"/>
    <hyperlink ref="R360" r:id="rId203"/>
    <hyperlink ref="R361" r:id="rId204"/>
    <hyperlink ref="R362" r:id="rId205"/>
    <hyperlink ref="R363" r:id="rId206"/>
    <hyperlink ref="R364" r:id="rId207"/>
    <hyperlink ref="R365" r:id="rId208"/>
    <hyperlink ref="R366" r:id="rId209"/>
    <hyperlink ref="R367" r:id="rId210"/>
    <hyperlink ref="R368" r:id="rId211"/>
    <hyperlink ref="R105" r:id="rId212"/>
    <hyperlink ref="R142" r:id="rId213"/>
    <hyperlink ref="R143" r:id="rId214"/>
    <hyperlink ref="R372" r:id="rId215"/>
    <hyperlink ref="R373" r:id="rId216"/>
    <hyperlink ref="R374" r:id="rId217"/>
    <hyperlink ref="R375" r:id="rId218"/>
    <hyperlink ref="R376" r:id="rId219"/>
    <hyperlink ref="R377" r:id="rId220"/>
    <hyperlink ref="R378" r:id="rId221"/>
    <hyperlink ref="R379" r:id="rId222"/>
    <hyperlink ref="R380" r:id="rId223"/>
    <hyperlink ref="R381" r:id="rId224"/>
    <hyperlink ref="R382" r:id="rId225"/>
    <hyperlink ref="R383" r:id="rId226"/>
    <hyperlink ref="R384" r:id="rId227"/>
    <hyperlink ref="R385" r:id="rId228"/>
    <hyperlink ref="R386" r:id="rId229"/>
    <hyperlink ref="R387" r:id="rId230"/>
    <hyperlink ref="R388" r:id="rId231"/>
    <hyperlink ref="R389" r:id="rId232"/>
    <hyperlink ref="R119:R292" r:id="rId233" display="https://portaltransparencia.jocotepec.gob.mx/informacion/1723"/>
    <hyperlink ref="R272" r:id="rId234"/>
    <hyperlink ref="R273" r:id="rId235"/>
    <hyperlink ref="R274" r:id="rId236"/>
    <hyperlink ref="R275" r:id="rId237"/>
    <hyperlink ref="R276" r:id="rId238"/>
    <hyperlink ref="R277" r:id="rId239"/>
    <hyperlink ref="R278" r:id="rId240"/>
    <hyperlink ref="R96" r:id="rId241"/>
    <hyperlink ref="R97" r:id="rId242"/>
    <hyperlink ref="R98" r:id="rId243"/>
    <hyperlink ref="R169" r:id="rId244"/>
    <hyperlink ref="R100" r:id="rId245"/>
    <hyperlink ref="R101" r:id="rId246"/>
    <hyperlink ref="R220" r:id="rId247"/>
    <hyperlink ref="R262" r:id="rId248"/>
    <hyperlink ref="R241" r:id="rId249"/>
    <hyperlink ref="R172" r:id="rId250"/>
    <hyperlink ref="R106" r:id="rId251"/>
    <hyperlink ref="R107" r:id="rId252"/>
    <hyperlink ref="R108" r:id="rId253"/>
    <hyperlink ref="R109" r:id="rId254"/>
    <hyperlink ref="R110" r:id="rId255"/>
    <hyperlink ref="R111" r:id="rId256"/>
    <hyperlink ref="R112" r:id="rId257"/>
    <hyperlink ref="R113" r:id="rId258"/>
    <hyperlink ref="R114" r:id="rId259"/>
    <hyperlink ref="R115" r:id="rId260"/>
    <hyperlink ref="R116" r:id="rId261"/>
    <hyperlink ref="R117" r:id="rId262"/>
    <hyperlink ref="R95" r:id="rId263"/>
    <hyperlink ref="R7" r:id="rId264"/>
    <hyperlink ref="R256" r:id="rId265"/>
    <hyperlink ref="R76" r:id="rId266"/>
    <hyperlink ref="R77" r:id="rId267"/>
    <hyperlink ref="R78" r:id="rId268"/>
    <hyperlink ref="R79" r:id="rId269"/>
    <hyperlink ref="R80" r:id="rId270"/>
    <hyperlink ref="R81" r:id="rId271"/>
    <hyperlink ref="R82" r:id="rId272"/>
    <hyperlink ref="R83" r:id="rId273"/>
    <hyperlink ref="R84" r:id="rId274"/>
    <hyperlink ref="R85" r:id="rId275"/>
    <hyperlink ref="R86" r:id="rId276"/>
    <hyperlink ref="R87" r:id="rId277"/>
    <hyperlink ref="R88" r:id="rId278"/>
    <hyperlink ref="R89" r:id="rId279"/>
    <hyperlink ref="R90" r:id="rId280"/>
    <hyperlink ref="R91" r:id="rId281"/>
    <hyperlink ref="R92" r:id="rId282"/>
    <hyperlink ref="R93" r:id="rId283"/>
    <hyperlink ref="R94" r:id="rId284"/>
    <hyperlink ref="R74" r:id="rId285"/>
    <hyperlink ref="R8" r:id="rId286"/>
    <hyperlink ref="R9" r:id="rId287"/>
    <hyperlink ref="R10" r:id="rId288"/>
    <hyperlink ref="R11" r:id="rId289"/>
    <hyperlink ref="R12" r:id="rId290"/>
    <hyperlink ref="R13" r:id="rId291"/>
    <hyperlink ref="R14" r:id="rId292"/>
    <hyperlink ref="R15" r:id="rId293"/>
    <hyperlink ref="R16" r:id="rId294"/>
    <hyperlink ref="R17" r:id="rId295"/>
    <hyperlink ref="R18" r:id="rId296"/>
    <hyperlink ref="R19" r:id="rId297"/>
    <hyperlink ref="R20" r:id="rId298"/>
    <hyperlink ref="R21" r:id="rId299"/>
    <hyperlink ref="R22" r:id="rId300"/>
    <hyperlink ref="R23" r:id="rId301"/>
    <hyperlink ref="R24" r:id="rId302"/>
    <hyperlink ref="R25" r:id="rId303"/>
    <hyperlink ref="R26" r:id="rId304"/>
    <hyperlink ref="R27" r:id="rId305"/>
    <hyperlink ref="R28" r:id="rId306"/>
    <hyperlink ref="R29" r:id="rId307"/>
    <hyperlink ref="R30" r:id="rId308"/>
    <hyperlink ref="R31" r:id="rId309"/>
    <hyperlink ref="R32" r:id="rId310"/>
    <hyperlink ref="R33" r:id="rId311"/>
    <hyperlink ref="R34" r:id="rId312"/>
    <hyperlink ref="R35" r:id="rId313"/>
    <hyperlink ref="R36" r:id="rId314"/>
    <hyperlink ref="R37" r:id="rId315"/>
    <hyperlink ref="R38" r:id="rId316"/>
    <hyperlink ref="R39" r:id="rId317"/>
    <hyperlink ref="R40" r:id="rId318"/>
    <hyperlink ref="R41" r:id="rId319"/>
    <hyperlink ref="R42" r:id="rId320"/>
    <hyperlink ref="R43" r:id="rId321"/>
    <hyperlink ref="R44" r:id="rId322"/>
    <hyperlink ref="R45" r:id="rId323"/>
    <hyperlink ref="R46" r:id="rId324"/>
    <hyperlink ref="R47" r:id="rId325"/>
    <hyperlink ref="R48" r:id="rId326"/>
    <hyperlink ref="R49" r:id="rId327"/>
    <hyperlink ref="R50" r:id="rId328"/>
    <hyperlink ref="R51" r:id="rId329"/>
    <hyperlink ref="R52" r:id="rId330"/>
    <hyperlink ref="R53" r:id="rId331"/>
    <hyperlink ref="R54" r:id="rId332"/>
    <hyperlink ref="R55" r:id="rId333"/>
    <hyperlink ref="R56" r:id="rId334"/>
    <hyperlink ref="R57" r:id="rId335"/>
    <hyperlink ref="R58" r:id="rId336"/>
    <hyperlink ref="R59" r:id="rId337"/>
    <hyperlink ref="R60" r:id="rId338"/>
    <hyperlink ref="R61" r:id="rId339"/>
    <hyperlink ref="R62" r:id="rId340"/>
    <hyperlink ref="R63" r:id="rId341"/>
    <hyperlink ref="R64" r:id="rId342"/>
    <hyperlink ref="R65" r:id="rId343"/>
    <hyperlink ref="R66" r:id="rId344"/>
    <hyperlink ref="R67" r:id="rId345"/>
    <hyperlink ref="R68" r:id="rId346"/>
    <hyperlink ref="R69" r:id="rId347"/>
    <hyperlink ref="R70" r:id="rId348"/>
    <hyperlink ref="R71" r:id="rId349"/>
    <hyperlink ref="R72" r:id="rId350"/>
    <hyperlink ref="R73" r:id="rId351"/>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243" t="s">
        <v>3475</v>
      </c>
      <c r="B1" s="2243"/>
      <c r="C1" s="2243"/>
      <c r="D1" s="2243"/>
      <c r="E1" s="2243"/>
      <c r="F1" s="2243"/>
      <c r="G1" s="2243"/>
      <c r="H1" s="2243"/>
      <c r="I1" s="2243"/>
      <c r="J1" s="2243"/>
      <c r="K1" s="2243"/>
      <c r="L1" s="2243"/>
      <c r="M1" s="2243"/>
      <c r="N1" s="2243"/>
      <c r="O1" s="2243"/>
      <c r="P1" s="2243"/>
      <c r="Q1" s="2243"/>
      <c r="R1" s="2243"/>
      <c r="S1" s="2243"/>
      <c r="T1" s="2243"/>
      <c r="U1" s="2243"/>
      <c r="V1" s="2243"/>
      <c r="W1" s="2243"/>
    </row>
    <row r="2" spans="1:23" ht="42.75" customHeight="1">
      <c r="A2" s="1419" t="s">
        <v>19</v>
      </c>
      <c r="B2" s="1419" t="s">
        <v>3424</v>
      </c>
      <c r="C2" s="1419" t="s">
        <v>3427</v>
      </c>
      <c r="D2" s="1419" t="s">
        <v>1428</v>
      </c>
      <c r="E2" s="1419" t="s">
        <v>1413</v>
      </c>
      <c r="F2" s="1419" t="s">
        <v>2239</v>
      </c>
      <c r="G2" s="1419" t="s">
        <v>3425</v>
      </c>
      <c r="H2" s="1419" t="s">
        <v>3426</v>
      </c>
      <c r="I2" s="1419" t="s">
        <v>4204</v>
      </c>
      <c r="J2" s="1419" t="s">
        <v>4205</v>
      </c>
      <c r="K2" s="1421" t="s">
        <v>3477</v>
      </c>
      <c r="L2" s="1421" t="s">
        <v>3478</v>
      </c>
      <c r="M2" s="1421" t="s">
        <v>24</v>
      </c>
      <c r="N2" s="1419" t="s">
        <v>3476</v>
      </c>
      <c r="O2" s="1420" t="s">
        <v>60</v>
      </c>
      <c r="P2" s="1420" t="s">
        <v>1428</v>
      </c>
      <c r="Q2" s="1420" t="s">
        <v>2235</v>
      </c>
      <c r="R2" s="1420" t="s">
        <v>1422</v>
      </c>
      <c r="S2" s="1420" t="s">
        <v>1423</v>
      </c>
      <c r="T2" s="1420" t="s">
        <v>2335</v>
      </c>
      <c r="U2" s="1420" t="s">
        <v>63</v>
      </c>
      <c r="V2" s="1420"/>
      <c r="W2" s="1420"/>
    </row>
    <row r="3" spans="1:23" ht="24.75" customHeight="1">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c r="A4" s="1">
        <v>2020</v>
      </c>
      <c r="B4" s="1">
        <v>1</v>
      </c>
      <c r="C4" s="1413" t="s">
        <v>2769</v>
      </c>
      <c r="D4" s="1416" t="str">
        <f>OBRA!N441</f>
        <v>CONSTRUCCIÓN DE EMPEDRADO ZAMPEADO EN VIALIDAD AV. DEL TRABAJO DE KM 0+000.00 AL KM 0+215.00 (ENTRE VICENTE GUERRERO Y ALLENDE), EN LA LOCALIDAD DE SAN CRISTÓBAL ZAPOTITLÁN DEL MUNICIPIO DE JOCOTEPEC, JALISCO.</v>
      </c>
      <c r="E4" s="1745"/>
      <c r="F4" s="1417" t="s">
        <v>3428</v>
      </c>
      <c r="G4" s="1414" t="s">
        <v>1980</v>
      </c>
      <c r="H4" s="1079" t="s">
        <v>3459</v>
      </c>
      <c r="I4" s="1079">
        <f>GRAL!AK443</f>
        <v>20.223068999999999</v>
      </c>
      <c r="J4" s="1079">
        <f>GRAL!AL443</f>
        <v>103.360921</v>
      </c>
      <c r="K4" s="1422">
        <v>1720</v>
      </c>
      <c r="L4" s="1422">
        <v>430</v>
      </c>
      <c r="M4" s="1423">
        <v>410787.6</v>
      </c>
      <c r="N4" s="1869" t="s">
        <v>4235</v>
      </c>
      <c r="O4" s="1076"/>
      <c r="P4" s="1076"/>
      <c r="Q4" s="1076"/>
      <c r="R4" s="1076"/>
      <c r="S4" s="1076"/>
      <c r="T4" s="1076"/>
      <c r="U4" s="1076"/>
      <c r="V4" s="1076"/>
      <c r="W4" s="1076"/>
    </row>
    <row r="5" spans="1:23" ht="65.25" customHeight="1">
      <c r="A5" s="1">
        <v>2020</v>
      </c>
      <c r="B5" s="71">
        <v>2</v>
      </c>
      <c r="C5" s="1413" t="s">
        <v>3364</v>
      </c>
      <c r="D5" s="1415" t="str">
        <f>OBRA!N443</f>
        <v>CONSTRUCCIÓN DE EMPEDRADO ZAMPEADO, EN LA AGENCIA DE EL SAUZ</v>
      </c>
      <c r="E5" s="1715"/>
      <c r="F5" s="1417" t="s">
        <v>3429</v>
      </c>
      <c r="G5" s="1414" t="s">
        <v>2539</v>
      </c>
      <c r="H5" s="1079" t="s">
        <v>3460</v>
      </c>
      <c r="I5" s="1079">
        <v>20.184629000000001</v>
      </c>
      <c r="J5" s="1079">
        <v>103.378776</v>
      </c>
      <c r="K5" s="1422">
        <v>390</v>
      </c>
      <c r="L5" s="1422">
        <v>156</v>
      </c>
      <c r="M5" s="1423">
        <v>97940.7</v>
      </c>
      <c r="N5" s="1869" t="s">
        <v>4064</v>
      </c>
      <c r="O5" s="1076"/>
      <c r="P5" s="1076"/>
      <c r="Q5" s="1076"/>
      <c r="R5" s="1076"/>
      <c r="S5" s="1076"/>
      <c r="T5" s="1076"/>
      <c r="U5" s="1076"/>
      <c r="V5" s="1076"/>
      <c r="W5" s="1076"/>
    </row>
    <row r="6" spans="1:23" ht="71.25" customHeight="1">
      <c r="A6" s="1">
        <v>2020</v>
      </c>
      <c r="B6" s="1">
        <v>3</v>
      </c>
      <c r="C6" s="1413" t="s">
        <v>3364</v>
      </c>
      <c r="D6" s="1415" t="str">
        <f>OBRA!N443</f>
        <v>CONSTRUCCIÓN DE EMPEDRADO ZAMPEADO, EN LA AGENCIA DE EL SAUZ</v>
      </c>
      <c r="E6" s="1715"/>
      <c r="F6" s="1417" t="s">
        <v>3430</v>
      </c>
      <c r="G6" s="1414" t="s">
        <v>2539</v>
      </c>
      <c r="H6" s="1079" t="s">
        <v>2599</v>
      </c>
      <c r="I6" s="1079">
        <v>20.185365999999998</v>
      </c>
      <c r="J6" s="1079">
        <v>103.378225</v>
      </c>
      <c r="K6" s="1422">
        <v>416.5</v>
      </c>
      <c r="L6" s="1422">
        <v>119</v>
      </c>
      <c r="M6" s="1423">
        <v>100692.45</v>
      </c>
      <c r="N6" s="1869" t="s">
        <v>4064</v>
      </c>
      <c r="O6" s="1076"/>
      <c r="P6" s="1076"/>
      <c r="Q6" s="1076"/>
      <c r="R6" s="1076"/>
      <c r="S6" s="1076"/>
      <c r="T6" s="1076"/>
      <c r="U6" s="1076"/>
      <c r="V6" s="1076"/>
      <c r="W6" s="1076"/>
    </row>
    <row r="7" spans="1:23" ht="68.25" customHeight="1">
      <c r="A7" s="1">
        <v>2020</v>
      </c>
      <c r="B7" s="1">
        <v>4</v>
      </c>
      <c r="C7" s="1413" t="s">
        <v>3364</v>
      </c>
      <c r="D7" s="1415" t="str">
        <f>OBRA!N443</f>
        <v>CONSTRUCCIÓN DE EMPEDRADO ZAMPEADO, EN LA AGENCIA DE EL SAUZ</v>
      </c>
      <c r="E7" s="1715"/>
      <c r="F7" s="1417" t="s">
        <v>3431</v>
      </c>
      <c r="G7" s="1414" t="s">
        <v>2539</v>
      </c>
      <c r="H7" s="1079" t="s">
        <v>2599</v>
      </c>
      <c r="I7" s="1079">
        <v>20.185628999999999</v>
      </c>
      <c r="J7" s="1079">
        <v>103.378713</v>
      </c>
      <c r="K7" s="1422">
        <v>421.59999999999997</v>
      </c>
      <c r="L7" s="1422">
        <v>124</v>
      </c>
      <c r="M7" s="1423">
        <v>102215.93</v>
      </c>
      <c r="N7" s="1869" t="s">
        <v>4064</v>
      </c>
      <c r="O7" s="1076"/>
      <c r="P7" s="1076"/>
      <c r="Q7" s="1076"/>
      <c r="R7" s="1076"/>
      <c r="S7" s="1076"/>
      <c r="T7" s="1076"/>
      <c r="U7" s="1076"/>
      <c r="V7" s="1076"/>
      <c r="W7" s="1076"/>
    </row>
    <row r="8" spans="1:23" ht="72.75" customHeight="1">
      <c r="A8" s="1">
        <v>2020</v>
      </c>
      <c r="B8" s="1">
        <v>5</v>
      </c>
      <c r="C8" s="1413" t="s">
        <v>3364</v>
      </c>
      <c r="D8" s="1415" t="str">
        <f>OBRA!N443</f>
        <v>CONSTRUCCIÓN DE EMPEDRADO ZAMPEADO, EN LA AGENCIA DE EL SAUZ</v>
      </c>
      <c r="E8" s="1715"/>
      <c r="F8" s="1417" t="s">
        <v>3432</v>
      </c>
      <c r="G8" s="1414" t="s">
        <v>2539</v>
      </c>
      <c r="H8" s="1079" t="s">
        <v>2599</v>
      </c>
      <c r="I8" s="1079">
        <v>20.185063</v>
      </c>
      <c r="J8" s="1079">
        <v>103.377555</v>
      </c>
      <c r="K8" s="1422">
        <v>1004.25</v>
      </c>
      <c r="L8" s="1422">
        <v>309</v>
      </c>
      <c r="M8" s="1423">
        <v>244595.9</v>
      </c>
      <c r="N8" s="1869" t="s">
        <v>4064</v>
      </c>
      <c r="O8" s="1076"/>
      <c r="P8" s="1076"/>
      <c r="Q8" s="1076"/>
      <c r="R8" s="1076"/>
      <c r="S8" s="1076"/>
      <c r="T8" s="1076"/>
      <c r="U8" s="1076"/>
      <c r="V8" s="1076"/>
      <c r="W8" s="1076"/>
    </row>
    <row r="9" spans="1:23" ht="71.25" customHeight="1">
      <c r="A9" s="1">
        <v>2020</v>
      </c>
      <c r="B9" s="1">
        <v>6</v>
      </c>
      <c r="C9" s="1413" t="s">
        <v>3364</v>
      </c>
      <c r="D9" s="1415" t="str">
        <f>OBRA!N443</f>
        <v>CONSTRUCCIÓN DE EMPEDRADO ZAMPEADO, EN LA AGENCIA DE EL SAUZ</v>
      </c>
      <c r="E9" s="1715"/>
      <c r="F9" s="1417" t="s">
        <v>3433</v>
      </c>
      <c r="G9" s="1414" t="s">
        <v>2539</v>
      </c>
      <c r="H9" s="1079" t="s">
        <v>3462</v>
      </c>
      <c r="I9" s="1079">
        <v>20.185288</v>
      </c>
      <c r="J9" s="1079">
        <v>103.379211</v>
      </c>
      <c r="K9" s="1422">
        <v>458.5</v>
      </c>
      <c r="L9" s="1422">
        <v>183.4</v>
      </c>
      <c r="M9" s="1423">
        <v>115143.11</v>
      </c>
      <c r="N9" s="1869" t="s">
        <v>4064</v>
      </c>
      <c r="O9" s="1076"/>
      <c r="P9" s="1076"/>
      <c r="Q9" s="1076"/>
      <c r="R9" s="1076"/>
      <c r="S9" s="1076"/>
      <c r="T9" s="1076"/>
      <c r="U9" s="1076"/>
      <c r="V9" s="1076"/>
      <c r="W9" s="1076"/>
    </row>
    <row r="10" spans="1:23" ht="66.75" customHeight="1">
      <c r="A10" s="1">
        <v>2020</v>
      </c>
      <c r="B10" s="1">
        <v>7</v>
      </c>
      <c r="C10" s="1413" t="s">
        <v>3364</v>
      </c>
      <c r="D10" s="1415" t="str">
        <f>OBRA!N443</f>
        <v>CONSTRUCCIÓN DE EMPEDRADO ZAMPEADO, EN LA AGENCIA DE EL SAUZ</v>
      </c>
      <c r="E10" s="1715"/>
      <c r="F10" s="1417" t="s">
        <v>3434</v>
      </c>
      <c r="G10" s="1414" t="s">
        <v>2539</v>
      </c>
      <c r="H10" s="1079" t="s">
        <v>3464</v>
      </c>
      <c r="I10" s="1079">
        <v>20.184408000000001</v>
      </c>
      <c r="J10" s="1079">
        <v>103.378445</v>
      </c>
      <c r="K10" s="1422">
        <v>490.20000000000005</v>
      </c>
      <c r="L10" s="1422">
        <v>163.4</v>
      </c>
      <c r="M10" s="1423">
        <v>120424.17</v>
      </c>
      <c r="N10" s="1869" t="s">
        <v>4064</v>
      </c>
      <c r="O10" s="1076"/>
      <c r="P10" s="1076"/>
      <c r="Q10" s="1076"/>
      <c r="R10" s="1076"/>
      <c r="S10" s="1076"/>
      <c r="T10" s="1076"/>
      <c r="U10" s="1076"/>
      <c r="V10" s="1076"/>
      <c r="W10" s="1076"/>
    </row>
    <row r="11" spans="1:23" ht="83.25" customHeight="1">
      <c r="A11" s="1">
        <v>2020</v>
      </c>
      <c r="B11" s="1">
        <v>8</v>
      </c>
      <c r="C11" s="1413" t="s">
        <v>3278</v>
      </c>
      <c r="D11" s="1416" t="str">
        <f>OBRA!N445</f>
        <v>CONSTRUCCIÓN DE EMPEDRADO ZAMPEADO EN VIALIDAD ANDADOR PEATONAL ENTRE SAN LUCIANO Y SAN LUCIANO DE ABAJO DE KM 0+000.00 AL KM 0+746.00, EN LA LOCALIDAD DE SAN LUCIANO DEL MUNICIPIO DE JOCOTEPEC, JALISCO.</v>
      </c>
      <c r="E11" s="1745"/>
      <c r="F11" s="1417" t="s">
        <v>3435</v>
      </c>
      <c r="G11" s="1414" t="s">
        <v>2649</v>
      </c>
      <c r="H11" s="1079" t="s">
        <v>3463</v>
      </c>
      <c r="I11" s="1079">
        <f>GRAL!AK446</f>
        <v>20.315778000000002</v>
      </c>
      <c r="J11" s="1079">
        <f>GRAL!AL446</f>
        <v>103.420536</v>
      </c>
      <c r="K11" s="1422">
        <v>1492</v>
      </c>
      <c r="L11" s="1422">
        <v>1492</v>
      </c>
      <c r="M11" s="1423">
        <v>448092.36</v>
      </c>
      <c r="N11" s="1869" t="s">
        <v>4236</v>
      </c>
      <c r="O11" s="1076"/>
      <c r="P11" s="1076"/>
      <c r="Q11" s="1076"/>
      <c r="R11" s="1076"/>
      <c r="S11" s="1076"/>
      <c r="T11" s="1076"/>
      <c r="U11" s="1076"/>
      <c r="V11" s="1076"/>
      <c r="W11" s="1076"/>
    </row>
    <row r="12" spans="1:23" ht="78" customHeight="1">
      <c r="A12" s="1">
        <v>2020</v>
      </c>
      <c r="B12" s="1">
        <v>9</v>
      </c>
      <c r="C12" s="1413" t="s">
        <v>2766</v>
      </c>
      <c r="D12" s="1416" t="str">
        <f>OBRA!N434</f>
        <v>CONSTRUCCIÓN DE EMPEDRADO ZAMPEADO EN VIALIDAD CALLE JUAREZ DE KM 0+000.00 AL KM 0+126.10, EN LA LOCALIDAD DE LAS TROJES DEL MUNICIPIO DE JOCOTEPEC, JALISCO</v>
      </c>
      <c r="E12" s="1745"/>
      <c r="F12" s="1417" t="s">
        <v>3436</v>
      </c>
      <c r="G12" s="1414" t="s">
        <v>2650</v>
      </c>
      <c r="H12" s="1079" t="s">
        <v>2654</v>
      </c>
      <c r="I12" s="1079">
        <f>GRAL!AK435</f>
        <v>20.336055000000002</v>
      </c>
      <c r="J12" s="1079">
        <f>GRAL!AL435</f>
        <v>103.327597</v>
      </c>
      <c r="K12" s="1422">
        <v>807.04</v>
      </c>
      <c r="L12" s="1422">
        <v>252.2</v>
      </c>
      <c r="M12" s="1423">
        <v>196881.44</v>
      </c>
      <c r="N12" s="1869" t="s">
        <v>4232</v>
      </c>
      <c r="O12" s="1076"/>
      <c r="P12" s="1076"/>
      <c r="Q12" s="1076"/>
      <c r="R12" s="1076"/>
      <c r="S12" s="1076"/>
      <c r="T12" s="1076"/>
      <c r="U12" s="1076"/>
      <c r="V12" s="1076"/>
      <c r="W12" s="1076"/>
    </row>
    <row r="13" spans="1:23" ht="63.75" customHeight="1">
      <c r="A13" s="1">
        <v>2020</v>
      </c>
      <c r="B13" s="71">
        <v>10</v>
      </c>
      <c r="C13" s="1413" t="s">
        <v>2767</v>
      </c>
      <c r="D13" s="1416" t="str">
        <f>OBRA!N436</f>
        <v>CONSTRUCCIÓN DE EMPEDRADO ZAMPEADO, EN LA LOCALIDAD DE HUEJOTITAN DEL MUNICIPIO DE JOCOTEPEC, JALISCO.</v>
      </c>
      <c r="E13" s="1745"/>
      <c r="F13" s="1417" t="s">
        <v>3437</v>
      </c>
      <c r="G13" s="1414" t="s">
        <v>2542</v>
      </c>
      <c r="H13" s="1079" t="s">
        <v>2718</v>
      </c>
      <c r="I13" s="1079">
        <v>20.352122000000001</v>
      </c>
      <c r="J13" s="1079">
        <v>103.48630300000001</v>
      </c>
      <c r="K13" s="1422">
        <v>1590</v>
      </c>
      <c r="L13" s="1422">
        <v>397.5</v>
      </c>
      <c r="M13" s="1423">
        <v>379739.7</v>
      </c>
      <c r="N13" s="1869" t="s">
        <v>4233</v>
      </c>
      <c r="O13" s="1076"/>
      <c r="P13" s="1076"/>
      <c r="Q13" s="1076"/>
      <c r="R13" s="1076"/>
      <c r="S13" s="1076"/>
      <c r="T13" s="1076"/>
      <c r="U13" s="1076"/>
      <c r="V13" s="1076"/>
      <c r="W13" s="1076"/>
    </row>
    <row r="14" spans="1:23" ht="66.75" customHeight="1">
      <c r="A14" s="1">
        <v>2020</v>
      </c>
      <c r="B14" s="71">
        <v>11</v>
      </c>
      <c r="C14" s="1413" t="s">
        <v>2767</v>
      </c>
      <c r="D14" s="1416" t="str">
        <f>OBRA!N436</f>
        <v>CONSTRUCCIÓN DE EMPEDRADO ZAMPEADO, EN LA LOCALIDAD DE HUEJOTITAN DEL MUNICIPIO DE JOCOTEPEC, JALISCO.</v>
      </c>
      <c r="E14" s="1745"/>
      <c r="F14" s="1417" t="s">
        <v>3438</v>
      </c>
      <c r="G14" s="1414" t="s">
        <v>2542</v>
      </c>
      <c r="H14" s="1079" t="s">
        <v>2654</v>
      </c>
      <c r="I14" s="1079">
        <v>20.356207999999999</v>
      </c>
      <c r="J14" s="1079">
        <v>103.487058</v>
      </c>
      <c r="K14" s="1422">
        <v>1240</v>
      </c>
      <c r="L14" s="1422">
        <v>310</v>
      </c>
      <c r="M14" s="1423">
        <v>296149.2</v>
      </c>
      <c r="N14" s="1869" t="s">
        <v>4233</v>
      </c>
      <c r="O14" s="1076"/>
      <c r="P14" s="1076"/>
      <c r="Q14" s="1076"/>
      <c r="R14" s="1076"/>
      <c r="S14" s="1076"/>
      <c r="T14" s="1076"/>
      <c r="U14" s="1076"/>
      <c r="V14" s="1076"/>
      <c r="W14" s="1076"/>
    </row>
    <row r="15" spans="1:23" ht="51" customHeight="1">
      <c r="A15" s="1">
        <v>2020</v>
      </c>
      <c r="B15" s="71">
        <v>12</v>
      </c>
      <c r="C15" s="1413" t="s">
        <v>2767</v>
      </c>
      <c r="D15" s="1416" t="str">
        <f>OBRA!N436</f>
        <v>CONSTRUCCIÓN DE EMPEDRADO ZAMPEADO, EN LA LOCALIDAD DE HUEJOTITAN DEL MUNICIPIO DE JOCOTEPEC, JALISCO.</v>
      </c>
      <c r="E15" s="1745"/>
      <c r="F15" s="1417" t="s">
        <v>3439</v>
      </c>
      <c r="G15" s="1414" t="s">
        <v>2542</v>
      </c>
      <c r="H15" s="1079" t="s">
        <v>3465</v>
      </c>
      <c r="I15" s="1079">
        <v>20.356750000000002</v>
      </c>
      <c r="J15" s="1079">
        <v>103.486921</v>
      </c>
      <c r="K15" s="1422">
        <v>1720</v>
      </c>
      <c r="L15" s="1422">
        <v>344</v>
      </c>
      <c r="M15" s="1423">
        <v>403735.6</v>
      </c>
      <c r="N15" s="1869" t="s">
        <v>4233</v>
      </c>
      <c r="O15" s="1076"/>
      <c r="P15" s="1076"/>
      <c r="Q15" s="1076"/>
      <c r="R15" s="1076"/>
      <c r="S15" s="1076"/>
      <c r="T15" s="1076"/>
      <c r="U15" s="1076"/>
      <c r="V15" s="1076"/>
      <c r="W15" s="1076"/>
    </row>
    <row r="16" spans="1:23" ht="79.5" customHeight="1">
      <c r="A16" s="1">
        <v>2020</v>
      </c>
      <c r="B16" s="71">
        <v>13</v>
      </c>
      <c r="C16" s="1413" t="s">
        <v>2768</v>
      </c>
      <c r="D16" s="1416" t="str">
        <f>OBRA!N438</f>
        <v>CONSTRUCCIÓN DE EMPEDRADO ZAMPEADO EN VIALIDAD FRANCISCO I MADERO DEL KM 0+000 AL 0+173.50 ENTRE BENITO JUAREZ Y CERRADA, EN LA LOCALIDAD DE POTRERILLOS DEL MUNICIPIO DE JOCOTEPEC, JALISCO.</v>
      </c>
      <c r="E16" s="1745"/>
      <c r="F16" s="1417" t="s">
        <v>3440</v>
      </c>
      <c r="G16" s="1414" t="s">
        <v>2551</v>
      </c>
      <c r="H16" s="1079" t="s">
        <v>2557</v>
      </c>
      <c r="I16" s="1079">
        <v>20.33841</v>
      </c>
      <c r="J16" s="1079">
        <v>103.38097399999999</v>
      </c>
      <c r="K16" s="1422">
        <v>812</v>
      </c>
      <c r="L16" s="1422">
        <v>203</v>
      </c>
      <c r="M16" s="1423">
        <v>193929.96</v>
      </c>
      <c r="N16" s="1869" t="s">
        <v>4234</v>
      </c>
      <c r="O16" s="1076"/>
      <c r="P16" s="1076"/>
      <c r="Q16" s="1076"/>
      <c r="R16" s="1076"/>
      <c r="S16" s="1076"/>
      <c r="T16" s="1076"/>
      <c r="U16" s="1076"/>
      <c r="V16" s="1076"/>
      <c r="W16" s="1076"/>
    </row>
    <row r="17" spans="1:23" ht="79.5" customHeight="1">
      <c r="A17" s="1">
        <v>2020</v>
      </c>
      <c r="B17" s="71">
        <v>14</v>
      </c>
      <c r="C17" s="1413" t="s">
        <v>2768</v>
      </c>
      <c r="D17" s="1416" t="str">
        <f>OBRA!N438</f>
        <v>CONSTRUCCIÓN DE EMPEDRADO ZAMPEADO EN VIALIDAD FRANCISCO I MADERO DEL KM 0+000 AL 0+173.50 ENTRE BENITO JUAREZ Y CERRADA, EN LA LOCALIDAD DE POTRERILLOS DEL MUNICIPIO DE JOCOTEPEC, JALISCO.</v>
      </c>
      <c r="E17" s="1745"/>
      <c r="F17" s="1417" t="s">
        <v>3441</v>
      </c>
      <c r="G17" s="1414" t="s">
        <v>2551</v>
      </c>
      <c r="H17" s="1079" t="s">
        <v>3466</v>
      </c>
      <c r="I17" s="1079">
        <v>20.338349999999998</v>
      </c>
      <c r="J17" s="1079">
        <f>GRAL!AL439</f>
        <v>103.381462</v>
      </c>
      <c r="K17" s="1422">
        <v>1388</v>
      </c>
      <c r="L17" s="1422">
        <v>347</v>
      </c>
      <c r="M17" s="1423">
        <v>331496.03999999998</v>
      </c>
      <c r="N17" s="1869" t="s">
        <v>4234</v>
      </c>
      <c r="O17" s="1076"/>
      <c r="P17" s="1076"/>
      <c r="Q17" s="1076"/>
      <c r="R17" s="1076"/>
      <c r="S17" s="1076"/>
      <c r="T17" s="1076"/>
      <c r="U17" s="1076"/>
      <c r="V17" s="1076"/>
      <c r="W17" s="1076"/>
    </row>
    <row r="18" spans="1:23" ht="95.25" customHeight="1">
      <c r="A18" s="1">
        <v>2020</v>
      </c>
      <c r="B18" s="1">
        <v>15</v>
      </c>
      <c r="C18" s="1413" t="s">
        <v>3280</v>
      </c>
      <c r="D18" s="1416" t="str">
        <f>OBRA!N447</f>
        <v>CONSTRUCCIÓN DE EMPEDRADO ZAMPEADO, EN FRACC. "EL CARRIZAL", EN LA CABECERA MUNICIPAL DE JOCOTEPEC JALISCO.</v>
      </c>
      <c r="E18" s="1745"/>
      <c r="F18" s="1417" t="s">
        <v>3442</v>
      </c>
      <c r="G18" s="1414" t="s">
        <v>1979</v>
      </c>
      <c r="H18" s="1079" t="s">
        <v>2584</v>
      </c>
      <c r="I18" s="1079">
        <v>20.291376</v>
      </c>
      <c r="J18" s="1079">
        <v>103.440166</v>
      </c>
      <c r="K18" s="1422">
        <v>1155</v>
      </c>
      <c r="L18" s="1422">
        <v>330</v>
      </c>
      <c r="M18" s="1423">
        <v>279231.15000000002</v>
      </c>
      <c r="N18" s="1869" t="s">
        <v>5467</v>
      </c>
      <c r="O18" s="1076"/>
      <c r="P18" s="1076"/>
      <c r="Q18" s="1076"/>
      <c r="R18" s="1076"/>
      <c r="S18" s="1076"/>
      <c r="T18" s="1076"/>
      <c r="U18" s="1076"/>
      <c r="V18" s="1076"/>
      <c r="W18" s="1076"/>
    </row>
    <row r="19" spans="1:23" ht="51">
      <c r="A19" s="1">
        <v>2020</v>
      </c>
      <c r="B19" s="1">
        <v>16</v>
      </c>
      <c r="C19" s="1413" t="s">
        <v>3280</v>
      </c>
      <c r="D19" s="1416" t="str">
        <f>OBRA!N447</f>
        <v>CONSTRUCCIÓN DE EMPEDRADO ZAMPEADO, EN FRACC. "EL CARRIZAL", EN LA CABECERA MUNICIPAL DE JOCOTEPEC JALISCO.</v>
      </c>
      <c r="E19" s="1745"/>
      <c r="F19" s="1417" t="s">
        <v>3443</v>
      </c>
      <c r="G19" s="1414" t="s">
        <v>1979</v>
      </c>
      <c r="H19" s="1079" t="s">
        <v>3467</v>
      </c>
      <c r="I19" s="1079">
        <v>20.291602999999999</v>
      </c>
      <c r="J19" s="1079">
        <v>103.44114999999999</v>
      </c>
      <c r="K19" s="1422">
        <v>364</v>
      </c>
      <c r="L19" s="1422">
        <v>104</v>
      </c>
      <c r="M19" s="1423">
        <v>88000.12</v>
      </c>
      <c r="N19" s="1869" t="s">
        <v>5467</v>
      </c>
      <c r="O19" s="1076"/>
      <c r="P19" s="1076"/>
      <c r="Q19" s="1076"/>
      <c r="R19" s="1076"/>
      <c r="S19" s="1076"/>
      <c r="T19" s="1076"/>
      <c r="U19" s="1076"/>
      <c r="V19" s="1076"/>
      <c r="W19" s="1076"/>
    </row>
    <row r="20" spans="1:23" ht="70.5" customHeight="1">
      <c r="A20" s="1">
        <v>2020</v>
      </c>
      <c r="B20" s="1">
        <v>17</v>
      </c>
      <c r="C20" s="1413" t="s">
        <v>3280</v>
      </c>
      <c r="D20" s="1416" t="str">
        <f>OBRA!N447</f>
        <v>CONSTRUCCIÓN DE EMPEDRADO ZAMPEADO, EN FRACC. "EL CARRIZAL", EN LA CABECERA MUNICIPAL DE JOCOTEPEC JALISCO.</v>
      </c>
      <c r="E20" s="1745"/>
      <c r="F20" s="1417" t="s">
        <v>3444</v>
      </c>
      <c r="G20" s="1414" t="s">
        <v>1979</v>
      </c>
      <c r="H20" s="1079" t="s">
        <v>3468</v>
      </c>
      <c r="I20" s="1079">
        <v>20.291602999999999</v>
      </c>
      <c r="J20" s="1079">
        <v>103.44069500000001</v>
      </c>
      <c r="K20" s="1079">
        <v>20.291602999999999</v>
      </c>
      <c r="L20" s="1422">
        <v>102</v>
      </c>
      <c r="M20" s="1423">
        <v>86307.81</v>
      </c>
      <c r="N20" s="1869" t="s">
        <v>5467</v>
      </c>
      <c r="O20" s="1076"/>
      <c r="P20" s="1076"/>
      <c r="Q20" s="1076"/>
      <c r="R20" s="1076"/>
      <c r="S20" s="1076"/>
      <c r="T20" s="1076"/>
      <c r="U20" s="1076"/>
      <c r="V20" s="1076"/>
      <c r="W20" s="1076"/>
    </row>
    <row r="21" spans="1:23" ht="74.25" customHeight="1">
      <c r="A21" s="1">
        <v>2020</v>
      </c>
      <c r="B21" s="1">
        <v>18</v>
      </c>
      <c r="C21" s="1413" t="s">
        <v>3280</v>
      </c>
      <c r="D21" s="1416" t="str">
        <f>OBRA!N447</f>
        <v>CONSTRUCCIÓN DE EMPEDRADO ZAMPEADO, EN FRACC. "EL CARRIZAL", EN LA CABECERA MUNICIPAL DE JOCOTEPEC JALISCO.</v>
      </c>
      <c r="E21" s="1745"/>
      <c r="F21" s="1417" t="s">
        <v>3445</v>
      </c>
      <c r="G21" s="1414" t="s">
        <v>1979</v>
      </c>
      <c r="H21" s="1079" t="s">
        <v>3468</v>
      </c>
      <c r="I21" s="1079">
        <v>20.292460999999999</v>
      </c>
      <c r="J21" s="1079">
        <v>103.440551</v>
      </c>
      <c r="K21" s="1422">
        <v>399</v>
      </c>
      <c r="L21" s="1422">
        <v>114</v>
      </c>
      <c r="M21" s="1423">
        <v>96461.67</v>
      </c>
      <c r="N21" s="1869" t="s">
        <v>5467</v>
      </c>
      <c r="O21" s="1076"/>
      <c r="P21" s="1076"/>
      <c r="Q21" s="1076"/>
      <c r="R21" s="1076"/>
      <c r="S21" s="1076"/>
      <c r="T21" s="1076"/>
      <c r="U21" s="1076"/>
      <c r="V21" s="1076"/>
      <c r="W21" s="1076"/>
    </row>
    <row r="22" spans="1:23" ht="68.25" customHeight="1">
      <c r="A22" s="1">
        <v>2020</v>
      </c>
      <c r="B22" s="1">
        <v>19</v>
      </c>
      <c r="C22" s="1413" t="s">
        <v>3280</v>
      </c>
      <c r="D22" s="1416" t="str">
        <f>OBRA!N447</f>
        <v>CONSTRUCCIÓN DE EMPEDRADO ZAMPEADO, EN FRACC. "EL CARRIZAL", EN LA CABECERA MUNICIPAL DE JOCOTEPEC JALISCO.</v>
      </c>
      <c r="E22" s="1745"/>
      <c r="F22" s="1417" t="s">
        <v>3446</v>
      </c>
      <c r="G22" s="1414" t="s">
        <v>1979</v>
      </c>
      <c r="H22" s="1079" t="s">
        <v>3469</v>
      </c>
      <c r="I22" s="1079">
        <v>20.291197</v>
      </c>
      <c r="J22" s="1079">
        <v>103.440383</v>
      </c>
      <c r="K22" s="1422">
        <v>441</v>
      </c>
      <c r="L22" s="1422">
        <v>126</v>
      </c>
      <c r="M22" s="1423">
        <v>106615.53</v>
      </c>
      <c r="N22" s="1869" t="s">
        <v>5467</v>
      </c>
      <c r="O22" s="1076"/>
      <c r="P22" s="1076"/>
      <c r="Q22" s="1076"/>
      <c r="R22" s="1076"/>
      <c r="S22" s="1076"/>
      <c r="T22" s="1076"/>
      <c r="U22" s="1076"/>
      <c r="V22" s="1076"/>
      <c r="W22" s="1076"/>
    </row>
    <row r="23" spans="1:23" ht="61.5" customHeight="1">
      <c r="A23" s="1">
        <v>2020</v>
      </c>
      <c r="B23" s="1">
        <v>20</v>
      </c>
      <c r="C23" s="1413" t="s">
        <v>3280</v>
      </c>
      <c r="D23" s="1416" t="str">
        <f>OBRA!N447</f>
        <v>CONSTRUCCIÓN DE EMPEDRADO ZAMPEADO, EN FRACC. "EL CARRIZAL", EN LA CABECERA MUNICIPAL DE JOCOTEPEC JALISCO.</v>
      </c>
      <c r="E23" s="1745"/>
      <c r="F23" s="1417" t="s">
        <v>3447</v>
      </c>
      <c r="G23" s="1414" t="s">
        <v>1979</v>
      </c>
      <c r="H23" s="1079" t="s">
        <v>3469</v>
      </c>
      <c r="I23" s="1079">
        <v>20.291730000000001</v>
      </c>
      <c r="J23" s="1079">
        <v>103.44028400000001</v>
      </c>
      <c r="K23" s="1422">
        <v>357</v>
      </c>
      <c r="L23" s="1422">
        <v>102</v>
      </c>
      <c r="M23" s="1423">
        <v>86307.81</v>
      </c>
      <c r="N23" s="1869" t="s">
        <v>5467</v>
      </c>
      <c r="O23" s="1076"/>
      <c r="P23" s="1076"/>
      <c r="Q23" s="1076"/>
      <c r="R23" s="1076"/>
      <c r="S23" s="1076"/>
      <c r="T23" s="1076"/>
      <c r="U23" s="1076"/>
      <c r="V23" s="1076"/>
      <c r="W23" s="1076"/>
    </row>
    <row r="24" spans="1:23" ht="74.25" customHeight="1">
      <c r="A24" s="1">
        <v>2020</v>
      </c>
      <c r="B24" s="1">
        <v>21</v>
      </c>
      <c r="C24" s="1413" t="s">
        <v>3280</v>
      </c>
      <c r="D24" s="1416" t="str">
        <f>OBRA!N447</f>
        <v>CONSTRUCCIÓN DE EMPEDRADO ZAMPEADO, EN FRACC. "EL CARRIZAL", EN LA CABECERA MUNICIPAL DE JOCOTEPEC JALISCO.</v>
      </c>
      <c r="E24" s="1745"/>
      <c r="F24" s="1417" t="s">
        <v>3448</v>
      </c>
      <c r="G24" s="1414" t="s">
        <v>1979</v>
      </c>
      <c r="H24" s="1079" t="s">
        <v>3469</v>
      </c>
      <c r="I24" s="1079">
        <v>20.292584999999999</v>
      </c>
      <c r="J24" s="1079">
        <v>103.440146</v>
      </c>
      <c r="K24" s="1422">
        <v>427</v>
      </c>
      <c r="L24" s="1422">
        <v>122</v>
      </c>
      <c r="M24" s="1423">
        <v>103230.91</v>
      </c>
      <c r="N24" s="1869" t="s">
        <v>5467</v>
      </c>
      <c r="O24" s="1076"/>
      <c r="P24" s="1076"/>
      <c r="Q24" s="1076"/>
      <c r="R24" s="1076"/>
      <c r="S24" s="1076"/>
      <c r="T24" s="1076"/>
      <c r="U24" s="1076"/>
      <c r="V24" s="1076"/>
      <c r="W24" s="1076"/>
    </row>
    <row r="25" spans="1:23" ht="51">
      <c r="A25" s="1">
        <v>2020</v>
      </c>
      <c r="B25" s="1">
        <v>22</v>
      </c>
      <c r="C25" s="1413" t="s">
        <v>3282</v>
      </c>
      <c r="D25" s="1416" t="str">
        <f>OBRA!N449</f>
        <v>CONSTRUCCIÓN DE EMPEDRADO ZAMPEADO EN VIALIDAD CALLE HIDALGO SUR DE KM 0+000.00 AL KM 0+170.00 (DE DONATO GUERRA A EMPEDRADO EXISTENTE), EN LA CEBECERA MUNICIPAL DE JOCOTEPEC, JALISCO.</v>
      </c>
      <c r="E25" s="1745"/>
      <c r="F25" s="1417" t="s">
        <v>3449</v>
      </c>
      <c r="G25" s="1414" t="s">
        <v>1979</v>
      </c>
      <c r="H25" s="1079" t="s">
        <v>3462</v>
      </c>
      <c r="I25" s="1079">
        <f>GRAL!AK450</f>
        <v>20.279517999999999</v>
      </c>
      <c r="J25" s="1819">
        <f>GRAL!AL450</f>
        <v>103.43153</v>
      </c>
      <c r="K25" s="1422">
        <v>1557.6419999999998</v>
      </c>
      <c r="L25" s="1422">
        <v>340</v>
      </c>
      <c r="M25" s="1423">
        <v>367959.98</v>
      </c>
      <c r="N25" s="1869" t="s">
        <v>4069</v>
      </c>
      <c r="O25" s="1076"/>
      <c r="P25" s="1076"/>
      <c r="Q25" s="1076"/>
      <c r="R25" s="1076"/>
      <c r="S25" s="1076"/>
      <c r="T25" s="1076"/>
      <c r="U25" s="1076"/>
      <c r="V25" s="1076"/>
      <c r="W25" s="1076"/>
    </row>
    <row r="26" spans="1:23" ht="102" customHeight="1">
      <c r="A26" s="1">
        <v>2020</v>
      </c>
      <c r="B26" s="1">
        <v>23</v>
      </c>
      <c r="C26" s="1413" t="s">
        <v>3284</v>
      </c>
      <c r="D26" s="1416" t="str">
        <f>OBRA!N452</f>
        <v>CONSTRUCCIÓN DE EMPEDRADO ZAMPEADO EN FRACC. "LAS PALMAS", EN LA CABECERA MUNICIPAL DE JOCOTEPEC, JALISCO.</v>
      </c>
      <c r="E26" s="1745"/>
      <c r="F26" s="1417" t="s">
        <v>3450</v>
      </c>
      <c r="G26" s="1414" t="s">
        <v>1979</v>
      </c>
      <c r="H26" s="1079" t="s">
        <v>3470</v>
      </c>
      <c r="I26" s="1079">
        <v>20.279789000000001</v>
      </c>
      <c r="J26" s="1819">
        <v>103.44596</v>
      </c>
      <c r="K26" s="1422">
        <v>1233.7175400000001</v>
      </c>
      <c r="L26" s="1422">
        <v>316.2</v>
      </c>
      <c r="M26" s="1423">
        <v>295285.95</v>
      </c>
      <c r="N26" s="1869" t="s">
        <v>4237</v>
      </c>
      <c r="O26" s="1076"/>
      <c r="P26" s="1076"/>
      <c r="Q26" s="1076"/>
      <c r="R26" s="1076"/>
      <c r="S26" s="1076"/>
      <c r="T26" s="1076"/>
      <c r="U26" s="1076"/>
      <c r="V26" s="1076"/>
      <c r="W26" s="1076"/>
    </row>
    <row r="27" spans="1:23" ht="105" customHeight="1">
      <c r="A27" s="1">
        <v>2020</v>
      </c>
      <c r="B27" s="1">
        <v>24</v>
      </c>
      <c r="C27" s="1413" t="s">
        <v>3284</v>
      </c>
      <c r="D27" s="1416" t="str">
        <f>OBRA!N452</f>
        <v>CONSTRUCCIÓN DE EMPEDRADO ZAMPEADO EN FRACC. "LAS PALMAS", EN LA CABECERA MUNICIPAL DE JOCOTEPEC, JALISCO.</v>
      </c>
      <c r="E27" s="1745"/>
      <c r="F27" s="1417" t="s">
        <v>3451</v>
      </c>
      <c r="G27" s="1414" t="s">
        <v>1979</v>
      </c>
      <c r="H27" s="1079" t="s">
        <v>3461</v>
      </c>
      <c r="I27" s="1079">
        <v>20.280190999999999</v>
      </c>
      <c r="J27" s="1079">
        <v>103.445891</v>
      </c>
      <c r="K27" s="1422">
        <v>862.99199999999996</v>
      </c>
      <c r="L27" s="1422">
        <v>221.28</v>
      </c>
      <c r="M27" s="1423">
        <v>206562</v>
      </c>
      <c r="N27" s="1869" t="s">
        <v>4237</v>
      </c>
      <c r="O27" s="1076"/>
      <c r="P27" s="1076"/>
      <c r="Q27" s="1076"/>
      <c r="R27" s="1076"/>
      <c r="S27" s="1076"/>
      <c r="T27" s="1076"/>
      <c r="U27" s="1076"/>
      <c r="V27" s="1076"/>
      <c r="W27" s="1076"/>
    </row>
    <row r="28" spans="1:23" ht="105" customHeight="1">
      <c r="A28" s="1">
        <v>2020</v>
      </c>
      <c r="B28" s="1">
        <v>25</v>
      </c>
      <c r="C28" s="1413" t="s">
        <v>3284</v>
      </c>
      <c r="D28" s="1416" t="str">
        <f>OBRA!N452</f>
        <v>CONSTRUCCIÓN DE EMPEDRADO ZAMPEADO EN FRACC. "LAS PALMAS", EN LA CABECERA MUNICIPAL DE JOCOTEPEC, JALISCO.</v>
      </c>
      <c r="E28" s="1745"/>
      <c r="F28" s="1417" t="s">
        <v>3452</v>
      </c>
      <c r="G28" s="1414" t="s">
        <v>1979</v>
      </c>
      <c r="H28" s="1079" t="s">
        <v>3471</v>
      </c>
      <c r="I28" s="1079">
        <v>20.280235000000001</v>
      </c>
      <c r="J28" s="1079">
        <v>103.446359</v>
      </c>
      <c r="K28" s="1422">
        <v>863.43456000000003</v>
      </c>
      <c r="L28" s="1422">
        <v>221.28</v>
      </c>
      <c r="M28" s="1423">
        <v>206658.63</v>
      </c>
      <c r="N28" s="1869" t="s">
        <v>4237</v>
      </c>
      <c r="O28" s="1076"/>
      <c r="P28" s="1076"/>
      <c r="Q28" s="1076"/>
      <c r="R28" s="1076"/>
      <c r="S28" s="1076"/>
      <c r="T28" s="1076"/>
      <c r="U28" s="1076"/>
      <c r="V28" s="1076"/>
      <c r="W28" s="1076"/>
    </row>
    <row r="29" spans="1:23" ht="105" customHeight="1">
      <c r="A29" s="1">
        <v>2020</v>
      </c>
      <c r="B29" s="1">
        <v>26</v>
      </c>
      <c r="C29" s="1413" t="s">
        <v>3284</v>
      </c>
      <c r="D29" s="1416" t="str">
        <f>OBRA!N452</f>
        <v>CONSTRUCCIÓN DE EMPEDRADO ZAMPEADO EN FRACC. "LAS PALMAS", EN LA CABECERA MUNICIPAL DE JOCOTEPEC, JALISCO.</v>
      </c>
      <c r="E29" s="1745"/>
      <c r="F29" s="1417" t="s">
        <v>3453</v>
      </c>
      <c r="G29" s="1414" t="s">
        <v>1979</v>
      </c>
      <c r="H29" s="1079" t="s">
        <v>3472</v>
      </c>
      <c r="I29" s="1819">
        <v>20.280069999999998</v>
      </c>
      <c r="J29" s="1819">
        <v>103.44523100000001</v>
      </c>
      <c r="K29" s="1422">
        <v>616.35599999999999</v>
      </c>
      <c r="L29" s="1422">
        <v>158.04</v>
      </c>
      <c r="M29" s="1423">
        <v>147528.29</v>
      </c>
      <c r="N29" s="1869" t="s">
        <v>4237</v>
      </c>
      <c r="O29" s="1076"/>
      <c r="P29" s="1076"/>
      <c r="Q29" s="1076"/>
      <c r="R29" s="1076"/>
      <c r="S29" s="1076"/>
      <c r="T29" s="1076"/>
      <c r="U29" s="1076"/>
      <c r="V29" s="1076"/>
      <c r="W29" s="1076"/>
    </row>
    <row r="30" spans="1:23" ht="51">
      <c r="A30" s="1">
        <v>2020</v>
      </c>
      <c r="B30" s="1">
        <v>27</v>
      </c>
      <c r="C30" s="1413" t="s">
        <v>3287</v>
      </c>
      <c r="D30" s="1416" t="str">
        <f>OBRA!N453</f>
        <v>CONSTRUCCIÓN DE EMPEDRADO ZAMPEADO EN C. INVIERNO, C. LAZARO CARDENAS, C. GONZALEZ ORTEGA Y CHAPULTEPEC EN CABECERA MUNICIPAL DE JOCOTEPEC, JALISCO.</v>
      </c>
      <c r="E30" s="1745"/>
      <c r="F30" s="1417" t="s">
        <v>3454</v>
      </c>
      <c r="G30" s="1414" t="s">
        <v>1979</v>
      </c>
      <c r="H30" s="1079" t="s">
        <v>2733</v>
      </c>
      <c r="I30" s="1819">
        <v>20.292809999999999</v>
      </c>
      <c r="J30" s="1819">
        <v>103.43651199999999</v>
      </c>
      <c r="K30" s="1422">
        <v>456</v>
      </c>
      <c r="L30" s="1422">
        <v>114</v>
      </c>
      <c r="M30" s="1423">
        <v>108906.48</v>
      </c>
      <c r="N30" s="1869" t="s">
        <v>4070</v>
      </c>
      <c r="O30" s="1076"/>
      <c r="P30" s="1076"/>
      <c r="Q30" s="1076"/>
      <c r="R30" s="1076"/>
      <c r="S30" s="1076"/>
      <c r="T30" s="1076"/>
      <c r="U30" s="1076"/>
      <c r="V30" s="1076"/>
      <c r="W30" s="1076"/>
    </row>
    <row r="31" spans="1:23" ht="51">
      <c r="A31" s="1">
        <v>2020</v>
      </c>
      <c r="B31" s="1">
        <v>28</v>
      </c>
      <c r="C31" s="1413" t="s">
        <v>3287</v>
      </c>
      <c r="D31" s="1416" t="str">
        <f>OBRA!N453</f>
        <v>CONSTRUCCIÓN DE EMPEDRADO ZAMPEADO EN C. INVIERNO, C. LAZARO CARDENAS, C. GONZALEZ ORTEGA Y CHAPULTEPEC EN CABECERA MUNICIPAL DE JOCOTEPEC, JALISCO.</v>
      </c>
      <c r="E31" s="1745"/>
      <c r="F31" s="1417" t="s">
        <v>3455</v>
      </c>
      <c r="G31" s="1414" t="s">
        <v>1979</v>
      </c>
      <c r="H31" s="1079" t="s">
        <v>3473</v>
      </c>
      <c r="I31" s="1819">
        <v>20.292225999999999</v>
      </c>
      <c r="J31" s="1819">
        <v>103.436307</v>
      </c>
      <c r="K31" s="1422">
        <v>792.9215999999999</v>
      </c>
      <c r="L31" s="1422">
        <v>198.23</v>
      </c>
      <c r="M31" s="1423">
        <v>189373.43</v>
      </c>
      <c r="N31" s="1869" t="s">
        <v>4070</v>
      </c>
      <c r="O31" s="1076"/>
      <c r="P31" s="1076"/>
      <c r="Q31" s="1076"/>
      <c r="R31" s="1076"/>
      <c r="S31" s="1076"/>
      <c r="T31" s="1076"/>
      <c r="U31" s="1076"/>
      <c r="V31" s="1076"/>
      <c r="W31" s="1076"/>
    </row>
    <row r="32" spans="1:23" ht="51">
      <c r="A32" s="1">
        <v>2020</v>
      </c>
      <c r="B32" s="71">
        <v>29</v>
      </c>
      <c r="C32" s="1413" t="s">
        <v>3287</v>
      </c>
      <c r="D32" s="1416" t="str">
        <f>OBRA!N453</f>
        <v>CONSTRUCCIÓN DE EMPEDRADO ZAMPEADO EN C. INVIERNO, C. LAZARO CARDENAS, C. GONZALEZ ORTEGA Y CHAPULTEPEC EN CABECERA MUNICIPAL DE JOCOTEPEC, JALISCO.</v>
      </c>
      <c r="E32" s="1745"/>
      <c r="F32" s="1417" t="s">
        <v>3456</v>
      </c>
      <c r="G32" s="1414" t="s">
        <v>1979</v>
      </c>
      <c r="H32" s="1079" t="s">
        <v>3474</v>
      </c>
      <c r="I32" s="1819">
        <v>20.281518999999999</v>
      </c>
      <c r="J32" s="1819">
        <v>103.42460800000001</v>
      </c>
      <c r="K32" s="1422">
        <v>480.8</v>
      </c>
      <c r="L32" s="1422">
        <v>120.2</v>
      </c>
      <c r="M32" s="1423">
        <v>114829.46</v>
      </c>
      <c r="N32" s="1869" t="s">
        <v>4070</v>
      </c>
      <c r="O32" s="1076"/>
      <c r="P32" s="1076"/>
      <c r="Q32" s="1076"/>
      <c r="R32" s="1076"/>
      <c r="S32" s="1076"/>
      <c r="T32" s="1076"/>
      <c r="U32" s="1076"/>
      <c r="V32" s="1076"/>
      <c r="W32" s="1076"/>
    </row>
    <row r="33" spans="1:23" ht="51">
      <c r="A33" s="1">
        <v>2020</v>
      </c>
      <c r="B33" s="71">
        <v>30</v>
      </c>
      <c r="C33" s="1413" t="s">
        <v>3284</v>
      </c>
      <c r="D33" s="1416" t="str">
        <f>OBRA!N452</f>
        <v>CONSTRUCCIÓN DE EMPEDRADO ZAMPEADO EN FRACC. "LAS PALMAS", EN LA CABECERA MUNICIPAL DE JOCOTEPEC, JALISCO.</v>
      </c>
      <c r="E33" s="1745"/>
      <c r="F33" s="1417" t="s">
        <v>3457</v>
      </c>
      <c r="G33" s="1414" t="s">
        <v>1979</v>
      </c>
      <c r="H33" s="1079" t="s">
        <v>3183</v>
      </c>
      <c r="I33" s="1079">
        <v>20.277873</v>
      </c>
      <c r="J33" s="1079">
        <v>103.435236</v>
      </c>
      <c r="K33" s="1422">
        <v>740.62400000000002</v>
      </c>
      <c r="L33" s="1422">
        <v>214</v>
      </c>
      <c r="M33" s="1423">
        <v>179248.44</v>
      </c>
      <c r="N33" s="1869" t="s">
        <v>4070</v>
      </c>
      <c r="O33" s="1076"/>
      <c r="P33" s="1076"/>
      <c r="Q33" s="1076"/>
      <c r="R33" s="1076"/>
      <c r="S33" s="1076"/>
      <c r="T33" s="1076"/>
      <c r="U33" s="1076"/>
      <c r="V33" s="1076"/>
      <c r="W33" s="1076"/>
    </row>
    <row r="34" spans="1:23" ht="51">
      <c r="A34" s="1">
        <v>2020</v>
      </c>
      <c r="B34" s="71">
        <v>31</v>
      </c>
      <c r="C34" s="1413" t="s">
        <v>3287</v>
      </c>
      <c r="D34" s="1416" t="str">
        <f>OBRA!N453</f>
        <v>CONSTRUCCIÓN DE EMPEDRADO ZAMPEADO EN C. INVIERNO, C. LAZARO CARDENAS, C. GONZALEZ ORTEGA Y CHAPULTEPEC EN CABECERA MUNICIPAL DE JOCOTEPEC, JALISCO.</v>
      </c>
      <c r="E34" s="1745"/>
      <c r="F34" s="1417" t="s">
        <v>3458</v>
      </c>
      <c r="G34" s="1414" t="s">
        <v>1979</v>
      </c>
      <c r="H34" s="1079" t="s">
        <v>3183</v>
      </c>
      <c r="I34" s="1079">
        <v>20.279264999999999</v>
      </c>
      <c r="J34" s="1079">
        <v>103.446291</v>
      </c>
      <c r="K34" s="1422">
        <v>3798.15</v>
      </c>
      <c r="L34" s="1422">
        <v>600</v>
      </c>
      <c r="M34" s="1423">
        <v>878450.09</v>
      </c>
      <c r="N34" s="1869" t="s">
        <v>4070</v>
      </c>
      <c r="O34" s="1076"/>
      <c r="P34" s="1076"/>
      <c r="Q34" s="1076"/>
      <c r="R34" s="1076"/>
      <c r="S34" s="1076"/>
      <c r="T34" s="1076"/>
      <c r="U34" s="1076"/>
      <c r="V34" s="1076"/>
      <c r="W34" s="1076"/>
    </row>
    <row r="35" spans="1:23" ht="74.25" customHeight="1">
      <c r="A35" s="1">
        <v>2021</v>
      </c>
      <c r="B35" s="71">
        <v>1</v>
      </c>
      <c r="C35" s="1413" t="s">
        <v>4093</v>
      </c>
      <c r="D35" s="1416" t="s">
        <v>4100</v>
      </c>
      <c r="E35" s="1745"/>
      <c r="F35" s="1417" t="s">
        <v>4106</v>
      </c>
      <c r="G35" s="1414" t="s">
        <v>2574</v>
      </c>
      <c r="H35" s="1079" t="s">
        <v>4118</v>
      </c>
      <c r="I35" s="1079">
        <v>20.289552</v>
      </c>
      <c r="J35" s="1079">
        <v>103.412727</v>
      </c>
      <c r="K35" s="713">
        <v>231</v>
      </c>
      <c r="L35" s="1740">
        <v>21</v>
      </c>
      <c r="M35" s="1423">
        <v>80674.649999999994</v>
      </c>
      <c r="N35" s="1869" t="s">
        <v>4510</v>
      </c>
      <c r="O35" s="1076"/>
      <c r="P35" s="1076"/>
      <c r="Q35" s="1076"/>
      <c r="R35" s="1076"/>
      <c r="S35" s="1076"/>
      <c r="T35" s="1076"/>
      <c r="U35" s="1076"/>
      <c r="V35" s="1076"/>
      <c r="W35" s="1076"/>
    </row>
    <row r="36" spans="1:23" ht="61.5" customHeight="1">
      <c r="A36" s="1">
        <v>2021</v>
      </c>
      <c r="B36" s="71">
        <f t="shared" ref="B36:B46" si="0">+B35+1</f>
        <v>2</v>
      </c>
      <c r="C36" s="1413" t="s">
        <v>4094</v>
      </c>
      <c r="D36" s="1743" t="s">
        <v>4123</v>
      </c>
      <c r="E36" s="1745"/>
      <c r="F36" s="1417" t="s">
        <v>4107</v>
      </c>
      <c r="G36" s="1414" t="s">
        <v>2548</v>
      </c>
      <c r="H36" s="1079" t="s">
        <v>4119</v>
      </c>
      <c r="I36" s="1819">
        <v>20.27825</v>
      </c>
      <c r="J36" s="1079">
        <v>103.434836</v>
      </c>
      <c r="K36" s="713">
        <v>805.55</v>
      </c>
      <c r="L36" s="1740">
        <v>173</v>
      </c>
      <c r="M36" s="1423">
        <v>294677.68</v>
      </c>
      <c r="N36" s="1869" t="s">
        <v>4511</v>
      </c>
      <c r="O36" s="1076"/>
      <c r="P36" s="1076"/>
      <c r="Q36" s="1076"/>
      <c r="R36" s="1076"/>
      <c r="S36" s="1076"/>
      <c r="T36" s="1076"/>
      <c r="U36" s="1076"/>
      <c r="V36" s="1076"/>
      <c r="W36" s="1076"/>
    </row>
    <row r="37" spans="1:23" ht="74.25" customHeight="1">
      <c r="A37" s="1">
        <v>2021</v>
      </c>
      <c r="B37" s="71">
        <f t="shared" si="0"/>
        <v>3</v>
      </c>
      <c r="C37" s="1413" t="s">
        <v>4094</v>
      </c>
      <c r="D37" s="1743" t="s">
        <v>4123</v>
      </c>
      <c r="E37" s="1745"/>
      <c r="F37" s="1417" t="s">
        <v>4108</v>
      </c>
      <c r="G37" s="1414" t="s">
        <v>2548</v>
      </c>
      <c r="H37" s="1079" t="s">
        <v>4120</v>
      </c>
      <c r="I37" s="1079">
        <v>20.278542999999999</v>
      </c>
      <c r="J37" s="1079" t="s">
        <v>5466</v>
      </c>
      <c r="K37" s="713">
        <v>1130.32</v>
      </c>
      <c r="L37" s="1740">
        <v>166</v>
      </c>
      <c r="M37" s="1423">
        <v>403213.08</v>
      </c>
      <c r="N37" s="1869" t="s">
        <v>4512</v>
      </c>
      <c r="O37" s="1076"/>
      <c r="P37" s="1076"/>
      <c r="Q37" s="1076"/>
      <c r="R37" s="1076"/>
      <c r="S37" s="1076"/>
      <c r="T37" s="1076"/>
      <c r="U37" s="1076"/>
      <c r="V37" s="1076"/>
      <c r="W37" s="1076"/>
    </row>
    <row r="38" spans="1:23" ht="75.75" customHeight="1">
      <c r="A38" s="1">
        <v>2021</v>
      </c>
      <c r="B38" s="71">
        <f t="shared" si="0"/>
        <v>4</v>
      </c>
      <c r="C38" s="1413" t="s">
        <v>4094</v>
      </c>
      <c r="D38" s="1743" t="s">
        <v>4123</v>
      </c>
      <c r="E38" s="1745"/>
      <c r="F38" s="1417" t="s">
        <v>4109</v>
      </c>
      <c r="G38" s="1414" t="s">
        <v>2548</v>
      </c>
      <c r="H38" s="1079" t="s">
        <v>3183</v>
      </c>
      <c r="I38" s="1079">
        <v>20.278074</v>
      </c>
      <c r="J38" s="1079">
        <v>103.436172</v>
      </c>
      <c r="K38" s="713">
        <v>736.37</v>
      </c>
      <c r="L38" s="1740">
        <v>151.12</v>
      </c>
      <c r="M38" s="1423">
        <v>268430.62</v>
      </c>
      <c r="N38" s="1869" t="s">
        <v>4513</v>
      </c>
      <c r="O38" s="1076"/>
      <c r="P38" s="1076"/>
      <c r="Q38" s="1076"/>
      <c r="R38" s="1076"/>
      <c r="S38" s="1076"/>
      <c r="T38" s="1076"/>
      <c r="U38" s="1076"/>
      <c r="V38" s="1076"/>
      <c r="W38" s="1076"/>
    </row>
    <row r="39" spans="1:23" ht="72" customHeight="1">
      <c r="A39" s="1">
        <v>2021</v>
      </c>
      <c r="B39" s="71">
        <f t="shared" si="0"/>
        <v>5</v>
      </c>
      <c r="C39" s="1413" t="s">
        <v>4095</v>
      </c>
      <c r="D39" s="1743" t="s">
        <v>4124</v>
      </c>
      <c r="E39" s="1745"/>
      <c r="F39" s="1417" t="s">
        <v>4110</v>
      </c>
      <c r="G39" s="1414" t="s">
        <v>2560</v>
      </c>
      <c r="H39" s="1079" t="s">
        <v>3466</v>
      </c>
      <c r="I39" s="1819">
        <v>20.288530000000002</v>
      </c>
      <c r="J39" s="1079">
        <v>103.341916</v>
      </c>
      <c r="K39" s="713">
        <v>545.85</v>
      </c>
      <c r="L39" s="1740">
        <v>168</v>
      </c>
      <c r="M39" s="1423">
        <v>206469.58</v>
      </c>
      <c r="N39" s="1869" t="s">
        <v>4514</v>
      </c>
      <c r="O39" s="1076"/>
      <c r="P39" s="1076"/>
      <c r="Q39" s="1076"/>
      <c r="R39" s="1076"/>
      <c r="S39" s="1076"/>
      <c r="T39" s="1076"/>
      <c r="U39" s="1076"/>
      <c r="V39" s="1076"/>
      <c r="W39" s="1076"/>
    </row>
    <row r="40" spans="1:23" ht="61.5" customHeight="1">
      <c r="A40" s="1">
        <v>2021</v>
      </c>
      <c r="B40" s="71">
        <f t="shared" si="0"/>
        <v>6</v>
      </c>
      <c r="C40" s="1413" t="s">
        <v>4095</v>
      </c>
      <c r="D40" s="1743" t="s">
        <v>4124</v>
      </c>
      <c r="E40" s="1745"/>
      <c r="F40" s="1417" t="s">
        <v>4111</v>
      </c>
      <c r="G40" s="1414" t="s">
        <v>2560</v>
      </c>
      <c r="H40" s="1079" t="s">
        <v>2750</v>
      </c>
      <c r="I40" s="1819">
        <v>20.297000000000001</v>
      </c>
      <c r="J40" s="1079">
        <v>103.35051199999999</v>
      </c>
      <c r="K40" s="713">
        <v>494.4</v>
      </c>
      <c r="L40" s="1740">
        <v>155</v>
      </c>
      <c r="M40" s="1423">
        <v>182930.35</v>
      </c>
      <c r="N40" s="1869" t="s">
        <v>4515</v>
      </c>
      <c r="O40" s="1076"/>
      <c r="P40" s="1076"/>
      <c r="Q40" s="1076"/>
      <c r="R40" s="1076"/>
      <c r="S40" s="1076"/>
      <c r="T40" s="1076"/>
      <c r="U40" s="1076"/>
      <c r="V40" s="1076"/>
      <c r="W40" s="1076"/>
    </row>
    <row r="41" spans="1:23" ht="63.75" customHeight="1">
      <c r="A41" s="1">
        <v>2021</v>
      </c>
      <c r="B41" s="71">
        <f t="shared" si="0"/>
        <v>7</v>
      </c>
      <c r="C41" s="1413" t="s">
        <v>4095</v>
      </c>
      <c r="D41" s="1743" t="s">
        <v>4124</v>
      </c>
      <c r="E41" s="1745"/>
      <c r="F41" s="1417" t="s">
        <v>4112</v>
      </c>
      <c r="G41" s="1414" t="s">
        <v>2560</v>
      </c>
      <c r="H41" s="1079" t="s">
        <v>2739</v>
      </c>
      <c r="I41" s="1079">
        <v>20.285381000000001</v>
      </c>
      <c r="J41" s="1079">
        <v>103.336187</v>
      </c>
      <c r="K41" s="713">
        <v>497.78</v>
      </c>
      <c r="L41" s="1740">
        <v>0</v>
      </c>
      <c r="M41" s="1423">
        <v>163301.75</v>
      </c>
      <c r="N41" s="1869" t="s">
        <v>4516</v>
      </c>
      <c r="O41" s="1076"/>
      <c r="P41" s="1076"/>
      <c r="Q41" s="1076"/>
      <c r="R41" s="1076"/>
      <c r="S41" s="1076"/>
      <c r="T41" s="1076"/>
      <c r="U41" s="1076"/>
      <c r="V41" s="1076"/>
      <c r="W41" s="1076"/>
    </row>
    <row r="42" spans="1:23" ht="65.25" customHeight="1">
      <c r="A42" s="1">
        <v>2021</v>
      </c>
      <c r="B42" s="71">
        <f t="shared" si="0"/>
        <v>8</v>
      </c>
      <c r="C42" s="1413" t="s">
        <v>4095</v>
      </c>
      <c r="D42" s="1743" t="s">
        <v>4124</v>
      </c>
      <c r="E42" s="1745"/>
      <c r="F42" s="1417" t="s">
        <v>4113</v>
      </c>
      <c r="G42" s="1414" t="s">
        <v>2560</v>
      </c>
      <c r="H42" s="1079" t="s">
        <v>2624</v>
      </c>
      <c r="I42" s="1079">
        <v>20.287168000000001</v>
      </c>
      <c r="J42" s="1079">
        <v>103.333978</v>
      </c>
      <c r="K42" s="713">
        <v>740.6</v>
      </c>
      <c r="L42" s="1740">
        <v>269</v>
      </c>
      <c r="M42" s="1423">
        <v>278950.71000000002</v>
      </c>
      <c r="N42" s="1869" t="s">
        <v>4517</v>
      </c>
      <c r="O42" s="1076"/>
      <c r="P42" s="1076"/>
      <c r="Q42" s="1076"/>
      <c r="R42" s="1076"/>
      <c r="S42" s="1076"/>
      <c r="T42" s="1076"/>
      <c r="U42" s="1076"/>
      <c r="V42" s="1076"/>
      <c r="W42" s="1076"/>
    </row>
    <row r="43" spans="1:23" ht="60" customHeight="1">
      <c r="A43" s="1">
        <v>2021</v>
      </c>
      <c r="B43" s="71">
        <f t="shared" si="0"/>
        <v>9</v>
      </c>
      <c r="C43" s="1413" t="s">
        <v>4096</v>
      </c>
      <c r="D43" s="1743" t="s">
        <v>4125</v>
      </c>
      <c r="E43" s="1745"/>
      <c r="F43" s="1417" t="s">
        <v>4114</v>
      </c>
      <c r="G43" s="1414" t="s">
        <v>2613</v>
      </c>
      <c r="H43" s="1079" t="s">
        <v>2524</v>
      </c>
      <c r="I43" s="1079">
        <v>20.287768</v>
      </c>
      <c r="J43" s="1079">
        <v>103.415183</v>
      </c>
      <c r="K43" s="713">
        <v>2042.44</v>
      </c>
      <c r="L43" s="1740">
        <v>0</v>
      </c>
      <c r="M43" s="1423">
        <v>688458.32</v>
      </c>
      <c r="N43" s="1869" t="s">
        <v>4518</v>
      </c>
      <c r="O43" s="1076"/>
      <c r="P43" s="1076"/>
      <c r="Q43" s="1076"/>
      <c r="R43" s="1076"/>
      <c r="S43" s="1076"/>
      <c r="T43" s="1076"/>
      <c r="U43" s="1076"/>
      <c r="V43" s="1076"/>
      <c r="W43" s="1076"/>
    </row>
    <row r="44" spans="1:23" ht="71.25" customHeight="1">
      <c r="A44" s="1">
        <v>2021</v>
      </c>
      <c r="B44" s="71">
        <f t="shared" si="0"/>
        <v>10</v>
      </c>
      <c r="C44" s="1413" t="s">
        <v>4096</v>
      </c>
      <c r="D44" s="1743" t="s">
        <v>4125</v>
      </c>
      <c r="E44" s="1745"/>
      <c r="F44" s="1417" t="s">
        <v>4115</v>
      </c>
      <c r="G44" s="1414" t="s">
        <v>2613</v>
      </c>
      <c r="H44" s="1079" t="s">
        <v>4764</v>
      </c>
      <c r="I44" s="1079">
        <v>20.288646</v>
      </c>
      <c r="J44" s="1079">
        <v>103.41398</v>
      </c>
      <c r="K44" s="1738">
        <v>3523.2000000000007</v>
      </c>
      <c r="L44" s="1741">
        <v>769</v>
      </c>
      <c r="M44" s="1423">
        <v>1276719.52</v>
      </c>
      <c r="N44" s="1869" t="s">
        <v>4519</v>
      </c>
      <c r="O44" s="1076"/>
      <c r="P44" s="1076"/>
      <c r="Q44" s="1076"/>
      <c r="R44" s="1076"/>
      <c r="S44" s="1076"/>
      <c r="T44" s="1076"/>
      <c r="U44" s="1076"/>
      <c r="V44" s="1076"/>
      <c r="W44" s="1076"/>
    </row>
    <row r="45" spans="1:23" ht="74.25" customHeight="1">
      <c r="A45" s="1">
        <v>2021</v>
      </c>
      <c r="B45" s="71">
        <f t="shared" si="0"/>
        <v>11</v>
      </c>
      <c r="C45" s="1413" t="s">
        <v>4097</v>
      </c>
      <c r="D45" s="1744" t="s">
        <v>4122</v>
      </c>
      <c r="E45" s="1745"/>
      <c r="F45" s="1417" t="s">
        <v>4116</v>
      </c>
      <c r="G45" s="1414" t="s">
        <v>2699</v>
      </c>
      <c r="H45" s="1079" t="s">
        <v>4121</v>
      </c>
      <c r="I45" s="1079">
        <f>GRAL!AK507</f>
        <v>20.290621999999999</v>
      </c>
      <c r="J45" s="1079">
        <f>GRAL!AL507</f>
        <v>103.41037799999999</v>
      </c>
      <c r="K45" s="1739">
        <v>1782.99</v>
      </c>
      <c r="L45" s="1742">
        <v>440</v>
      </c>
      <c r="M45" s="1423">
        <v>643795.13</v>
      </c>
      <c r="N45" s="1869" t="s">
        <v>4520</v>
      </c>
      <c r="O45" s="1076"/>
      <c r="P45" s="1076"/>
      <c r="Q45" s="1076"/>
      <c r="R45" s="1076"/>
      <c r="S45" s="1076"/>
      <c r="T45" s="1076"/>
      <c r="U45" s="1076"/>
      <c r="V45" s="1076"/>
      <c r="W45" s="1076"/>
    </row>
    <row r="46" spans="1:23" ht="64.5" customHeight="1">
      <c r="A46" s="1">
        <v>2021</v>
      </c>
      <c r="B46" s="71">
        <f t="shared" si="0"/>
        <v>12</v>
      </c>
      <c r="C46" s="1413" t="s">
        <v>4098</v>
      </c>
      <c r="D46" s="1744" t="s">
        <v>4104</v>
      </c>
      <c r="E46" s="1745"/>
      <c r="F46" s="1417" t="s">
        <v>4117</v>
      </c>
      <c r="G46" s="1414" t="s">
        <v>2551</v>
      </c>
      <c r="H46" s="1079" t="s">
        <v>3186</v>
      </c>
      <c r="I46" s="1079">
        <f>GRAL!AK508</f>
        <v>20.286681999999999</v>
      </c>
      <c r="J46" s="1079">
        <f>GRAL!AL508</f>
        <v>103.423992</v>
      </c>
      <c r="K46" s="713">
        <v>1361.3</v>
      </c>
      <c r="L46" s="1740">
        <v>400</v>
      </c>
      <c r="M46" s="1423">
        <v>512378.61</v>
      </c>
      <c r="N46" s="1869" t="s">
        <v>4521</v>
      </c>
      <c r="O46" s="1076"/>
      <c r="P46" s="1076"/>
      <c r="Q46" s="1076"/>
      <c r="R46" s="1076"/>
      <c r="S46" s="1076"/>
      <c r="T46" s="1076"/>
      <c r="U46" s="1076"/>
      <c r="V46" s="1076"/>
      <c r="W46" s="1076"/>
    </row>
    <row r="47" spans="1:23" hidden="1">
      <c r="A47" s="1"/>
      <c r="B47" s="71"/>
      <c r="C47" s="1413"/>
      <c r="D47" s="1416"/>
      <c r="E47" s="1416"/>
      <c r="F47" s="1417"/>
      <c r="G47" s="1414"/>
      <c r="H47" s="1079"/>
      <c r="I47" s="1079"/>
      <c r="J47" s="1079"/>
      <c r="K47" s="1422"/>
      <c r="L47" s="1422"/>
      <c r="M47" s="1423"/>
      <c r="N47" s="1084"/>
      <c r="O47" s="1076"/>
      <c r="P47" s="1076"/>
      <c r="Q47" s="1076"/>
      <c r="R47" s="1076"/>
      <c r="S47" s="1076"/>
      <c r="T47" s="1076"/>
      <c r="U47" s="1076"/>
      <c r="V47" s="1076"/>
      <c r="W47" s="1076"/>
    </row>
    <row r="48" spans="1:23" hidden="1">
      <c r="A48" s="1"/>
      <c r="B48" s="71"/>
      <c r="C48" s="1413"/>
      <c r="D48" s="1416"/>
      <c r="E48" s="1416"/>
      <c r="F48" s="1417"/>
      <c r="G48" s="1414"/>
      <c r="H48" s="1079"/>
      <c r="I48" s="1079"/>
      <c r="J48" s="1079"/>
      <c r="K48" s="1422"/>
      <c r="L48" s="1422"/>
      <c r="M48" s="1423"/>
      <c r="N48" s="1084"/>
      <c r="O48" s="1076"/>
      <c r="P48" s="1076"/>
      <c r="Q48" s="1076"/>
      <c r="R48" s="1076"/>
      <c r="S48" s="1076"/>
      <c r="T48" s="1076"/>
      <c r="U48" s="1076"/>
      <c r="V48" s="1076"/>
      <c r="W48" s="1076"/>
    </row>
    <row r="49" spans="1:23" hidden="1">
      <c r="A49" s="1"/>
      <c r="B49" s="71"/>
      <c r="C49" s="1413"/>
      <c r="D49" s="1416"/>
      <c r="E49" s="1416"/>
      <c r="F49" s="1417"/>
      <c r="G49" s="1414"/>
      <c r="H49" s="1079"/>
      <c r="I49" s="1079"/>
      <c r="J49" s="1079"/>
      <c r="K49" s="1422"/>
      <c r="L49" s="1422"/>
      <c r="M49" s="1423"/>
      <c r="N49" s="1084"/>
      <c r="O49" s="1076"/>
      <c r="P49" s="1076"/>
      <c r="Q49" s="1076"/>
      <c r="R49" s="1076"/>
      <c r="S49" s="1076"/>
      <c r="T49" s="1076"/>
      <c r="U49" s="1076"/>
      <c r="V49" s="1076"/>
      <c r="W49" s="1076"/>
    </row>
    <row r="50" spans="1:23" hidden="1">
      <c r="A50" s="1"/>
      <c r="B50" s="71"/>
      <c r="C50" s="1413"/>
      <c r="D50" s="1416"/>
      <c r="E50" s="1416"/>
      <c r="F50" s="1417"/>
      <c r="G50" s="1414"/>
      <c r="H50" s="1079"/>
      <c r="I50" s="1079"/>
      <c r="J50" s="1079"/>
      <c r="K50" s="1422"/>
      <c r="L50" s="1422"/>
      <c r="M50" s="1423"/>
      <c r="N50" s="1084"/>
      <c r="O50" s="1076"/>
      <c r="P50" s="1076"/>
      <c r="Q50" s="1076"/>
      <c r="R50" s="1076"/>
      <c r="S50" s="1076"/>
      <c r="T50" s="1076"/>
      <c r="U50" s="1076"/>
      <c r="V50" s="1076"/>
      <c r="W50" s="1076"/>
    </row>
    <row r="51" spans="1:23" hidden="1">
      <c r="A51" s="1"/>
      <c r="B51" s="71"/>
      <c r="C51" s="1413"/>
      <c r="D51" s="1416"/>
      <c r="E51" s="1416"/>
      <c r="F51" s="1417"/>
      <c r="G51" s="1414"/>
      <c r="H51" s="1079"/>
      <c r="I51" s="1079"/>
      <c r="J51" s="1079"/>
      <c r="K51" s="1422"/>
      <c r="L51" s="1422"/>
      <c r="M51" s="1423"/>
      <c r="N51" s="1084"/>
      <c r="O51" s="1076"/>
      <c r="P51" s="1076"/>
      <c r="Q51" s="1076"/>
      <c r="R51" s="1076"/>
      <c r="S51" s="1076"/>
      <c r="T51" s="1076"/>
      <c r="U51" s="1076"/>
      <c r="V51" s="1076"/>
      <c r="W51" s="1076"/>
    </row>
    <row r="52" spans="1:23" hidden="1">
      <c r="A52" s="1"/>
      <c r="B52" s="71"/>
      <c r="C52" s="1413"/>
      <c r="D52" s="1416"/>
      <c r="E52" s="1416"/>
      <c r="F52" s="1417"/>
      <c r="G52" s="1414"/>
      <c r="H52" s="1079"/>
      <c r="I52" s="1079"/>
      <c r="J52" s="1079"/>
      <c r="K52" s="1422"/>
      <c r="L52" s="1422"/>
      <c r="M52" s="1423"/>
      <c r="N52" s="1084"/>
      <c r="O52" s="1076"/>
      <c r="P52" s="1076"/>
      <c r="Q52" s="1076"/>
      <c r="R52" s="1076"/>
      <c r="S52" s="1076"/>
      <c r="T52" s="1076"/>
      <c r="U52" s="1076"/>
      <c r="V52" s="1076"/>
      <c r="W52" s="1076"/>
    </row>
    <row r="53" spans="1:23" hidden="1">
      <c r="A53" s="1"/>
      <c r="B53" s="71"/>
      <c r="C53" s="1413"/>
      <c r="D53" s="1416"/>
      <c r="E53" s="1416"/>
      <c r="F53" s="1417"/>
      <c r="G53" s="1414"/>
      <c r="H53" s="1079"/>
      <c r="I53" s="1079"/>
      <c r="J53" s="1079"/>
      <c r="K53" s="1422"/>
      <c r="L53" s="1422"/>
      <c r="M53" s="1423"/>
      <c r="N53" s="1084"/>
      <c r="O53" s="1076"/>
      <c r="P53" s="1076"/>
      <c r="Q53" s="1076"/>
      <c r="R53" s="1076"/>
      <c r="S53" s="1076"/>
      <c r="T53" s="1076"/>
      <c r="U53" s="1076"/>
      <c r="V53" s="1076"/>
      <c r="W53" s="1076"/>
    </row>
    <row r="54" spans="1:23" hidden="1">
      <c r="A54" s="1"/>
      <c r="B54" s="71"/>
      <c r="C54" s="1413"/>
      <c r="D54" s="1416"/>
      <c r="E54" s="1416"/>
      <c r="F54" s="1417"/>
      <c r="G54" s="1414"/>
      <c r="H54" s="1079"/>
      <c r="I54" s="1079"/>
      <c r="J54" s="1079"/>
      <c r="K54" s="1422"/>
      <c r="L54" s="1422"/>
      <c r="M54" s="1423"/>
      <c r="N54" s="1084"/>
      <c r="O54" s="1076"/>
      <c r="P54" s="1076"/>
      <c r="Q54" s="1076"/>
      <c r="R54" s="1076"/>
      <c r="S54" s="1076"/>
      <c r="T54" s="1076"/>
      <c r="U54" s="1076"/>
      <c r="V54" s="1076"/>
      <c r="W54" s="1076"/>
    </row>
    <row r="55" spans="1:23" hidden="1">
      <c r="A55" s="1"/>
      <c r="B55" s="71"/>
      <c r="C55" s="1413"/>
      <c r="D55" s="1416"/>
      <c r="E55" s="1416"/>
      <c r="F55" s="1417"/>
      <c r="G55" s="1414"/>
      <c r="H55" s="1079"/>
      <c r="I55" s="1079"/>
      <c r="J55" s="1079"/>
      <c r="K55" s="1422"/>
      <c r="L55" s="1422"/>
      <c r="M55" s="1423"/>
      <c r="N55" s="1084"/>
      <c r="O55" s="1076"/>
      <c r="P55" s="1076"/>
      <c r="Q55" s="1076"/>
      <c r="R55" s="1076"/>
      <c r="S55" s="1076"/>
      <c r="T55" s="1076"/>
      <c r="U55" s="1076"/>
      <c r="V55" s="1076"/>
      <c r="W55" s="1076"/>
    </row>
    <row r="56" spans="1:23" hidden="1">
      <c r="A56" s="1"/>
      <c r="B56" s="71"/>
      <c r="C56" s="1413"/>
      <c r="D56" s="1416"/>
      <c r="E56" s="1416"/>
      <c r="F56" s="1417"/>
      <c r="G56" s="1414"/>
      <c r="H56" s="1079"/>
      <c r="I56" s="1079"/>
      <c r="J56" s="1079"/>
      <c r="K56" s="1422"/>
      <c r="L56" s="1422"/>
      <c r="M56" s="1423"/>
      <c r="N56" s="1084"/>
      <c r="O56" s="1076"/>
      <c r="P56" s="1076"/>
      <c r="Q56" s="1076"/>
      <c r="R56" s="1076"/>
      <c r="S56" s="1076"/>
      <c r="T56" s="1076"/>
      <c r="U56" s="1076"/>
      <c r="V56" s="1076"/>
      <c r="W56" s="1076"/>
    </row>
    <row r="57" spans="1:23" hidden="1">
      <c r="A57" s="1"/>
      <c r="B57" s="71"/>
      <c r="C57" s="1413"/>
      <c r="D57" s="1416"/>
      <c r="E57" s="1416"/>
      <c r="F57" s="1417"/>
      <c r="G57" s="1414"/>
      <c r="H57" s="1079"/>
      <c r="I57" s="1079"/>
      <c r="J57" s="1079"/>
      <c r="K57" s="1422"/>
      <c r="L57" s="1422"/>
      <c r="M57" s="1423"/>
      <c r="N57" s="1084"/>
      <c r="O57" s="1076"/>
      <c r="P57" s="1076"/>
      <c r="Q57" s="1076"/>
      <c r="R57" s="1076"/>
      <c r="S57" s="1076"/>
      <c r="T57" s="1076"/>
      <c r="U57" s="1076"/>
      <c r="V57" s="1076"/>
      <c r="W57" s="1076"/>
    </row>
    <row r="58" spans="1:23" hidden="1">
      <c r="A58" s="1"/>
      <c r="B58" s="71"/>
      <c r="C58" s="1413"/>
      <c r="D58" s="1416"/>
      <c r="E58" s="1416"/>
      <c r="F58" s="1417"/>
      <c r="G58" s="1414"/>
      <c r="H58" s="1079"/>
      <c r="I58" s="1079"/>
      <c r="J58" s="1079"/>
      <c r="K58" s="1422"/>
      <c r="L58" s="1422"/>
      <c r="M58" s="1423"/>
      <c r="N58" s="1084"/>
      <c r="O58" s="1076"/>
      <c r="P58" s="1076"/>
      <c r="Q58" s="1076"/>
      <c r="R58" s="1076"/>
      <c r="S58" s="1076"/>
      <c r="T58" s="1076"/>
      <c r="U58" s="1076"/>
      <c r="V58" s="1076"/>
      <c r="W58" s="1076"/>
    </row>
    <row r="59" spans="1:23" hidden="1">
      <c r="A59" s="1"/>
      <c r="B59" s="71"/>
      <c r="C59" s="1413"/>
      <c r="D59" s="1416"/>
      <c r="E59" s="1416"/>
      <c r="F59" s="1417"/>
      <c r="G59" s="1414"/>
      <c r="H59" s="1079"/>
      <c r="I59" s="1079"/>
      <c r="J59" s="1079"/>
      <c r="K59" s="1422"/>
      <c r="L59" s="1422"/>
      <c r="M59" s="1423"/>
      <c r="N59" s="1084"/>
      <c r="O59" s="1076"/>
      <c r="P59" s="1076"/>
      <c r="Q59" s="1076"/>
      <c r="R59" s="1076"/>
      <c r="S59" s="1076"/>
      <c r="T59" s="1076"/>
      <c r="U59" s="1076"/>
      <c r="V59" s="1076"/>
      <c r="W59" s="1076"/>
    </row>
    <row r="60" spans="1:23" hidden="1">
      <c r="A60" s="1"/>
      <c r="B60" s="71"/>
      <c r="C60" s="1413"/>
      <c r="D60" s="1416"/>
      <c r="E60" s="1416"/>
      <c r="F60" s="1417"/>
      <c r="G60" s="1414"/>
      <c r="H60" s="1079"/>
      <c r="I60" s="1079"/>
      <c r="J60" s="1079"/>
      <c r="K60" s="1422"/>
      <c r="L60" s="1422"/>
      <c r="M60" s="1423"/>
      <c r="N60" s="1084"/>
      <c r="O60" s="1076"/>
      <c r="P60" s="1076"/>
      <c r="Q60" s="1076"/>
      <c r="R60" s="1076"/>
      <c r="S60" s="1076"/>
      <c r="T60" s="1076"/>
      <c r="U60" s="1076"/>
      <c r="V60" s="1076"/>
      <c r="W60" s="1076"/>
    </row>
    <row r="61" spans="1:23" hidden="1">
      <c r="A61" s="624"/>
      <c r="B61" s="624"/>
      <c r="C61" s="624"/>
      <c r="D61" s="624"/>
      <c r="E61" s="624"/>
      <c r="F61" s="624"/>
      <c r="G61" s="624"/>
      <c r="H61" s="1418"/>
      <c r="I61" s="1418"/>
      <c r="J61" s="1418"/>
      <c r="K61" s="1418"/>
      <c r="L61" s="1418"/>
      <c r="M61" s="1418"/>
      <c r="N61" s="1084"/>
      <c r="O61" s="624"/>
      <c r="P61" s="624"/>
      <c r="Q61" s="624"/>
      <c r="R61" s="624"/>
      <c r="S61" s="624"/>
      <c r="T61" s="624"/>
      <c r="U61" s="624"/>
      <c r="V61" s="624"/>
      <c r="W61" s="624"/>
    </row>
    <row r="62" spans="1:23">
      <c r="M62" s="77">
        <f>SUM(M35:M46)</f>
        <v>5000000</v>
      </c>
    </row>
  </sheetData>
  <autoFilter ref="A3:W61">
    <filterColumn colId="0">
      <customFilters>
        <customFilter operator="notEqual" val=" "/>
      </custom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 ref="N4" r:id="rId13"/>
    <hyperlink ref="N5" r:id="rId14"/>
    <hyperlink ref="N6:N10" r:id="rId15" display="https://portaltransparencia.jocotepec.gob.mx/informacion/2012"/>
    <hyperlink ref="N11" r:id="rId16"/>
    <hyperlink ref="N12" r:id="rId17"/>
    <hyperlink ref="N13" r:id="rId18"/>
    <hyperlink ref="N14:N15" r:id="rId19" display="https://portaltransparencia.jocotepec.gob.mx/informacion/2217"/>
    <hyperlink ref="N16" r:id="rId20"/>
    <hyperlink ref="N17" r:id="rId21"/>
    <hyperlink ref="N18" r:id="rId22"/>
    <hyperlink ref="N19:N24" r:id="rId23" display="https://portaltransparencia.jocotepec.gob.mx/informacion/2215"/>
    <hyperlink ref="N25" r:id="rId24"/>
    <hyperlink ref="N26" r:id="rId25"/>
    <hyperlink ref="N27:N29" r:id="rId26" display="https://portaltransparencia.jocotepec.gob.mx/informacion/2216"/>
    <hyperlink ref="N30" r:id="rId27"/>
    <hyperlink ref="N31:N34" r:id="rId28" display="https://portaltransparencia.jocotepec.gob.mx/informacion/2218"/>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2023-12-19T17:56:35Z</cp:lastPrinted>
  <dcterms:created xsi:type="dcterms:W3CDTF">2014-02-06T17:49:32Z</dcterms:created>
  <dcterms:modified xsi:type="dcterms:W3CDTF">2024-01-12T00:59:13Z</dcterms:modified>
  <cp:category/>
  <cp:contentStatus/>
</cp:coreProperties>
</file>